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9.xml"/>
  <Override ContentType="application/vnd.openxmlformats-officedocument.spreadsheetml.worksheet+xml" PartName="/xl/worksheets/sheet23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3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shboard Presensi SCC" sheetId="1" r:id="rId5"/>
    <sheet state="visible" name="Form Presensi SCC" sheetId="2" r:id="rId6"/>
    <sheet state="visible" name="Database Presensi SCC" sheetId="3" r:id="rId7"/>
    <sheet state="hidden" name="NVScriptsProperties" sheetId="4" r:id="rId8"/>
    <sheet state="visible" name="Database Presensi SCC_Lama" sheetId="5" r:id="rId9"/>
    <sheet state="hidden" name="Dahboard 20252026" sheetId="6" r:id="rId10"/>
    <sheet state="hidden" name="BOY Circle 33" sheetId="7" r:id="rId11"/>
    <sheet state="hidden" name="GIRL Circle 33" sheetId="8" r:id="rId12"/>
    <sheet state="hidden" name="SUMEN33 REKHSA" sheetId="9" r:id="rId13"/>
    <sheet state="hidden" name="SUMEN33 AYUN" sheetId="10" r:id="rId14"/>
    <sheet state="hidden" name="SUMEN33 IQLIMA" sheetId="11" r:id="rId15"/>
    <sheet state="visible" name="Data Siswa Mentah 32 Kelas X" sheetId="12" r:id="rId16"/>
    <sheet state="visible" name="Database Grup SCC" sheetId="13" r:id="rId17"/>
    <sheet state="visible" name="Data Siswa Mentah 33" sheetId="14" r:id="rId18"/>
    <sheet state="visible" name="Data Siswa Mentah 31" sheetId="15" r:id="rId19"/>
    <sheet state="hidden" name="Data Siswa Mentan 32 (Cleaning)" sheetId="16" r:id="rId20"/>
    <sheet state="hidden" name="Data Siswa Mentah 31 (Cleaning)" sheetId="17" r:id="rId21"/>
    <sheet state="hidden" name="ALL" sheetId="18" r:id="rId22"/>
    <sheet state="hidden" name="Sheet8" sheetId="19" r:id="rId23"/>
    <sheet state="hidden" name="Mentee" sheetId="20" r:id="rId24"/>
    <sheet state="hidden" name="DO NOT DELETE - AutoCrat Job Se" sheetId="21" r:id="rId25"/>
    <sheet state="visible" name="Data Siswa Mentan 32" sheetId="22" r:id="rId26"/>
    <sheet state="visible" name="Sheet18" sheetId="23" r:id="rId27"/>
  </sheets>
  <definedNames>
    <definedName hidden="1" localSheetId="2" name="_xlnm._FilterDatabase">'Database Presensi SCC'!$A$1:$U$1382</definedName>
    <definedName hidden="1" localSheetId="14" name="_xlnm._FilterDatabase">'Data Siswa Mentah 31'!$A$1:$F$1000</definedName>
    <definedName hidden="1" localSheetId="15" name="_xlnm._FilterDatabase">'Data Siswa Mentan 32 (Cleaning)'!$A$1:$U$1000</definedName>
    <definedName hidden="1" localSheetId="16" name="_xlnm._FilterDatabase">'Data Siswa Mentah 31 (Cleaning)'!$A$1:$F$1000</definedName>
    <definedName hidden="1" localSheetId="17" name="_xlnm._FilterDatabase">ALL!$A$2:$E$602</definedName>
    <definedName hidden="1" localSheetId="21" name="_xlnm._FilterDatabase">'Data Siswa Mentan 32'!$A$1:$T$1000</definedName>
    <definedName hidden="1" localSheetId="22" name="_xlnm._FilterDatabase">Sheet18!$A$1:$H$941</definedName>
  </definedNames>
  <calcPr/>
</workbook>
</file>

<file path=xl/sharedStrings.xml><?xml version="1.0" encoding="utf-8"?>
<sst xmlns="http://schemas.openxmlformats.org/spreadsheetml/2006/main" count="32895" uniqueCount="9861">
  <si>
    <t>Tahun Ajaran</t>
  </si>
  <si>
    <t>2025/2026</t>
  </si>
  <si>
    <t>Semester I</t>
  </si>
  <si>
    <t>Persentase Kehadiran</t>
  </si>
  <si>
    <t>Kelas X</t>
  </si>
  <si>
    <t>Kelas XI</t>
  </si>
  <si>
    <t>Kelas XII</t>
  </si>
  <si>
    <t>Cari Siswa</t>
  </si>
  <si>
    <t>Timestamp</t>
  </si>
  <si>
    <t>NISN</t>
  </si>
  <si>
    <t>Status</t>
  </si>
  <si>
    <t>Email Address</t>
  </si>
  <si>
    <t>Nama Lengkap</t>
  </si>
  <si>
    <t>L/P</t>
  </si>
  <si>
    <t>Angkatan</t>
  </si>
  <si>
    <t>Kelas</t>
  </si>
  <si>
    <t>Grup</t>
  </si>
  <si>
    <t>Mentor</t>
  </si>
  <si>
    <t>Tanggal Mentoring</t>
  </si>
  <si>
    <t>Pertemuan Grup</t>
  </si>
  <si>
    <t>0093629282</t>
  </si>
  <si>
    <t>Hadir</t>
  </si>
  <si>
    <t>m.rizza.alfarisi67@gmail.com</t>
  </si>
  <si>
    <t>0107936085</t>
  </si>
  <si>
    <t>0104328116</t>
  </si>
  <si>
    <t>0093828028</t>
  </si>
  <si>
    <t>0094782869</t>
  </si>
  <si>
    <t>0105614197</t>
  </si>
  <si>
    <t>0107487290</t>
  </si>
  <si>
    <t>0093678218</t>
  </si>
  <si>
    <t>0093078917</t>
  </si>
  <si>
    <t>0097446281</t>
  </si>
  <si>
    <t>0095243962</t>
  </si>
  <si>
    <t>ekadimw35@gmail.com</t>
  </si>
  <si>
    <t>0106995291</t>
  </si>
  <si>
    <t>ronydurra@gmail.com</t>
  </si>
  <si>
    <t>0108107461</t>
  </si>
  <si>
    <t>0103151970</t>
  </si>
  <si>
    <t>0092626116</t>
  </si>
  <si>
    <t>0095992391</t>
  </si>
  <si>
    <t>0093126257</t>
  </si>
  <si>
    <t>0105914504</t>
  </si>
  <si>
    <t>0092135851</t>
  </si>
  <si>
    <t>0094465097</t>
  </si>
  <si>
    <t>00936678218</t>
  </si>
  <si>
    <t>0082590495 / 242510008</t>
  </si>
  <si>
    <t>skycircle.id@gmail.com</t>
  </si>
  <si>
    <t>0097864614</t>
  </si>
  <si>
    <t>0099339799</t>
  </si>
  <si>
    <t>0083634869 / 242510301</t>
  </si>
  <si>
    <t>nadiradzra59@gmail.com</t>
  </si>
  <si>
    <t>0083016159 / 242510052</t>
  </si>
  <si>
    <t>0099551790 / 242510296</t>
  </si>
  <si>
    <t>0096383417 / 242510089</t>
  </si>
  <si>
    <t>0106443881 / 252610247</t>
  </si>
  <si>
    <t>zhafirafathinilmira@gmail.com</t>
  </si>
  <si>
    <t>0104716348 / 252610386</t>
  </si>
  <si>
    <t>0107425879 / 252610191</t>
  </si>
  <si>
    <t>ukhtfatayah@gmail.com</t>
  </si>
  <si>
    <t>0106545857 / 252610173</t>
  </si>
  <si>
    <t>0104595564 / 252610233</t>
  </si>
  <si>
    <t>0109267722 / 252610260</t>
  </si>
  <si>
    <t>0104987304 / 252610216</t>
  </si>
  <si>
    <t>0106758481 / 252610064</t>
  </si>
  <si>
    <t>shafaananda20@gmail.com</t>
  </si>
  <si>
    <t>3096764634 / 252610025</t>
  </si>
  <si>
    <t>0096544983 / 252610268</t>
  </si>
  <si>
    <t>0099164493 / 252610156</t>
  </si>
  <si>
    <t>0106222604 / 252610254</t>
  </si>
  <si>
    <t>3104617391 / 252610153</t>
  </si>
  <si>
    <t>raniadila17@gmail.com</t>
  </si>
  <si>
    <t>0092794157 / 252610139</t>
  </si>
  <si>
    <t>0107691976 / 252610255</t>
  </si>
  <si>
    <t>kayyisaharsyila5@gmail.com</t>
  </si>
  <si>
    <t>0098938532 / 252610392</t>
  </si>
  <si>
    <t>0105918833 / 252610321</t>
  </si>
  <si>
    <t>0109599363 / 252610444</t>
  </si>
  <si>
    <t>0105803552 / 252610420</t>
  </si>
  <si>
    <t>0107357472 / 252610522</t>
  </si>
  <si>
    <t>0105961239 / 252610413</t>
  </si>
  <si>
    <t>3109348901 / 252610395</t>
  </si>
  <si>
    <t>0098248691 / 252610168</t>
  </si>
  <si>
    <t>rhnrra@gmail.com</t>
  </si>
  <si>
    <t>0105616025 / 252610169</t>
  </si>
  <si>
    <t>0102329313 / 252610222</t>
  </si>
  <si>
    <t>0093849649 / 252610234</t>
  </si>
  <si>
    <t>0104574006 / 252610262</t>
  </si>
  <si>
    <t>0108389311 / 252610037</t>
  </si>
  <si>
    <t>0097357764 / 252610054</t>
  </si>
  <si>
    <t>0104895570 / 252610099</t>
  </si>
  <si>
    <t>0099138854 / 252610103</t>
  </si>
  <si>
    <t>0105133490 / 252610119</t>
  </si>
  <si>
    <t>0108718382</t>
  </si>
  <si>
    <t>lelsohbia@gmail.com</t>
  </si>
  <si>
    <t>0102208567</t>
  </si>
  <si>
    <t>0092679798 / 252610239</t>
  </si>
  <si>
    <t>oshebilqisnadhifah04@gmail.com</t>
  </si>
  <si>
    <t>0094677765 / 252610313</t>
  </si>
  <si>
    <t>0093105045 / 252610424</t>
  </si>
  <si>
    <t>0095438030 / 252610436</t>
  </si>
  <si>
    <t>0102657659 / 252610513</t>
  </si>
  <si>
    <t>0097644165 / 252610508</t>
  </si>
  <si>
    <t>0094966956 / 252610272</t>
  </si>
  <si>
    <t>0093433461 / 252610536</t>
  </si>
  <si>
    <t>0094313180 / 252610469</t>
  </si>
  <si>
    <t>irghimuhammad20@gmail.com</t>
  </si>
  <si>
    <t>3101402781 / 252610305</t>
  </si>
  <si>
    <t>0102210036 / 252610243</t>
  </si>
  <si>
    <t>0113735828 / 252610335</t>
  </si>
  <si>
    <t>0094680852 / 252610537</t>
  </si>
  <si>
    <t>almira.dian09@gmail.com</t>
  </si>
  <si>
    <t>0107182326 / 252610511</t>
  </si>
  <si>
    <t>0098113225 / 252610297</t>
  </si>
  <si>
    <t>0097910400 / 252610425</t>
  </si>
  <si>
    <t>0102372511 / 252610263</t>
  </si>
  <si>
    <t>0098348385 / 252610542</t>
  </si>
  <si>
    <t>0105339420 / 252610027</t>
  </si>
  <si>
    <t>tiaraazizah.w@gmail.com</t>
  </si>
  <si>
    <t>0093799489 / 252610071</t>
  </si>
  <si>
    <t>0099452000 / 252610086</t>
  </si>
  <si>
    <t>0102924778 / 252610095</t>
  </si>
  <si>
    <t>0108974038 / 252610117</t>
  </si>
  <si>
    <t>0107900663 / 252610135</t>
  </si>
  <si>
    <t>0091254694 / 252610146</t>
  </si>
  <si>
    <t>0108673369 / 252610178</t>
  </si>
  <si>
    <t>0094946777 / 242510338</t>
  </si>
  <si>
    <t>farisadita58@gmail.com</t>
  </si>
  <si>
    <t>0097494303 / 242510150</t>
  </si>
  <si>
    <t>0083951567 / 242510221</t>
  </si>
  <si>
    <t>0098848130 / 242510228</t>
  </si>
  <si>
    <t>0094328074 / 252610391</t>
  </si>
  <si>
    <t>psikolog.qurrotaayun@gmail.com</t>
  </si>
  <si>
    <t>0096477713 / 252610122</t>
  </si>
  <si>
    <t>0092605198 / 252610477</t>
  </si>
  <si>
    <t>0105813396 / 252610052</t>
  </si>
  <si>
    <t>0099678017 / 252610098</t>
  </si>
  <si>
    <t>0102890859 / 252610235</t>
  </si>
  <si>
    <t>3103220251 / 252610225</t>
  </si>
  <si>
    <t>0107487290 / 252610504</t>
  </si>
  <si>
    <t>0107936085 / 252610525</t>
  </si>
  <si>
    <t>0095243962 / 252610354</t>
  </si>
  <si>
    <t>0094426892 / 242510424</t>
  </si>
  <si>
    <t>0105614197 / 252610547</t>
  </si>
  <si>
    <t>0092241333 / 252610113</t>
  </si>
  <si>
    <t>0093078917 / 252610252</t>
  </si>
  <si>
    <t>0093678218 / 252610333</t>
  </si>
  <si>
    <t>0094782869 / 252610200</t>
  </si>
  <si>
    <t>0102208567 / 252610283</t>
  </si>
  <si>
    <t>0108718382 / 252610521</t>
  </si>
  <si>
    <t>0091524155 / 252610179</t>
  </si>
  <si>
    <t>0101401010 / 252610051</t>
  </si>
  <si>
    <t>0093281671 / 252610159</t>
  </si>
  <si>
    <t>0105055119 / 252610264</t>
  </si>
  <si>
    <t>0099772945 / 252610324</t>
  </si>
  <si>
    <t>rekhsaangkasawan@gmail.com</t>
  </si>
  <si>
    <t>0098345742 / 252610338</t>
  </si>
  <si>
    <t>0108384400 / 252610320</t>
  </si>
  <si>
    <t>0109589144 / 252610375</t>
  </si>
  <si>
    <t>0096033014 / 252610001</t>
  </si>
  <si>
    <t>0103120702 / 252610144</t>
  </si>
  <si>
    <t>0092194625 / 252610004</t>
  </si>
  <si>
    <t>0104378571 / 252610133</t>
  </si>
  <si>
    <t>0099535255 / 252610212</t>
  </si>
  <si>
    <t>0094573200 / 252610220</t>
  </si>
  <si>
    <t>0106852675 / 252610248</t>
  </si>
  <si>
    <t>3093210071 / 252610042</t>
  </si>
  <si>
    <t>khairunnisanuribtihal10@gmail.com</t>
  </si>
  <si>
    <t>0099344894 / 252610072</t>
  </si>
  <si>
    <t>0104799326 / 252610134</t>
  </si>
  <si>
    <t>0099286083 / 252610157</t>
  </si>
  <si>
    <t>0093451857 / 252610167</t>
  </si>
  <si>
    <t>0074430959 / 252610172</t>
  </si>
  <si>
    <t>salsabilanurhidayah25@gmail.com</t>
  </si>
  <si>
    <t>0091620147 / 252610189</t>
  </si>
  <si>
    <t>0093286261 / 252610194</t>
  </si>
  <si>
    <t>0101705316 / 252610210</t>
  </si>
  <si>
    <t>3090346201 / 252610214</t>
  </si>
  <si>
    <t>0107948623 / 252610227</t>
  </si>
  <si>
    <t>0094583694 / 252610285</t>
  </si>
  <si>
    <t>0104459637 / 252610055</t>
  </si>
  <si>
    <t>hanahanifarifazi@gmail.com</t>
  </si>
  <si>
    <t>0092597384 / 252610163</t>
  </si>
  <si>
    <t>3105062394 / 252610166</t>
  </si>
  <si>
    <t>0098197227 / 252610067</t>
  </si>
  <si>
    <t>0104825356 / 252610057</t>
  </si>
  <si>
    <t>0091763745 / 252610229</t>
  </si>
  <si>
    <t>0104630358 / 252610281</t>
  </si>
  <si>
    <t>0097535113 / 252610286</t>
  </si>
  <si>
    <t>0099900563 / 252610123</t>
  </si>
  <si>
    <t>3098845163 / 252610245</t>
  </si>
  <si>
    <t>0107934430 / 252610024</t>
  </si>
  <si>
    <t>0094686372 / 252610299</t>
  </si>
  <si>
    <t>0093828028 / 252610340</t>
  </si>
  <si>
    <t>0104328116 / 252610318</t>
  </si>
  <si>
    <t>0103468589 / 252610300</t>
  </si>
  <si>
    <t>0107335774 / 252610221</t>
  </si>
  <si>
    <t>0108763766 / 252610141</t>
  </si>
  <si>
    <t>0102239764 / 252610140</t>
  </si>
  <si>
    <t>NO URUT</t>
  </si>
  <si>
    <t>NO ABSEN</t>
  </si>
  <si>
    <t>NISN / NIS</t>
  </si>
  <si>
    <t>NAMA</t>
  </si>
  <si>
    <t>ANGKATAN</t>
  </si>
  <si>
    <t>KELAS TA</t>
  </si>
  <si>
    <t>Grup TA</t>
  </si>
  <si>
    <t>Mentor TA</t>
  </si>
  <si>
    <t>Grup X</t>
  </si>
  <si>
    <t>Grup XI</t>
  </si>
  <si>
    <t>Grup XII</t>
  </si>
  <si>
    <t>Link Presensi</t>
  </si>
  <si>
    <t>QR Code</t>
  </si>
  <si>
    <t>Merged Doc ID - Kartu QR Code</t>
  </si>
  <si>
    <t>Merged Doc URL - Kartu QR Code</t>
  </si>
  <si>
    <t>Link to merged Doc - Kartu QR Code</t>
  </si>
  <si>
    <t>Document Merge Status - Kartu QR Code</t>
  </si>
  <si>
    <t>Total Kehadiran</t>
  </si>
  <si>
    <t>Total Mentoring</t>
  </si>
  <si>
    <t>Persentase</t>
  </si>
  <si>
    <t>0092626116 / 252610008</t>
  </si>
  <si>
    <t>Adhie Bramantyo Faqih - L</t>
  </si>
  <si>
    <t>L</t>
  </si>
  <si>
    <t>X1</t>
  </si>
  <si>
    <t>1vT3CS4iZFqZLg_tEljBkkpZG9JMocT_A</t>
  </si>
  <si>
    <t>https://drive.google.com/file/d/1vT3CS4iZFqZLg_tEljBkkpZG9JMocT_A/view?usp=drivesdk</t>
  </si>
  <si>
    <t>Document successfully created; Document successfully merged; PDF created; Manually run by skycircle.id@gmail.com; Timestamp: Nov 7 2025 2:43 AM</t>
  </si>
  <si>
    <t>3103201253 / 252610048</t>
  </si>
  <si>
    <t>Almira Dwi Safira - P</t>
  </si>
  <si>
    <t>P</t>
  </si>
  <si>
    <t>https://quickchart.io/qr?size=250&amp;text=https%3A%2F%2Fdocs.google.com%2Fforms%2Fd%2Fe%2F1FAIpQLSeZ-R1GrWlAPkfaThGqxeTj0QTtrARw4rroxIIepf2kipn1nw%2FformResponse%3Fusp%3Dpp_url%26entry.1313582257%3D3103201253%20%2F%20252610048%26entry.1578404635%3DHadir</t>
  </si>
  <si>
    <t>1mKmnVoLnZHVkK0DIF_UMnaayEkobf0l1</t>
  </si>
  <si>
    <t>https://drive.google.com/file/d/1mKmnVoLnZHVkK0DIF_UMnaayEkobf0l1/view?usp=drivesdk</t>
  </si>
  <si>
    <t>Document successfully created; Document successfully merged; PDF created; Manually run by skycircle.id@gmail.com; Timestamp: Nov 7 2025 2:50 AM</t>
  </si>
  <si>
    <t>0102149444 / 252610053</t>
  </si>
  <si>
    <t>Alzena Juneeta Talisha Theo - P</t>
  </si>
  <si>
    <t>https://quickchart.io/qr?size=250&amp;text=https%3A%2F%2Fdocs.google.com%2Fforms%2Fd%2Fe%2F1FAIpQLSeZ-R1GrWlAPkfaThGqxeTj0QTtrARw4rroxIIepf2kipn1nw%2FformResponse%3Fusp%3Dpp_url%26entry.1313582257%3D0102149444%20%2F%20252610053%26entry.1578404635%3DHadir</t>
  </si>
  <si>
    <t>1d7U49CQ9RJNH2-hBQjzC_hHvscAAXvsr</t>
  </si>
  <si>
    <t>https://drive.google.com/file/d/1d7U49CQ9RJNH2-hBQjzC_hHvscAAXvsr/view?usp=drivesdk</t>
  </si>
  <si>
    <t>0095992391 / 252610082</t>
  </si>
  <si>
    <t>Arya Aditya Gunawan - L</t>
  </si>
  <si>
    <t>https://quickchart.io/qr?size=250&amp;text=https%3A%2F%2Fdocs.google.com%2Fforms%2Fd%2Fe%2F1FAIpQLSeZ-R1GrWlAPkfaThGqxeTj0QTtrARw4rroxIIepf2kipn1nw%2FformResponse%3Fusp%3Dpp_url%26entry.1313582257%3D0095992391%20%2F%20252610082%26entry.1578404635%3DHadir</t>
  </si>
  <si>
    <t>1LNiRTYHv6w9YVnhAR2HLyIcVFJQpcjze</t>
  </si>
  <si>
    <t>https://drive.google.com/file/d/1LNiRTYHv6w9YVnhAR2HLyIcVFJQpcjze/view?usp=drivesdk</t>
  </si>
  <si>
    <t>Document successfully created; Document successfully merged; PDF created; Manually run by skycircle.id@gmail.com; Timestamp: Nov 7 2025 2:51 AM</t>
  </si>
  <si>
    <t>0106142601 / 252610083</t>
  </si>
  <si>
    <t>Aryasatia Pradipta - P</t>
  </si>
  <si>
    <t>https://quickchart.io/qr?size=250&amp;text=https%3A%2F%2Fdocs.google.com%2Fforms%2Fd%2Fe%2F1FAIpQLSeZ-R1GrWlAPkfaThGqxeTj0QTtrARw4rroxIIepf2kipn1nw%2FformResponse%3Fusp%3Dpp_url%26entry.1313582257%3D0106142601%20%2F%20252610083%26entry.1578404635%3DHadir</t>
  </si>
  <si>
    <t>1IvfC4ixA8_XmXd4iM5ff5AmblC3pElr0</t>
  </si>
  <si>
    <t>https://drive.google.com/file/d/1IvfC4ixA8_XmXd4iM5ff5AmblC3pElr0/view?usp=drivesdk</t>
  </si>
  <si>
    <t>0108104548 / 252610087</t>
  </si>
  <si>
    <t>Asyifa Diandra Bayu - P</t>
  </si>
  <si>
    <t>https://quickchart.io/qr?size=250&amp;text=https%3A%2F%2Fdocs.google.com%2Fforms%2Fd%2Fe%2F1FAIpQLSeZ-R1GrWlAPkfaThGqxeTj0QTtrARw4rroxIIepf2kipn1nw%2FformResponse%3Fusp%3Dpp_url%26entry.1313582257%3D0108104548%20%2F%20252610087%26entry.1578404635%3DHadir</t>
  </si>
  <si>
    <t>10upqMCystGLOOuj8IXeBYoCPDfZ9BeId</t>
  </si>
  <si>
    <t>https://drive.google.com/file/d/10upqMCystGLOOuj8IXeBYoCPDfZ9BeId/view?usp=drivesdk</t>
  </si>
  <si>
    <t>0103045473 / 252610088</t>
  </si>
  <si>
    <t>Asyifa Maulidia Salsabila - P</t>
  </si>
  <si>
    <t>https://quickchart.io/qr?size=250&amp;text=https%3A%2F%2Fdocs.google.com%2Fforms%2Fd%2Fe%2F1FAIpQLSeZ-R1GrWlAPkfaThGqxeTj0QTtrARw4rroxIIepf2kipn1nw%2FformResponse%3Fusp%3Dpp_url%26entry.1313582257%3D0103045473%20%2F%20252610088%26entry.1578404635%3DHadir</t>
  </si>
  <si>
    <t>1ZImG2x2uc38nnR6zZWUTE7w5Gq5qaqVc</t>
  </si>
  <si>
    <t>https://drive.google.com/file/d/1ZImG2x2uc38nnR6zZWUTE7w5Gq5qaqVc/view?usp=drivesdk</t>
  </si>
  <si>
    <t>0109105725 / 252610100</t>
  </si>
  <si>
    <t>Aurelia Langit Callysta - P</t>
  </si>
  <si>
    <t>https://quickchart.io/qr?size=250&amp;text=https%3A%2F%2Fdocs.google.com%2Fforms%2Fd%2Fe%2F1FAIpQLSeZ-R1GrWlAPkfaThGqxeTj0QTtrARw4rroxIIepf2kipn1nw%2FformResponse%3Fusp%3Dpp_url%26entry.1313582257%3D0109105725%20%2F%20252610100%26entry.1578404635%3DHadir</t>
  </si>
  <si>
    <t>1rvQo4Ey68VFrcETscC7InUaTRI1kIUWw</t>
  </si>
  <si>
    <t>https://drive.google.com/file/d/1rvQo4Ey68VFrcETscC7InUaTRI1kIUWw/view?usp=drivesdk</t>
  </si>
  <si>
    <t>0096394871 / 252610101</t>
  </si>
  <si>
    <t>Aurelia Septiani Putri - P</t>
  </si>
  <si>
    <t>https://quickchart.io/qr?size=250&amp;text=https%3A%2F%2Fdocs.google.com%2Fforms%2Fd%2Fe%2F1FAIpQLSeZ-R1GrWlAPkfaThGqxeTj0QTtrARw4rroxIIepf2kipn1nw%2FformResponse%3Fusp%3Dpp_url%26entry.1313582257%3D0096394871%20%2F%20252610101%26entry.1578404635%3DHadir</t>
  </si>
  <si>
    <t>1b-GDSmMzqildFBtX8OSafkbnN90HrSEe</t>
  </si>
  <si>
    <t>https://drive.google.com/file/d/1b-GDSmMzqildFBtX8OSafkbnN90HrSEe/view?usp=drivesdk</t>
  </si>
  <si>
    <t>0099038184 / 252610109</t>
  </si>
  <si>
    <t>Azalia Maheswari Christabel - P</t>
  </si>
  <si>
    <t>https://quickchart.io/qr?size=250&amp;text=https%3A%2F%2Fdocs.google.com%2Fforms%2Fd%2Fe%2F1FAIpQLSeZ-R1GrWlAPkfaThGqxeTj0QTtrARw4rroxIIepf2kipn1nw%2FformResponse%3Fusp%3Dpp_url%26entry.1313582257%3D0099038184%20%2F%20252610109%26entry.1578404635%3DHadir</t>
  </si>
  <si>
    <t>1yx3LelcXw_e83FhlIETtKt3gLFBbBxee</t>
  </si>
  <si>
    <t>https://drive.google.com/file/d/1yx3LelcXw_e83FhlIETtKt3gLFBbBxee/view?usp=drivesdk</t>
  </si>
  <si>
    <t>Bilqis Anwar Thebe - P</t>
  </si>
  <si>
    <t>https://quickchart.io/qr?size=250&amp;text=https%3A%2F%2Fdocs.google.com%2Fforms%2Fd%2Fe%2F1FAIpQLSeZ-R1GrWlAPkfaThGqxeTj0QTtrARw4rroxIIepf2kipn1nw%2FformResponse%3Fusp%3Dpp_url%26entry.1313582257%3D0096477713%20%2F%20252610122%26entry.1578404635%3DHadir</t>
  </si>
  <si>
    <t>1tS8oCGyjXE_iUjrmtYwoF0c6IxPj5bwe</t>
  </si>
  <si>
    <t>https://drive.google.com/file/d/1tS8oCGyjXE_iUjrmtYwoF0c6IxPj5bwe/view?usp=drivesdk</t>
  </si>
  <si>
    <t>Document successfully created; Document successfully merged; PDF created; Manually run by skycircle.id@gmail.com; Timestamp: Nov 7 2025 2:52 AM</t>
  </si>
  <si>
    <t>0106995291 / 252610126</t>
  </si>
  <si>
    <t>Bimo Armani Aulia Putra - L</t>
  </si>
  <si>
    <t>https://quickchart.io/qr?size=250&amp;text=https%3A%2F%2Fdocs.google.com%2Fforms%2Fd%2Fe%2F1FAIpQLSeZ-R1GrWlAPkfaThGqxeTj0QTtrARw4rroxIIepf2kipn1nw%2FformResponse%3Fusp%3Dpp_url%26entry.1313582257%3D0106995291%20%2F%20252610126%26entry.1578404635%3DHadir</t>
  </si>
  <si>
    <t>1EmJkPoxdTJ-gQWZdii-D138hhWBcspG4</t>
  </si>
  <si>
    <t>https://drive.google.com/file/d/1EmJkPoxdTJ-gQWZdii-D138hhWBcspG4/view?usp=drivesdk</t>
  </si>
  <si>
    <t>0094126705 / 252610130</t>
  </si>
  <si>
    <t>Callysta Tuchi Solin - P</t>
  </si>
  <si>
    <t>https://quickchart.io/qr?size=250&amp;text=https%3A%2F%2Fdocs.google.com%2Fforms%2Fd%2Fe%2F1FAIpQLSeZ-R1GrWlAPkfaThGqxeTj0QTtrARw4rroxIIepf2kipn1nw%2FformResponse%3Fusp%3Dpp_url%26entry.1313582257%3D0094126705%20%2F%20252610130%26entry.1578404635%3DHadir</t>
  </si>
  <si>
    <t>1V36ZPnUswM9ug8uwlwbe7s6iXPAB3HIh</t>
  </si>
  <si>
    <t>https://drive.google.com/file/d/1V36ZPnUswM9ug8uwlwbe7s6iXPAB3HIh/view?usp=drivesdk</t>
  </si>
  <si>
    <t>0105914504 / 252610171</t>
  </si>
  <si>
    <t>Diwangkara Rizki Rabbani - L</t>
  </si>
  <si>
    <t>https://quickchart.io/qr?size=250&amp;text=https%3A%2F%2Fdocs.google.com%2Fforms%2Fd%2Fe%2F1FAIpQLSeZ-R1GrWlAPkfaThGqxeTj0QTtrARw4rroxIIepf2kipn1nw%2FformResponse%3Fusp%3Dpp_url%26entry.1313582257%3D0105914504%20%2F%20252610171%26entry.1578404635%3DHadir</t>
  </si>
  <si>
    <t>1Y17P9BaSObYaTN9WA1Z9-poUfGpD2LLP</t>
  </si>
  <si>
    <t>https://drive.google.com/file/d/1Y17P9BaSObYaTN9WA1Z9-poUfGpD2LLP/view?usp=drivesdk</t>
  </si>
  <si>
    <t>0092097491 / 252610175</t>
  </si>
  <si>
    <t>Dzahra Miftahuljanah - P</t>
  </si>
  <si>
    <t>https://quickchart.io/qr?size=250&amp;text=https%3A%2F%2Fdocs.google.com%2Fforms%2Fd%2Fe%2F1FAIpQLSeZ-R1GrWlAPkfaThGqxeTj0QTtrARw4rroxIIepf2kipn1nw%2FformResponse%3Fusp%3Dpp_url%26entry.1313582257%3D0092097491%20%2F%20252610175%26entry.1578404635%3DHadir</t>
  </si>
  <si>
    <t>1gdHQkc3oC094D12II38YKtMKEBJWo6Sv</t>
  </si>
  <si>
    <t>https://drive.google.com/file/d/1gdHQkc3oC094D12II38YKtMKEBJWo6Sv/view?usp=drivesdk</t>
  </si>
  <si>
    <t>0102644442 / 252610193</t>
  </si>
  <si>
    <t>Fakhri Haikal Alvito Rachmat - L</t>
  </si>
  <si>
    <t>https://quickchart.io/qr?size=250&amp;text=https%3A%2F%2Fdocs.google.com%2Fforms%2Fd%2Fe%2F1FAIpQLSeZ-R1GrWlAPkfaThGqxeTj0QTtrARw4rroxIIepf2kipn1nw%2FformResponse%3Fusp%3Dpp_url%26entry.1313582257%3D0102644442%20%2F%20252610193%26entry.1578404635%3DHadir</t>
  </si>
  <si>
    <t>1DkiMBRJidCu4rpARd_sGeCMxkHoE_dEf</t>
  </si>
  <si>
    <t>https://drive.google.com/file/d/1DkiMBRJidCu4rpARd_sGeCMxkHoE_dEf/view?usp=drivesdk</t>
  </si>
  <si>
    <t>0107657965 / 252610202</t>
  </si>
  <si>
    <t>Fathi Azzam Hawwari - L</t>
  </si>
  <si>
    <t>https://quickchart.io/qr?size=250&amp;text=https%3A%2F%2Fdocs.google.com%2Fforms%2Fd%2Fe%2F1FAIpQLSeZ-R1GrWlAPkfaThGqxeTj0QTtrARw4rroxIIepf2kipn1nw%2FformResponse%3Fusp%3Dpp_url%26entry.1313582257%3D0107657965%20%2F%20252610202%26entry.1578404635%3DHadir</t>
  </si>
  <si>
    <t>1Qoz2BWw-WzedC8leFgPiQ4Ljuz6FTB4b</t>
  </si>
  <si>
    <t>https://drive.google.com/file/d/1Qoz2BWw-WzedC8leFgPiQ4Ljuz6FTB4b/view?usp=drivesdk</t>
  </si>
  <si>
    <t>Document successfully created; Document successfully merged; PDF created; Manually run by skycircle.id@gmail.com; Timestamp: Nov 7 2025 2:53 AM</t>
  </si>
  <si>
    <t>0095023834 / 252610206</t>
  </si>
  <si>
    <t>Fatimah Aszahra - P</t>
  </si>
  <si>
    <t>https://quickchart.io/qr?size=250&amp;text=https%3A%2F%2Fdocs.google.com%2Fforms%2Fd%2Fe%2F1FAIpQLSeZ-R1GrWlAPkfaThGqxeTj0QTtrARw4rroxIIepf2kipn1nw%2FformResponse%3Fusp%3Dpp_url%26entry.1313582257%3D0095023834%20%2F%20252610206%26entry.1578404635%3DHadir</t>
  </si>
  <si>
    <t>1SXGJ8Fa5qpDhxnKbC01wKIyMtkQ0FLnG</t>
  </si>
  <si>
    <t>https://drive.google.com/file/d/1SXGJ8Fa5qpDhxnKbC01wKIyMtkQ0FLnG/view?usp=drivesdk</t>
  </si>
  <si>
    <t>0094631117 / 252610224</t>
  </si>
  <si>
    <t>Gwenna Irene Winata - P</t>
  </si>
  <si>
    <t>https://quickchart.io/qr?size=250&amp;text=https%3A%2F%2Fdocs.google.com%2Fforms%2Fd%2Fe%2F1FAIpQLSeZ-R1GrWlAPkfaThGqxeTj0QTtrARw4rroxIIepf2kipn1nw%2FformResponse%3Fusp%3Dpp_url%26entry.1313582257%3D0094631117%20%2F%20252610224%26entry.1578404635%3DHadir</t>
  </si>
  <si>
    <t>15IXPQVUuOt8H540EqjLVe6zzkm15WpLl</t>
  </si>
  <si>
    <t>https://drive.google.com/file/d/15IXPQVUuOt8H540EqjLVe6zzkm15WpLl/view?usp=drivesdk</t>
  </si>
  <si>
    <t>Jasmine Zahira Ramadhani - P</t>
  </si>
  <si>
    <t>https://quickchart.io/qr?size=250&amp;text=https%3A%2F%2Fdocs.google.com%2Fforms%2Fd%2Fe%2F1FAIpQLSeZ-R1GrWlAPkfaThGqxeTj0QTtrARw4rroxIIepf2kipn1nw%2FformResponse%3Fusp%3Dpp_url%26entry.1313582257%3D0092679798%20%2F%20252610239%26entry.1578404635%3DHadir</t>
  </si>
  <si>
    <t>1EGzdBFstUsXDWTMpSUXHrpW133xlD9yz</t>
  </si>
  <si>
    <t>https://drive.google.com/file/d/1EGzdBFstUsXDWTMpSUXHrpW133xlD9yz/view?usp=drivesdk</t>
  </si>
  <si>
    <t>0109256207 / 252610244</t>
  </si>
  <si>
    <t>Jesslyn Quinn Gabrielle Sitorus - P</t>
  </si>
  <si>
    <t>https://quickchart.io/qr?size=250&amp;text=https%3A%2F%2Fdocs.google.com%2Fforms%2Fd%2Fe%2F1FAIpQLSeZ-R1GrWlAPkfaThGqxeTj0QTtrARw4rroxIIepf2kipn1nw%2FformResponse%3Fusp%3Dpp_url%26entry.1313582257%3D0109256207%20%2F%20252610244%26entry.1578404635%3DHadir</t>
  </si>
  <si>
    <t>12uQAsBzgjDVCNB2aXCt2Qqlq8_hb85oB</t>
  </si>
  <si>
    <t>https://drive.google.com/file/d/12uQAsBzgjDVCNB2aXCt2Qqlq8_hb85oB/view?usp=drivesdk</t>
  </si>
  <si>
    <t>0103648473 / 252610246</t>
  </si>
  <si>
    <t>Jihan Al Hasya - P</t>
  </si>
  <si>
    <t>https://quickchart.io/qr?size=250&amp;text=https%3A%2F%2Fdocs.google.com%2Fforms%2Fd%2Fe%2F1FAIpQLSeZ-R1GrWlAPkfaThGqxeTj0QTtrARw4rroxIIepf2kipn1nw%2FformResponse%3Fusp%3Dpp_url%26entry.1313582257%3D0103648473%20%2F%20252610246%26entry.1578404635%3DHadir</t>
  </si>
  <si>
    <t>1HOHvM3vFSGTw7CrqlBE9JjKk3PveT9N4</t>
  </si>
  <si>
    <t>https://drive.google.com/file/d/1HOHvM3vFSGTw7CrqlBE9JjKk3PveT9N4/view?usp=drivesdk</t>
  </si>
  <si>
    <t>0108537666 / 252610250</t>
  </si>
  <si>
    <t>Johanes Satria Yudha - L</t>
  </si>
  <si>
    <t>https://quickchart.io/qr?size=250&amp;text=https%3A%2F%2Fdocs.google.com%2Fforms%2Fd%2Fe%2F1FAIpQLSeZ-R1GrWlAPkfaThGqxeTj0QTtrARw4rroxIIepf2kipn1nw%2FformResponse%3Fusp%3Dpp_url%26entry.1313582257%3D0108537666%20%2F%20252610250%26entry.1578404635%3DHadir</t>
  </si>
  <si>
    <t>12UktbM36EnKr45A3BRaTHCnYcQKipFoh</t>
  </si>
  <si>
    <t>https://drive.google.com/file/d/12UktbM36EnKr45A3BRaTHCnYcQKipFoh/view?usp=drivesdk</t>
  </si>
  <si>
    <t>Document successfully created; Document successfully merged; PDF created; Manually run by skycircle.id@gmail.com; Timestamp: Nov 7 2025 2:54 AM</t>
  </si>
  <si>
    <t>0098409943 / 252610304</t>
  </si>
  <si>
    <t>Kariswan Wahyudi - L</t>
  </si>
  <si>
    <t>https://quickchart.io/qr?size=250&amp;text=https%3A%2F%2Fdocs.google.com%2Fforms%2Fd%2Fe%2F1FAIpQLSeZ-R1GrWlAPkfaThGqxeTj0QTtrARw4rroxIIepf2kipn1nw%2FformResponse%3Fusp%3Dpp_url%26entry.1313582257%3D0098409943%20%2F%20252610304%26entry.1578404635%3DHadir</t>
  </si>
  <si>
    <t>136MyB6rX3s1kqMNIIeqtTu6JwDGBkWlO</t>
  </si>
  <si>
    <t>https://drive.google.com/file/d/136MyB6rX3s1kqMNIIeqtTu6JwDGBkWlO/view?usp=drivesdk</t>
  </si>
  <si>
    <t>0092985486 / 252610311</t>
  </si>
  <si>
    <t>Maria Rica Stefany Demu - P</t>
  </si>
  <si>
    <t>https://quickchart.io/qr?size=250&amp;text=https%3A%2F%2Fdocs.google.com%2Fforms%2Fd%2Fe%2F1FAIpQLSeZ-R1GrWlAPkfaThGqxeTj0QTtrARw4rroxIIepf2kipn1nw%2FformResponse%3Fusp%3Dpp_url%26entry.1313582257%3D0092985486%20%2F%20252610311%26entry.1578404635%3DHadir</t>
  </si>
  <si>
    <t>1SGFJCN2vvOney4NApARqhB73iCOgk7PP</t>
  </si>
  <si>
    <t>https://drive.google.com/file/d/1SGFJCN2vvOney4NApARqhB73iCOgk7PP/view?usp=drivesdk</t>
  </si>
  <si>
    <t>Melani Putri Triana - P</t>
  </si>
  <si>
    <t>https://quickchart.io/qr?size=250&amp;text=https%3A%2F%2Fdocs.google.com%2Fforms%2Fd%2Fe%2F1FAIpQLSeZ-R1GrWlAPkfaThGqxeTj0QTtrARw4rroxIIepf2kipn1nw%2FformResponse%3Fusp%3Dpp_url%26entry.1313582257%3D0094677765%20%2F%20252610313%26entry.1578404635%3DHadir</t>
  </si>
  <si>
    <t>1nehMZH1FhrVr5ttGwQVfgvqeJrIzLhyT</t>
  </si>
  <si>
    <t>https://drive.google.com/file/d/1nehMZH1FhrVr5ttGwQVfgvqeJrIzLhyT/view?usp=drivesdk</t>
  </si>
  <si>
    <t>0107959828 / 252610316</t>
  </si>
  <si>
    <t>Michael Mazmur Hatorangan Hutabarat - L</t>
  </si>
  <si>
    <t>https://quickchart.io/qr?size=250&amp;text=https%3A%2F%2Fdocs.google.com%2Fforms%2Fd%2Fe%2F1FAIpQLSeZ-R1GrWlAPkfaThGqxeTj0QTtrARw4rroxIIepf2kipn1nw%2FformResponse%3Fusp%3Dpp_url%26entry.1313582257%3D0107959828%20%2F%20252610316%26entry.1578404635%3DHadir</t>
  </si>
  <si>
    <t>1AxwkbKLziu4iXcBBFIxplfneQH4t6uJO</t>
  </si>
  <si>
    <t>https://drive.google.com/file/d/1AxwkbKLziu4iXcBBFIxplfneQH4t6uJO/view?usp=drivesdk</t>
  </si>
  <si>
    <t>0092600602 / 252610330</t>
  </si>
  <si>
    <t>Mochamad Nayaka Tuharea - L</t>
  </si>
  <si>
    <t>https://quickchart.io/qr?size=250&amp;text=https%3A%2F%2Fdocs.google.com%2Fforms%2Fd%2Fe%2F1FAIpQLSeZ-R1GrWlAPkfaThGqxeTj0QTtrARw4rroxIIepf2kipn1nw%2FformResponse%3Fusp%3Dpp_url%26entry.1313582257%3D0092600602%20%2F%20252610330%26entry.1578404635%3DHadir</t>
  </si>
  <si>
    <t>1HdjxzTJ5BmtVS3ZKEvlKKC3LEql2q-BA</t>
  </si>
  <si>
    <t>https://drive.google.com/file/d/1HdjxzTJ5BmtVS3ZKEvlKKC3LEql2q-BA/view?usp=drivesdk</t>
  </si>
  <si>
    <t>Document successfully created; Document successfully merged; PDF created; Manually run by skycircle.id@gmail.com; Timestamp: Nov 7 2025 2:55 AM</t>
  </si>
  <si>
    <t>0108695912 / 252610334</t>
  </si>
  <si>
    <t>Muhamad Septian Romadhon - L</t>
  </si>
  <si>
    <t>https://quickchart.io/qr?size=250&amp;text=https%3A%2F%2Fdocs.google.com%2Fforms%2Fd%2Fe%2F1FAIpQLSeZ-R1GrWlAPkfaThGqxeTj0QTtrARw4rroxIIepf2kipn1nw%2FformResponse%3Fusp%3Dpp_url%26entry.1313582257%3D0108695912%20%2F%20252610334%26entry.1578404635%3DHadir</t>
  </si>
  <si>
    <t>1njzPNLi7sKr8WVYPxIbyQkQOSVUilGWD</t>
  </si>
  <si>
    <t>https://drive.google.com/file/d/1njzPNLi7sKr8WVYPxIbyQkQOSVUilGWD/view?usp=drivesdk</t>
  </si>
  <si>
    <t>0093126257 / 252610343</t>
  </si>
  <si>
    <t>Muhammad Adrian Gianni Adam - L</t>
  </si>
  <si>
    <t>33 - XSUMEN BC</t>
  </si>
  <si>
    <t>https://quickchart.io/qr?size=250&amp;text=https%3A%2F%2Fdocs.google.com%2Fforms%2Fd%2Fe%2F1FAIpQLSeZ-R1GrWlAPkfaThGqxeTj0QTtrARw4rroxIIepf2kipn1nw%2FformResponse%3Fusp%3Dpp_url%26entry.1313582257%3D0093126257%20%2F%20252610343%26entry.1578404635%3DHadir</t>
  </si>
  <si>
    <t>1X8wfYY0OH5CW_UBHbmpxRFg3_EjS9P9F</t>
  </si>
  <si>
    <t>https://drive.google.com/file/d/1X8wfYY0OH5CW_UBHbmpxRFg3_EjS9P9F/view?usp=drivesdk</t>
  </si>
  <si>
    <t>3104497802 / 252610351</t>
  </si>
  <si>
    <t>Muhammad Chaerudin Ramdhani - L</t>
  </si>
  <si>
    <t>https://quickchart.io/qr?size=250&amp;text=https%3A%2F%2Fdocs.google.com%2Fforms%2Fd%2Fe%2F1FAIpQLSeZ-R1GrWlAPkfaThGqxeTj0QTtrARw4rroxIIepf2kipn1nw%2FformResponse%3Fusp%3Dpp_url%26entry.1313582257%3D3104497802%20%2F%20252610351%26entry.1578404635%3DHadir</t>
  </si>
  <si>
    <t>1FK6nuT5kuh1PkAwodKSoBvRM2HMA8KS7</t>
  </si>
  <si>
    <t>https://drive.google.com/file/d/1FK6nuT5kuh1PkAwodKSoBvRM2HMA8KS7/view?usp=drivesdk</t>
  </si>
  <si>
    <t>0108107461 / 252610369</t>
  </si>
  <si>
    <t>Muhammad Fathan Assidiq - L</t>
  </si>
  <si>
    <t>https://quickchart.io/qr?size=250&amp;text=https%3A%2F%2Fdocs.google.com%2Fforms%2Fd%2Fe%2F1FAIpQLSeZ-R1GrWlAPkfaThGqxeTj0QTtrARw4rroxIIepf2kipn1nw%2FformResponse%3Fusp%3Dpp_url%26entry.1313582257%3D0108107461%20%2F%20252610369%26entry.1578404635%3DHadir</t>
  </si>
  <si>
    <t>1fHQJCzZK5CIHCmoVs_TFJCU_qKWVm8gt</t>
  </si>
  <si>
    <t>https://drive.google.com/file/d/1fHQJCzZK5CIHCmoVs_TFJCU_qKWVm8gt/view?usp=drivesdk</t>
  </si>
  <si>
    <t>0092807405 / 252610371</t>
  </si>
  <si>
    <t>Muhammad Rodzul Amrullah - L</t>
  </si>
  <si>
    <t>https://quickchart.io/qr?size=250&amp;text=https%3A%2F%2Fdocs.google.com%2Fforms%2Fd%2Fe%2F1FAIpQLSeZ-R1GrWlAPkfaThGqxeTj0QTtrARw4rroxIIepf2kipn1nw%2FformResponse%3Fusp%3Dpp_url%26entry.1313582257%3D0092807405%20%2F%20252610371%26entry.1578404635%3DHadir</t>
  </si>
  <si>
    <t>1B4JozJy9yq_amhwZfnrDmsiUaUaw9pS2</t>
  </si>
  <si>
    <t>https://drive.google.com/file/d/1B4JozJy9yq_amhwZfnrDmsiUaUaw9pS2/view?usp=drivesdk</t>
  </si>
  <si>
    <t>Document successfully created; Document successfully merged; PDF created; Manually run by skycircle.id@gmail.com; Timestamp: Nov 7 2025 2:56 AM</t>
  </si>
  <si>
    <t>0102300207 / 252610390</t>
  </si>
  <si>
    <t>Nadya Salwa Altiara - P</t>
  </si>
  <si>
    <t>https://quickchart.io/qr?size=250&amp;text=https%3A%2F%2Fdocs.google.com%2Fforms%2Fd%2Fe%2F1FAIpQLSeZ-R1GrWlAPkfaThGqxeTj0QTtrARw4rroxIIepf2kipn1nw%2FformResponse%3Fusp%3Dpp_url%26entry.1313582257%3D0102300207%20%2F%20252610390%26entry.1578404635%3DHadir</t>
  </si>
  <si>
    <t>1Fa_RZpZUSOiZLYYLI4c1YBUgjAxlPtVL</t>
  </si>
  <si>
    <t>https://drive.google.com/file/d/1Fa_RZpZUSOiZLYYLI4c1YBUgjAxlPtVL/view?usp=drivesdk</t>
  </si>
  <si>
    <t>0097892166 / 252610393</t>
  </si>
  <si>
    <t>Nailah Khoirunisa Arsanti - P</t>
  </si>
  <si>
    <t>https://quickchart.io/qr?size=250&amp;text=https%3A%2F%2Fdocs.google.com%2Fforms%2Fd%2Fe%2F1FAIpQLSeZ-R1GrWlAPkfaThGqxeTj0QTtrARw4rroxIIepf2kipn1nw%2FformResponse%3Fusp%3Dpp_url%26entry.1313582257%3D0097892166%20%2F%20252610393%26entry.1578404635%3DHadir</t>
  </si>
  <si>
    <t>1BAAuTlBsqQ-JFYTZzc_oBG3dSG-nl41G</t>
  </si>
  <si>
    <t>https://drive.google.com/file/d/1BAAuTlBsqQ-JFYTZzc_oBG3dSG-nl41G/view?usp=drivesdk</t>
  </si>
  <si>
    <t>0097858274 / 252610423</t>
  </si>
  <si>
    <t>Novyola Safitri - P</t>
  </si>
  <si>
    <t>https://quickchart.io/qr?size=250&amp;text=https%3A%2F%2Fdocs.google.com%2Fforms%2Fd%2Fe%2F1FAIpQLSeZ-R1GrWlAPkfaThGqxeTj0QTtrARw4rroxIIepf2kipn1nw%2FformResponse%3Fusp%3Dpp_url%26entry.1313582257%3D0097858274%20%2F%20252610423%26entry.1578404635%3DHadir</t>
  </si>
  <si>
    <t>122ujRpdl36x6kaMiqL-5rkF40v2zMA3b</t>
  </si>
  <si>
    <t>https://drive.google.com/file/d/122ujRpdl36x6kaMiqL-5rkF40v2zMA3b/view?usp=drivesdk</t>
  </si>
  <si>
    <t>Nur Alifah Silvia - P</t>
  </si>
  <si>
    <t>https://quickchart.io/qr?size=250&amp;text=https%3A%2F%2Fdocs.google.com%2Fforms%2Fd%2Fe%2F1FAIpQLSeZ-R1GrWlAPkfaThGqxeTj0QTtrARw4rroxIIepf2kipn1nw%2FformResponse%3Fusp%3Dpp_url%26entry.1313582257%3D0093105045%20%2F%20252610424%26entry.1578404635%3DHadir</t>
  </si>
  <si>
    <t>1NkYk1mzO36BrpmFMNmWG0E23Kt180dcP</t>
  </si>
  <si>
    <t>https://drive.google.com/file/d/1NkYk1mzO36BrpmFMNmWG0E23Kt180dcP/view?usp=drivesdk</t>
  </si>
  <si>
    <t>Pungki Yustisia Pertiwi - L</t>
  </si>
  <si>
    <t>https://quickchart.io/qr?size=250&amp;text=https%3A%2F%2Fdocs.google.com%2Fforms%2Fd%2Fe%2F1FAIpQLSeZ-R1GrWlAPkfaThGqxeTj0QTtrARw4rroxIIepf2kipn1nw%2FformResponse%3Fusp%3Dpp_url%26entry.1313582257%3D0095438030%20%2F%20252610436%26entry.1578404635%3DHadir</t>
  </si>
  <si>
    <t>1n8G_y0n2UNS1r9qU99EPhaluwpebdXU2</t>
  </si>
  <si>
    <t>https://drive.google.com/file/d/1n8G_y0n2UNS1r9qU99EPhaluwpebdXU2/view?usp=drivesdk</t>
  </si>
  <si>
    <t>0107914534 / 252610452</t>
  </si>
  <si>
    <t>Raden Gathan Azaki Soesilo - L</t>
  </si>
  <si>
    <t>https://quickchart.io/qr?size=250&amp;text=https%3A%2F%2Fdocs.google.com%2Fforms%2Fd%2Fe%2F1FAIpQLSeZ-R1GrWlAPkfaThGqxeTj0QTtrARw4rroxIIepf2kipn1nw%2FformResponse%3Fusp%3Dpp_url%26entry.1313582257%3D0107914534%20%2F%20252610452%26entry.1578404635%3DHadir</t>
  </si>
  <si>
    <t>1vyybGg2I_y0EeSocpKMdZZvnZmLckHie</t>
  </si>
  <si>
    <t>https://drive.google.com/file/d/1vyybGg2I_y0EeSocpKMdZZvnZmLckHie/view?usp=drivesdk</t>
  </si>
  <si>
    <t>0097963483 / 252610454</t>
  </si>
  <si>
    <t>Raden Muhammad Rafi Wiranata - L</t>
  </si>
  <si>
    <t>https://quickchart.io/qr?size=250&amp;text=https%3A%2F%2Fdocs.google.com%2Fforms%2Fd%2Fe%2F1FAIpQLSeZ-R1GrWlAPkfaThGqxeTj0QTtrARw4rroxIIepf2kipn1nw%2FformResponse%3Fusp%3Dpp_url%26entry.1313582257%3D0097963483%20%2F%20252610454%26entry.1578404635%3DHadir</t>
  </si>
  <si>
    <t>1UPHxh1IW7HIZJar99iSVkFIQLUsWyPzV</t>
  </si>
  <si>
    <t>https://drive.google.com/file/d/1UPHxh1IW7HIZJar99iSVkFIQLUsWyPzV/view?usp=drivesdk</t>
  </si>
  <si>
    <t>Document successfully created; Document successfully merged; PDF created; Manually run by skycircle.id@gmail.com; Timestamp: Nov 7 2025 2:57 AM</t>
  </si>
  <si>
    <t>0092135851 / 252610476</t>
  </si>
  <si>
    <t>Rayhan Ashabi - L</t>
  </si>
  <si>
    <t>https://quickchart.io/qr?size=250&amp;text=https%3A%2F%2Fdocs.google.com%2Fforms%2Fd%2Fe%2F1FAIpQLSeZ-R1GrWlAPkfaThGqxeTj0QTtrARw4rroxIIepf2kipn1nw%2FformResponse%3Fusp%3Dpp_url%26entry.1313582257%3D0092135851%20%2F%20252610476%26entry.1578404635%3DHadir</t>
  </si>
  <si>
    <t>1r3GD1QzO045NUEebd-1uJ_YrkUVOjDM2</t>
  </si>
  <si>
    <t>https://drive.google.com/file/d/1r3GD1QzO045NUEebd-1uJ_YrkUVOjDM2/view?usp=drivesdk</t>
  </si>
  <si>
    <t>Rayhana Rizkya Al-Multazam - P</t>
  </si>
  <si>
    <t>https://quickchart.io/qr?size=250&amp;text=https%3A%2F%2Fdocs.google.com%2Fforms%2Fd%2Fe%2F1FAIpQLSeZ-R1GrWlAPkfaThGqxeTj0QTtrARw4rroxIIepf2kipn1nw%2FformResponse%3Fusp%3Dpp_url%26entry.1313582257%3D0092605198%20%2F%20252610477%26entry.1578404635%3DHadir</t>
  </si>
  <si>
    <t>1JbcPYQ0l0vEtkx5ek4Kx6DAJuSIxAaGO</t>
  </si>
  <si>
    <t>https://drive.google.com/file/d/1JbcPYQ0l0vEtkx5ek4Kx6DAJuSIxAaGO/view?usp=drivesdk</t>
  </si>
  <si>
    <t>0103151970 / 252610489</t>
  </si>
  <si>
    <t>Riffa Nugraha - P</t>
  </si>
  <si>
    <t>https://quickchart.io/qr?size=250&amp;text=https%3A%2F%2Fdocs.google.com%2Fforms%2Fd%2Fe%2F1FAIpQLSeZ-R1GrWlAPkfaThGqxeTj0QTtrARw4rroxIIepf2kipn1nw%2FformResponse%3Fusp%3Dpp_url%26entry.1313582257%3D0103151970%20%2F%20252610489%26entry.1578404635%3DHadir</t>
  </si>
  <si>
    <t>1P_ZTXFd8PwAfiaGJvdH2bqIephNdGRUM</t>
  </si>
  <si>
    <t>https://drive.google.com/file/d/1P_ZTXFd8PwAfiaGJvdH2bqIephNdGRUM/view?usp=drivesdk</t>
  </si>
  <si>
    <t>Salsabila Zahwa Mulana - P</t>
  </si>
  <si>
    <t>https://quickchart.io/qr?size=250&amp;text=https%3A%2F%2Fdocs.google.com%2Fforms%2Fd%2Fe%2F1FAIpQLSeZ-R1GrWlAPkfaThGqxeTj0QTtrARw4rroxIIepf2kipn1nw%2FformResponse%3Fusp%3Dpp_url%26entry.1313582257%3D0097644165%20%2F%20252610508%26entry.1578404635%3DHadir</t>
  </si>
  <si>
    <t>1jvfMZ9DFM2ChktrYbXoRfRskNFsqfx7r</t>
  </si>
  <si>
    <t>https://drive.google.com/file/d/1jvfMZ9DFM2ChktrYbXoRfRskNFsqfx7r/view?usp=drivesdk</t>
  </si>
  <si>
    <t>Shabira Ayatul Husna - P</t>
  </si>
  <si>
    <t>https://quickchart.io/qr?size=250&amp;text=https%3A%2F%2Fdocs.google.com%2Fforms%2Fd%2Fe%2F1FAIpQLSeZ-R1GrWlAPkfaThGqxeTj0QTtrARw4rroxIIepf2kipn1nw%2FformResponse%3Fusp%3Dpp_url%26entry.1313582257%3D0102657659%20%2F%20252610513%26entry.1578404635%3DHadir</t>
  </si>
  <si>
    <t>18eppwSX6bUHvs7XyHW02LIyqngUPAuhZ</t>
  </si>
  <si>
    <t>https://drive.google.com/file/d/18eppwSX6bUHvs7XyHW02LIyqngUPAuhZ/view?usp=drivesdk</t>
  </si>
  <si>
    <t>Document successfully created; Document successfully merged; PDF created; Manually run by skycircle.id@gmail.com; Timestamp: Nov 7 2025 2:58 AM</t>
  </si>
  <si>
    <t>0111428850 / 252610564</t>
  </si>
  <si>
    <t>Zavier Lamya Arkanominatha - L</t>
  </si>
  <si>
    <t>https://quickchart.io/qr?size=250&amp;text=https%3A%2F%2Fdocs.google.com%2Fforms%2Fd%2Fe%2F1FAIpQLSeZ-R1GrWlAPkfaThGqxeTj0QTtrARw4rroxIIepf2kipn1nw%2FformResponse%3Fusp%3Dpp_url%26entry.1313582257%3D0111428850%20%2F%20252610564%26entry.1578404635%3DHadir</t>
  </si>
  <si>
    <t>1ddNVDpOFYbZ89yxUN2xd7tFu7kQZtx16</t>
  </si>
  <si>
    <t>https://drive.google.com/file/d/1ddNVDpOFYbZ89yxUN2xd7tFu7kQZtx16/view?usp=drivesdk</t>
  </si>
  <si>
    <t>0108505453 / 252610566</t>
  </si>
  <si>
    <t>Zhafirah Dwi Fauziah - P</t>
  </si>
  <si>
    <t>https://quickchart.io/qr?size=250&amp;text=https%3A%2F%2Fdocs.google.com%2Fforms%2Fd%2Fe%2F1FAIpQLSeZ-R1GrWlAPkfaThGqxeTj0QTtrARw4rroxIIepf2kipn1nw%2FformResponse%3Fusp%3Dpp_url%26entry.1313582257%3D0108505453%20%2F%20252610566%26entry.1578404635%3DHadir</t>
  </si>
  <si>
    <t>1_68U5tIsXqQIs3o-Tyb3Jl3CqL3Skxpb</t>
  </si>
  <si>
    <t>https://drive.google.com/file/d/1_68U5tIsXqQIs3o-Tyb3Jl3CqL3Skxpb/view?usp=drivesdk</t>
  </si>
  <si>
    <t>0094216870 / 252610011</t>
  </si>
  <si>
    <t>Adinda Syahira Hariyadi - P</t>
  </si>
  <si>
    <t>X2</t>
  </si>
  <si>
    <t>https://quickchart.io/qr?size=250&amp;text=https%3A%2F%2Fdocs.google.com%2Fforms%2Fd%2Fe%2F1FAIpQLSeZ-R1GrWlAPkfaThGqxeTj0QTtrARw4rroxIIepf2kipn1nw%2FformResponse%3Fusp%3Dpp_url%26entry.1313582257%3D0094216870%20%2F%20252610011%26entry.1578404635%3DHadir</t>
  </si>
  <si>
    <t>1V3OSllgck0kjPQQvDJW61DGdtMqwoffT</t>
  </si>
  <si>
    <t>https://drive.google.com/file/d/1V3OSllgck0kjPQQvDJW61DGdtMqwoffT/view?usp=drivesdk</t>
  </si>
  <si>
    <t>0107760733 / 252610023</t>
  </si>
  <si>
    <t>Aira Aulia Putri - P</t>
  </si>
  <si>
    <t>https://quickchart.io/qr?size=250&amp;text=https%3A%2F%2Fdocs.google.com%2Fforms%2Fd%2Fe%2F1FAIpQLSeZ-R1GrWlAPkfaThGqxeTj0QTtrARw4rroxIIepf2kipn1nw%2FformResponse%3Fusp%3Dpp_url%26entry.1313582257%3D0107760733%20%2F%20252610023%26entry.1578404635%3DHadir</t>
  </si>
  <si>
    <t>1YjUv2pJ7KOeDnrfvFss9TfLP6PklCkR7</t>
  </si>
  <si>
    <t>https://drive.google.com/file/d/1YjUv2pJ7KOeDnrfvFss9TfLP6PklCkR7/view?usp=drivesdk</t>
  </si>
  <si>
    <t>0105130233 / 252610026</t>
  </si>
  <si>
    <t>Aisha Faiha Dzakiyah - P</t>
  </si>
  <si>
    <t>https://quickchart.io/qr?size=250&amp;text=https%3A%2F%2Fdocs.google.com%2Fforms%2Fd%2Fe%2F1FAIpQLSeZ-R1GrWlAPkfaThGqxeTj0QTtrARw4rroxIIepf2kipn1nw%2FformResponse%3Fusp%3Dpp_url%26entry.1313582257%3D0105130233%20%2F%20252610026%26entry.1578404635%3DHadir</t>
  </si>
  <si>
    <t>19oQC7k1F1Sjaf2Pr6LD5lI-Yf2rs0zAY</t>
  </si>
  <si>
    <t>https://drive.google.com/file/d/19oQC7k1F1Sjaf2Pr6LD5lI-Yf2rs0zAY/view?usp=drivesdk</t>
  </si>
  <si>
    <t>Document successfully created; Document successfully merged; PDF created; Manually run by skycircle.id@gmail.com; Timestamp: Nov 7 2025 2:59 AM</t>
  </si>
  <si>
    <t>0104550133 / 252610039</t>
  </si>
  <si>
    <t>Alifa Safa Salsabila - P</t>
  </si>
  <si>
    <t>https://quickchart.io/qr?size=250&amp;text=https%3A%2F%2Fdocs.google.com%2Fforms%2Fd%2Fe%2F1FAIpQLSeZ-R1GrWlAPkfaThGqxeTj0QTtrARw4rroxIIepf2kipn1nw%2FformResponse%3Fusp%3Dpp_url%26entry.1313582257%3D0104550133%20%2F%20252610039%26entry.1578404635%3DHadir</t>
  </si>
  <si>
    <t>1nEPueYwyqo-f8dDwrk4qy3wFNq8GVL3O</t>
  </si>
  <si>
    <t>https://drive.google.com/file/d/1nEPueYwyqo-f8dDwrk4qy3wFNq8GVL3O/view?usp=drivesdk</t>
  </si>
  <si>
    <t>0095372504 / 252610050</t>
  </si>
  <si>
    <t>Alviana Dwie Putery - P</t>
  </si>
  <si>
    <t>https://quickchart.io/qr?size=250&amp;text=https%3A%2F%2Fdocs.google.com%2Fforms%2Fd%2Fe%2F1FAIpQLSeZ-R1GrWlAPkfaThGqxeTj0QTtrARw4rroxIIepf2kipn1nw%2FformResponse%3Fusp%3Dpp_url%26entry.1313582257%3D0095372504%20%2F%20252610050%26entry.1578404635%3DHadir</t>
  </si>
  <si>
    <t>1_YSPZldf8E3yzBabNxKC3cTzD2e6-CbI</t>
  </si>
  <si>
    <t>https://drive.google.com/file/d/1_YSPZldf8E3yzBabNxKC3cTzD2e6-CbI/view?usp=drivesdk</t>
  </si>
  <si>
    <t>Alyya Zahra Kusumadewi - P</t>
  </si>
  <si>
    <t>https://quickchart.io/qr?size=250&amp;text=https%3A%2F%2Fdocs.google.com%2Fforms%2Fd%2Fe%2F1FAIpQLSeZ-R1GrWlAPkfaThGqxeTj0QTtrARw4rroxIIepf2kipn1nw%2FformResponse%3Fusp%3Dpp_url%26entry.1313582257%3D0105813396%20%2F%20252610052%26entry.1578404635%3DHadir</t>
  </si>
  <si>
    <t>1v7wvk3O0DJKty1fROoP0eASVLgj0R8qk</t>
  </si>
  <si>
    <t>https://drive.google.com/file/d/1v7wvk3O0DJKty1fROoP0eASVLgj0R8qk/view?usp=drivesdk</t>
  </si>
  <si>
    <t>0109006152 / 252610058</t>
  </si>
  <si>
    <t>Ammar Raziq Mahdiya - L</t>
  </si>
  <si>
    <t>https://quickchart.io/qr?size=250&amp;text=https%3A%2F%2Fdocs.google.com%2Fforms%2Fd%2Fe%2F1FAIpQLSeZ-R1GrWlAPkfaThGqxeTj0QTtrARw4rroxIIepf2kipn1nw%2FformResponse%3Fusp%3Dpp_url%26entry.1313582257%3D0109006152%20%2F%20252610058%26entry.1578404635%3DHadir</t>
  </si>
  <si>
    <t>1d6QA5zp1Vi-nS8UnSa5r-4KbJfyjVHuT</t>
  </si>
  <si>
    <t>https://drive.google.com/file/d/1d6QA5zp1Vi-nS8UnSa5r-4KbJfyjVHuT/view?usp=drivesdk</t>
  </si>
  <si>
    <t>0097211030 / 252610062</t>
  </si>
  <si>
    <t>Andini Qoriyati Khaerani - P</t>
  </si>
  <si>
    <t>https://quickchart.io/qr?size=250&amp;text=https%3A%2F%2Fdocs.google.com%2Fforms%2Fd%2Fe%2F1FAIpQLSeZ-R1GrWlAPkfaThGqxeTj0QTtrARw4rroxIIepf2kipn1nw%2FformResponse%3Fusp%3Dpp_url%26entry.1313582257%3D0097211030%20%2F%20252610062%26entry.1578404635%3DHadir</t>
  </si>
  <si>
    <t>1T8aWCbjMdk74BXIB8TCMBqnV86daV1up</t>
  </si>
  <si>
    <t>https://drive.google.com/file/d/1T8aWCbjMdk74BXIB8TCMBqnV86daV1up/view?usp=drivesdk</t>
  </si>
  <si>
    <t>3108667209 / 252610070</t>
  </si>
  <si>
    <t>Aqeela Az Zahra - P</t>
  </si>
  <si>
    <t>https://quickchart.io/qr?size=250&amp;text=https%3A%2F%2Fdocs.google.com%2Fforms%2Fd%2Fe%2F1FAIpQLSeZ-R1GrWlAPkfaThGqxeTj0QTtrARw4rroxIIepf2kipn1nw%2FformResponse%3Fusp%3Dpp_url%26entry.1313582257%3D3108667209%20%2F%20252610070%26entry.1578404635%3DHadir</t>
  </si>
  <si>
    <t>1bgI--588l7W0F6MH1pH5MFbys4-cObhL</t>
  </si>
  <si>
    <t>https://drive.google.com/file/d/1bgI--588l7W0F6MH1pH5MFbys4-cObhL/view?usp=drivesdk</t>
  </si>
  <si>
    <t>0109904498 / 252610075</t>
  </si>
  <si>
    <t>Arfan Kristian Perlindungan Harefa - L</t>
  </si>
  <si>
    <t>https://quickchart.io/qr?size=250&amp;text=https%3A%2F%2Fdocs.google.com%2Fforms%2Fd%2Fe%2F1FAIpQLSeZ-R1GrWlAPkfaThGqxeTj0QTtrARw4rroxIIepf2kipn1nw%2FformResponse%3Fusp%3Dpp_url%26entry.1313582257%3D0109904498%20%2F%20252610075%26entry.1578404635%3DHadir</t>
  </si>
  <si>
    <t>1IbqYvnCOf4uirVZuOV4dwHfnsRXQ21sf</t>
  </si>
  <si>
    <t>https://drive.google.com/file/d/1IbqYvnCOf4uirVZuOV4dwHfnsRXQ21sf/view?usp=drivesdk</t>
  </si>
  <si>
    <t>Document successfully created; Document successfully merged; PDF created; Manually run by skycircle.id@gmail.com; Timestamp: Nov 7 2025 3:00 AM</t>
  </si>
  <si>
    <t>0098513542 / 252610084</t>
  </si>
  <si>
    <t>Ashiila Rindu Dwi Laufli - P</t>
  </si>
  <si>
    <t>https://quickchart.io/qr?size=250&amp;text=https%3A%2F%2Fdocs.google.com%2Fforms%2Fd%2Fe%2F1FAIpQLSeZ-R1GrWlAPkfaThGqxeTj0QTtrARw4rroxIIepf2kipn1nw%2FformResponse%3Fusp%3Dpp_url%26entry.1313582257%3D0098513542%20%2F%20252610084%26entry.1578404635%3DHadir</t>
  </si>
  <si>
    <t>1rjgwiGoXrvzhzLXFC2-MjxPDWMU-J86k</t>
  </si>
  <si>
    <t>https://drive.google.com/file/d/1rjgwiGoXrvzhzLXFC2-MjxPDWMU-J86k/view?usp=drivesdk</t>
  </si>
  <si>
    <t>0106376916 / 252610090</t>
  </si>
  <si>
    <t>Atharrayhan Abimanyu Pratama - P</t>
  </si>
  <si>
    <t>https://quickchart.io/qr?size=250&amp;text=https%3A%2F%2Fdocs.google.com%2Fforms%2Fd%2Fe%2F1FAIpQLSeZ-R1GrWlAPkfaThGqxeTj0QTtrARw4rroxIIepf2kipn1nw%2FformResponse%3Fusp%3Dpp_url%26entry.1313582257%3D0106376916%20%2F%20252610090%26entry.1578404635%3DHadir</t>
  </si>
  <si>
    <t>1ubg9Wzmya8Nhedu7v_56BBXlaGmVy9gb</t>
  </si>
  <si>
    <t>https://drive.google.com/file/d/1ubg9Wzmya8Nhedu7v_56BBXlaGmVy9gb/view?usp=drivesdk</t>
  </si>
  <si>
    <t>0105797314 / 252610102</t>
  </si>
  <si>
    <t>Aurelly Diana Zulkarnaen - P</t>
  </si>
  <si>
    <t>https://quickchart.io/qr?size=250&amp;text=https%3A%2F%2Fdocs.google.com%2Fforms%2Fd%2Fe%2F1FAIpQLSeZ-R1GrWlAPkfaThGqxeTj0QTtrARw4rroxIIepf2kipn1nw%2FformResponse%3Fusp%3Dpp_url%26entry.1313582257%3D0105797314%20%2F%20252610102%26entry.1578404635%3DHadir</t>
  </si>
  <si>
    <t>1nkWWYZxxxqEYNl-74LFssFZcXX-uDpl_</t>
  </si>
  <si>
    <t>https://drive.google.com/file/d/1nkWWYZxxxqEYNl-74LFssFZcXX-uDpl_/view?usp=drivesdk</t>
  </si>
  <si>
    <t>0102731314 / 252610124</t>
  </si>
  <si>
    <t>Bima Adyatma Ilmiawan - L</t>
  </si>
  <si>
    <t>https://quickchart.io/qr?size=250&amp;text=https%3A%2F%2Fdocs.google.com%2Fforms%2Fd%2Fe%2F1FAIpQLSeZ-R1GrWlAPkfaThGqxeTj0QTtrARw4rroxIIepf2kipn1nw%2FformResponse%3Fusp%3Dpp_url%26entry.1313582257%3D0102731314%20%2F%20252610124%26entry.1578404635%3DHadir</t>
  </si>
  <si>
    <t>1YOs4LBHSXwwreL_T8Tbh6G3pgiJ2yTpc</t>
  </si>
  <si>
    <t>https://drive.google.com/file/d/1YOs4LBHSXwwreL_T8Tbh6G3pgiJ2yTpc/view?usp=drivesdk</t>
  </si>
  <si>
    <t>Cinta Cludia Putri - P</t>
  </si>
  <si>
    <t>https://quickchart.io/qr?size=250&amp;text=https%3A%2F%2Fdocs.google.com%2Fforms%2Fd%2Fe%2F1FAIpQLSeZ-R1GrWlAPkfaThGqxeTj0QTtrARw4rroxIIepf2kipn1nw%2FformResponse%3Fusp%3Dpp_url%26entry.1313582257%3D0092794157%20%2F%20252610139%26entry.1578404635%3DHadir</t>
  </si>
  <si>
    <t>1xtFbmUx3DpIkVo8HmV8a8ij_v5h0c5H4</t>
  </si>
  <si>
    <t>https://drive.google.com/file/d/1xtFbmUx3DpIkVo8HmV8a8ij_v5h0c5H4/view?usp=drivesdk</t>
  </si>
  <si>
    <t>0106384221 / 252610145</t>
  </si>
  <si>
    <t>Dafsyah Arifa Putra - L</t>
  </si>
  <si>
    <t>https://quickchart.io/qr?size=250&amp;text=https%3A%2F%2Fdocs.google.com%2Fforms%2Fd%2Fe%2F1FAIpQLSeZ-R1GrWlAPkfaThGqxeTj0QTtrARw4rroxIIepf2kipn1nw%2FformResponse%3Fusp%3Dpp_url%26entry.1313582257%3D0106384221%20%2F%20252610145%26entry.1578404635%3DHadir</t>
  </si>
  <si>
    <t>1Aa9oBtmISDIuHdQbVZCyfOLlYEq1Zl1W</t>
  </si>
  <si>
    <t>https://drive.google.com/file/d/1Aa9oBtmISDIuHdQbVZCyfOLlYEq1Zl1W/view?usp=drivesdk</t>
  </si>
  <si>
    <t>Denisa Azka Putri - P</t>
  </si>
  <si>
    <t>https://quickchart.io/qr?size=250&amp;text=https%3A%2F%2Fdocs.google.com%2Fforms%2Fd%2Fe%2F1FAIpQLSeZ-R1GrWlAPkfaThGqxeTj0QTtrARw4rroxIIepf2kipn1nw%2FformResponse%3Fusp%3Dpp_url%26entry.1313582257%3D3104617391%20%2F%20252610153%26entry.1578404635%3DHadir</t>
  </si>
  <si>
    <t>1XSTtBC7yMjTHBgtpGpPpDoj-cPr5OVl-</t>
  </si>
  <si>
    <t>https://drive.google.com/file/d/1XSTtBC7yMjTHBgtpGpPpDoj-cPr5OVl-/view?usp=drivesdk</t>
  </si>
  <si>
    <t>Document successfully created; Document successfully merged; PDF created; Manually run by skycircle.id@gmail.com; Timestamp: Nov 7 2025 3:01 AM</t>
  </si>
  <si>
    <t>0098157268 / 252610154</t>
  </si>
  <si>
    <t>Devani Keyla Noris - P</t>
  </si>
  <si>
    <t>https://quickchart.io/qr?size=250&amp;text=https%3A%2F%2Fdocs.google.com%2Fforms%2Fd%2Fe%2F1FAIpQLSeZ-R1GrWlAPkfaThGqxeTj0QTtrARw4rroxIIepf2kipn1nw%2FformResponse%3Fusp%3Dpp_url%26entry.1313582257%3D0098157268%20%2F%20252610154%26entry.1578404635%3DHadir</t>
  </si>
  <si>
    <t>1eiVnEYJDS-u1qKnxLAayn_TUeFJOzTFd</t>
  </si>
  <si>
    <t>https://drive.google.com/file/d/1eiVnEYJDS-u1qKnxLAayn_TUeFJOzTFd/view?usp=drivesdk</t>
  </si>
  <si>
    <t>0099675945 / 252610164</t>
  </si>
  <si>
    <t>Dimas Putra Pribadi - L</t>
  </si>
  <si>
    <t>https://quickchart.io/qr?size=250&amp;text=https%3A%2F%2Fdocs.google.com%2Fforms%2Fd%2Fe%2F1FAIpQLSeZ-R1GrWlAPkfaThGqxeTj0QTtrARw4rroxIIepf2kipn1nw%2FformResponse%3Fusp%3Dpp_url%26entry.1313582257%3D0099675945%20%2F%20252610164%26entry.1578404635%3DHadir</t>
  </si>
  <si>
    <t>1tl2zyEISP7Dq3RLetB3PGrISTGkXd_MA</t>
  </si>
  <si>
    <t>https://drive.google.com/file/d/1tl2zyEISP7Dq3RLetB3PGrISTGkXd_MA/view?usp=drivesdk</t>
  </si>
  <si>
    <t>0104532267 / 252610180</t>
  </si>
  <si>
    <t>Elvio Dyahyu Yusanto - L</t>
  </si>
  <si>
    <t>https://quickchart.io/qr?size=250&amp;text=https%3A%2F%2Fdocs.google.com%2Fforms%2Fd%2Fe%2F1FAIpQLSeZ-R1GrWlAPkfaThGqxeTj0QTtrARw4rroxIIepf2kipn1nw%2FformResponse%3Fusp%3Dpp_url%26entry.1313582257%3D0104532267%20%2F%20252610180%26entry.1578404635%3DHadir</t>
  </si>
  <si>
    <t>10ssq1wm8KUnqliKzed2wq1UlH-tV83v0</t>
  </si>
  <si>
    <t>https://drive.google.com/file/d/10ssq1wm8KUnqliKzed2wq1UlH-tV83v0/view?usp=drivesdk</t>
  </si>
  <si>
    <t>0097593921 / 252610181</t>
  </si>
  <si>
    <t>Enisye Putri Zeliawati Limpong - P</t>
  </si>
  <si>
    <t>https://quickchart.io/qr?size=250&amp;text=https%3A%2F%2Fdocs.google.com%2Fforms%2Fd%2Fe%2F1FAIpQLSeZ-R1GrWlAPkfaThGqxeTj0QTtrARw4rroxIIepf2kipn1nw%2FformResponse%3Fusp%3Dpp_url%26entry.1313582257%3D0097593921%20%2F%20252610181%26entry.1578404635%3DHadir</t>
  </si>
  <si>
    <t>1HGsLAhXQiLtRkeaWyWRfG_2bF-Bla9QE</t>
  </si>
  <si>
    <t>https://drive.google.com/file/d/1HGsLAhXQiLtRkeaWyWRfG_2bF-Bla9QE/view?usp=drivesdk</t>
  </si>
  <si>
    <t>0106157075 / 252610185</t>
  </si>
  <si>
    <t>Fabian Ahza Hidayat - L</t>
  </si>
  <si>
    <t>https://quickchart.io/qr?size=250&amp;text=https%3A%2F%2Fdocs.google.com%2Fforms%2Fd%2Fe%2F1FAIpQLSeZ-R1GrWlAPkfaThGqxeTj0QTtrARw4rroxIIepf2kipn1nw%2FformResponse%3Fusp%3Dpp_url%26entry.1313582257%3D0106157075%20%2F%20252610185%26entry.1578404635%3DHadir</t>
  </si>
  <si>
    <t>1Mt7hr5HATywHoOrEiSMOPviObVfd6qEX</t>
  </si>
  <si>
    <t>https://drive.google.com/file/d/1Mt7hr5HATywHoOrEiSMOPviObVfd6qEX/view?usp=drivesdk</t>
  </si>
  <si>
    <t>Document successfully created; Document successfully merged; PDF created; Manually run by skycircle.id@gmail.com; Timestamp: Nov 7 2025 3:02 AM</t>
  </si>
  <si>
    <t>0104141415 / 252610186</t>
  </si>
  <si>
    <t>Fadhilah Raisa Kamilati - P</t>
  </si>
  <si>
    <t>https://quickchart.io/qr?size=250&amp;text=https%3A%2F%2Fdocs.google.com%2Fforms%2Fd%2Fe%2F1FAIpQLSeZ-R1GrWlAPkfaThGqxeTj0QTtrARw4rroxIIepf2kipn1nw%2FformResponse%3Fusp%3Dpp_url%26entry.1313582257%3D0104141415%20%2F%20252610186%26entry.1578404635%3DHadir</t>
  </si>
  <si>
    <t>1122cdxXYNmiwkRWsKNX3qQeJZRIzNxyQ</t>
  </si>
  <si>
    <t>https://drive.google.com/file/d/1122cdxXYNmiwkRWsKNX3qQeJZRIzNxyQ/view?usp=drivesdk</t>
  </si>
  <si>
    <t>0105606050 / 252610238</t>
  </si>
  <si>
    <t>Jasmine Makayla Putri Arvani - P</t>
  </si>
  <si>
    <t>https://quickchart.io/qr?size=250&amp;text=https%3A%2F%2Fdocs.google.com%2Fforms%2Fd%2Fe%2F1FAIpQLSeZ-R1GrWlAPkfaThGqxeTj0QTtrARw4rroxIIepf2kipn1nw%2FformResponse%3Fusp%3Dpp_url%26entry.1313582257%3D0105606050%20%2F%20252610238%26entry.1578404635%3DHadir</t>
  </si>
  <si>
    <t>19llijfO1x_OiR6TCXHYoUcxcvUX1RD2B</t>
  </si>
  <si>
    <t>https://drive.google.com/file/d/19llijfO1x_OiR6TCXHYoUcxcvUX1RD2B/view?usp=drivesdk</t>
  </si>
  <si>
    <t>0094564578 / 252610277</t>
  </si>
  <si>
    <t>Khalid Ahmad Ghazali - L</t>
  </si>
  <si>
    <t>https://quickchart.io/qr?size=250&amp;text=https%3A%2F%2Fdocs.google.com%2Fforms%2Fd%2Fe%2F1FAIpQLSeZ-R1GrWlAPkfaThGqxeTj0QTtrARw4rroxIIepf2kipn1nw%2FformResponse%3Fusp%3Dpp_url%26entry.1313582257%3D0094564578%20%2F%20252610277%26entry.1578404635%3DHadir</t>
  </si>
  <si>
    <t>1lj-0qEARLf03Uk2YJvolOl8cRZCvAUUM</t>
  </si>
  <si>
    <t>https://drive.google.com/file/d/1lj-0qEARLf03Uk2YJvolOl8cRZCvAUUM/view?usp=drivesdk</t>
  </si>
  <si>
    <t>0103261879 / 252610280</t>
  </si>
  <si>
    <t>Khansa Aulia Damtsa Hylmi - P</t>
  </si>
  <si>
    <t>https://quickchart.io/qr?size=250&amp;text=https%3A%2F%2Fdocs.google.com%2Fforms%2Fd%2Fe%2F1FAIpQLSeZ-R1GrWlAPkfaThGqxeTj0QTtrARw4rroxIIepf2kipn1nw%2FformResponse%3Fusp%3Dpp_url%26entry.1313582257%3D0103261879%20%2F%20252610280%26entry.1578404635%3DHadir</t>
  </si>
  <si>
    <t>1S0DIpk1zAe7Fjqb1ZBi4UMB34MVxxEG7</t>
  </si>
  <si>
    <t>https://drive.google.com/file/d/1S0DIpk1zAe7Fjqb1ZBi4UMB34MVxxEG7/view?usp=drivesdk</t>
  </si>
  <si>
    <t>0109361118 / 252610290</t>
  </si>
  <si>
    <t>Lionel Boanerges Raffles Simangunsong - L</t>
  </si>
  <si>
    <t>https://quickchart.io/qr?size=250&amp;text=https%3A%2F%2Fdocs.google.com%2Fforms%2Fd%2Fe%2F1FAIpQLSeZ-R1GrWlAPkfaThGqxeTj0QTtrARw4rroxIIepf2kipn1nw%2FformResponse%3Fusp%3Dpp_url%26entry.1313582257%3D0109361118%20%2F%20252610290%26entry.1578404635%3DHadir</t>
  </si>
  <si>
    <t>1QFVfyKQvRrMeZhti0dM6odyFh5acCmk1</t>
  </si>
  <si>
    <t>https://drive.google.com/file/d/1QFVfyKQvRrMeZhti0dM6odyFh5acCmk1/view?usp=drivesdk</t>
  </si>
  <si>
    <t>0092576905 / 252610302</t>
  </si>
  <si>
    <t>Mardiansyah Isman - L</t>
  </si>
  <si>
    <t>https://quickchart.io/qr?size=250&amp;text=https%3A%2F%2Fdocs.google.com%2Fforms%2Fd%2Fe%2F1FAIpQLSeZ-R1GrWlAPkfaThGqxeTj0QTtrARw4rroxIIepf2kipn1nw%2FformResponse%3Fusp%3Dpp_url%26entry.1313582257%3D0092576905%20%2F%20252610302%26entry.1578404635%3DHadir</t>
  </si>
  <si>
    <t>1FBCcFFzew30fnKWESTG8pwP5UaeUOYzI</t>
  </si>
  <si>
    <t>https://drive.google.com/file/d/1FBCcFFzew30fnKWESTG8pwP5UaeUOYzI/view?usp=drivesdk</t>
  </si>
  <si>
    <t>Document successfully created; Document successfully merged; PDF created; Manually run by skycircle.id@gmail.com; Timestamp: Nov 7 2025 3:03 AM</t>
  </si>
  <si>
    <t>0099605205 / 252610319</t>
  </si>
  <si>
    <t>Mohammad Haikal - L</t>
  </si>
  <si>
    <t>https://quickchart.io/qr?size=250&amp;text=https%3A%2F%2Fdocs.google.com%2Fforms%2Fd%2Fe%2F1FAIpQLSeZ-R1GrWlAPkfaThGqxeTj0QTtrARw4rroxIIepf2kipn1nw%2FformResponse%3Fusp%3Dpp_url%26entry.1313582257%3D0099605205%20%2F%20252610319%26entry.1578404635%3DHadir</t>
  </si>
  <si>
    <t>1VgpFNvSnqkG0JdF2i9DT5MidKi8sDBio</t>
  </si>
  <si>
    <t>https://drive.google.com/file/d/1VgpFNvSnqkG0JdF2i9DT5MidKi8sDBio/view?usp=drivesdk</t>
  </si>
  <si>
    <t>Mohammad Irshad Faizanshah - L</t>
  </si>
  <si>
    <t>https://quickchart.io/qr?size=250&amp;text=https%3A%2F%2Fdocs.google.com%2Fforms%2Fd%2Fe%2F1FAIpQLSeZ-R1GrWlAPkfaThGqxeTj0QTtrARw4rroxIIepf2kipn1nw%2FformResponse%3Fusp%3Dpp_url%26entry.1313582257%3D0108384400%20%2F%20252610320%26entry.1578404635%3DHadir</t>
  </si>
  <si>
    <t>1FWZnG5ZJn-6tfik7MX824aPxBgHrzdC2</t>
  </si>
  <si>
    <t>https://drive.google.com/file/d/1FWZnG5ZJn-6tfik7MX824aPxBgHrzdC2/view?usp=drivesdk</t>
  </si>
  <si>
    <t>0098087445 / 252610332</t>
  </si>
  <si>
    <t>Muhamad Thoriq Al Rasyad - L</t>
  </si>
  <si>
    <t>https://quickchart.io/qr?size=250&amp;text=https%3A%2F%2Fdocs.google.com%2Fforms%2Fd%2Fe%2F1FAIpQLSeZ-R1GrWlAPkfaThGqxeTj0QTtrARw4rroxIIepf2kipn1nw%2FformResponse%3Fusp%3Dpp_url%26entry.1313582257%3D0098087445%20%2F%20252610332%26entry.1578404635%3DHadir</t>
  </si>
  <si>
    <t>1jPGSdHHSUCxrT7ggYS3amvbPqIAsOs4f</t>
  </si>
  <si>
    <t>https://drive.google.com/file/d/1jPGSdHHSUCxrT7ggYS3amvbPqIAsOs4f/view?usp=drivesdk</t>
  </si>
  <si>
    <t>0108518402 / 252610336</t>
  </si>
  <si>
    <t>Muhammad Akmaluddin - L</t>
  </si>
  <si>
    <t>https://quickchart.io/qr?size=250&amp;text=https%3A%2F%2Fdocs.google.com%2Fforms%2Fd%2Fe%2F1FAIpQLSeZ-R1GrWlAPkfaThGqxeTj0QTtrARw4rroxIIepf2kipn1nw%2FformResponse%3Fusp%3Dpp_url%26entry.1313582257%3D0108518402%20%2F%20252610336%26entry.1578404635%3DHadir</t>
  </si>
  <si>
    <t>1Mv4FSvwX8_YPBvVtZIZgr6j-EXeMg3kx</t>
  </si>
  <si>
    <t>https://drive.google.com/file/d/1Mv4FSvwX8_YPBvVtZIZgr6j-EXeMg3kx/view?usp=drivesdk</t>
  </si>
  <si>
    <t>Muhammad Ariza Rizkya Irvan - L</t>
  </si>
  <si>
    <t>https://quickchart.io/qr?size=250&amp;text=https%3A%2F%2Fdocs.google.com%2Fforms%2Fd%2Fe%2F1FAIpQLSeZ-R1GrWlAPkfaThGqxeTj0QTtrARw4rroxIIepf2kipn1nw%2FformResponse%3Fusp%3Dpp_url%26entry.1313582257%3D0098345742%20%2F%20252610338%26entry.1578404635%3DHadir</t>
  </si>
  <si>
    <t>1a8w_mMq0j719TO-dOQXvCzFmUsxKFfIa</t>
  </si>
  <si>
    <t>https://drive.google.com/file/d/1a8w_mMq0j719TO-dOQXvCzFmUsxKFfIa/view?usp=drivesdk</t>
  </si>
  <si>
    <t>0104535464 / 252610362</t>
  </si>
  <si>
    <t>Muhammad Nazam Rizal - L</t>
  </si>
  <si>
    <t>https://quickchart.io/qr?size=250&amp;text=https%3A%2F%2Fdocs.google.com%2Fforms%2Fd%2Fe%2F1FAIpQLSeZ-R1GrWlAPkfaThGqxeTj0QTtrARw4rroxIIepf2kipn1nw%2FformResponse%3Fusp%3Dpp_url%26entry.1313582257%3D0104535464%20%2F%20252610362%26entry.1578404635%3DHadir</t>
  </si>
  <si>
    <t>1ve7XxNjVjcZOKZeCYKw3Ly6jVPiSpPdg</t>
  </si>
  <si>
    <t>https://drive.google.com/file/d/1ve7XxNjVjcZOKZeCYKw3Ly6jVPiSpPdg/view?usp=drivesdk</t>
  </si>
  <si>
    <t>Document successfully created; Document successfully merged; PDF created; Manually run by skycircle.id@gmail.com; Timestamp: Nov 7 2025 3:04 AM</t>
  </si>
  <si>
    <t>3107410887 / 252610365</t>
  </si>
  <si>
    <t>Muhammad Rasyad Mahdawi - L</t>
  </si>
  <si>
    <t>https://quickchart.io/qr?size=250&amp;text=https%3A%2F%2Fdocs.google.com%2Fforms%2Fd%2Fe%2F1FAIpQLSeZ-R1GrWlAPkfaThGqxeTj0QTtrARw4rroxIIepf2kipn1nw%2FformResponse%3Fusp%3Dpp_url%26entry.1313582257%3D3107410887%20%2F%20252610365%26entry.1578404635%3DHadir</t>
  </si>
  <si>
    <t>1_2htkTdjA54d_tiYlz2OttpNezsuoFau</t>
  </si>
  <si>
    <t>https://drive.google.com/file/d/1_2htkTdjA54d_tiYlz2OttpNezsuoFau/view?usp=drivesdk</t>
  </si>
  <si>
    <t>0093768427 / 252610416</t>
  </si>
  <si>
    <t>Neng Rahmi Novianti - P</t>
  </si>
  <si>
    <t>https://quickchart.io/qr?size=250&amp;text=https%3A%2F%2Fdocs.google.com%2Fforms%2Fd%2Fe%2F1FAIpQLSeZ-R1GrWlAPkfaThGqxeTj0QTtrARw4rroxIIepf2kipn1nw%2FformResponse%3Fusp%3Dpp_url%26entry.1313582257%3D0093768427%20%2F%20252610416%26entry.1578404635%3DHadir</t>
  </si>
  <si>
    <t>1hGDsuPkXeFwjEgbghl5DJn-wz8jmeykz</t>
  </si>
  <si>
    <t>https://drive.google.com/file/d/1hGDsuPkXeFwjEgbghl5DJn-wz8jmeykz/view?usp=drivesdk</t>
  </si>
  <si>
    <t>0103404970 / 252610419</t>
  </si>
  <si>
    <t>Niesha Anindya Firstsaly - P</t>
  </si>
  <si>
    <t>https://quickchart.io/qr?size=250&amp;text=https%3A%2F%2Fdocs.google.com%2Fforms%2Fd%2Fe%2F1FAIpQLSeZ-R1GrWlAPkfaThGqxeTj0QTtrARw4rroxIIepf2kipn1nw%2FformResponse%3Fusp%3Dpp_url%26entry.1313582257%3D0103404970%20%2F%20252610419%26entry.1578404635%3DHadir</t>
  </si>
  <si>
    <t>13T5Wlo8DikrQcBToEAP8YevgCXqH_lJ-</t>
  </si>
  <si>
    <t>https://drive.google.com/file/d/13T5Wlo8DikrQcBToEAP8YevgCXqH_lJ-/view?usp=drivesdk</t>
  </si>
  <si>
    <t>0102495325 / 252610431</t>
  </si>
  <si>
    <t>Oryza Angelina Sitohang - P</t>
  </si>
  <si>
    <t>https://quickchart.io/qr?size=250&amp;text=https%3A%2F%2Fdocs.google.com%2Fforms%2Fd%2Fe%2F1FAIpQLSeZ-R1GrWlAPkfaThGqxeTj0QTtrARw4rroxIIepf2kipn1nw%2FformResponse%3Fusp%3Dpp_url%26entry.1313582257%3D0102495325%20%2F%20252610431%26entry.1578404635%3DHadir</t>
  </si>
  <si>
    <t>1aqJvZMx08Hhs5OpfMzd7KuRiI2tPgY9f</t>
  </si>
  <si>
    <t>https://drive.google.com/file/d/1aqJvZMx08Hhs5OpfMzd7KuRiI2tPgY9f/view?usp=drivesdk</t>
  </si>
  <si>
    <t>0106276801 / 252610434</t>
  </si>
  <si>
    <t>Priscillia Putri Viona - P</t>
  </si>
  <si>
    <t>https://quickchart.io/qr?size=250&amp;text=https%3A%2F%2Fdocs.google.com%2Fforms%2Fd%2Fe%2F1FAIpQLSeZ-R1GrWlAPkfaThGqxeTj0QTtrARw4rroxIIepf2kipn1nw%2FformResponse%3Fusp%3Dpp_url%26entry.1313582257%3D0106276801%20%2F%20252610434%26entry.1578404635%3DHadir</t>
  </si>
  <si>
    <t>1EIjNN2hb4d42LNZP1n04LbMDi-sFOLQQ</t>
  </si>
  <si>
    <t>https://drive.google.com/file/d/1EIjNN2hb4d42LNZP1n04LbMDi-sFOLQQ/view?usp=drivesdk</t>
  </si>
  <si>
    <t>0098833541 / 252610440</t>
  </si>
  <si>
    <t>Qaniah Mardiyah Salsabila - P</t>
  </si>
  <si>
    <t>https://quickchart.io/qr?size=250&amp;text=https%3A%2F%2Fdocs.google.com%2Fforms%2Fd%2Fe%2F1FAIpQLSeZ-R1GrWlAPkfaThGqxeTj0QTtrARw4rroxIIepf2kipn1nw%2FformResponse%3Fusp%3Dpp_url%26entry.1313582257%3D0098833541%20%2F%20252610440%26entry.1578404635%3DHadir</t>
  </si>
  <si>
    <t>1YqbE72Rba8kiOCHx-L-s7ZKnxt7sLYil</t>
  </si>
  <si>
    <t>https://drive.google.com/file/d/1YqbE72Rba8kiOCHx-L-s7ZKnxt7sLYil/view?usp=drivesdk</t>
  </si>
  <si>
    <t>Document successfully created; Document successfully merged; PDF created; Manually run by skycircle.id@gmail.com; Timestamp: Nov 7 2025 3:05 AM</t>
  </si>
  <si>
    <t>0095492963 / 252610467</t>
  </si>
  <si>
    <t>Raisha Puri Lianti - P</t>
  </si>
  <si>
    <t>https://quickchart.io/qr?size=250&amp;text=https%3A%2F%2Fdocs.google.com%2Fforms%2Fd%2Fe%2F1FAIpQLSeZ-R1GrWlAPkfaThGqxeTj0QTtrARw4rroxIIepf2kipn1nw%2FformResponse%3Fusp%3Dpp_url%26entry.1313582257%3D0095492963%20%2F%20252610467%26entry.1578404635%3DHadir</t>
  </si>
  <si>
    <t>1an54ZtND4ELlVVkjP5w_nYLw9h40qeDe</t>
  </si>
  <si>
    <t>https://drive.google.com/file/d/1an54ZtND4ELlVVkjP5w_nYLw9h40qeDe/view?usp=drivesdk</t>
  </si>
  <si>
    <t>0091964566 / 252610474</t>
  </si>
  <si>
    <t>Rasya Arkananta Mulya - P</t>
  </si>
  <si>
    <t>https://quickchart.io/qr?size=250&amp;text=https%3A%2F%2Fdocs.google.com%2Fforms%2Fd%2Fe%2F1FAIpQLSeZ-R1GrWlAPkfaThGqxeTj0QTtrARw4rroxIIepf2kipn1nw%2FformResponse%3Fusp%3Dpp_url%26entry.1313582257%3D0091964566%20%2F%20252610474%26entry.1578404635%3DHadir</t>
  </si>
  <si>
    <t>1WT8LXOoms4rrcGrDM_wsFY7ojbx_Ijo5</t>
  </si>
  <si>
    <t>https://drive.google.com/file/d/1WT8LXOoms4rrcGrDM_wsFY7ojbx_Ijo5/view?usp=drivesdk</t>
  </si>
  <si>
    <t>0092731928 / 252610497</t>
  </si>
  <si>
    <t>Rusvi Putri Ingguan - P</t>
  </si>
  <si>
    <t>https://quickchart.io/qr?size=250&amp;text=https%3A%2F%2Fdocs.google.com%2Fforms%2Fd%2Fe%2F1FAIpQLSeZ-R1GrWlAPkfaThGqxeTj0QTtrARw4rroxIIepf2kipn1nw%2FformResponse%3Fusp%3Dpp_url%26entry.1313582257%3D0092731928%20%2F%20252610497%26entry.1578404635%3DHadir</t>
  </si>
  <si>
    <t>1xRtPGj3IpGoaUcFmh_ulGNsxkidqiGNc</t>
  </si>
  <si>
    <t>https://drive.google.com/file/d/1xRtPGj3IpGoaUcFmh_ulGNsxkidqiGNc/view?usp=drivesdk</t>
  </si>
  <si>
    <t>0105816582 / 252610498</t>
  </si>
  <si>
    <t>Ruth Rafanela Syeby Siregar - P</t>
  </si>
  <si>
    <t>https://quickchart.io/qr?size=250&amp;text=https%3A%2F%2Fdocs.google.com%2Fforms%2Fd%2Fe%2F1FAIpQLSeZ-R1GrWlAPkfaThGqxeTj0QTtrARw4rroxIIepf2kipn1nw%2FformResponse%3Fusp%3Dpp_url%26entry.1313582257%3D0105816582%20%2F%20252610498%26entry.1578404635%3DHadir</t>
  </si>
  <si>
    <t>1fj5EI8LOiP7Jss6avNQhFTK4HKM35NAj</t>
  </si>
  <si>
    <t>https://drive.google.com/file/d/1fj5EI8LOiP7Jss6avNQhFTK4HKM35NAj/view?usp=drivesdk</t>
  </si>
  <si>
    <t>0102751293 / 252610546</t>
  </si>
  <si>
    <t>Titania Dwizita Shahla - P</t>
  </si>
  <si>
    <t>https://quickchart.io/qr?size=250&amp;text=https%3A%2F%2Fdocs.google.com%2Fforms%2Fd%2Fe%2F1FAIpQLSeZ-R1GrWlAPkfaThGqxeTj0QTtrARw4rroxIIepf2kipn1nw%2FformResponse%3Fusp%3Dpp_url%26entry.1313582257%3D0102751293%20%2F%20252610546%26entry.1578404635%3DHadir</t>
  </si>
  <si>
    <t>1j_Fm7APbYWVcaZJAbYtE877IF9_6mFmS</t>
  </si>
  <si>
    <t>https://drive.google.com/file/d/1j_Fm7APbYWVcaZJAbYtE877IF9_6mFmS/view?usp=drivesdk</t>
  </si>
  <si>
    <t>0104292767 / 252610560</t>
  </si>
  <si>
    <t>Zaidan Riziq Sakha - L</t>
  </si>
  <si>
    <t>https://quickchart.io/qr?size=250&amp;text=https%3A%2F%2Fdocs.google.com%2Fforms%2Fd%2Fe%2F1FAIpQLSeZ-R1GrWlAPkfaThGqxeTj0QTtrARw4rroxIIepf2kipn1nw%2FformResponse%3Fusp%3Dpp_url%26entry.1313582257%3D0104292767%20%2F%20252610560%26entry.1578404635%3DHadir</t>
  </si>
  <si>
    <t>1eF31ddgIY7YKx2J102q7dDDXvg31shOJ</t>
  </si>
  <si>
    <t>https://drive.google.com/file/d/1eF31ddgIY7YKx2J102q7dDDXvg31shOJ/view?usp=drivesdk</t>
  </si>
  <si>
    <t>Document successfully created; Document successfully merged; PDF created; Manually run by skycircle.id@gmail.com; Timestamp: Nov 7 2025 3:06 AM</t>
  </si>
  <si>
    <t>0096087965 / 252610563</t>
  </si>
  <si>
    <t>Zalikhah Rasikhah Putri - P</t>
  </si>
  <si>
    <t>https://quickchart.io/qr?size=250&amp;text=https%3A%2F%2Fdocs.google.com%2Fforms%2Fd%2Fe%2F1FAIpQLSeZ-R1GrWlAPkfaThGqxeTj0QTtrARw4rroxIIepf2kipn1nw%2FformResponse%3Fusp%3Dpp_url%26entry.1313582257%3D0096087965%20%2F%20252610563%26entry.1578404635%3DHadir</t>
  </si>
  <si>
    <t>1eDci1GGdCMVtl7FLexOWHR_nFxXWPsD-</t>
  </si>
  <si>
    <t>https://drive.google.com/file/d/1eDci1GGdCMVtl7FLexOWHR_nFxXWPsD-/view?usp=drivesdk</t>
  </si>
  <si>
    <t>0094703204 / 252610002</t>
  </si>
  <si>
    <t>Abhinaya Zaidan Akbar - L</t>
  </si>
  <si>
    <t>X3</t>
  </si>
  <si>
    <t>https://quickchart.io/qr?size=250&amp;text=https%3A%2F%2Fdocs.google.com%2Fforms%2Fd%2Fe%2F1FAIpQLSeZ-R1GrWlAPkfaThGqxeTj0QTtrARw4rroxIIepf2kipn1nw%2FformResponse%3Fusp%3Dpp_url%26entry.1313582257%3D0094703204%20%2F%20252610002%26entry.1578404635%3DHadir</t>
  </si>
  <si>
    <t>1Hf4gfenS4bZm4kS41cTWGCIuurz11NAy</t>
  </si>
  <si>
    <t>https://drive.google.com/file/d/1Hf4gfenS4bZm4kS41cTWGCIuurz11NAy/view?usp=drivesdk</t>
  </si>
  <si>
    <t>0106941990 / 252610063</t>
  </si>
  <si>
    <t>Andra Rakadityono - L</t>
  </si>
  <si>
    <t>https://quickchart.io/qr?size=250&amp;text=https%3A%2F%2Fdocs.google.com%2Fforms%2Fd%2Fe%2F1FAIpQLSeZ-R1GrWlAPkfaThGqxeTj0QTtrARw4rroxIIepf2kipn1nw%2FformResponse%3Fusp%3Dpp_url%26entry.1313582257%3D0106941990%20%2F%20252610063%26entry.1578404635%3DHadir</t>
  </si>
  <si>
    <t>1r0Uot3PQK_VtpkxN4wMuNRBDxsHaIqyh</t>
  </si>
  <si>
    <t>https://drive.google.com/file/d/1r0Uot3PQK_VtpkxN4wMuNRBDxsHaIqyh/view?usp=drivesdk</t>
  </si>
  <si>
    <t>0109964803 / 252610065</t>
  </si>
  <si>
    <t>Anjani Safira Salma - P</t>
  </si>
  <si>
    <t>https://quickchart.io/qr?size=250&amp;text=https%3A%2F%2Fdocs.google.com%2Fforms%2Fd%2Fe%2F1FAIpQLSeZ-R1GrWlAPkfaThGqxeTj0QTtrARw4rroxIIepf2kipn1nw%2FformResponse%3Fusp%3Dpp_url%26entry.1313582257%3D0109964803%20%2F%20252610065%26entry.1578404635%3DHadir</t>
  </si>
  <si>
    <t>16IDNIjOuT97e_BIf9mhtsiaUCO_do3_w</t>
  </si>
  <si>
    <t>https://drive.google.com/file/d/16IDNIjOuT97e_BIf9mhtsiaUCO_do3_w/view?usp=drivesdk</t>
  </si>
  <si>
    <t>0104084075 / 252610076</t>
  </si>
  <si>
    <t>Ario Bimo Wicaksono - L</t>
  </si>
  <si>
    <t>https://quickchart.io/qr?size=250&amp;text=https%3A%2F%2Fdocs.google.com%2Fforms%2Fd%2Fe%2F1FAIpQLSeZ-R1GrWlAPkfaThGqxeTj0QTtrARw4rroxIIepf2kipn1nw%2FformResponse%3Fusp%3Dpp_url%26entry.1313582257%3D0104084075%20%2F%20252610076%26entry.1578404635%3DHadir</t>
  </si>
  <si>
    <t>1xUTdnNysAyiY3Q6iXISSj5CnQ5WqI5qi</t>
  </si>
  <si>
    <t>https://drive.google.com/file/d/1xUTdnNysAyiY3Q6iXISSj5CnQ5WqI5qi/view?usp=drivesdk</t>
  </si>
  <si>
    <t>Document successfully created; Document successfully merged; PDF created; Manually run by skycircle.id@gmail.com; Timestamp: Nov 7 2025 3:07 AM</t>
  </si>
  <si>
    <t>0098221239 / 252610079</t>
  </si>
  <si>
    <t>Arman Firmansyah - L</t>
  </si>
  <si>
    <t>https://quickchart.io/qr?size=250&amp;text=https%3A%2F%2Fdocs.google.com%2Fforms%2Fd%2Fe%2F1FAIpQLSeZ-R1GrWlAPkfaThGqxeTj0QTtrARw4rroxIIepf2kipn1nw%2FformResponse%3Fusp%3Dpp_url%26entry.1313582257%3D0098221239%20%2F%20252610079%26entry.1578404635%3DHadir</t>
  </si>
  <si>
    <t>174hoiIJg_jYMqpxnZt7Z4_QpRmJoUNzl</t>
  </si>
  <si>
    <t>https://drive.google.com/file/d/174hoiIJg_jYMqpxnZt7Z4_QpRmJoUNzl/view?usp=drivesdk</t>
  </si>
  <si>
    <t>0104751597 / 252610093</t>
  </si>
  <si>
    <t>Attaya Putri Faslahi - P</t>
  </si>
  <si>
    <t>https://quickchart.io/qr?size=250&amp;text=https%3A%2F%2Fdocs.google.com%2Fforms%2Fd%2Fe%2F1FAIpQLSeZ-R1GrWlAPkfaThGqxeTj0QTtrARw4rroxIIepf2kipn1nw%2FformResponse%3Fusp%3Dpp_url%26entry.1313582257%3D0104751597%20%2F%20252610093%26entry.1578404635%3DHadir</t>
  </si>
  <si>
    <t>1NKyTNTRd-fVxoqWTe49TEt1oyo1QjsfU</t>
  </si>
  <si>
    <t>https://drive.google.com/file/d/1NKyTNTRd-fVxoqWTe49TEt1oyo1QjsfU/view?usp=drivesdk</t>
  </si>
  <si>
    <t>0104406841 / 252610094</t>
  </si>
  <si>
    <t>Attiyah Naila Adza Alifah - P</t>
  </si>
  <si>
    <t>https://quickchart.io/qr?size=250&amp;text=https%3A%2F%2Fdocs.google.com%2Fforms%2Fd%2Fe%2F1FAIpQLSeZ-R1GrWlAPkfaThGqxeTj0QTtrARw4rroxIIepf2kipn1nw%2FformResponse%3Fusp%3Dpp_url%26entry.1313582257%3D0104406841%20%2F%20252610094%26entry.1578404635%3DHadir</t>
  </si>
  <si>
    <t>1jYOoPqxLrCXpkyxKcYF5F8g3lCS8JHbG</t>
  </si>
  <si>
    <t>https://drive.google.com/file/d/1jYOoPqxLrCXpkyxKcYF5F8g3lCS8JHbG/view?usp=drivesdk</t>
  </si>
  <si>
    <t>0102122161 / 252610096</t>
  </si>
  <si>
    <t>Aulia Azahra - P</t>
  </si>
  <si>
    <t>https://quickchart.io/qr?size=250&amp;text=https%3A%2F%2Fdocs.google.com%2Fforms%2Fd%2Fe%2F1FAIpQLSeZ-R1GrWlAPkfaThGqxeTj0QTtrARw4rroxIIepf2kipn1nw%2FformResponse%3Fusp%3Dpp_url%26entry.1313582257%3D0102122161%20%2F%20252610096%26entry.1578404635%3DHadir</t>
  </si>
  <si>
    <t>1c2q4Rg0XtSQJqJRRwmjDTEUXuj5ql6Tu</t>
  </si>
  <si>
    <t>https://drive.google.com/file/d/1c2q4Rg0XtSQJqJRRwmjDTEUXuj5ql6Tu/view?usp=drivesdk</t>
  </si>
  <si>
    <t>0108329102 / 252610121</t>
  </si>
  <si>
    <t>Bianca Aurelia Putri Asari - P</t>
  </si>
  <si>
    <t>https://quickchart.io/qr?size=250&amp;text=https%3A%2F%2Fdocs.google.com%2Fforms%2Fd%2Fe%2F1FAIpQLSeZ-R1GrWlAPkfaThGqxeTj0QTtrARw4rroxIIepf2kipn1nw%2FformResponse%3Fusp%3Dpp_url%26entry.1313582257%3D0108329102%20%2F%20252610121%26entry.1578404635%3DHadir</t>
  </si>
  <si>
    <t>1l-0dGvUWz0LwgygQ3QNqSc1606XhMyUz</t>
  </si>
  <si>
    <t>https://drive.google.com/file/d/1l-0dGvUWz0LwgygQ3QNqSc1606XhMyUz/view?usp=drivesdk</t>
  </si>
  <si>
    <t>0103047499 / 252610129</t>
  </si>
  <si>
    <t>Bumi Byakta Alfian - L</t>
  </si>
  <si>
    <t>https://quickchart.io/qr?size=250&amp;text=https%3A%2F%2Fdocs.google.com%2Fforms%2Fd%2Fe%2F1FAIpQLSeZ-R1GrWlAPkfaThGqxeTj0QTtrARw4rroxIIepf2kipn1nw%2FformResponse%3Fusp%3Dpp_url%26entry.1313582257%3D0103047499%20%2F%20252610129%26entry.1578404635%3DHadir</t>
  </si>
  <si>
    <t>1294S0gxf2Oj8-ekfhevuVEuExxL1rcMi</t>
  </si>
  <si>
    <t>https://drive.google.com/file/d/1294S0gxf2Oj8-ekfhevuVEuExxL1rcMi/view?usp=drivesdk</t>
  </si>
  <si>
    <t>Document successfully created; Document successfully merged; PDF created; Manually run by skycircle.id@gmail.com; Timestamp: Nov 7 2025 3:08 AM</t>
  </si>
  <si>
    <t>0102794623 / 252610136</t>
  </si>
  <si>
    <t>Cheryl Faiha Al-Tair - P</t>
  </si>
  <si>
    <t>https://quickchart.io/qr?size=250&amp;text=https%3A%2F%2Fdocs.google.com%2Fforms%2Fd%2Fe%2F1FAIpQLSeZ-R1GrWlAPkfaThGqxeTj0QTtrARw4rroxIIepf2kipn1nw%2FformResponse%3Fusp%3Dpp_url%26entry.1313582257%3D0102794623%20%2F%20252610136%26entry.1578404635%3DHadir</t>
  </si>
  <si>
    <t>1ACF6kWCHLYXaFlvDz3uuqJPjLBydwC2A</t>
  </si>
  <si>
    <t>https://drive.google.com/file/d/1ACF6kWCHLYXaFlvDz3uuqJPjLBydwC2A/view?usp=drivesdk</t>
  </si>
  <si>
    <t>0096103714 / 252610138</t>
  </si>
  <si>
    <t>Cindy Ramadhani Sinulingga - P</t>
  </si>
  <si>
    <t>https://quickchart.io/qr?size=250&amp;text=https%3A%2F%2Fdocs.google.com%2Fforms%2Fd%2Fe%2F1FAIpQLSeZ-R1GrWlAPkfaThGqxeTj0QTtrARw4rroxIIepf2kipn1nw%2FformResponse%3Fusp%3Dpp_url%26entry.1313582257%3D0096103714%20%2F%20252610138%26entry.1578404635%3DHadir</t>
  </si>
  <si>
    <t>1Zt57D9LMn1xTp3K07__2g6yG9hNKv3ii</t>
  </si>
  <si>
    <t>https://drive.google.com/file/d/1Zt57D9LMn1xTp3K07__2g6yG9hNKv3ii/view?usp=drivesdk</t>
  </si>
  <si>
    <t>0103966590 / 252610148</t>
  </si>
  <si>
    <t>Danesh Arrayan Syahreen - P</t>
  </si>
  <si>
    <t>https://quickchart.io/qr?size=250&amp;text=https%3A%2F%2Fdocs.google.com%2Fforms%2Fd%2Fe%2F1FAIpQLSeZ-R1GrWlAPkfaThGqxeTj0QTtrARw4rroxIIepf2kipn1nw%2FformResponse%3Fusp%3Dpp_url%26entry.1313582257%3D0103966590%20%2F%20252610148%26entry.1578404635%3DHadir</t>
  </si>
  <si>
    <t>1qrd5_WGUwXWD4PMqkuNPbVzvVaA68LQo</t>
  </si>
  <si>
    <t>https://drive.google.com/file/d/1qrd5_WGUwXWD4PMqkuNPbVzvVaA68LQo/view?usp=drivesdk</t>
  </si>
  <si>
    <t>0097493642 / 252610158</t>
  </si>
  <si>
    <t>Dhyra Putra Pratama - P</t>
  </si>
  <si>
    <t>https://quickchart.io/qr?size=250&amp;text=https%3A%2F%2Fdocs.google.com%2Fforms%2Fd%2Fe%2F1FAIpQLSeZ-R1GrWlAPkfaThGqxeTj0QTtrARw4rroxIIepf2kipn1nw%2FformResponse%3Fusp%3Dpp_url%26entry.1313582257%3D0097493642%20%2F%20252610158%26entry.1578404635%3DHadir</t>
  </si>
  <si>
    <t>1HdVzWrJ2iZasb8fh6ypRMOSTnAXQseFa</t>
  </si>
  <si>
    <t>https://drive.google.com/file/d/1HdVzWrJ2iZasb8fh6ypRMOSTnAXQseFa/view?usp=drivesdk</t>
  </si>
  <si>
    <t>0096662016 / 252610187</t>
  </si>
  <si>
    <t>Fadya Malikha - P</t>
  </si>
  <si>
    <t>https://quickchart.io/qr?size=250&amp;text=https%3A%2F%2Fdocs.google.com%2Fforms%2Fd%2Fe%2F1FAIpQLSeZ-R1GrWlAPkfaThGqxeTj0QTtrARw4rroxIIepf2kipn1nw%2FformResponse%3Fusp%3Dpp_url%26entry.1313582257%3D0096662016%20%2F%20252610187%26entry.1578404635%3DHadir</t>
  </si>
  <si>
    <t>1Sqrbw-dmuTx3Fak4CXvAVm6GSkgcKFU0</t>
  </si>
  <si>
    <t>https://drive.google.com/file/d/1Sqrbw-dmuTx3Fak4CXvAVm6GSkgcKFU0/view?usp=drivesdk</t>
  </si>
  <si>
    <t>0096892367 / 252610190</t>
  </si>
  <si>
    <t>Fajri Pardomuan Pohan - L</t>
  </si>
  <si>
    <t>https://quickchart.io/qr?size=250&amp;text=https%3A%2F%2Fdocs.google.com%2Fforms%2Fd%2Fe%2F1FAIpQLSeZ-R1GrWlAPkfaThGqxeTj0QTtrARw4rroxIIepf2kipn1nw%2FformResponse%3Fusp%3Dpp_url%26entry.1313582257%3D0096892367%20%2F%20252610190%26entry.1578404635%3DHadir</t>
  </si>
  <si>
    <t>1j-d5uOh8ERvd1glbakY9K9pC2WnUV258</t>
  </si>
  <si>
    <t>https://drive.google.com/file/d/1j-d5uOh8ERvd1glbakY9K9pC2WnUV258/view?usp=drivesdk</t>
  </si>
  <si>
    <t>Document successfully created; Document successfully merged; PDF created; Manually run by skycircle.id@gmail.com; Timestamp: Nov 7 2025 3:09 AM</t>
  </si>
  <si>
    <t>0094686377 / 252610201</t>
  </si>
  <si>
    <t>Farras Putra Zema - L</t>
  </si>
  <si>
    <t>https://quickchart.io/qr?size=250&amp;text=https%3A%2F%2Fdocs.google.com%2Fforms%2Fd%2Fe%2F1FAIpQLSeZ-R1GrWlAPkfaThGqxeTj0QTtrARw4rroxIIepf2kipn1nw%2FformResponse%3Fusp%3Dpp_url%26entry.1313582257%3D0094686377%20%2F%20252610201%26entry.1578404635%3DHadir</t>
  </si>
  <si>
    <t>1eZN8J36qw0ON_A17Pe3ljSytw3gZtsPc</t>
  </si>
  <si>
    <t>https://drive.google.com/file/d/1eZN8J36qw0ON_A17Pe3ljSytw3gZtsPc/view?usp=drivesdk</t>
  </si>
  <si>
    <t>0109768822 / 252610204</t>
  </si>
  <si>
    <t>Fathia Amia Rizqi - P</t>
  </si>
  <si>
    <t>https://quickchart.io/qr?size=250&amp;text=https%3A%2F%2Fdocs.google.com%2Fforms%2Fd%2Fe%2F1FAIpQLSeZ-R1GrWlAPkfaThGqxeTj0QTtrARw4rroxIIepf2kipn1nw%2FformResponse%3Fusp%3Dpp_url%26entry.1313582257%3D0109768822%20%2F%20252610204%26entry.1578404635%3DHadir</t>
  </si>
  <si>
    <t>1P5ow4Ahp03hJfJwaU67BG50NfzviydZu</t>
  </si>
  <si>
    <t>https://drive.google.com/file/d/1P5ow4Ahp03hJfJwaU67BG50NfzviydZu/view?usp=drivesdk</t>
  </si>
  <si>
    <t>0109156472 / 252610213</t>
  </si>
  <si>
    <t>Florencia Ivana - P</t>
  </si>
  <si>
    <t>https://quickchart.io/qr?size=250&amp;text=https%3A%2F%2Fdocs.google.com%2Fforms%2Fd%2Fe%2F1FAIpQLSeZ-R1GrWlAPkfaThGqxeTj0QTtrARw4rroxIIepf2kipn1nw%2FformResponse%3Fusp%3Dpp_url%26entry.1313582257%3D0109156472%20%2F%20252610213%26entry.1578404635%3DHadir</t>
  </si>
  <si>
    <t>11vvEH8CP885FiZ0SQh8U9GXY_dV9QgyN</t>
  </si>
  <si>
    <t>https://drive.google.com/file/d/11vvEH8CP885FiZ0SQh8U9GXY_dV9QgyN/view?usp=drivesdk</t>
  </si>
  <si>
    <t>0098064041 / 252610215</t>
  </si>
  <si>
    <t>Fricilia Aprilyani Cardoso - P</t>
  </si>
  <si>
    <t>https://quickchart.io/qr?size=250&amp;text=https%3A%2F%2Fdocs.google.com%2Fforms%2Fd%2Fe%2F1FAIpQLSeZ-R1GrWlAPkfaThGqxeTj0QTtrARw4rroxIIepf2kipn1nw%2FformResponse%3Fusp%3Dpp_url%26entry.1313582257%3D0098064041%20%2F%20252610215%26entry.1578404635%3DHadir</t>
  </si>
  <si>
    <t>1KKocwOWRV4wF8oPG5PeaIk-mC3-ABQ1Z</t>
  </si>
  <si>
    <t>https://drive.google.com/file/d/1KKocwOWRV4wF8oPG5PeaIk-mC3-ABQ1Z/view?usp=drivesdk</t>
  </si>
  <si>
    <t>0113691116 / 252610219</t>
  </si>
  <si>
    <t>Gerald Samuel Sitanggang - L</t>
  </si>
  <si>
    <t>https://quickchart.io/qr?size=250&amp;text=https%3A%2F%2Fdocs.google.com%2Fforms%2Fd%2Fe%2F1FAIpQLSeZ-R1GrWlAPkfaThGqxeTj0QTtrARw4rroxIIepf2kipn1nw%2FformResponse%3Fusp%3Dpp_url%26entry.1313582257%3D0113691116%20%2F%20252610219%26entry.1578404635%3DHadir</t>
  </si>
  <si>
    <t>16l0FVnzEcEk2VzONUmRUDSHO4shXqyVH</t>
  </si>
  <si>
    <t>https://drive.google.com/file/d/16l0FVnzEcEk2VzONUmRUDSHO4shXqyVH/view?usp=drivesdk</t>
  </si>
  <si>
    <t>0104767807 / 252610237</t>
  </si>
  <si>
    <t>Jaenal Ikhwan - L</t>
  </si>
  <si>
    <t>https://quickchart.io/qr?size=250&amp;text=https%3A%2F%2Fdocs.google.com%2Fforms%2Fd%2Fe%2F1FAIpQLSeZ-R1GrWlAPkfaThGqxeTj0QTtrARw4rroxIIepf2kipn1nw%2FformResponse%3Fusp%3Dpp_url%26entry.1313582257%3D0104767807%20%2F%20252610237%26entry.1578404635%3DHadir</t>
  </si>
  <si>
    <t>1YliYiKXF0jcn5lcpr1dXgwjW-8UdKGUU</t>
  </si>
  <si>
    <t>https://drive.google.com/file/d/1YliYiKXF0jcn5lcpr1dXgwjW-8UdKGUU/view?usp=drivesdk</t>
  </si>
  <si>
    <t>Document successfully created; Document successfully merged; PDF created; Manually run by skycircle.id@gmail.com; Timestamp: Nov 7 2025 3:10 AM</t>
  </si>
  <si>
    <t>Jihan Fauziyyah Latifah - P</t>
  </si>
  <si>
    <t>https://quickchart.io/qr?size=250&amp;text=https%3A%2F%2Fdocs.google.com%2Fforms%2Fd%2Fe%2F1FAIpQLSeZ-R1GrWlAPkfaThGqxeTj0QTtrARw4rroxIIepf2kipn1nw%2FformResponse%3Fusp%3Dpp_url%26entry.1313582257%3D0106443881%20%2F%20252610247%26entry.1578404635%3DHadir</t>
  </si>
  <si>
    <t>1rgeB7w7557_EfD__jxYdz08HA5yc_1MD</t>
  </si>
  <si>
    <t>https://drive.google.com/file/d/1rgeB7w7557_EfD__jxYdz08HA5yc_1MD/view?usp=drivesdk</t>
  </si>
  <si>
    <t>0104211640 / 252610259</t>
  </si>
  <si>
    <t>Kartika Larasati - P</t>
  </si>
  <si>
    <t>https://quickchart.io/qr?size=250&amp;text=https%3A%2F%2Fdocs.google.com%2Fforms%2Fd%2Fe%2F1FAIpQLSeZ-R1GrWlAPkfaThGqxeTj0QTtrARw4rroxIIepf2kipn1nw%2FformResponse%3Fusp%3Dpp_url%26entry.1313582257%3D0104211640%20%2F%20252610259%26entry.1578404635%3DHadir</t>
  </si>
  <si>
    <t>1v8YqhT3ZPECychxQbzFOM1eY6Jrz9Rv2</t>
  </si>
  <si>
    <t>https://drive.google.com/file/d/1v8YqhT3ZPECychxQbzFOM1eY6Jrz9Rv2/view?usp=drivesdk</t>
  </si>
  <si>
    <t>0098772505 / 252610274</t>
  </si>
  <si>
    <t>Keynia Louis Cristin Harianja - P</t>
  </si>
  <si>
    <t>https://quickchart.io/qr?size=250&amp;text=https%3A%2F%2Fdocs.google.com%2Fforms%2Fd%2Fe%2F1FAIpQLSeZ-R1GrWlAPkfaThGqxeTj0QTtrARw4rroxIIepf2kipn1nw%2FformResponse%3Fusp%3Dpp_url%26entry.1313582257%3D0098772505%20%2F%20252610274%26entry.1578404635%3DHadir</t>
  </si>
  <si>
    <t>1JboVopWlqN9X-tHscUx8jj9_9a9VklV3</t>
  </si>
  <si>
    <t>https://drive.google.com/file/d/1JboVopWlqN9X-tHscUx8jj9_9a9VklV3/view?usp=drivesdk</t>
  </si>
  <si>
    <t>0107095977 / 252610276</t>
  </si>
  <si>
    <t>Khairani Asri Utami - P</t>
  </si>
  <si>
    <t>https://quickchart.io/qr?size=250&amp;text=https%3A%2F%2Fdocs.google.com%2Fforms%2Fd%2Fe%2F1FAIpQLSeZ-R1GrWlAPkfaThGqxeTj0QTtrARw4rroxIIepf2kipn1nw%2FformResponse%3Fusp%3Dpp_url%26entry.1313582257%3D0107095977%20%2F%20252610276%26entry.1578404635%3DHadir</t>
  </si>
  <si>
    <t>1-C9uZT9mTLU13zAa4E_IyhsDDrmBY587</t>
  </si>
  <si>
    <t>https://drive.google.com/file/d/1-C9uZT9mTLU13zAa4E_IyhsDDrmBY587/view?usp=drivesdk</t>
  </si>
  <si>
    <t>0092150853 / 252610278</t>
  </si>
  <si>
    <t>Khalifi Ramadhan Darmawan Anda - L</t>
  </si>
  <si>
    <t>https://quickchart.io/qr?size=250&amp;text=https%3A%2F%2Fdocs.google.com%2Fforms%2Fd%2Fe%2F1FAIpQLSeZ-R1GrWlAPkfaThGqxeTj0QTtrARw4rroxIIepf2kipn1nw%2FformResponse%3Fusp%3Dpp_url%26entry.1313582257%3D0092150853%20%2F%20252610278%26entry.1578404635%3DHadir</t>
  </si>
  <si>
    <t>1gsUqWxaJWaUPYw2ehAzkiCTUY_6L6m7y</t>
  </si>
  <si>
    <t>https://drive.google.com/file/d/1gsUqWxaJWaUPYw2ehAzkiCTUY_6L6m7y/view?usp=drivesdk</t>
  </si>
  <si>
    <t>0091769169 / 252610287</t>
  </si>
  <si>
    <t>Lathika Aulia Althafunnisa - P</t>
  </si>
  <si>
    <t>https://quickchart.io/qr?size=250&amp;text=https%3A%2F%2Fdocs.google.com%2Fforms%2Fd%2Fe%2F1FAIpQLSeZ-R1GrWlAPkfaThGqxeTj0QTtrARw4rroxIIepf2kipn1nw%2FformResponse%3Fusp%3Dpp_url%26entry.1313582257%3D0091769169%20%2F%20252610287%26entry.1578404635%3DHadir</t>
  </si>
  <si>
    <t>1lL4n_PNZEvREACfVCeXjH8scit3nuZR8</t>
  </si>
  <si>
    <t>https://drive.google.com/file/d/1lL4n_PNZEvREACfVCeXjH8scit3nuZR8/view?usp=drivesdk</t>
  </si>
  <si>
    <t>Document successfully created; Document successfully merged; PDF created; Manually run by skycircle.id@gmail.com; Timestamp: Nov 7 2025 3:11 AM</t>
  </si>
  <si>
    <t>0103272603 / 252610288</t>
  </si>
  <si>
    <t>Laura Aubrey Gracia Lubis - P</t>
  </si>
  <si>
    <t>https://quickchart.io/qr?size=250&amp;text=https%3A%2F%2Fdocs.google.com%2Fforms%2Fd%2Fe%2F1FAIpQLSeZ-R1GrWlAPkfaThGqxeTj0QTtrARw4rroxIIepf2kipn1nw%2FformResponse%3Fusp%3Dpp_url%26entry.1313582257%3D0103272603%20%2F%20252610288%26entry.1578404635%3DHadir</t>
  </si>
  <si>
    <t>11k8iLQ58IsLYSyddiPJhHeJjHivR4xrv</t>
  </si>
  <si>
    <t>https://drive.google.com/file/d/11k8iLQ58IsLYSyddiPJhHeJjHivR4xrv/view?usp=drivesdk</t>
  </si>
  <si>
    <t>0103190164 / 252610301</t>
  </si>
  <si>
    <t>Mandariza Arya Pranata Wijaya - P</t>
  </si>
  <si>
    <t>https://quickchart.io/qr?size=250&amp;text=https%3A%2F%2Fdocs.google.com%2Fforms%2Fd%2Fe%2F1FAIpQLSeZ-R1GrWlAPkfaThGqxeTj0QTtrARw4rroxIIepf2kipn1nw%2FformResponse%3Fusp%3Dpp_url%26entry.1313582257%3D0103190164%20%2F%20252610301%26entry.1578404635%3DHadir</t>
  </si>
  <si>
    <t>1nRU2IIrnlFGFubhwbMdllbaXQf9LmEGn</t>
  </si>
  <si>
    <t>https://drive.google.com/file/d/1nRU2IIrnlFGFubhwbMdllbaXQf9LmEGn/view?usp=drivesdk</t>
  </si>
  <si>
    <t>0092154795 / 252610370</t>
  </si>
  <si>
    <t>Muhammad Rizzieq Yusuf Natakusumah - L</t>
  </si>
  <si>
    <t>https://quickchart.io/qr?size=250&amp;text=https%3A%2F%2Fdocs.google.com%2Fforms%2Fd%2Fe%2F1FAIpQLSeZ-R1GrWlAPkfaThGqxeTj0QTtrARw4rroxIIepf2kipn1nw%2FformResponse%3Fusp%3Dpp_url%26entry.1313582257%3D0092154795%20%2F%20252610370%26entry.1578404635%3DHadir</t>
  </si>
  <si>
    <t>10kT8dDkB_CQNM2aiYOj6PkgEzjstjG1R</t>
  </si>
  <si>
    <t>https://drive.google.com/file/d/10kT8dDkB_CQNM2aiYOj6PkgEzjstjG1R/view?usp=drivesdk</t>
  </si>
  <si>
    <t>3096846304 / 252610381</t>
  </si>
  <si>
    <t>Muhammad Zuhear Alfan - L</t>
  </si>
  <si>
    <t>https://quickchart.io/qr?size=250&amp;text=https%3A%2F%2Fdocs.google.com%2Fforms%2Fd%2Fe%2F1FAIpQLSeZ-R1GrWlAPkfaThGqxeTj0QTtrARw4rroxIIepf2kipn1nw%2FformResponse%3Fusp%3Dpp_url%26entry.1313582257%3D3096846304%20%2F%20252610381%26entry.1578404635%3DHadir</t>
  </si>
  <si>
    <t>1YdngOiCRp-Y_jaTfEcb9RzWaF1Y4nEbR</t>
  </si>
  <si>
    <t>https://drive.google.com/file/d/1YdngOiCRp-Y_jaTfEcb9RzWaF1Y4nEbR/view?usp=drivesdk</t>
  </si>
  <si>
    <t>Nadhifa Farah Falihah - P</t>
  </si>
  <si>
    <t>https://quickchart.io/qr?size=250&amp;text=https%3A%2F%2Fdocs.google.com%2Fforms%2Fd%2Fe%2F1FAIpQLSeZ-R1GrWlAPkfaThGqxeTj0QTtrARw4rroxIIepf2kipn1nw%2FformResponse%3Fusp%3Dpp_url%26entry.1313582257%3D0104716348%20%2F%20252610386%26entry.1578404635%3DHadir</t>
  </si>
  <si>
    <t>1J4Cd_oxtWSMda_78BHUreHrUXMEqSHMM</t>
  </si>
  <si>
    <t>https://drive.google.com/file/d/1J4Cd_oxtWSMda_78BHUreHrUXMEqSHMM/view?usp=drivesdk</t>
  </si>
  <si>
    <t>Document successfully created; Document successfully merged; PDF created; Manually run by skycircle.id@gmail.com; Timestamp: Nov 7 2025 3:12 AM</t>
  </si>
  <si>
    <t>0102174126 / 252610415</t>
  </si>
  <si>
    <t>Nazwa Savira - P</t>
  </si>
  <si>
    <t>https://quickchart.io/qr?size=250&amp;text=https%3A%2F%2Fdocs.google.com%2Fforms%2Fd%2Fe%2F1FAIpQLSeZ-R1GrWlAPkfaThGqxeTj0QTtrARw4rroxIIepf2kipn1nw%2FformResponse%3Fusp%3Dpp_url%26entry.1313582257%3D0102174126%20%2F%20252610415%26entry.1578404635%3DHadir</t>
  </si>
  <si>
    <t>13GQxS5TLDdo8J3Q-8B_BHJfQUN4gU8i7</t>
  </si>
  <si>
    <t>https://drive.google.com/file/d/13GQxS5TLDdo8J3Q-8B_BHJfQUN4gU8i7/view?usp=drivesdk</t>
  </si>
  <si>
    <t>0097540821 / 252610422</t>
  </si>
  <si>
    <t>Nourman Raditia Putra - L</t>
  </si>
  <si>
    <t>https://quickchart.io/qr?size=250&amp;text=https%3A%2F%2Fdocs.google.com%2Fforms%2Fd%2Fe%2F1FAIpQLSeZ-R1GrWlAPkfaThGqxeTj0QTtrARw4rroxIIepf2kipn1nw%2FformResponse%3Fusp%3Dpp_url%26entry.1313582257%3D0097540821%20%2F%20252610422%26entry.1578404635%3DHadir</t>
  </si>
  <si>
    <t>1nd0Q7A2j_t2ayOAmnsDSikzgr8v2FJdU</t>
  </si>
  <si>
    <t>https://drive.google.com/file/d/1nd0Q7A2j_t2ayOAmnsDSikzgr8v2FJdU/view?usp=drivesdk</t>
  </si>
  <si>
    <t>0102114748 / 252610426</t>
  </si>
  <si>
    <t>Nursifa Maulidah - P</t>
  </si>
  <si>
    <t>https://quickchart.io/qr?size=250&amp;text=https%3A%2F%2Fdocs.google.com%2Fforms%2Fd%2Fe%2F1FAIpQLSeZ-R1GrWlAPkfaThGqxeTj0QTtrARw4rroxIIepf2kipn1nw%2FformResponse%3Fusp%3Dpp_url%26entry.1313582257%3D0102114748%20%2F%20252610426%26entry.1578404635%3DHadir</t>
  </si>
  <si>
    <t>1jBrMbnYIbs-TviSXCnTRku-6o4hz9Lw9</t>
  </si>
  <si>
    <t>https://drive.google.com/file/d/1jBrMbnYIbs-TviSXCnTRku-6o4hz9Lw9/view?usp=drivesdk</t>
  </si>
  <si>
    <t>0097603092 / 252610432</t>
  </si>
  <si>
    <t>Pramudhio Sawerigading Ihsan - L</t>
  </si>
  <si>
    <t>https://quickchart.io/qr?size=250&amp;text=https%3A%2F%2Fdocs.google.com%2Fforms%2Fd%2Fe%2F1FAIpQLSeZ-R1GrWlAPkfaThGqxeTj0QTtrARw4rroxIIepf2kipn1nw%2FformResponse%3Fusp%3Dpp_url%26entry.1313582257%3D0097603092%20%2F%20252610432%26entry.1578404635%3DHadir</t>
  </si>
  <si>
    <t>1cfIF2AbQsCw3ZlhVfDYAzjJBNLp3k7i-</t>
  </si>
  <si>
    <t>https://drive.google.com/file/d/1cfIF2AbQsCw3ZlhVfDYAzjJBNLp3k7i-/view?usp=drivesdk</t>
  </si>
  <si>
    <t>0106292164 / 252610438</t>
  </si>
  <si>
    <t>Putri Eisya - P</t>
  </si>
  <si>
    <t>https://quickchart.io/qr?size=250&amp;text=https%3A%2F%2Fdocs.google.com%2Fforms%2Fd%2Fe%2F1FAIpQLSeZ-R1GrWlAPkfaThGqxeTj0QTtrARw4rroxIIepf2kipn1nw%2FformResponse%3Fusp%3Dpp_url%26entry.1313582257%3D0106292164%20%2F%20252610438%26entry.1578404635%3DHadir</t>
  </si>
  <si>
    <t>18d6JxfeiJgZUmtNFUKhpgww-WXi5AHUv</t>
  </si>
  <si>
    <t>https://drive.google.com/file/d/18d6JxfeiJgZUmtNFUKhpgww-WXi5AHUv/view?usp=drivesdk</t>
  </si>
  <si>
    <t>3104085681 / 252610439</t>
  </si>
  <si>
    <t>Putri Zaqiyah - P</t>
  </si>
  <si>
    <t>https://quickchart.io/qr?size=250&amp;text=https%3A%2F%2Fdocs.google.com%2Fforms%2Fd%2Fe%2F1FAIpQLSeZ-R1GrWlAPkfaThGqxeTj0QTtrARw4rroxIIepf2kipn1nw%2FformResponse%3Fusp%3Dpp_url%26entry.1313582257%3D3104085681%20%2F%20252610439%26entry.1578404635%3DHadir</t>
  </si>
  <si>
    <t>1dOafJSn46wYbPpq9hmRzhHoSTs76azW4</t>
  </si>
  <si>
    <t>https://drive.google.com/file/d/1dOafJSn46wYbPpq9hmRzhHoSTs76azW4/view?usp=drivesdk</t>
  </si>
  <si>
    <t>0105055522 / 252610461</t>
  </si>
  <si>
    <t>Rahma Marissa - P</t>
  </si>
  <si>
    <t>https://quickchart.io/qr?size=250&amp;text=https%3A%2F%2Fdocs.google.com%2Fforms%2Fd%2Fe%2F1FAIpQLSeZ-R1GrWlAPkfaThGqxeTj0QTtrARw4rroxIIepf2kipn1nw%2FformResponse%3Fusp%3Dpp_url%26entry.1313582257%3D0105055522%20%2F%20252610461%26entry.1578404635%3DHadir</t>
  </si>
  <si>
    <t>1me_btmQJlzw-rys_vI4-YNyJt1l8qQuR</t>
  </si>
  <si>
    <t>https://drive.google.com/file/d/1me_btmQJlzw-rys_vI4-YNyJt1l8qQuR/view?usp=drivesdk</t>
  </si>
  <si>
    <t>Document successfully created; Document successfully merged; PDF created; Manually run by skycircle.id@gmail.com; Timestamp: Nov 7 2025 3:13 AM</t>
  </si>
  <si>
    <t>0092263541 / 252610485</t>
  </si>
  <si>
    <t>Revan - L</t>
  </si>
  <si>
    <t>https://quickchart.io/qr?size=250&amp;text=https%3A%2F%2Fdocs.google.com%2Fforms%2Fd%2Fe%2F1FAIpQLSeZ-R1GrWlAPkfaThGqxeTj0QTtrARw4rroxIIepf2kipn1nw%2FformResponse%3Fusp%3Dpp_url%26entry.1313582257%3D0092263541%20%2F%20252610485%26entry.1578404635%3DHadir</t>
  </si>
  <si>
    <t>1F0cFf0fxV-C9T_H14o7O9WcYw7ny_ZF5</t>
  </si>
  <si>
    <t>https://drive.google.com/file/d/1F0cFf0fxV-C9T_H14o7O9WcYw7ny_ZF5/view?usp=drivesdk</t>
  </si>
  <si>
    <t>0091178036 / 252610501</t>
  </si>
  <si>
    <t>Safa Naya Adristi - P</t>
  </si>
  <si>
    <t>https://quickchart.io/qr?size=250&amp;text=https%3A%2F%2Fdocs.google.com%2Fforms%2Fd%2Fe%2F1FAIpQLSeZ-R1GrWlAPkfaThGqxeTj0QTtrARw4rroxIIepf2kipn1nw%2FformResponse%3Fusp%3Dpp_url%26entry.1313582257%3D0091178036%20%2F%20252610501%26entry.1578404635%3DHadir</t>
  </si>
  <si>
    <t>1kpEok9o5gxcKyHN9jX0BNmKeMNVx4FBY</t>
  </si>
  <si>
    <t>https://drive.google.com/file/d/1kpEok9o5gxcKyHN9jX0BNmKeMNVx4FBY/view?usp=drivesdk</t>
  </si>
  <si>
    <t>0106930882 / 252610520</t>
  </si>
  <si>
    <t>Shirane Ghaniyya Ramadhani - P</t>
  </si>
  <si>
    <t>https://quickchart.io/qr?size=250&amp;text=https%3A%2F%2Fdocs.google.com%2Fforms%2Fd%2Fe%2F1FAIpQLSeZ-R1GrWlAPkfaThGqxeTj0QTtrARw4rroxIIepf2kipn1nw%2FformResponse%3Fusp%3Dpp_url%26entry.1313582257%3D0106930882%20%2F%20252610520%26entry.1578404635%3DHadir</t>
  </si>
  <si>
    <t>1xg3r4lBJ5Au-57a5WnPltT74NUnXohOI</t>
  </si>
  <si>
    <t>https://drive.google.com/file/d/1xg3r4lBJ5Au-57a5WnPltT74NUnXohOI/view?usp=drivesdk</t>
  </si>
  <si>
    <t>0109721617 / 252610555</t>
  </si>
  <si>
    <t>Yasmin Kirani Affifah - P</t>
  </si>
  <si>
    <t>https://quickchart.io/qr?size=250&amp;text=https%3A%2F%2Fdocs.google.com%2Fforms%2Fd%2Fe%2F1FAIpQLSeZ-R1GrWlAPkfaThGqxeTj0QTtrARw4rroxIIepf2kipn1nw%2FformResponse%3Fusp%3Dpp_url%26entry.1313582257%3D0109721617%20%2F%20252610555%26entry.1578404635%3DHadir</t>
  </si>
  <si>
    <t>1dwDwhNJa-i5Px1BIldGBAl8S2ieSSunK</t>
  </si>
  <si>
    <t>https://drive.google.com/file/d/1dwDwhNJa-i5Px1BIldGBAl8S2ieSSunK/view?usp=drivesdk</t>
  </si>
  <si>
    <t>0101188685 / 252610556</t>
  </si>
  <si>
    <t>Yasmine Almira Queen - P</t>
  </si>
  <si>
    <t>https://quickchart.io/qr?size=250&amp;text=https%3A%2F%2Fdocs.google.com%2Fforms%2Fd%2Fe%2F1FAIpQLSeZ-R1GrWlAPkfaThGqxeTj0QTtrARw4rroxIIepf2kipn1nw%2FformResponse%3Fusp%3Dpp_url%26entry.1313582257%3D0101188685%20%2F%20252610556%26entry.1578404635%3DHadir</t>
  </si>
  <si>
    <t>1zrJQS28hlypUhj_Lyuqigpe7zZ4-7hJD</t>
  </si>
  <si>
    <t>https://drive.google.com/file/d/1zrJQS28hlypUhj_Lyuqigpe7zZ4-7hJD/view?usp=drivesdk</t>
  </si>
  <si>
    <t>0106136353 / 252610016</t>
  </si>
  <si>
    <t>Ahmad Azmi Mutaarrofi - L</t>
  </si>
  <si>
    <t>X4</t>
  </si>
  <si>
    <t>https://quickchart.io/qr?size=250&amp;text=https%3A%2F%2Fdocs.google.com%2Fforms%2Fd%2Fe%2F1FAIpQLSeZ-R1GrWlAPkfaThGqxeTj0QTtrARw4rroxIIepf2kipn1nw%2FformResponse%3Fusp%3Dpp_url%26entry.1313582257%3D0106136353%20%2F%20252610016%26entry.1578404635%3DHadir</t>
  </si>
  <si>
    <t>1g0hisef2-i9GSdHJ6Ss4ViotRO0ZrBot</t>
  </si>
  <si>
    <t>https://drive.google.com/file/d/1g0hisef2-i9GSdHJ6Ss4ViotRO0ZrBot/view?usp=drivesdk</t>
  </si>
  <si>
    <t>Document successfully created; Document successfully merged; PDF created; Manually run by skycircle.id@gmail.com; Timestamp: Nov 7 2025 3:14 AM</t>
  </si>
  <si>
    <t>0095491750 / 252610018</t>
  </si>
  <si>
    <t>Ahmad Farely Azriel - L</t>
  </si>
  <si>
    <t>https://quickchart.io/qr?size=250&amp;text=https%3A%2F%2Fdocs.google.com%2Fforms%2Fd%2Fe%2F1FAIpQLSeZ-R1GrWlAPkfaThGqxeTj0QTtrARw4rroxIIepf2kipn1nw%2FformResponse%3Fusp%3Dpp_url%26entry.1313582257%3D0095491750%20%2F%20252610018%26entry.1578404635%3DHadir</t>
  </si>
  <si>
    <t>17mRG_vEgxBzC85vaAds7DTSBlRwIo6h1</t>
  </si>
  <si>
    <t>https://drive.google.com/file/d/17mRG_vEgxBzC85vaAds7DTSBlRwIo6h1/view?usp=drivesdk</t>
  </si>
  <si>
    <t>0087811342 / 252610038</t>
  </si>
  <si>
    <t>Alfian Chaniago - L</t>
  </si>
  <si>
    <t>https://quickchart.io/qr?size=250&amp;text=https%3A%2F%2Fdocs.google.com%2Fforms%2Fd%2Fe%2F1FAIpQLSeZ-R1GrWlAPkfaThGqxeTj0QTtrARw4rroxIIepf2kipn1nw%2FformResponse%3Fusp%3Dpp_url%26entry.1313582257%3D0087811342%20%2F%20252610038%26entry.1578404635%3DHadir</t>
  </si>
  <si>
    <t>1zJ1DxUQDyTfOUZqOrL4jffzaIUsflQ1K</t>
  </si>
  <si>
    <t>https://drive.google.com/file/d/1zJ1DxUQDyTfOUZqOrL4jffzaIUsflQ1K/view?usp=drivesdk</t>
  </si>
  <si>
    <t>0094160993 / 252610045</t>
  </si>
  <si>
    <t>Alleandra Kaif Finandita - P</t>
  </si>
  <si>
    <t>https://quickchart.io/qr?size=250&amp;text=https%3A%2F%2Fdocs.google.com%2Fforms%2Fd%2Fe%2F1FAIpQLSeZ-R1GrWlAPkfaThGqxeTj0QTtrARw4rroxIIepf2kipn1nw%2FformResponse%3Fusp%3Dpp_url%26entry.1313582257%3D0094160993%20%2F%20252610045%26entry.1578404635%3DHadir</t>
  </si>
  <si>
    <t>16yQ7PW60L170_OXHw9nZTlvax-XF2TG6</t>
  </si>
  <si>
    <t>https://drive.google.com/file/d/16yQ7PW60L170_OXHw9nZTlvax-XF2TG6/view?usp=drivesdk</t>
  </si>
  <si>
    <t>0103659705 / 252610049</t>
  </si>
  <si>
    <t>Altaira Aqila Myesha Ario - P</t>
  </si>
  <si>
    <t>https://quickchart.io/qr?size=250&amp;text=https%3A%2F%2Fdocs.google.com%2Fforms%2Fd%2Fe%2F1FAIpQLSeZ-R1GrWlAPkfaThGqxeTj0QTtrARw4rroxIIepf2kipn1nw%2FformResponse%3Fusp%3Dpp_url%26entry.1313582257%3D0103659705%20%2F%20252610049%26entry.1578404635%3DHadir</t>
  </si>
  <si>
    <t>1l6jHrnskVeUKm8aVTSrzqZFoe4NhvYYH</t>
  </si>
  <si>
    <t>https://drive.google.com/file/d/1l6jHrnskVeUKm8aVTSrzqZFoe4NhvYYH/view?usp=drivesdk</t>
  </si>
  <si>
    <t>0107838813 / 252610056</t>
  </si>
  <si>
    <t>Amira Najwa Fauziyah - P</t>
  </si>
  <si>
    <t>https://quickchart.io/qr?size=250&amp;text=https%3A%2F%2Fdocs.google.com%2Fforms%2Fd%2Fe%2F1FAIpQLSeZ-R1GrWlAPkfaThGqxeTj0QTtrARw4rroxIIepf2kipn1nw%2FformResponse%3Fusp%3Dpp_url%26entry.1313582257%3D0107838813%20%2F%20252610056%26entry.1578404635%3DHadir</t>
  </si>
  <si>
    <t>1Dk31ObqyyVg-58FSEugMaiAfTbvytuDB</t>
  </si>
  <si>
    <t>https://drive.google.com/file/d/1Dk31ObqyyVg-58FSEugMaiAfTbvytuDB/view?usp=drivesdk</t>
  </si>
  <si>
    <t>0108144208 / 252610069</t>
  </si>
  <si>
    <t>Aphrodyta Aurelia Avrilla - P</t>
  </si>
  <si>
    <t>https://quickchart.io/qr?size=250&amp;text=https%3A%2F%2Fdocs.google.com%2Fforms%2Fd%2Fe%2F1FAIpQLSeZ-R1GrWlAPkfaThGqxeTj0QTtrARw4rroxIIepf2kipn1nw%2FformResponse%3Fusp%3Dpp_url%26entry.1313582257%3D0108144208%20%2F%20252610069%26entry.1578404635%3DHadir</t>
  </si>
  <si>
    <t>1hp-HHNIU2nkGIYpK664Dl0NeRqlMNClp</t>
  </si>
  <si>
    <t>https://drive.google.com/file/d/1hp-HHNIU2nkGIYpK664Dl0NeRqlMNClp/view?usp=drivesdk</t>
  </si>
  <si>
    <t>0096853688 / 252610074</t>
  </si>
  <si>
    <t>Aqueena Putri Salimah - P</t>
  </si>
  <si>
    <t>https://quickchart.io/qr?size=250&amp;text=https%3A%2F%2Fdocs.google.com%2Fforms%2Fd%2Fe%2F1FAIpQLSeZ-R1GrWlAPkfaThGqxeTj0QTtrARw4rroxIIepf2kipn1nw%2FformResponse%3Fusp%3Dpp_url%26entry.1313582257%3D0096853688%20%2F%20252610074%26entry.1578404635%3DHadir</t>
  </si>
  <si>
    <t>13_KeVAZ137cVbKsK2NVY8vKA7csBh-S9</t>
  </si>
  <si>
    <t>https://drive.google.com/file/d/13_KeVAZ137cVbKsK2NVY8vKA7csBh-S9/view?usp=drivesdk</t>
  </si>
  <si>
    <t>Document successfully created; Document successfully merged; PDF created; Manually run by skycircle.id@gmail.com; Timestamp: Nov 7 2025 3:15 AM</t>
  </si>
  <si>
    <t>0092637367 / 252610132</t>
  </si>
  <si>
    <t>Chairani Kanza Wulandaputri - P</t>
  </si>
  <si>
    <t>https://quickchart.io/qr?size=250&amp;text=https%3A%2F%2Fdocs.google.com%2Fforms%2Fd%2Fe%2F1FAIpQLSeZ-R1GrWlAPkfaThGqxeTj0QTtrARw4rroxIIepf2kipn1nw%2FformResponse%3Fusp%3Dpp_url%26entry.1313582257%3D0092637367%20%2F%20252610132%26entry.1578404635%3DHadir</t>
  </si>
  <si>
    <t>1vR-AjQ5_wJik9gY8wY1eGSTerjYZsSPq</t>
  </si>
  <si>
    <t>https://drive.google.com/file/d/1vR-AjQ5_wJik9gY8wY1eGSTerjYZsSPq/view?usp=drivesdk</t>
  </si>
  <si>
    <t>0095522157 / 252610155</t>
  </si>
  <si>
    <t>Dhefa Raditya Putra - P</t>
  </si>
  <si>
    <t>https://quickchart.io/qr?size=250&amp;text=https%3A%2F%2Fdocs.google.com%2Fforms%2Fd%2Fe%2F1FAIpQLSeZ-R1GrWlAPkfaThGqxeTj0QTtrARw4rroxIIepf2kipn1nw%2FformResponse%3Fusp%3Dpp_url%26entry.1313582257%3D0095522157%20%2F%20252610155%26entry.1578404635%3DHadir</t>
  </si>
  <si>
    <t>1xlHHwbU11-CDIqy3AalkOelWABwWkNCJ</t>
  </si>
  <si>
    <t>https://drive.google.com/file/d/1xlHHwbU11-CDIqy3AalkOelWABwWkNCJ/view?usp=drivesdk</t>
  </si>
  <si>
    <t>0098223677 / 252610162</t>
  </si>
  <si>
    <t>Diaz Syeza Zivanna - L</t>
  </si>
  <si>
    <t>https://quickchart.io/qr?size=250&amp;text=https%3A%2F%2Fdocs.google.com%2Fforms%2Fd%2Fe%2F1FAIpQLSeZ-R1GrWlAPkfaThGqxeTj0QTtrARw4rroxIIepf2kipn1nw%2FformResponse%3Fusp%3Dpp_url%26entry.1313582257%3D0098223677%20%2F%20252610162%26entry.1578404635%3DHadir</t>
  </si>
  <si>
    <t>152mWa79wIZj4rp_m2R7yLbrwgpm-sDx0</t>
  </si>
  <si>
    <t>https://drive.google.com/file/d/152mWa79wIZj4rp_m2R7yLbrwgpm-sDx0/view?usp=drivesdk</t>
  </si>
  <si>
    <t>Dwi Nailah Azhara - P</t>
  </si>
  <si>
    <t>https://quickchart.io/qr?size=250&amp;text=https%3A%2F%2Fdocs.google.com%2Fforms%2Fd%2Fe%2F1FAIpQLSeZ-R1GrWlAPkfaThGqxeTj0QTtrARw4rroxIIepf2kipn1nw%2FformResponse%3Fusp%3Dpp_url%26entry.1313582257%3D0106545857%20%2F%20252610173%26entry.1578404635%3DHadir</t>
  </si>
  <si>
    <t>11FrGucojG0wQYnhkK3Wzsh6UbjyxHe74</t>
  </si>
  <si>
    <t>https://drive.google.com/file/d/11FrGucojG0wQYnhkK3Wzsh6UbjyxHe74/view?usp=drivesdk</t>
  </si>
  <si>
    <t>0108696681 / 252610183</t>
  </si>
  <si>
    <t>Erlangga Ardiyanto - L</t>
  </si>
  <si>
    <t>https://quickchart.io/qr?size=250&amp;text=https%3A%2F%2Fdocs.google.com%2Fforms%2Fd%2Fe%2F1FAIpQLSeZ-R1GrWlAPkfaThGqxeTj0QTtrARw4rroxIIepf2kipn1nw%2FformResponse%3Fusp%3Dpp_url%26entry.1313582257%3D0108696681%20%2F%20252610183%26entry.1578404635%3DHadir</t>
  </si>
  <si>
    <t>1-5mPLRj9fGvz4zyeeLmyXZJ3IlUz_SDP</t>
  </si>
  <si>
    <t>https://drive.google.com/file/d/1-5mPLRj9fGvz4zyeeLmyXZJ3IlUz_SDP/view?usp=drivesdk</t>
  </si>
  <si>
    <t>0102866245 / 252610188</t>
  </si>
  <si>
    <t>Fahmi Adilla Pasha - L</t>
  </si>
  <si>
    <t>https://quickchart.io/qr?size=250&amp;text=https%3A%2F%2Fdocs.google.com%2Fforms%2Fd%2Fe%2F1FAIpQLSeZ-R1GrWlAPkfaThGqxeTj0QTtrARw4rroxIIepf2kipn1nw%2FformResponse%3Fusp%3Dpp_url%26entry.1313582257%3D0102866245%20%2F%20252610188%26entry.1578404635%3DHadir</t>
  </si>
  <si>
    <t>1WuQtDKX0bs4AkZ6u6Ycz5FfzNh2fC9hg</t>
  </si>
  <si>
    <t>https://drive.google.com/file/d/1WuQtDKX0bs4AkZ6u6Ycz5FfzNh2fC9hg/view?usp=drivesdk</t>
  </si>
  <si>
    <t>Document successfully created; Document successfully merged; PDF created; Manually run by skycircle.id@gmail.com; Timestamp: Nov 7 2025 3:16 AM</t>
  </si>
  <si>
    <t>Fakhi Zulfia Bilqis Nasyifa - L</t>
  </si>
  <si>
    <t>https://quickchart.io/qr?size=250&amp;text=https%3A%2F%2Fdocs.google.com%2Fforms%2Fd%2Fe%2F1FAIpQLSeZ-R1GrWlAPkfaThGqxeTj0QTtrARw4rroxIIepf2kipn1nw%2FformResponse%3Fusp%3Dpp_url%26entry.1313582257%3D0107425879%20%2F%20252610191%26entry.1578404635%3DHadir</t>
  </si>
  <si>
    <t>1aOU5zy3vVAn0iSw8CWZuEeqUDKFWtCca</t>
  </si>
  <si>
    <t>https://drive.google.com/file/d/1aOU5zy3vVAn0iSw8CWZuEeqUDKFWtCca/view?usp=drivesdk</t>
  </si>
  <si>
    <t>Friska Feby Aulia - P</t>
  </si>
  <si>
    <t>https://quickchart.io/qr?size=250&amp;text=https%3A%2F%2Fdocs.google.com%2Fforms%2Fd%2Fe%2F1FAIpQLSeZ-R1GrWlAPkfaThGqxeTj0QTtrARw4rroxIIepf2kipn1nw%2FformResponse%3Fusp%3Dpp_url%26entry.1313582257%3D0104987304%20%2F%20252610216%26entry.1578404635%3DHadir</t>
  </si>
  <si>
    <t>1SmOyMnT6s9aZ4Cfxe9efn65GKU9TqGi6</t>
  </si>
  <si>
    <t>https://drive.google.com/file/d/1SmOyMnT6s9aZ4Cfxe9efn65GKU9TqGi6/view?usp=drivesdk</t>
  </si>
  <si>
    <t>Inaya Janeeta - P</t>
  </si>
  <si>
    <t>https://quickchart.io/qr?size=250&amp;text=https%3A%2F%2Fdocs.google.com%2Fforms%2Fd%2Fe%2F1FAIpQLSeZ-R1GrWlAPkfaThGqxeTj0QTtrARw4rroxIIepf2kipn1nw%2FformResponse%3Fusp%3Dpp_url%26entry.1313582257%3D0104595564%20%2F%20252610233%26entry.1578404635%3DHadir</t>
  </si>
  <si>
    <t>1zz825j7I4T7X4AnyEYLC3b-2ATo48ImX</t>
  </si>
  <si>
    <t>https://drive.google.com/file/d/1zz825j7I4T7X4AnyEYLC3b-2ATo48ImX/view?usp=drivesdk</t>
  </si>
  <si>
    <t>0107286739 / 252610258</t>
  </si>
  <si>
    <t>Karnizara Ringga Rabbani - P</t>
  </si>
  <si>
    <t>https://quickchart.io/qr?size=250&amp;text=https%3A%2F%2Fdocs.google.com%2Fforms%2Fd%2Fe%2F1FAIpQLSeZ-R1GrWlAPkfaThGqxeTj0QTtrARw4rroxIIepf2kipn1nw%2FformResponse%3Fusp%3Dpp_url%26entry.1313582257%3D0107286739%20%2F%20252610258%26entry.1578404635%3DHadir</t>
  </si>
  <si>
    <t>1dAxQgT7HYu3s3mYS7N71bEfn2GfpZJJY</t>
  </si>
  <si>
    <t>https://drive.google.com/file/d/1dAxQgT7HYu3s3mYS7N71bEfn2GfpZJJY/view?usp=drivesdk</t>
  </si>
  <si>
    <t>Karunia Dwi Rahmawati - P</t>
  </si>
  <si>
    <t>https://quickchart.io/qr?size=250&amp;text=https%3A%2F%2Fdocs.google.com%2Fforms%2Fd%2Fe%2F1FAIpQLSeZ-R1GrWlAPkfaThGqxeTj0QTtrARw4rroxIIepf2kipn1nw%2FformResponse%3Fusp%3Dpp_url%26entry.1313582257%3D0109267722%20%2F%20252610260%26entry.1578404635%3DHadir</t>
  </si>
  <si>
    <t>1V9lshM4t4dm-GdMzxlHpN7-RRqeAkT-F</t>
  </si>
  <si>
    <t>https://drive.google.com/file/d/1V9lshM4t4dm-GdMzxlHpN7-RRqeAkT-F/view?usp=drivesdk</t>
  </si>
  <si>
    <t>Document successfully created; Document successfully merged; PDF created; Manually run by skycircle.id@gmail.com; Timestamp: Nov 7 2025 3:17 AM</t>
  </si>
  <si>
    <t>0093634061 / 252610266</t>
  </si>
  <si>
    <t>Keisa Wanda Setiawan - P</t>
  </si>
  <si>
    <t>https://quickchart.io/qr?size=250&amp;text=https%3A%2F%2Fdocs.google.com%2Fforms%2Fd%2Fe%2F1FAIpQLSeZ-R1GrWlAPkfaThGqxeTj0QTtrARw4rroxIIepf2kipn1nw%2FformResponse%3Fusp%3Dpp_url%26entry.1313582257%3D0093634061%20%2F%20252610266%26entry.1578404635%3DHadir</t>
  </si>
  <si>
    <t>1Kr9ttkF108kcultThPFvi_24Q527esxA</t>
  </si>
  <si>
    <t>https://drive.google.com/file/d/1Kr9ttkF108kcultThPFvi_24Q527esxA/view?usp=drivesdk</t>
  </si>
  <si>
    <t>3091547533 / 252610275</t>
  </si>
  <si>
    <t>Keyno Nazmi Afham - L</t>
  </si>
  <si>
    <t>https://quickchart.io/qr?size=250&amp;text=https%3A%2F%2Fdocs.google.com%2Fforms%2Fd%2Fe%2F1FAIpQLSeZ-R1GrWlAPkfaThGqxeTj0QTtrARw4rroxIIepf2kipn1nw%2FformResponse%3Fusp%3Dpp_url%26entry.1313582257%3D3091547533%20%2F%20252610275%26entry.1578404635%3DHadir</t>
  </si>
  <si>
    <t>11TwBzSTV5-MRHYy0noiTdodHIT1KEfva</t>
  </si>
  <si>
    <t>https://drive.google.com/file/d/11TwBzSTV5-MRHYy0noiTdodHIT1KEfva/view?usp=drivesdk</t>
  </si>
  <si>
    <t>0097951249 / 252610282</t>
  </si>
  <si>
    <t>Khansa Vanya Laudya Putri - P</t>
  </si>
  <si>
    <t>https://quickchart.io/qr?size=250&amp;text=https%3A%2F%2Fdocs.google.com%2Fforms%2Fd%2Fe%2F1FAIpQLSeZ-R1GrWlAPkfaThGqxeTj0QTtrARw4rroxIIepf2kipn1nw%2FformResponse%3Fusp%3Dpp_url%26entry.1313582257%3D0097951249%20%2F%20252610282%26entry.1578404635%3DHadir</t>
  </si>
  <si>
    <t>14k_LbGq-nRD5iTNaOcvDJgPBoMmNc8LK</t>
  </si>
  <si>
    <t>https://drive.google.com/file/d/14k_LbGq-nRD5iTNaOcvDJgPBoMmNc8LK/view?usp=drivesdk</t>
  </si>
  <si>
    <t>0102015407 / 252610294</t>
  </si>
  <si>
    <t>Lutfi Dwi Melati - P</t>
  </si>
  <si>
    <t>https://quickchart.io/qr?size=250&amp;text=https%3A%2F%2Fdocs.google.com%2Fforms%2Fd%2Fe%2F1FAIpQLSeZ-R1GrWlAPkfaThGqxeTj0QTtrARw4rroxIIepf2kipn1nw%2FformResponse%3Fusp%3Dpp_url%26entry.1313582257%3D0102015407%20%2F%20252610294%26entry.1578404635%3DHadir</t>
  </si>
  <si>
    <t>1kZEOmByY_X4TyCo8dhzXCT0yn-mcnhfm</t>
  </si>
  <si>
    <t>https://drive.google.com/file/d/1kZEOmByY_X4TyCo8dhzXCT0yn-mcnhfm/view?usp=drivesdk</t>
  </si>
  <si>
    <t>Document successfully created; Document successfully merged; PDF created; Manually run by skycircle.id@gmail.com; Timestamp: Nov 7 2025 3:18 AM</t>
  </si>
  <si>
    <t>0106908655 / 252610306</t>
  </si>
  <si>
    <t>Masayu Ganisha Pembayun Putri - P</t>
  </si>
  <si>
    <t>https://quickchart.io/qr?size=250&amp;text=https%3A%2F%2Fdocs.google.com%2Fforms%2Fd%2Fe%2F1FAIpQLSeZ-R1GrWlAPkfaThGqxeTj0QTtrARw4rroxIIepf2kipn1nw%2FformResponse%3Fusp%3Dpp_url%26entry.1313582257%3D0106908655%20%2F%20252610306%26entry.1578404635%3DHadir</t>
  </si>
  <si>
    <t>1pifJIYMcrr1DEj9Qb-BIgazz9udIdsxX</t>
  </si>
  <si>
    <t>https://drive.google.com/file/d/1pifJIYMcrr1DEj9Qb-BIgazz9udIdsxX/view?usp=drivesdk</t>
  </si>
  <si>
    <t>0092608342 / 252610309</t>
  </si>
  <si>
    <t>Mazaya Aqila Betha Diladena - P</t>
  </si>
  <si>
    <t>https://quickchart.io/qr?size=250&amp;text=https%3A%2F%2Fdocs.google.com%2Fforms%2Fd%2Fe%2F1FAIpQLSeZ-R1GrWlAPkfaThGqxeTj0QTtrARw4rroxIIepf2kipn1nw%2FformResponse%3Fusp%3Dpp_url%26entry.1313582257%3D0092608342%20%2F%20252610309%26entry.1578404635%3DHadir</t>
  </si>
  <si>
    <t>13FpcITMmlCF-nALz0P2VEjsFGTgRIB85</t>
  </si>
  <si>
    <t>https://drive.google.com/file/d/13FpcITMmlCF-nALz0P2VEjsFGTgRIB85/view?usp=drivesdk</t>
  </si>
  <si>
    <t>0098979111 / 252610329</t>
  </si>
  <si>
    <t>Muhamad Rizqi Darmawan - L</t>
  </si>
  <si>
    <t>https://quickchart.io/qr?size=250&amp;text=https%3A%2F%2Fdocs.google.com%2Fforms%2Fd%2Fe%2F1FAIpQLSeZ-R1GrWlAPkfaThGqxeTj0QTtrARw4rroxIIepf2kipn1nw%2FformResponse%3Fusp%3Dpp_url%26entry.1313582257%3D0098979111%20%2F%20252610329%26entry.1578404635%3DHadir</t>
  </si>
  <si>
    <t>16ONLvmyN3XWzF4SAnuZVWgK-yYsa8sRE</t>
  </si>
  <si>
    <t>https://drive.google.com/file/d/16ONLvmyN3XWzF4SAnuZVWgK-yYsa8sRE/view?usp=drivesdk</t>
  </si>
  <si>
    <t>0105497173 / 252610357</t>
  </si>
  <si>
    <t>Muhammad Ihsan Putra Pamungkas - L</t>
  </si>
  <si>
    <t>https://quickchart.io/qr?size=250&amp;text=https%3A%2F%2Fdocs.google.com%2Fforms%2Fd%2Fe%2F1FAIpQLSeZ-R1GrWlAPkfaThGqxeTj0QTtrARw4rroxIIepf2kipn1nw%2FformResponse%3Fusp%3Dpp_url%26entry.1313582257%3D0105497173%20%2F%20252610357%26entry.1578404635%3DHadir</t>
  </si>
  <si>
    <t>1WpUwS6OzDXyTQW0soa2yuuiC4F4SLkfb</t>
  </si>
  <si>
    <t>https://drive.google.com/file/d/1WpUwS6OzDXyTQW0soa2yuuiC4F4SLkfb/view?usp=drivesdk</t>
  </si>
  <si>
    <t>0092028941 / 252610363</t>
  </si>
  <si>
    <t>Muhammad Rafi Kurniawan - L</t>
  </si>
  <si>
    <t>https://quickchart.io/qr?size=250&amp;text=https%3A%2F%2Fdocs.google.com%2Fforms%2Fd%2Fe%2F1FAIpQLSeZ-R1GrWlAPkfaThGqxeTj0QTtrARw4rroxIIepf2kipn1nw%2FformResponse%3Fusp%3Dpp_url%26entry.1313582257%3D0092028941%20%2F%20252610363%26entry.1578404635%3DHadir</t>
  </si>
  <si>
    <t>1S4WIDvGQljG62p5n4KT4drgbHCYrYkxZ</t>
  </si>
  <si>
    <t>https://drive.google.com/file/d/1S4WIDvGQljG62p5n4KT4drgbHCYrYkxZ/view?usp=drivesdk</t>
  </si>
  <si>
    <t>0097410697 / 252610373</t>
  </si>
  <si>
    <t>Muhammad Sulthon Najib - L</t>
  </si>
  <si>
    <t>https://quickchart.io/qr?size=250&amp;text=https%3A%2F%2Fdocs.google.com%2Fforms%2Fd%2Fe%2F1FAIpQLSeZ-R1GrWlAPkfaThGqxeTj0QTtrARw4rroxIIepf2kipn1nw%2FformResponse%3Fusp%3Dpp_url%26entry.1313582257%3D0097410697%20%2F%20252610373%26entry.1578404635%3DHadir</t>
  </si>
  <si>
    <t>1U5c4z0u5cmwP7-85kqm-BH_yEGcXtZrn</t>
  </si>
  <si>
    <t>https://drive.google.com/file/d/1U5c4z0u5cmwP7-85kqm-BH_yEGcXtZrn/view?usp=drivesdk</t>
  </si>
  <si>
    <t>Document successfully created; Document successfully merged; PDF created; Manually run by skycircle.id@gmail.com; Timestamp: Nov 7 2025 3:19 AM</t>
  </si>
  <si>
    <t>3105173369 / 252610378</t>
  </si>
  <si>
    <t>Muhammad Zaidan Aqil - L</t>
  </si>
  <si>
    <t>https://quickchart.io/qr?size=250&amp;text=https%3A%2F%2Fdocs.google.com%2Fforms%2Fd%2Fe%2F1FAIpQLSeZ-R1GrWlAPkfaThGqxeTj0QTtrARw4rroxIIepf2kipn1nw%2FformResponse%3Fusp%3Dpp_url%26entry.1313582257%3D3105173369%20%2F%20252610378%26entry.1578404635%3DHadir</t>
  </si>
  <si>
    <t>1lzWgNrOGgUcTiDOzl9J2mtj_qLuyFYtQ</t>
  </si>
  <si>
    <t>https://drive.google.com/file/d/1lzWgNrOGgUcTiDOzl9J2mtj_qLuyFYtQ/view?usp=drivesdk</t>
  </si>
  <si>
    <t>3107700954 / 252610382</t>
  </si>
  <si>
    <t>Mutiara Geisya Nuraini - P</t>
  </si>
  <si>
    <t>https://quickchart.io/qr?size=250&amp;text=https%3A%2F%2Fdocs.google.com%2Fforms%2Fd%2Fe%2F1FAIpQLSeZ-R1GrWlAPkfaThGqxeTj0QTtrARw4rroxIIepf2kipn1nw%2FformResponse%3Fusp%3Dpp_url%26entry.1313582257%3D3107700954%20%2F%20252610382%26entry.1578404635%3DHadir</t>
  </si>
  <si>
    <t>1NmIggidpV6JkajkBeYY1-Cch36BT0Od9</t>
  </si>
  <si>
    <t>https://drive.google.com/file/d/1NmIggidpV6JkajkBeYY1-Cch36BT0Od9/view?usp=drivesdk</t>
  </si>
  <si>
    <t>0103461516 / 252610433</t>
  </si>
  <si>
    <t>Priscilia Michelle Pasau - P</t>
  </si>
  <si>
    <t>https://quickchart.io/qr?size=250&amp;text=https%3A%2F%2Fdocs.google.com%2Fforms%2Fd%2Fe%2F1FAIpQLSeZ-R1GrWlAPkfaThGqxeTj0QTtrARw4rroxIIepf2kipn1nw%2FformResponse%3Fusp%3Dpp_url%26entry.1313582257%3D0103461516%20%2F%20252610433%26entry.1578404635%3DHadir</t>
  </si>
  <si>
    <t>1kKRi8jHuS02UV8ZvhTCpUWPE8uG9Dcj3</t>
  </si>
  <si>
    <t>https://drive.google.com/file/d/1kKRi8jHuS02UV8ZvhTCpUWPE8uG9Dcj3/view?usp=drivesdk</t>
  </si>
  <si>
    <t>0109782055 / 252610435</t>
  </si>
  <si>
    <t>Puffin Rohis Jusup Manurung - L</t>
  </si>
  <si>
    <t>https://quickchart.io/qr?size=250&amp;text=https%3A%2F%2Fdocs.google.com%2Fforms%2Fd%2Fe%2F1FAIpQLSeZ-R1GrWlAPkfaThGqxeTj0QTtrARw4rroxIIepf2kipn1nw%2FformResponse%3Fusp%3Dpp_url%26entry.1313582257%3D0109782055%20%2F%20252610435%26entry.1578404635%3DHadir</t>
  </si>
  <si>
    <t>1KQukR-tklUjVqW8EVedBDg98Ujt0njK6</t>
  </si>
  <si>
    <t>https://drive.google.com/file/d/1KQukR-tklUjVqW8EVedBDg98Ujt0njK6/view?usp=drivesdk</t>
  </si>
  <si>
    <t>0108699884 / 252610447</t>
  </si>
  <si>
    <t>Quizal Razky Ahmad - L</t>
  </si>
  <si>
    <t>https://quickchart.io/qr?size=250&amp;text=https%3A%2F%2Fdocs.google.com%2Fforms%2Fd%2Fe%2F1FAIpQLSeZ-R1GrWlAPkfaThGqxeTj0QTtrARw4rroxIIepf2kipn1nw%2FformResponse%3Fusp%3Dpp_url%26entry.1313582257%3D0108699884%20%2F%20252610447%26entry.1578404635%3DHadir</t>
  </si>
  <si>
    <t>1ra3WjJfYY4y7yug2XeBb-juJ5s3eHPjo</t>
  </si>
  <si>
    <t>https://drive.google.com/file/d/1ra3WjJfYY4y7yug2XeBb-juJ5s3eHPjo/view?usp=drivesdk</t>
  </si>
  <si>
    <t>Document successfully created; Document successfully merged; PDF created; Manually run by skycircle.id@gmail.com; Timestamp: Nov 7 2025 3:20 AM</t>
  </si>
  <si>
    <t>0108390462 / 252610472</t>
  </si>
  <si>
    <t>Randy Adiya Pratama Kouw - L</t>
  </si>
  <si>
    <t>https://quickchart.io/qr?size=250&amp;text=https%3A%2F%2Fdocs.google.com%2Fforms%2Fd%2Fe%2F1FAIpQLSeZ-R1GrWlAPkfaThGqxeTj0QTtrARw4rroxIIepf2kipn1nw%2FformResponse%3Fusp%3Dpp_url%26entry.1313582257%3D0108390462%20%2F%20252610472%26entry.1578404635%3DHadir</t>
  </si>
  <si>
    <t>1x3EBgAY0b0LsatGYUd83-AvIaRgie9oR</t>
  </si>
  <si>
    <t>https://drive.google.com/file/d/1x3EBgAY0b0LsatGYUd83-AvIaRgie9oR/view?usp=drivesdk</t>
  </si>
  <si>
    <t>0107960365 / 252610475</t>
  </si>
  <si>
    <t>Ravino Abbas Subaga - L</t>
  </si>
  <si>
    <t>https://quickchart.io/qr?size=250&amp;text=https%3A%2F%2Fdocs.google.com%2Fforms%2Fd%2Fe%2F1FAIpQLSeZ-R1GrWlAPkfaThGqxeTj0QTtrARw4rroxIIepf2kipn1nw%2FformResponse%3Fusp%3Dpp_url%26entry.1313582257%3D0107960365%20%2F%20252610475%26entry.1578404635%3DHadir</t>
  </si>
  <si>
    <t>1nDdLIIUXNOy5cAEKQ0ubnzvdovbicSDW</t>
  </si>
  <si>
    <t>https://drive.google.com/file/d/1nDdLIIUXNOy5cAEKQ0ubnzvdovbicSDW/view?usp=drivesdk</t>
  </si>
  <si>
    <t>0104838010 / 252610480</t>
  </si>
  <si>
    <t>Rei Dillan Hartedi - L</t>
  </si>
  <si>
    <t>https://quickchart.io/qr?size=250&amp;text=https%3A%2F%2Fdocs.google.com%2Fforms%2Fd%2Fe%2F1FAIpQLSeZ-R1GrWlAPkfaThGqxeTj0QTtrARw4rroxIIepf2kipn1nw%2FformResponse%3Fusp%3Dpp_url%26entry.1313582257%3D0104838010%20%2F%20252610480%26entry.1578404635%3DHadir</t>
  </si>
  <si>
    <t>1H_9hDuvs1uDGlqhns5LgesxFmtOvk204</t>
  </si>
  <si>
    <t>https://drive.google.com/file/d/1H_9hDuvs1uDGlqhns5LgesxFmtOvk204/view?usp=drivesdk</t>
  </si>
  <si>
    <t>0108451246 / 252610483</t>
  </si>
  <si>
    <t>Reni Apriliani - P</t>
  </si>
  <si>
    <t>https://quickchart.io/qr?size=250&amp;text=https%3A%2F%2Fdocs.google.com%2Fforms%2Fd%2Fe%2F1FAIpQLSeZ-R1GrWlAPkfaThGqxeTj0QTtrARw4rroxIIepf2kipn1nw%2FformResponse%3Fusp%3Dpp_url%26entry.1313582257%3D0108451246%20%2F%20252610483%26entry.1578404635%3DHadir</t>
  </si>
  <si>
    <t>1_cH6Fd-Dezdj4lVJP8QrLfagHuYeJPSs</t>
  </si>
  <si>
    <t>https://drive.google.com/file/d/1_cH6Fd-Dezdj4lVJP8QrLfagHuYeJPSs/view?usp=drivesdk</t>
  </si>
  <si>
    <t>3104089400 / 252610492</t>
  </si>
  <si>
    <t>Rizky Putra Kunta Ajie - L</t>
  </si>
  <si>
    <t>https://quickchart.io/qr?size=250&amp;text=https%3A%2F%2Fdocs.google.com%2Fforms%2Fd%2Fe%2F1FAIpQLSeZ-R1GrWlAPkfaThGqxeTj0QTtrARw4rroxIIepf2kipn1nw%2FformResponse%3Fusp%3Dpp_url%26entry.1313582257%3D3104089400%20%2F%20252610492%26entry.1578404635%3DHadir</t>
  </si>
  <si>
    <t>1JyGoIRkDpMoX15AEMsG2CAaPx8u4xJ99</t>
  </si>
  <si>
    <t>https://drive.google.com/file/d/1JyGoIRkDpMoX15AEMsG2CAaPx8u4xJ99/view?usp=drivesdk</t>
  </si>
  <si>
    <t>Document successfully created; Document successfully merged; PDF created; Manually run by skycircle.id@gmail.com; Timestamp: Nov 7 2025 3:21 AM</t>
  </si>
  <si>
    <t>0107731505 / 252610512</t>
  </si>
  <si>
    <t>Shabira Andiani - P</t>
  </si>
  <si>
    <t>https://quickchart.io/qr?size=250&amp;text=https%3A%2F%2Fdocs.google.com%2Fforms%2Fd%2Fe%2F1FAIpQLSeZ-R1GrWlAPkfaThGqxeTj0QTtrARw4rroxIIepf2kipn1nw%2FformResponse%3Fusp%3Dpp_url%26entry.1313582257%3D0107731505%20%2F%20252610512%26entry.1578404635%3DHadir</t>
  </si>
  <si>
    <t>1DB4K3TlOZCD9YZI9-4QwJQS0RtMlHyyD</t>
  </si>
  <si>
    <t>https://drive.google.com/file/d/1DB4K3TlOZCD9YZI9-4QwJQS0RtMlHyyD/view?usp=drivesdk</t>
  </si>
  <si>
    <t>0105775007 / 252610514</t>
  </si>
  <si>
    <t>Shafa Talitha Budiarto - P</t>
  </si>
  <si>
    <t>https://quickchart.io/qr?size=250&amp;text=https%3A%2F%2Fdocs.google.com%2Fforms%2Fd%2Fe%2F1FAIpQLSeZ-R1GrWlAPkfaThGqxeTj0QTtrARw4rroxIIepf2kipn1nw%2FformResponse%3Fusp%3Dpp_url%26entry.1313582257%3D0105775007%20%2F%20252610514%26entry.1578404635%3DHadir</t>
  </si>
  <si>
    <t>1LxjQl3_y5FbZXabwdvYgLnH8yR11ZXxU</t>
  </si>
  <si>
    <t>https://drive.google.com/file/d/1LxjQl3_y5FbZXabwdvYgLnH8yR11ZXxU/view?usp=drivesdk</t>
  </si>
  <si>
    <t>0106588309 / 252610515</t>
  </si>
  <si>
    <t>Shahira Hafiza Putri - P</t>
  </si>
  <si>
    <t>https://quickchart.io/qr?size=250&amp;text=https%3A%2F%2Fdocs.google.com%2Fforms%2Fd%2Fe%2F1FAIpQLSeZ-R1GrWlAPkfaThGqxeTj0QTtrARw4rroxIIepf2kipn1nw%2FformResponse%3Fusp%3Dpp_url%26entry.1313582257%3D0106588309%20%2F%20252610515%26entry.1578404635%3DHadir</t>
  </si>
  <si>
    <t>1Yn_AyU087jAs3POAZf8dwCMPrZPZ-4AY</t>
  </si>
  <si>
    <t>https://drive.google.com/file/d/1Yn_AyU087jAs3POAZf8dwCMPrZPZ-4AY/view?usp=drivesdk</t>
  </si>
  <si>
    <t>0106219079 / 252610519</t>
  </si>
  <si>
    <t>Sheika Rizki Ramadanti Aurelia - P</t>
  </si>
  <si>
    <t>https://quickchart.io/qr?size=250&amp;text=https%3A%2F%2Fdocs.google.com%2Fforms%2Fd%2Fe%2F1FAIpQLSeZ-R1GrWlAPkfaThGqxeTj0QTtrARw4rroxIIepf2kipn1nw%2FformResponse%3Fusp%3Dpp_url%26entry.1313582257%3D0106219079%20%2F%20252610519%26entry.1578404635%3DHadir</t>
  </si>
  <si>
    <t>1D-Ocxiy33rIwYhuw2Dr8d1SvEeXr8Dsd</t>
  </si>
  <si>
    <t>https://drive.google.com/file/d/1D-Ocxiy33rIwYhuw2Dr8d1SvEeXr8Dsd/view?usp=drivesdk</t>
  </si>
  <si>
    <t>Document successfully created; Document successfully merged; PDF created; Manually run by skycircle.id@gmail.com; Timestamp: Nov 7 2025 3:22 AM</t>
  </si>
  <si>
    <t>0094714082 / 252610533</t>
  </si>
  <si>
    <t>Syahwa Fatmah - P</t>
  </si>
  <si>
    <t>https://quickchart.io/qr?size=250&amp;text=https%3A%2F%2Fdocs.google.com%2Fforms%2Fd%2Fe%2F1FAIpQLSeZ-R1GrWlAPkfaThGqxeTj0QTtrARw4rroxIIepf2kipn1nw%2FformResponse%3Fusp%3Dpp_url%26entry.1313582257%3D0094714082%20%2F%20252610533%26entry.1578404635%3DHadir</t>
  </si>
  <si>
    <t>1r8WJK5JiZS53iA96-DRHXq5RvwIPfLTQ</t>
  </si>
  <si>
    <t>https://drive.google.com/file/d/1r8WJK5JiZS53iA96-DRHXq5RvwIPfLTQ/view?usp=drivesdk</t>
  </si>
  <si>
    <t>0102630183 / 252610534</t>
  </si>
  <si>
    <t>Syakira Alma Annisa - P</t>
  </si>
  <si>
    <t>https://quickchart.io/qr?size=250&amp;text=https%3A%2F%2Fdocs.google.com%2Fforms%2Fd%2Fe%2F1FAIpQLSeZ-R1GrWlAPkfaThGqxeTj0QTtrARw4rroxIIepf2kipn1nw%2FformResponse%3Fusp%3Dpp_url%26entry.1313582257%3D0102630183%20%2F%20252610534%26entry.1578404635%3DHadir</t>
  </si>
  <si>
    <t>1ax1s8LlhkRE8pqEbLCrj7Ujul3np3WwX</t>
  </si>
  <si>
    <t>https://drive.google.com/file/d/1ax1s8LlhkRE8pqEbLCrj7Ujul3np3WwX/view?usp=drivesdk</t>
  </si>
  <si>
    <t>0106490661 / 252610544</t>
  </si>
  <si>
    <t>Tiara Winni Melia - P</t>
  </si>
  <si>
    <t>https://quickchart.io/qr?size=250&amp;text=https%3A%2F%2Fdocs.google.com%2Fforms%2Fd%2Fe%2F1FAIpQLSeZ-R1GrWlAPkfaThGqxeTj0QTtrARw4rroxIIepf2kipn1nw%2FformResponse%3Fusp%3Dpp_url%26entry.1313582257%3D0106490661%20%2F%20252610544%26entry.1578404635%3DHadir</t>
  </si>
  <si>
    <t>1wvF9SSseZ0grM1yk1WxH6nyF-yIv-URz</t>
  </si>
  <si>
    <t>https://drive.google.com/file/d/1wvF9SSseZ0grM1yk1WxH6nyF-yIv-URz/view?usp=drivesdk</t>
  </si>
  <si>
    <t>Achmad Ardiansyah - L</t>
  </si>
  <si>
    <t>X5</t>
  </si>
  <si>
    <t>https://quickchart.io/qr?size=250&amp;text=https%3A%2F%2Fdocs.google.com%2Fforms%2Fd%2Fe%2F1FAIpQLSeZ-R1GrWlAPkfaThGqxeTj0QTtrARw4rroxIIepf2kipn1nw%2FformResponse%3Fusp%3Dpp_url%26entry.1313582257%3D0092194625%20%2F%20252610004%26entry.1578404635%3DHadir</t>
  </si>
  <si>
    <t>1R8J3i5ODxAk_Mi-KqnIck1iD3zkhySRL</t>
  </si>
  <si>
    <t>https://drive.google.com/file/d/1R8J3i5ODxAk_Mi-KqnIck1iD3zkhySRL/view?usp=drivesdk</t>
  </si>
  <si>
    <t>3108509756 / 252610013</t>
  </si>
  <si>
    <t>Adrian Muhammad Fadillah - L</t>
  </si>
  <si>
    <t>https://quickchart.io/qr?size=250&amp;text=https%3A%2F%2Fdocs.google.com%2Fforms%2Fd%2Fe%2F1FAIpQLSeZ-R1GrWlAPkfaThGqxeTj0QTtrARw4rroxIIepf2kipn1nw%2FformResponse%3Fusp%3Dpp_url%26entry.1313582257%3D3108509756%20%2F%20252610013%26entry.1578404635%3DHadir</t>
  </si>
  <si>
    <t>1_b_FwnzYorCDRBowxuasQGiqZV99FGcV</t>
  </si>
  <si>
    <t>https://drive.google.com/file/d/1_b_FwnzYorCDRBowxuasQGiqZV99FGcV/view?usp=drivesdk</t>
  </si>
  <si>
    <t>Document successfully created; Document successfully merged; PDF created; Manually run by skycircle.id@gmail.com; Timestamp: Nov 7 2025 3:23 AM</t>
  </si>
  <si>
    <t>0099540724 / 252610022</t>
  </si>
  <si>
    <t>Aira Alessia Adha - P</t>
  </si>
  <si>
    <t>https://quickchart.io/qr?size=250&amp;text=https%3A%2F%2Fdocs.google.com%2Fforms%2Fd%2Fe%2F1FAIpQLSeZ-R1GrWlAPkfaThGqxeTj0QTtrARw4rroxIIepf2kipn1nw%2FformResponse%3Fusp%3Dpp_url%26entry.1313582257%3D0099540724%20%2F%20252610022%26entry.1578404635%3DHadir</t>
  </si>
  <si>
    <t>1dOzvpo-GSj80MxMzC-wEXuc6KfWmO4dI</t>
  </si>
  <si>
    <t>https://drive.google.com/file/d/1dOzvpo-GSj80MxMzC-wEXuc6KfWmO4dI/view?usp=drivesdk</t>
  </si>
  <si>
    <t>Aira Febria Sari - P</t>
  </si>
  <si>
    <t>https://quickchart.io/qr?size=250&amp;text=https%3A%2F%2Fdocs.google.com%2Fforms%2Fd%2Fe%2F1FAIpQLSeZ-R1GrWlAPkfaThGqxeTj0QTtrARw4rroxIIepf2kipn1nw%2FformResponse%3Fusp%3Dpp_url%26entry.1313582257%3D0107934430%20%2F%20252610024%26entry.1578404635%3DHadir</t>
  </si>
  <si>
    <t>1ZrrNrOkfkuKtlXEBMl0EQBydPNY9ZjEF</t>
  </si>
  <si>
    <t>https://drive.google.com/file/d/1ZrrNrOkfkuKtlXEBMl0EQBydPNY9ZjEF/view?usp=drivesdk</t>
  </si>
  <si>
    <t>0099668827 / 252610034</t>
  </si>
  <si>
    <t>Al Jadid Syafruddin Lubis - L</t>
  </si>
  <si>
    <t>https://quickchart.io/qr?size=250&amp;text=https%3A%2F%2Fdocs.google.com%2Fforms%2Fd%2Fe%2F1FAIpQLSeZ-R1GrWlAPkfaThGqxeTj0QTtrARw4rroxIIepf2kipn1nw%2FformResponse%3Fusp%3Dpp_url%26entry.1313582257%3D0099668827%20%2F%20252610034%26entry.1578404635%3DHadir</t>
  </si>
  <si>
    <t>1gT3AeSc0ECkO2_n_pLT2UwUUWiXxRMVs</t>
  </si>
  <si>
    <t>https://drive.google.com/file/d/1gT3AeSc0ECkO2_n_pLT2UwUUWiXxRMVs/view?usp=drivesdk</t>
  </si>
  <si>
    <t>0102993208 / 252610043</t>
  </si>
  <si>
    <t>Alisya Belva Dhio - P</t>
  </si>
  <si>
    <t>https://quickchart.io/qr?size=250&amp;text=https%3A%2F%2Fdocs.google.com%2Fforms%2Fd%2Fe%2F1FAIpQLSeZ-R1GrWlAPkfaThGqxeTj0QTtrARw4rroxIIepf2kipn1nw%2FformResponse%3Fusp%3Dpp_url%26entry.1313582257%3D0102993208%20%2F%20252610043%26entry.1578404635%3DHadir</t>
  </si>
  <si>
    <t>1IVbGAZfbHbpS3QcBVlzM4jaQNIFSS0cv</t>
  </si>
  <si>
    <t>https://drive.google.com/file/d/1IVbGAZfbHbpS3QcBVlzM4jaQNIFSS0cv/view?usp=drivesdk</t>
  </si>
  <si>
    <t>Amira Agni Kayla Raisya - P</t>
  </si>
  <si>
    <t>https://quickchart.io/qr?size=250&amp;text=https%3A%2F%2Fdocs.google.com%2Fforms%2Fd%2Fe%2F1FAIpQLSeZ-R1GrWlAPkfaThGqxeTj0QTtrARw4rroxIIepf2kipn1nw%2FformResponse%3Fusp%3Dpp_url%26entry.1313582257%3D0104459637%20%2F%20252610055%26entry.1578404635%3DHadir</t>
  </si>
  <si>
    <t>1kg-VuXMgfAsLENAS6FW3F_B3juYm7Sdx</t>
  </si>
  <si>
    <t>https://drive.google.com/file/d/1kg-VuXMgfAsLENAS6FW3F_B3juYm7Sdx/view?usp=drivesdk</t>
  </si>
  <si>
    <t>Amirah Khalishah Somoal - P</t>
  </si>
  <si>
    <t>https://quickchart.io/qr?size=250&amp;text=https%3A%2F%2Fdocs.google.com%2Fforms%2Fd%2Fe%2F1FAIpQLSeZ-R1GrWlAPkfaThGqxeTj0QTtrARw4rroxIIepf2kipn1nw%2FformResponse%3Fusp%3Dpp_url%26entry.1313582257%3D0104825356%20%2F%20252610057%26entry.1578404635%3DHadir</t>
  </si>
  <si>
    <t>10UbH2FS8D9Dc0z7becyNeTsiiZzDkDuA</t>
  </si>
  <si>
    <t>https://drive.google.com/file/d/10UbH2FS8D9Dc0z7becyNeTsiiZzDkDuA/view?usp=drivesdk</t>
  </si>
  <si>
    <t>0099339799 / 252610060</t>
  </si>
  <si>
    <t>Anas Legawa Riyadi - L</t>
  </si>
  <si>
    <t>https://quickchart.io/qr?size=250&amp;text=https%3A%2F%2Fdocs.google.com%2Fforms%2Fd%2Fe%2F1FAIpQLSeZ-R1GrWlAPkfaThGqxeTj0QTtrARw4rroxIIepf2kipn1nw%2FformResponse%3Fusp%3Dpp_url%26entry.1313582257%3D0099339799%20%2F%20252610060%26entry.1578404635%3DHadir</t>
  </si>
  <si>
    <t>1QQMBSSp0hjH26n5PJhZktYcVAmUH3fFR</t>
  </si>
  <si>
    <t>https://drive.google.com/file/d/1QQMBSSp0hjH26n5PJhZktYcVAmUH3fFR/view?usp=drivesdk</t>
  </si>
  <si>
    <t>Document successfully created; Document successfully merged; PDF created; Manually run by skycircle.id@gmail.com; Timestamp: Nov 7 2025 3:24 AM</t>
  </si>
  <si>
    <t>Annisa Fitriyani - P</t>
  </si>
  <si>
    <t>https://quickchart.io/qr?size=250&amp;text=https%3A%2F%2Fdocs.google.com%2Fforms%2Fd%2Fe%2F1FAIpQLSeZ-R1GrWlAPkfaThGqxeTj0QTtrARw4rroxIIepf2kipn1nw%2FformResponse%3Fusp%3Dpp_url%26entry.1313582257%3D0098197227%20%2F%20252610067%26entry.1578404635%3DHadir</t>
  </si>
  <si>
    <t>1xaQ_pDWRLn74uycy_Dwc7YosCFa2bT7S</t>
  </si>
  <si>
    <t>https://drive.google.com/file/d/1xaQ_pDWRLn74uycy_Dwc7YosCFa2bT7S/view?usp=drivesdk</t>
  </si>
  <si>
    <t>0093274791 / 252610115</t>
  </si>
  <si>
    <t>Bagaskara Bisma Anoka - L</t>
  </si>
  <si>
    <t>https://quickchart.io/qr?size=250&amp;text=https%3A%2F%2Fdocs.google.com%2Fforms%2Fd%2Fe%2F1FAIpQLSeZ-R1GrWlAPkfaThGqxeTj0QTtrARw4rroxIIepf2kipn1nw%2FformResponse%3Fusp%3Dpp_url%26entry.1313582257%3D0093274791%20%2F%20252610115%26entry.1578404635%3DHadir</t>
  </si>
  <si>
    <t>1tCRH-XrECEuTZLc7ZMfwMKwmMeEhSEhM</t>
  </si>
  <si>
    <t>https://drive.google.com/file/d/1tCRH-XrECEuTZLc7ZMfwMKwmMeEhSEhM/view?usp=drivesdk</t>
  </si>
  <si>
    <t>Bilqis Nikita Aylani - P</t>
  </si>
  <si>
    <t>https://quickchart.io/qr?size=250&amp;text=https%3A%2F%2Fdocs.google.com%2Fforms%2Fd%2Fe%2F1FAIpQLSeZ-R1GrWlAPkfaThGqxeTj0QTtrARw4rroxIIepf2kipn1nw%2FformResponse%3Fusp%3Dpp_url%26entry.1313582257%3D0099900563%20%2F%20252610123%26entry.1578404635%3DHadir</t>
  </si>
  <si>
    <t>1-fDT1hwZqjRxco2mVgk1yOFQ5FZswAgh</t>
  </si>
  <si>
    <t>https://drive.google.com/file/d/1-fDT1hwZqjRxco2mVgk1yOFQ5FZswAgh/view?usp=drivesdk</t>
  </si>
  <si>
    <t>Dilla Novianti Putri - P</t>
  </si>
  <si>
    <t>https://quickchart.io/qr?size=250&amp;text=https%3A%2F%2Fdocs.google.com%2Fforms%2Fd%2Fe%2F1FAIpQLSeZ-R1GrWlAPkfaThGqxeTj0QTtrARw4rroxIIepf2kipn1nw%2FformResponse%3Fusp%3Dpp_url%26entry.1313582257%3D0092597384%20%2F%20252610163%26entry.1578404635%3DHadir</t>
  </si>
  <si>
    <t>17lBggHUrNb83oet9Ciw55aOwXvXVmQr8</t>
  </si>
  <si>
    <t>https://drive.google.com/file/d/17lBggHUrNb83oet9Ciw55aOwXvXVmQr8/view?usp=drivesdk</t>
  </si>
  <si>
    <t>Dinda Aulia - P</t>
  </si>
  <si>
    <t>https://quickchart.io/qr?size=250&amp;text=https%3A%2F%2Fdocs.google.com%2Fforms%2Fd%2Fe%2F1FAIpQLSeZ-R1GrWlAPkfaThGqxeTj0QTtrARw4rroxIIepf2kipn1nw%2FformResponse%3Fusp%3Dpp_url%26entry.1313582257%3D3105062394%20%2F%20252610166%26entry.1578404635%3DHadir</t>
  </si>
  <si>
    <t>1cgTXdX16JTvr6wb7d1HXoYT42ppvfOp8</t>
  </si>
  <si>
    <t>https://drive.google.com/file/d/1cgTXdX16JTvr6wb7d1HXoYT42ppvfOp8/view?usp=drivesdk</t>
  </si>
  <si>
    <t>Document successfully created; Document successfully merged; PDF created; Manually run by skycircle.id@gmail.com; Timestamp: Nov 7 2025 3:25 AM</t>
  </si>
  <si>
    <t>0103139137 / 252610205</t>
  </si>
  <si>
    <t>Fathimah Septiani Azahra - P</t>
  </si>
  <si>
    <t>https://quickchart.io/qr?size=250&amp;text=https%3A%2F%2Fdocs.google.com%2Fforms%2Fd%2Fe%2F1FAIpQLSeZ-R1GrWlAPkfaThGqxeTj0QTtrARw4rroxIIepf2kipn1nw%2FformResponse%3Fusp%3Dpp_url%26entry.1313582257%3D0103139137%20%2F%20252610205%26entry.1578404635%3DHadir</t>
  </si>
  <si>
    <t>1o76-C1TfkCDDe8duicbX7xlhTWlNtWwP</t>
  </si>
  <si>
    <t>https://drive.google.com/file/d/1o76-C1TfkCDDe8duicbX7xlhTWlNtWwP/view?usp=drivesdk</t>
  </si>
  <si>
    <t>Hikmah Septiya - P</t>
  </si>
  <si>
    <t>https://quickchart.io/qr?size=250&amp;text=https%3A%2F%2Fdocs.google.com%2Fforms%2Fd%2Fe%2F1FAIpQLSeZ-R1GrWlAPkfaThGqxeTj0QTtrARw4rroxIIepf2kipn1nw%2FformResponse%3Fusp%3Dpp_url%26entry.1313582257%3D0091763745%20%2F%20252610229%26entry.1578404635%3DHadir</t>
  </si>
  <si>
    <t>100lkjWBFWpX4CkUHPQ8T3PiKWST6hzBM</t>
  </si>
  <si>
    <t>https://drive.google.com/file/d/100lkjWBFWpX4CkUHPQ8T3PiKWST6hzBM/view?usp=drivesdk</t>
  </si>
  <si>
    <t>0095064549 / 252610230</t>
  </si>
  <si>
    <t>Hilmi Ardhana Fuady - L</t>
  </si>
  <si>
    <t>https://quickchart.io/qr?size=250&amp;text=https%3A%2F%2Fdocs.google.com%2Fforms%2Fd%2Fe%2F1FAIpQLSeZ-R1GrWlAPkfaThGqxeTj0QTtrARw4rroxIIepf2kipn1nw%2FformResponse%3Fusp%3Dpp_url%26entry.1313582257%3D0095064549%20%2F%20252610230%26entry.1578404635%3DHadir</t>
  </si>
  <si>
    <t>1T6nJZw1zfLt2D_uumAyeJ7JczCMyt5D4</t>
  </si>
  <si>
    <t>https://drive.google.com/file/d/1T6nJZw1zfLt2D_uumAyeJ7JczCMyt5D4/view?usp=drivesdk</t>
  </si>
  <si>
    <t>Jevelin Ambarep Putri - P</t>
  </si>
  <si>
    <t>https://quickchart.io/qr?size=250&amp;text=https%3A%2F%2Fdocs.google.com%2Fforms%2Fd%2Fe%2F1FAIpQLSeZ-R1GrWlAPkfaThGqxeTj0QTtrARw4rroxIIepf2kipn1nw%2FformResponse%3Fusp%3Dpp_url%26entry.1313582257%3D3098845163%20%2F%20252610245%26entry.1578404635%3DHadir</t>
  </si>
  <si>
    <t>1W5WaNjXuVp5OyKV1q_03qI8PpLQsF_kd</t>
  </si>
  <si>
    <t>https://drive.google.com/file/d/1W5WaNjXuVp5OyKV1q_03qI8PpLQsF_kd/view?usp=drivesdk</t>
  </si>
  <si>
    <t>Khansa Tabita Aura Sakhi - P</t>
  </si>
  <si>
    <t>https://quickchart.io/qr?size=250&amp;text=https%3A%2F%2Fdocs.google.com%2Fforms%2Fd%2Fe%2F1FAIpQLSeZ-R1GrWlAPkfaThGqxeTj0QTtrARw4rroxIIepf2kipn1nw%2FformResponse%3Fusp%3Dpp_url%26entry.1313582257%3D0104630358%20%2F%20252610281%26entry.1578404635%3DHadir</t>
  </si>
  <si>
    <t>1-93ZF7OlCf6hvohwfIS_QwRoTuwm62Yr</t>
  </si>
  <si>
    <t>https://drive.google.com/file/d/1-93ZF7OlCf6hvohwfIS_QwRoTuwm62Yr/view?usp=drivesdk</t>
  </si>
  <si>
    <t>Lalitya Namu Wangundahina - P</t>
  </si>
  <si>
    <t>https://quickchart.io/qr?size=250&amp;text=https%3A%2F%2Fdocs.google.com%2Fforms%2Fd%2Fe%2F1FAIpQLSeZ-R1GrWlAPkfaThGqxeTj0QTtrARw4rroxIIepf2kipn1nw%2FformResponse%3Fusp%3Dpp_url%26entry.1313582257%3D0097535113%20%2F%20252610286%26entry.1578404635%3DHadir</t>
  </si>
  <si>
    <t>1YNRaHwRbf2KYzQhUJWJEkD0aSIobCBi2</t>
  </si>
  <si>
    <t>https://drive.google.com/file/d/1YNRaHwRbf2KYzQhUJWJEkD0aSIobCBi2/view?usp=drivesdk</t>
  </si>
  <si>
    <t>Document successfully created; Document successfully merged; PDF created; Manually run by skycircle.id@gmail.com; Timestamp: Nov 7 2025 3:26 AM</t>
  </si>
  <si>
    <t>Mahira Aqila Azra - P</t>
  </si>
  <si>
    <t>https://quickchart.io/qr?size=250&amp;text=https%3A%2F%2Fdocs.google.com%2Fforms%2Fd%2Fe%2F1FAIpQLSeZ-R1GrWlAPkfaThGqxeTj0QTtrARw4rroxIIepf2kipn1nw%2FformResponse%3Fusp%3Dpp_url%26entry.1313582257%3D0094686372%20%2F%20252610299%26entry.1578404635%3DHadir</t>
  </si>
  <si>
    <t>1uBL72l8iBn2XBFApYk76iAOuIVdoolot</t>
  </si>
  <si>
    <t>https://drive.google.com/file/d/1uBL72l8iBn2XBFApYk76iAOuIVdoolot/view?usp=drivesdk</t>
  </si>
  <si>
    <t>0108578906 / 252610322</t>
  </si>
  <si>
    <t>Muhamad Adri Fachry - L</t>
  </si>
  <si>
    <t>https://quickchart.io/qr?size=250&amp;text=https%3A%2F%2Fdocs.google.com%2Fforms%2Fd%2Fe%2F1FAIpQLSeZ-R1GrWlAPkfaThGqxeTj0QTtrARw4rroxIIepf2kipn1nw%2FformResponse%3Fusp%3Dpp_url%26entry.1313582257%3D0108578906%20%2F%20252610322%26entry.1578404635%3DHadir</t>
  </si>
  <si>
    <t>1erECNq_PSvEp93bh0dO6EhpariPJqBdh</t>
  </si>
  <si>
    <t>https://drive.google.com/file/d/1erECNq_PSvEp93bh0dO6EhpariPJqBdh/view?usp=drivesdk</t>
  </si>
  <si>
    <t>3107979922 / 252610323</t>
  </si>
  <si>
    <t>Muhamad Gaza Al-Mahdi - L</t>
  </si>
  <si>
    <t>https://quickchart.io/qr?size=250&amp;text=https%3A%2F%2Fdocs.google.com%2Fforms%2Fd%2Fe%2F1FAIpQLSeZ-R1GrWlAPkfaThGqxeTj0QTtrARw4rroxIIepf2kipn1nw%2FformResponse%3Fusp%3Dpp_url%26entry.1313582257%3D3107979922%20%2F%20252610323%26entry.1578404635%3DHadir</t>
  </si>
  <si>
    <t>1SRxbR8fQU3GhSnDZ7v7AHvijYEAWGUVT</t>
  </si>
  <si>
    <t>https://drive.google.com/file/d/1SRxbR8fQU3GhSnDZ7v7AHvijYEAWGUVT/view?usp=drivesdk</t>
  </si>
  <si>
    <t>0105902624 / 252610361</t>
  </si>
  <si>
    <t>Muhammad Naufal Rhesa Fernando - L</t>
  </si>
  <si>
    <t>https://quickchart.io/qr?size=250&amp;text=https%3A%2F%2Fdocs.google.com%2Fforms%2Fd%2Fe%2F1FAIpQLSeZ-R1GrWlAPkfaThGqxeTj0QTtrARw4rroxIIepf2kipn1nw%2FformResponse%3Fusp%3Dpp_url%26entry.1313582257%3D0105902624%20%2F%20252610361%26entry.1578404635%3DHadir</t>
  </si>
  <si>
    <t>1cTm7VEDQOIMiL8ze5t9Z-7VA7nOLJ27V</t>
  </si>
  <si>
    <t>https://drive.google.com/file/d/1cTm7VEDQOIMiL8ze5t9Z-7VA7nOLJ27V/view?usp=drivesdk</t>
  </si>
  <si>
    <t>0095937017 / 252610366</t>
  </si>
  <si>
    <t>Muhammad Raya Al Maghfirah - L</t>
  </si>
  <si>
    <t>https://quickchart.io/qr?size=250&amp;text=https%3A%2F%2Fdocs.google.com%2Fforms%2Fd%2Fe%2F1FAIpQLSeZ-R1GrWlAPkfaThGqxeTj0QTtrARw4rroxIIepf2kipn1nw%2FformResponse%3Fusp%3Dpp_url%26entry.1313582257%3D0095937017%20%2F%20252610366%26entry.1578404635%3DHadir</t>
  </si>
  <si>
    <t>13nlDOik1kyynO2nGMtB4OMkm2jv_qyyk</t>
  </si>
  <si>
    <t>https://drive.google.com/file/d/13nlDOik1kyynO2nGMtB4OMkm2jv_qyyk/view?usp=drivesdk</t>
  </si>
  <si>
    <t>Document successfully created; Document successfully merged; PDF created; Manually run by skycircle.id@gmail.com; Timestamp: Nov 7 2025 3:27 AM</t>
  </si>
  <si>
    <t>3094594523 / 252610374</t>
  </si>
  <si>
    <t>Muhammad Tristan Sanjaya - L</t>
  </si>
  <si>
    <t>https://quickchart.io/qr?size=250&amp;text=https%3A%2F%2Fdocs.google.com%2Fforms%2Fd%2Fe%2F1FAIpQLSeZ-R1GrWlAPkfaThGqxeTj0QTtrARw4rroxIIepf2kipn1nw%2FformResponse%3Fusp%3Dpp_url%26entry.1313582257%3D3094594523%20%2F%20252610374%26entry.1578404635%3DHadir</t>
  </si>
  <si>
    <t>1t4cEOt5h5FmpUR6Y5yaUCQq38JL2mgDq</t>
  </si>
  <si>
    <t>https://drive.google.com/file/d/1t4cEOt5h5FmpUR6Y5yaUCQq38JL2mgDq/view?usp=drivesdk</t>
  </si>
  <si>
    <t>0092479207 / 252610379</t>
  </si>
  <si>
    <t>Muhammad Zaidan Wibowo - L</t>
  </si>
  <si>
    <t>https://quickchart.io/qr?size=250&amp;text=https%3A%2F%2Fdocs.google.com%2Fforms%2Fd%2Fe%2F1FAIpQLSeZ-R1GrWlAPkfaThGqxeTj0QTtrARw4rroxIIepf2kipn1nw%2FformResponse%3Fusp%3Dpp_url%26entry.1313582257%3D0092479207%20%2F%20252610379%26entry.1578404635%3DHadir</t>
  </si>
  <si>
    <t>1my4DBIVwIVjLXuPgCf1xWV997UuZ2EA0</t>
  </si>
  <si>
    <t>https://drive.google.com/file/d/1my4DBIVwIVjLXuPgCf1xWV997UuZ2EA0/view?usp=drivesdk</t>
  </si>
  <si>
    <t>0092223990 / 252610384</t>
  </si>
  <si>
    <t>Nabilah Shakeela Kusuma - P</t>
  </si>
  <si>
    <t>https://quickchart.io/qr?size=250&amp;text=https%3A%2F%2Fdocs.google.com%2Fforms%2Fd%2Fe%2F1FAIpQLSeZ-R1GrWlAPkfaThGqxeTj0QTtrARw4rroxIIepf2kipn1nw%2FformResponse%3Fusp%3Dpp_url%26entry.1313582257%3D0092223990%20%2F%20252610384%26entry.1578404635%3DHadir</t>
  </si>
  <si>
    <t>1vTCYnIRbTvWEUW3lZkIaK9ZP1PJItCcg</t>
  </si>
  <si>
    <t>https://drive.google.com/file/d/1vTCYnIRbTvWEUW3lZkIaK9ZP1PJItCcg/view?usp=drivesdk</t>
  </si>
  <si>
    <t>0104434944 / 252610401</t>
  </si>
  <si>
    <t>Naufal Aditama - L</t>
  </si>
  <si>
    <t>https://quickchart.io/qr?size=250&amp;text=https%3A%2F%2Fdocs.google.com%2Fforms%2Fd%2Fe%2F1FAIpQLSeZ-R1GrWlAPkfaThGqxeTj0QTtrARw4rroxIIepf2kipn1nw%2FformResponse%3Fusp%3Dpp_url%26entry.1313582257%3D0104434944%20%2F%20252610401%26entry.1578404635%3DHadir</t>
  </si>
  <si>
    <t>1wE0aAxciOBhfWlYsxDeJs6q1gWOzT57p</t>
  </si>
  <si>
    <t>https://drive.google.com/file/d/1wE0aAxciOBhfWlYsxDeJs6q1gWOzT57p/view?usp=drivesdk</t>
  </si>
  <si>
    <t>0108770789 / 252610412</t>
  </si>
  <si>
    <t>Nayyira Ghania Mehnaz - P</t>
  </si>
  <si>
    <t>https://quickchart.io/qr?size=250&amp;text=https%3A%2F%2Fdocs.google.com%2Fforms%2Fd%2Fe%2F1FAIpQLSeZ-R1GrWlAPkfaThGqxeTj0QTtrARw4rroxIIepf2kipn1nw%2FformResponse%3Fusp%3Dpp_url%26entry.1313582257%3D0108770789%20%2F%20252610412%26entry.1578404635%3DHadir</t>
  </si>
  <si>
    <t>1Hd3xRsD3gmU02RZEufIqpI9dvV_KBPhr</t>
  </si>
  <si>
    <t>https://drive.google.com/file/d/1Hd3xRsD3gmU02RZEufIqpI9dvV_KBPhr/view?usp=drivesdk</t>
  </si>
  <si>
    <t>Document successfully created; Document successfully merged; PDF created; Manually run by skycircle.id@gmail.com; Timestamp: Nov 7 2025 3:28 AM</t>
  </si>
  <si>
    <t>0101523916 / 252610414</t>
  </si>
  <si>
    <t>Nazwa Nur Rahmah - P</t>
  </si>
  <si>
    <t>https://quickchart.io/qr?size=250&amp;text=https%3A%2F%2Fdocs.google.com%2Fforms%2Fd%2Fe%2F1FAIpQLSeZ-R1GrWlAPkfaThGqxeTj0QTtrARw4rroxIIepf2kipn1nw%2FformResponse%3Fusp%3Dpp_url%26entry.1313582257%3D0101523916%20%2F%20252610414%26entry.1578404635%3DHadir</t>
  </si>
  <si>
    <t>1iFJFaEYZR4Udfp9N80CKpWMaYjd0aJ47</t>
  </si>
  <si>
    <t>https://drive.google.com/file/d/1iFJFaEYZR4Udfp9N80CKpWMaYjd0aJ47/view?usp=drivesdk</t>
  </si>
  <si>
    <t>3099045754 / 252610427</t>
  </si>
  <si>
    <t>Nurul Aulia Ramadhani - P</t>
  </si>
  <si>
    <t>https://quickchart.io/qr?size=250&amp;text=https%3A%2F%2Fdocs.google.com%2Fforms%2Fd%2Fe%2F1FAIpQLSeZ-R1GrWlAPkfaThGqxeTj0QTtrARw4rroxIIepf2kipn1nw%2FformResponse%3Fusp%3Dpp_url%26entry.1313582257%3D3099045754%20%2F%20252610427%26entry.1578404635%3DHadir</t>
  </si>
  <si>
    <t>1vpvFQ6LUQY4Sdf_45ISIKeagXHzn8M7p</t>
  </si>
  <si>
    <t>https://drive.google.com/file/d/1vpvFQ6LUQY4Sdf_45ISIKeagXHzn8M7p/view?usp=drivesdk</t>
  </si>
  <si>
    <t>0104883711 / 252610429</t>
  </si>
  <si>
    <t>Ohan Marhadi Haryono - L</t>
  </si>
  <si>
    <t>https://quickchart.io/qr?size=250&amp;text=https%3A%2F%2Fdocs.google.com%2Fforms%2Fd%2Fe%2F1FAIpQLSeZ-R1GrWlAPkfaThGqxeTj0QTtrARw4rroxIIepf2kipn1nw%2FformResponse%3Fusp%3Dpp_url%26entry.1313582257%3D0104883711%20%2F%20252610429%26entry.1578404635%3DHadir</t>
  </si>
  <si>
    <t>15V8PAoNDpwfwpCMdE2I8PNuB3f3KQI5r</t>
  </si>
  <si>
    <t>https://drive.google.com/file/d/15V8PAoNDpwfwpCMdE2I8PNuB3f3KQI5r/view?usp=drivesdk</t>
  </si>
  <si>
    <t>3099055467 / 252610437</t>
  </si>
  <si>
    <t>Puthik Ramadani - P</t>
  </si>
  <si>
    <t>https://quickchart.io/qr?size=250&amp;text=https%3A%2F%2Fdocs.google.com%2Fforms%2Fd%2Fe%2F1FAIpQLSeZ-R1GrWlAPkfaThGqxeTj0QTtrARw4rroxIIepf2kipn1nw%2FformResponse%3Fusp%3Dpp_url%26entry.1313582257%3D3099055467%20%2F%20252610437%26entry.1578404635%3DHadir</t>
  </si>
  <si>
    <t>1OIEloVYdQITaeXBYDTkFlsV0pnMe4Hmz</t>
  </si>
  <si>
    <t>https://drive.google.com/file/d/1OIEloVYdQITaeXBYDTkFlsV0pnMe4Hmz/view?usp=drivesdk</t>
  </si>
  <si>
    <t>Document successfully created; Document successfully merged; PDF created; Manually run by skycircle.id@gmail.com; Timestamp: Nov 7 2025 3:29 AM</t>
  </si>
  <si>
    <t>0092103124 / 252610450</t>
  </si>
  <si>
    <t>Raden Chintya Dewi Maharani - P</t>
  </si>
  <si>
    <t>https://quickchart.io/qr?size=250&amp;text=https%3A%2F%2Fdocs.google.com%2Fforms%2Fd%2Fe%2F1FAIpQLSeZ-R1GrWlAPkfaThGqxeTj0QTtrARw4rroxIIepf2kipn1nw%2FformResponse%3Fusp%3Dpp_url%26entry.1313582257%3D0092103124%20%2F%20252610450%26entry.1578404635%3DHadir</t>
  </si>
  <si>
    <t>1fGLw33Bf4d_JsTyDNaJUqkU6VXNKLvzL</t>
  </si>
  <si>
    <t>https://drive.google.com/file/d/1fGLw33Bf4d_JsTyDNaJUqkU6VXNKLvzL/view?usp=drivesdk</t>
  </si>
  <si>
    <t>0102081772 / 252610451</t>
  </si>
  <si>
    <t>Raden Ciara Za Syahluna - P</t>
  </si>
  <si>
    <t>https://quickchart.io/qr?size=250&amp;text=https%3A%2F%2Fdocs.google.com%2Fforms%2Fd%2Fe%2F1FAIpQLSeZ-R1GrWlAPkfaThGqxeTj0QTtrARw4rroxIIepf2kipn1nw%2FformResponse%3Fusp%3Dpp_url%26entry.1313582257%3D0102081772%20%2F%20252610451%26entry.1578404635%3DHadir</t>
  </si>
  <si>
    <t>1UaRKbLWKzAXl9vDTe9j6Umew3drGqJ1o</t>
  </si>
  <si>
    <t>https://drive.google.com/file/d/1UaRKbLWKzAXl9vDTe9j6Umew3drGqJ1o/view?usp=drivesdk</t>
  </si>
  <si>
    <t>0097864614 / 252610471</t>
  </si>
  <si>
    <t>Rama Andhika - L</t>
  </si>
  <si>
    <t>https://quickchart.io/qr?size=250&amp;text=https%3A%2F%2Fdocs.google.com%2Fforms%2Fd%2Fe%2F1FAIpQLSeZ-R1GrWlAPkfaThGqxeTj0QTtrARw4rroxIIepf2kipn1nw%2FformResponse%3Fusp%3Dpp_url%26entry.1313582257%3D0097864614%20%2F%20252610471%26entry.1578404635%3DHadir</t>
  </si>
  <si>
    <t>18a1R5Rh1ccebDedXlmMI_hEGZddgN0Io</t>
  </si>
  <si>
    <t>https://drive.google.com/file/d/18a1R5Rh1ccebDedXlmMI_hEGZddgN0Io/view?usp=drivesdk</t>
  </si>
  <si>
    <t>0093090773 / 252610481</t>
  </si>
  <si>
    <t>Reisha Azzahra Pramesti - P</t>
  </si>
  <si>
    <t>https://quickchart.io/qr?size=250&amp;text=https%3A%2F%2Fdocs.google.com%2Fforms%2Fd%2Fe%2F1FAIpQLSeZ-R1GrWlAPkfaThGqxeTj0QTtrARw4rroxIIepf2kipn1nw%2FformResponse%3Fusp%3Dpp_url%26entry.1313582257%3D0093090773%20%2F%20252610481%26entry.1578404635%3DHadir</t>
  </si>
  <si>
    <t>1i_wSlIWP924guS0Qn-2D7kekHS12nzam</t>
  </si>
  <si>
    <t>https://drive.google.com/file/d/1i_wSlIWP924guS0Qn-2D7kekHS12nzam/view?usp=drivesdk</t>
  </si>
  <si>
    <t>Document successfully created; Document successfully merged; PDF created; Manually run by skycircle.id@gmail.com; Timestamp: Nov 7 2025 3:30 AM</t>
  </si>
  <si>
    <t>0095160472 / 252610488</t>
  </si>
  <si>
    <t>Rheiska Amelia - P</t>
  </si>
  <si>
    <t>https://quickchart.io/qr?size=250&amp;text=https%3A%2F%2Fdocs.google.com%2Fforms%2Fd%2Fe%2F1FAIpQLSeZ-R1GrWlAPkfaThGqxeTj0QTtrARw4rroxIIepf2kipn1nw%2FformResponse%3Fusp%3Dpp_url%26entry.1313582257%3D0095160472%20%2F%20252610488%26entry.1578404635%3DHadir</t>
  </si>
  <si>
    <t>1waNX8oetZlwDLP41UclCYydF-qrgJ55i</t>
  </si>
  <si>
    <t>https://drive.google.com/file/d/1waNX8oetZlwDLP41UclCYydF-qrgJ55i/view?usp=drivesdk</t>
  </si>
  <si>
    <t>0092402487 / 252610507</t>
  </si>
  <si>
    <t>Salsabila Kinaya - P</t>
  </si>
  <si>
    <t>https://quickchart.io/qr?size=250&amp;text=https%3A%2F%2Fdocs.google.com%2Fforms%2Fd%2Fe%2F1FAIpQLSeZ-R1GrWlAPkfaThGqxeTj0QTtrARw4rroxIIepf2kipn1nw%2FformResponse%3Fusp%3Dpp_url%26entry.1313582257%3D0092402487%20%2F%20252610507%26entry.1578404635%3DHadir</t>
  </si>
  <si>
    <t>1gzpEXuJCg4DayCTe1Sy860DjNBIhO9XV</t>
  </si>
  <si>
    <t>https://drive.google.com/file/d/1gzpEXuJCg4DayCTe1Sy860DjNBIhO9XV/view?usp=drivesdk</t>
  </si>
  <si>
    <t>0092706472 / 252610535</t>
  </si>
  <si>
    <t>Syarafina Nur Alifatuzahro - P</t>
  </si>
  <si>
    <t>https://quickchart.io/qr?size=250&amp;text=https%3A%2F%2Fdocs.google.com%2Fforms%2Fd%2Fe%2F1FAIpQLSeZ-R1GrWlAPkfaThGqxeTj0QTtrARw4rroxIIepf2kipn1nw%2FformResponse%3Fusp%3Dpp_url%26entry.1313582257%3D0092706472%20%2F%20252610535%26entry.1578404635%3DHadir</t>
  </si>
  <si>
    <t>1INlMb4XXl29c1EYZv6ZrdLa-TYt1cyAc</t>
  </si>
  <si>
    <t>https://drive.google.com/file/d/1INlMb4XXl29c1EYZv6ZrdLa-TYt1cyAc/view?usp=drivesdk</t>
  </si>
  <si>
    <t>0105183684 / 252610540</t>
  </si>
  <si>
    <t>Tanty Amelia Al Rasyid - P</t>
  </si>
  <si>
    <t>https://quickchart.io/qr?size=250&amp;text=https%3A%2F%2Fdocs.google.com%2Fforms%2Fd%2Fe%2F1FAIpQLSeZ-R1GrWlAPkfaThGqxeTj0QTtrARw4rroxIIepf2kipn1nw%2FformResponse%3Fusp%3Dpp_url%26entry.1313582257%3D0105183684%20%2F%20252610540%26entry.1578404635%3DHadir</t>
  </si>
  <si>
    <t>1HK5k4DfXpMYjTWRLebkwz5p4EOxxRT4C</t>
  </si>
  <si>
    <t>https://drive.google.com/file/d/1HK5k4DfXpMYjTWRLebkwz5p4EOxxRT4C/view?usp=drivesdk</t>
  </si>
  <si>
    <t>0098052333 / 252610543</t>
  </si>
  <si>
    <t>Teduh Mutiara Hapsari - P</t>
  </si>
  <si>
    <t>https://quickchart.io/qr?size=250&amp;text=https%3A%2F%2Fdocs.google.com%2Fforms%2Fd%2Fe%2F1FAIpQLSeZ-R1GrWlAPkfaThGqxeTj0QTtrARw4rroxIIepf2kipn1nw%2FformResponse%3Fusp%3Dpp_url%26entry.1313582257%3D0098052333%20%2F%20252610543%26entry.1578404635%3DHadir</t>
  </si>
  <si>
    <t>1gcpNqH-YL8upEXV81W2ULHBthogKd8PE</t>
  </si>
  <si>
    <t>https://drive.google.com/file/d/1gcpNqH-YL8upEXV81W2ULHBthogKd8PE/view?usp=drivesdk</t>
  </si>
  <si>
    <t>Document successfully created; Document successfully merged; PDF created; Manually run by skycircle.id@gmail.com; Timestamp: Nov 7 2025 3:31 AM</t>
  </si>
  <si>
    <t>3094664028 / 252610549</t>
  </si>
  <si>
    <t>Tubagus Mochamad Rizki Fauzan Faris - L</t>
  </si>
  <si>
    <t>https://quickchart.io/qr?size=250&amp;text=https%3A%2F%2Fdocs.google.com%2Fforms%2Fd%2Fe%2F1FAIpQLSeZ-R1GrWlAPkfaThGqxeTj0QTtrARw4rroxIIepf2kipn1nw%2FformResponse%3Fusp%3Dpp_url%26entry.1313582257%3D3094664028%20%2F%20252610549%26entry.1578404635%3DHadir</t>
  </si>
  <si>
    <t>15S7UOzfkcDKS1daQ1MlFVdfT2kBWvDGT</t>
  </si>
  <si>
    <t>https://drive.google.com/file/d/15S7UOzfkcDKS1daQ1MlFVdfT2kBWvDGT/view?usp=drivesdk</t>
  </si>
  <si>
    <t>0099429653 / 252610554</t>
  </si>
  <si>
    <t>Yanza Rizkia Salsabillah - P</t>
  </si>
  <si>
    <t>https://quickchart.io/qr?size=250&amp;text=https%3A%2F%2Fdocs.google.com%2Fforms%2Fd%2Fe%2F1FAIpQLSeZ-R1GrWlAPkfaThGqxeTj0QTtrARw4rroxIIepf2kipn1nw%2FformResponse%3Fusp%3Dpp_url%26entry.1313582257%3D0099429653%20%2F%20252610554%26entry.1578404635%3DHadir</t>
  </si>
  <si>
    <t>17XltOqPsvfGgvneKk44bFRkExhUorUd0</t>
  </si>
  <si>
    <t>https://drive.google.com/file/d/17XltOqPsvfGgvneKk44bFRkExhUorUd0/view?usp=drivesdk</t>
  </si>
  <si>
    <t>0096316890 / 252610005</t>
  </si>
  <si>
    <t>Achmad Firza Ghibran - L</t>
  </si>
  <si>
    <t>X6</t>
  </si>
  <si>
    <t>https://quickchart.io/qr?size=250&amp;text=https%3A%2F%2Fdocs.google.com%2Fforms%2Fd%2Fe%2F1FAIpQLSeZ-R1GrWlAPkfaThGqxeTj0QTtrARw4rroxIIepf2kipn1nw%2FformResponse%3Fusp%3Dpp_url%26entry.1313582257%3D0096316890%20%2F%20252610005%26entry.1578404635%3DHadir</t>
  </si>
  <si>
    <t>1I0NRcb_l88_W1gccrG4LAkOzficE5sdI</t>
  </si>
  <si>
    <t>https://drive.google.com/file/d/1I0NRcb_l88_W1gccrG4LAkOzficE5sdI/view?usp=drivesdk</t>
  </si>
  <si>
    <t>0091825991 / 252610009</t>
  </si>
  <si>
    <t>Adi Pati Jaya Prana - L</t>
  </si>
  <si>
    <t>https://quickchart.io/qr?size=250&amp;text=https%3A%2F%2Fdocs.google.com%2Fforms%2Fd%2Fe%2F1FAIpQLSeZ-R1GrWlAPkfaThGqxeTj0QTtrARw4rroxIIepf2kipn1nw%2FformResponse%3Fusp%3Dpp_url%26entry.1313582257%3D0091825991%20%2F%20252610009%26entry.1578404635%3DHadir</t>
  </si>
  <si>
    <t>1PWefSw__xYOs6KIo-U-Dj0fDPaPPSPwT</t>
  </si>
  <si>
    <t>https://drive.google.com/file/d/1PWefSw__xYOs6KIo-U-Dj0fDPaPPSPwT/view?usp=drivesdk</t>
  </si>
  <si>
    <t>0094216872 / 252610036</t>
  </si>
  <si>
    <t>Alfany Himma Roudina - P</t>
  </si>
  <si>
    <t>https://quickchart.io/qr?size=250&amp;text=https%3A%2F%2Fdocs.google.com%2Fforms%2Fd%2Fe%2F1FAIpQLSeZ-R1GrWlAPkfaThGqxeTj0QTtrARw4rroxIIepf2kipn1nw%2FformResponse%3Fusp%3Dpp_url%26entry.1313582257%3D0094216872%20%2F%20252610036%26entry.1578404635%3DHadir</t>
  </si>
  <si>
    <t>1TpnyvYXaZDZpOOXs_lE4mwo-FBBteq6S</t>
  </si>
  <si>
    <t>https://drive.google.com/file/d/1TpnyvYXaZDZpOOXs_lE4mwo-FBBteq6S/view?usp=drivesdk</t>
  </si>
  <si>
    <t>Document successfully created; Document successfully merged; PDF created; Manually run by skycircle.id@gmail.com; Timestamp: Nov 7 2025 3:32 AM</t>
  </si>
  <si>
    <t>Alisa Putri - P</t>
  </si>
  <si>
    <t>https://quickchart.io/qr?size=250&amp;text=https%3A%2F%2Fdocs.google.com%2Fforms%2Fd%2Fe%2F1FAIpQLSeZ-R1GrWlAPkfaThGqxeTj0QTtrARw4rroxIIepf2kipn1nw%2FformResponse%3Fusp%3Dpp_url%26entry.1313582257%3D3093210071%20%2F%20252610042%26entry.1578404635%3DHadir</t>
  </si>
  <si>
    <t>1HF-0BU14t34QAT-GnVQGN0ygUbXjRMZg</t>
  </si>
  <si>
    <t>https://drive.google.com/file/d/1HF-0BU14t34QAT-GnVQGN0ygUbXjRMZg/view?usp=drivesdk</t>
  </si>
  <si>
    <t>Aqila Noya Faiza - P</t>
  </si>
  <si>
    <t>https://quickchart.io/qr?size=250&amp;text=https%3A%2F%2Fdocs.google.com%2Fforms%2Fd%2Fe%2F1FAIpQLSeZ-R1GrWlAPkfaThGqxeTj0QTtrARw4rroxIIepf2kipn1nw%2FformResponse%3Fusp%3Dpp_url%26entry.1313582257%3D0099344894%20%2F%20252610072%26entry.1578404635%3DHadir</t>
  </si>
  <si>
    <t>1QJBh0NFgDhD1-3izu7NIFETXYf4HYedi</t>
  </si>
  <si>
    <t>https://drive.google.com/file/d/1QJBh0NFgDhD1-3izu7NIFETXYf4HYedi/view?usp=drivesdk</t>
  </si>
  <si>
    <t>0109520546 / 252610120</t>
  </si>
  <si>
    <t>Bernala Baratama Sirait - P</t>
  </si>
  <si>
    <t>https://quickchart.io/qr?size=250&amp;text=https%3A%2F%2Fdocs.google.com%2Fforms%2Fd%2Fe%2F1FAIpQLSeZ-R1GrWlAPkfaThGqxeTj0QTtrARw4rroxIIepf2kipn1nw%2FformResponse%3Fusp%3Dpp_url%26entry.1313582257%3D0109520546%20%2F%20252610120%26entry.1578404635%3DHadir</t>
  </si>
  <si>
    <t>1CtxI6QsPaPFwQjW0hZMmrP6zPKKpN0R5</t>
  </si>
  <si>
    <t>https://drive.google.com/file/d/1CtxI6QsPaPFwQjW0hZMmrP6zPKKpN0R5/view?usp=drivesdk</t>
  </si>
  <si>
    <t>Chempaka Balqist Zavira Mentary Misman - P</t>
  </si>
  <si>
    <t>https://quickchart.io/qr?size=250&amp;text=https%3A%2F%2Fdocs.google.com%2Fforms%2Fd%2Fe%2F1FAIpQLSeZ-R1GrWlAPkfaThGqxeTj0QTtrARw4rroxIIepf2kipn1nw%2FformResponse%3Fusp%3Dpp_url%26entry.1313582257%3D0104799326%20%2F%20252610134%26entry.1578404635%3DHadir</t>
  </si>
  <si>
    <t>1CJNbCwFZzDF0hh2uR6eBgqWidJlSlKDl</t>
  </si>
  <si>
    <t>https://drive.google.com/file/d/1CJNbCwFZzDF0hh2uR6eBgqWidJlSlKDl/view?usp=drivesdk</t>
  </si>
  <si>
    <t>0081552525 / 252610150</t>
  </si>
  <si>
    <t>Defrino Viernadi Laitnis Yusfa - L</t>
  </si>
  <si>
    <t>https://quickchart.io/qr?size=250&amp;text=https%3A%2F%2Fdocs.google.com%2Fforms%2Fd%2Fe%2F1FAIpQLSeZ-R1GrWlAPkfaThGqxeTj0QTtrARw4rroxIIepf2kipn1nw%2FformResponse%3Fusp%3Dpp_url%26entry.1313582257%3D0081552525%20%2F%20252610150%26entry.1578404635%3DHadir</t>
  </si>
  <si>
    <t>1UMsXMsgjM77aGNsWvz4HxWf6egi5pHX2</t>
  </si>
  <si>
    <t>https://drive.google.com/file/d/1UMsXMsgjM77aGNsWvz4HxWf6egi5pHX2/view?usp=drivesdk</t>
  </si>
  <si>
    <t>Dhia Salsabila - P</t>
  </si>
  <si>
    <t>https://quickchart.io/qr?size=250&amp;text=https%3A%2F%2Fdocs.google.com%2Fforms%2Fd%2Fe%2F1FAIpQLSeZ-R1GrWlAPkfaThGqxeTj0QTtrARw4rroxIIepf2kipn1nw%2FformResponse%3Fusp%3Dpp_url%26entry.1313582257%3D0099286083%20%2F%20252610157%26entry.1578404635%3DHadir</t>
  </si>
  <si>
    <t>1R_AD_g3bdmjOr0gftsxpQHjUF69UnrM6</t>
  </si>
  <si>
    <t>https://drive.google.com/file/d/1R_AD_g3bdmjOr0gftsxpQHjUF69UnrM6/view?usp=drivesdk</t>
  </si>
  <si>
    <t>Document successfully created; Document successfully merged; PDF created; Manually run by skycircle.id@gmail.com; Timestamp: Nov 7 2025 3:33 AM</t>
  </si>
  <si>
    <t>Dinda Dyah Pitaloka - P</t>
  </si>
  <si>
    <t>https://quickchart.io/qr?size=250&amp;text=https%3A%2F%2Fdocs.google.com%2Fforms%2Fd%2Fe%2F1FAIpQLSeZ-R1GrWlAPkfaThGqxeTj0QTtrARw4rroxIIepf2kipn1nw%2FformResponse%3Fusp%3Dpp_url%26entry.1313582257%3D0093451857%20%2F%20252610167%26entry.1578404635%3DHadir</t>
  </si>
  <si>
    <t>1L8JiYxqOsjpzv31flJUfXdiXVn7YQTk4</t>
  </si>
  <si>
    <t>https://drive.google.com/file/d/1L8JiYxqOsjpzv31flJUfXdiXVn7YQTk4/view?usp=drivesdk</t>
  </si>
  <si>
    <t>Dwi Irmawati - L</t>
  </si>
  <si>
    <t>https://quickchart.io/qr?size=250&amp;text=https%3A%2F%2Fdocs.google.com%2Fforms%2Fd%2Fe%2F1FAIpQLSeZ-R1GrWlAPkfaThGqxeTj0QTtrARw4rroxIIepf2kipn1nw%2FformResponse%3Fusp%3Dpp_url%26entry.1313582257%3D0074430959%20%2F%20252610172%26entry.1578404635%3DHadir</t>
  </si>
  <si>
    <t>1HULAlrD_vMvhXONRCIgJDj9oxEA6-_no</t>
  </si>
  <si>
    <t>https://drive.google.com/file/d/1HULAlrD_vMvhXONRCIgJDj9oxEA6-_no/view?usp=drivesdk</t>
  </si>
  <si>
    <t>0096744611 / 252610176</t>
  </si>
  <si>
    <t>Egi Surjana - L</t>
  </si>
  <si>
    <t>https://quickchart.io/qr?size=250&amp;text=https%3A%2F%2Fdocs.google.com%2Fforms%2Fd%2Fe%2F1FAIpQLSeZ-R1GrWlAPkfaThGqxeTj0QTtrARw4rroxIIepf2kipn1nw%2FformResponse%3Fusp%3Dpp_url%26entry.1313582257%3D0096744611%20%2F%20252610176%26entry.1578404635%3DHadir</t>
  </si>
  <si>
    <t>17d2yn5K1mCkIGEHrDhAUkT0dfZW1f65J</t>
  </si>
  <si>
    <t>https://drive.google.com/file/d/17d2yn5K1mCkIGEHrDhAUkT0dfZW1f65J/view?usp=drivesdk</t>
  </si>
  <si>
    <t>Faiha Raqilla Darmawan - P</t>
  </si>
  <si>
    <t>https://quickchart.io/qr?size=250&amp;text=https%3A%2F%2Fdocs.google.com%2Fforms%2Fd%2Fe%2F1FAIpQLSeZ-R1GrWlAPkfaThGqxeTj0QTtrARw4rroxIIepf2kipn1nw%2FformResponse%3Fusp%3Dpp_url%26entry.1313582257%3D0091620147%20%2F%20252610189%26entry.1578404635%3DHadir</t>
  </si>
  <si>
    <t>1GcITi9Z6f7WS4oYGGS2D2tU5Pwghd_TC</t>
  </si>
  <si>
    <t>https://drive.google.com/file/d/1GcITi9Z6f7WS4oYGGS2D2tU5Pwghd_TC/view?usp=drivesdk</t>
  </si>
  <si>
    <t>Fanesya Agfrisfidia - P</t>
  </si>
  <si>
    <t>https://quickchart.io/qr?size=250&amp;text=https%3A%2F%2Fdocs.google.com%2Fforms%2Fd%2Fe%2F1FAIpQLSeZ-R1GrWlAPkfaThGqxeTj0QTtrARw4rroxIIepf2kipn1nw%2FformResponse%3Fusp%3Dpp_url%26entry.1313582257%3D0093286261%20%2F%20252610194%26entry.1578404635%3DHadir</t>
  </si>
  <si>
    <t>1LaOPvRE23-EGEZMKY68pbwFl6Tu9E0ko</t>
  </si>
  <si>
    <t>https://drive.google.com/file/d/1LaOPvRE23-EGEZMKY68pbwFl6Tu9E0ko/view?usp=drivesdk</t>
  </si>
  <si>
    <t>0092383688 / 252610195</t>
  </si>
  <si>
    <t>Fanisa Nurkamila Hamdani - P</t>
  </si>
  <si>
    <t>https://quickchart.io/qr?size=250&amp;text=https%3A%2F%2Fdocs.google.com%2Fforms%2Fd%2Fe%2F1FAIpQLSeZ-R1GrWlAPkfaThGqxeTj0QTtrARw4rroxIIepf2kipn1nw%2FformResponse%3Fusp%3Dpp_url%26entry.1313582257%3D0092383688%20%2F%20252610195%26entry.1578404635%3DHadir</t>
  </si>
  <si>
    <t>1t2mvjWinLOccTgPRRVD-rpYoGRIEaFbS</t>
  </si>
  <si>
    <t>https://drive.google.com/file/d/1t2mvjWinLOccTgPRRVD-rpYoGRIEaFbS/view?usp=drivesdk</t>
  </si>
  <si>
    <t>0096185979 / 252610198</t>
  </si>
  <si>
    <t>Farhan Benzema - L</t>
  </si>
  <si>
    <t>https://quickchart.io/qr?size=250&amp;text=https%3A%2F%2Fdocs.google.com%2Fforms%2Fd%2Fe%2F1FAIpQLSeZ-R1GrWlAPkfaThGqxeTj0QTtrARw4rroxIIepf2kipn1nw%2FformResponse%3Fusp%3Dpp_url%26entry.1313582257%3D0096185979%20%2F%20252610198%26entry.1578404635%3DHadir</t>
  </si>
  <si>
    <t>19MIIaIj9mSta3bjqv4dYx4_BXIYxkRO9</t>
  </si>
  <si>
    <t>https://drive.google.com/file/d/19MIIaIj9mSta3bjqv4dYx4_BXIYxkRO9/view?usp=drivesdk</t>
  </si>
  <si>
    <t>Document successfully created; Document successfully merged; PDF created; Manually run by skycircle.id@gmail.com; Timestamp: Nov 7 2025 3:34 AM</t>
  </si>
  <si>
    <t>0094160236 / 252610209</t>
  </si>
  <si>
    <t>Fauzi Castle Satara - P</t>
  </si>
  <si>
    <t>https://quickchart.io/qr?size=250&amp;text=https%3A%2F%2Fdocs.google.com%2Fforms%2Fd%2Fe%2F1FAIpQLSeZ-R1GrWlAPkfaThGqxeTj0QTtrARw4rroxIIepf2kipn1nw%2FformResponse%3Fusp%3Dpp_url%26entry.1313582257%3D0094160236%20%2F%20252610209%26entry.1578404635%3DHadir</t>
  </si>
  <si>
    <t>1AxBreP4Us4-Cdevyq5IcdNkh02yaUlJO</t>
  </si>
  <si>
    <t>https://drive.google.com/file/d/1AxBreP4Us4-Cdevyq5IcdNkh02yaUlJO/view?usp=drivesdk</t>
  </si>
  <si>
    <t>Febri Afriani - P</t>
  </si>
  <si>
    <t>https://quickchart.io/qr?size=250&amp;text=https%3A%2F%2Fdocs.google.com%2Fforms%2Fd%2Fe%2F1FAIpQLSeZ-R1GrWlAPkfaThGqxeTj0QTtrARw4rroxIIepf2kipn1nw%2FformResponse%3Fusp%3Dpp_url%26entry.1313582257%3D0101705316%20%2F%20252610210%26entry.1578404635%3DHadir</t>
  </si>
  <si>
    <t>1CEi9hQpmaN5WslL52RymTjnQM9jypmmo</t>
  </si>
  <si>
    <t>https://drive.google.com/file/d/1CEi9hQpmaN5WslL52RymTjnQM9jypmmo/view?usp=drivesdk</t>
  </si>
  <si>
    <t>Freja Aira Anindhita - P</t>
  </si>
  <si>
    <t>https://quickchart.io/qr?size=250&amp;text=https%3A%2F%2Fdocs.google.com%2Fforms%2Fd%2Fe%2F1FAIpQLSeZ-R1GrWlAPkfaThGqxeTj0QTtrARw4rroxIIepf2kipn1nw%2FformResponse%3Fusp%3Dpp_url%26entry.1313582257%3D3090346201%20%2F%20252610214%26entry.1578404635%3DHadir</t>
  </si>
  <si>
    <t>1Sjxwh-HYChLeyo2Yv-whlTQb-Vg9n5S1</t>
  </si>
  <si>
    <t>https://drive.google.com/file/d/1Sjxwh-HYChLeyo2Yv-whlTQb-Vg9n5S1/view?usp=drivesdk</t>
  </si>
  <si>
    <t>Hasfa Zulfana Nahdah - P</t>
  </si>
  <si>
    <t>https://quickchart.io/qr?size=250&amp;text=https%3A%2F%2Fdocs.google.com%2Fforms%2Fd%2Fe%2F1FAIpQLSeZ-R1GrWlAPkfaThGqxeTj0QTtrARw4rroxIIepf2kipn1nw%2FformResponse%3Fusp%3Dpp_url%26entry.1313582257%3D0107948623%20%2F%20252610227%26entry.1578404635%3DHadir</t>
  </si>
  <si>
    <t>116IBW44q-nUF4EOOt5y_wWqty9N8fWYy</t>
  </si>
  <si>
    <t>https://drive.google.com/file/d/116IBW44q-nUF4EOOt5y_wWqty9N8fWYy/view?usp=drivesdk</t>
  </si>
  <si>
    <t>Document successfully created; Document successfully merged; PDF created; Manually run by skycircle.id@gmail.com; Timestamp: Nov 7 2025 3:35 AM</t>
  </si>
  <si>
    <t>0105199862 / 252610249</t>
  </si>
  <si>
    <t>Joceline Sisca Lumongga Manurung - P</t>
  </si>
  <si>
    <t>https://quickchart.io/qr?size=250&amp;text=https%3A%2F%2Fdocs.google.com%2Fforms%2Fd%2Fe%2F1FAIpQLSeZ-R1GrWlAPkfaThGqxeTj0QTtrARw4rroxIIepf2kipn1nw%2FformResponse%3Fusp%3Dpp_url%26entry.1313582257%3D0105199862%20%2F%20252610249%26entry.1578404635%3DHadir</t>
  </si>
  <si>
    <t>16O9PU_R5KQdmATeaIRDgLOqdXqUGl4mI</t>
  </si>
  <si>
    <t>https://drive.google.com/file/d/16O9PU_R5KQdmATeaIRDgLOqdXqUGl4mI/view?usp=drivesdk</t>
  </si>
  <si>
    <t>0099375007 / 252610273</t>
  </si>
  <si>
    <t>Keyla Putri Saksono - P</t>
  </si>
  <si>
    <t>https://quickchart.io/qr?size=250&amp;text=https%3A%2F%2Fdocs.google.com%2Fforms%2Fd%2Fe%2F1FAIpQLSeZ-R1GrWlAPkfaThGqxeTj0QTtrARw4rroxIIepf2kipn1nw%2FformResponse%3Fusp%3Dpp_url%26entry.1313582257%3D0099375007%20%2F%20252610273%26entry.1578404635%3DHadir</t>
  </si>
  <si>
    <t>1QatggcSHlTkDw0e49gTeXXmp7cWQ3w07</t>
  </si>
  <si>
    <t>https://drive.google.com/file/d/1QatggcSHlTkDw0e49gTeXXmp7cWQ3w07/view?usp=drivesdk</t>
  </si>
  <si>
    <t>0109221606 / 252610279</t>
  </si>
  <si>
    <t>Khalisa Silmi Jovita Warsito - P</t>
  </si>
  <si>
    <t>https://quickchart.io/qr?size=250&amp;text=https%3A%2F%2Fdocs.google.com%2Fforms%2Fd%2Fe%2F1FAIpQLSeZ-R1GrWlAPkfaThGqxeTj0QTtrARw4rroxIIepf2kipn1nw%2FformResponse%3Fusp%3Dpp_url%26entry.1313582257%3D0109221606%20%2F%20252610279%26entry.1578404635%3DHadir</t>
  </si>
  <si>
    <t>1bCB3w6-AVaEnhb_AK8G45LUsnCneN72T</t>
  </si>
  <si>
    <t>https://drive.google.com/file/d/1bCB3w6-AVaEnhb_AK8G45LUsnCneN72T/view?usp=drivesdk</t>
  </si>
  <si>
    <t>Kharisma Zahra Tiara Putri - P</t>
  </si>
  <si>
    <t>https://quickchart.io/qr?size=250&amp;text=https%3A%2F%2Fdocs.google.com%2Fforms%2Fd%2Fe%2F1FAIpQLSeZ-R1GrWlAPkfaThGqxeTj0QTtrARw4rroxIIepf2kipn1nw%2FformResponse%3Fusp%3Dpp_url%26entry.1313582257%3D0094583694%20%2F%20252610285%26entry.1578404635%3DHadir</t>
  </si>
  <si>
    <t>1MGF-yN5VLxYqaPFvZOP5-7PRbCk21Jqp</t>
  </si>
  <si>
    <t>https://drive.google.com/file/d/1MGF-yN5VLxYqaPFvZOP5-7PRbCk21Jqp/view?usp=drivesdk</t>
  </si>
  <si>
    <t>0109522386 / 252610308</t>
  </si>
  <si>
    <t>Mawar Aprilliana - P</t>
  </si>
  <si>
    <t>https://quickchart.io/qr?size=250&amp;text=https%3A%2F%2Fdocs.google.com%2Fforms%2Fd%2Fe%2F1FAIpQLSeZ-R1GrWlAPkfaThGqxeTj0QTtrARw4rroxIIepf2kipn1nw%2FformResponse%3Fusp%3Dpp_url%26entry.1313582257%3D0109522386%20%2F%20252610308%26entry.1578404635%3DHadir</t>
  </si>
  <si>
    <t>1lZ7DITJKDBMR_TUYBi1ACNRDaZz1V6K9</t>
  </si>
  <si>
    <t>https://drive.google.com/file/d/1lZ7DITJKDBMR_TUYBi1ACNRDaZz1V6K9/view?usp=drivesdk</t>
  </si>
  <si>
    <t>Document successfully created; Document successfully merged; PDF created; Manually run by skycircle.id@gmail.com; Timestamp: Nov 7 2025 3:36 AM</t>
  </si>
  <si>
    <t>0095079380 / 252610312</t>
  </si>
  <si>
    <t>Mentari Dwi Anggraeni - P</t>
  </si>
  <si>
    <t>https://quickchart.io/qr?size=250&amp;text=https%3A%2F%2Fdocs.google.com%2Fforms%2Fd%2Fe%2F1FAIpQLSeZ-R1GrWlAPkfaThGqxeTj0QTtrARw4rroxIIepf2kipn1nw%2FformResponse%3Fusp%3Dpp_url%26entry.1313582257%3D0095079380%20%2F%20252610312%26entry.1578404635%3DHadir</t>
  </si>
  <si>
    <t>1XDW3ZS4J8ruw2ISfwvgTooihq-HzHIDc</t>
  </si>
  <si>
    <t>https://drive.google.com/file/d/1XDW3ZS4J8ruw2ISfwvgTooihq-HzHIDc/view?usp=drivesdk</t>
  </si>
  <si>
    <t>0098849299 / 252610342</t>
  </si>
  <si>
    <t>Muhammad Azzam Ananda Fatahilah - L</t>
  </si>
  <si>
    <t>https://quickchart.io/qr?size=250&amp;text=https%3A%2F%2Fdocs.google.com%2Fforms%2Fd%2Fe%2F1FAIpQLSeZ-R1GrWlAPkfaThGqxeTj0QTtrARw4rroxIIepf2kipn1nw%2FformResponse%3Fusp%3Dpp_url%26entry.1313582257%3D0098849299%20%2F%20252610342%26entry.1578404635%3DHadir</t>
  </si>
  <si>
    <t>1dhaskgn5b9-_DI6pTxqzKvRYcJl7sXY3</t>
  </si>
  <si>
    <t>https://drive.google.com/file/d/1dhaskgn5b9-_DI6pTxqzKvRYcJl7sXY3/view?usp=drivesdk</t>
  </si>
  <si>
    <t>0108710844 / 252610355</t>
  </si>
  <si>
    <t>Muhammad Hafizh Arrantisi - L</t>
  </si>
  <si>
    <t>https://quickchart.io/qr?size=250&amp;text=https%3A%2F%2Fdocs.google.com%2Fforms%2Fd%2Fe%2F1FAIpQLSeZ-R1GrWlAPkfaThGqxeTj0QTtrARw4rroxIIepf2kipn1nw%2FformResponse%3Fusp%3Dpp_url%26entry.1313582257%3D0108710844%20%2F%20252610355%26entry.1578404635%3DHadir</t>
  </si>
  <si>
    <t>1jps3_fjiKA74ZoB75IoJ3MwHV18FP5Dx</t>
  </si>
  <si>
    <t>https://drive.google.com/file/d/1jps3_fjiKA74ZoB75IoJ3MwHV18FP5Dx/view?usp=drivesdk</t>
  </si>
  <si>
    <t>0103242050 / 252610360</t>
  </si>
  <si>
    <t>Muhammad Musyaffa Latief - L</t>
  </si>
  <si>
    <t>https://quickchart.io/qr?size=250&amp;text=https%3A%2F%2Fdocs.google.com%2Fforms%2Fd%2Fe%2F1FAIpQLSeZ-R1GrWlAPkfaThGqxeTj0QTtrARw4rroxIIepf2kipn1nw%2FformResponse%3Fusp%3Dpp_url%26entry.1313582257%3D0103242050%20%2F%20252610360%26entry.1578404635%3DHadir</t>
  </si>
  <si>
    <t>1X9nSRmosj5jMZbpmXFF0_rVMbOvV4Mf8</t>
  </si>
  <si>
    <t>https://drive.google.com/file/d/1X9nSRmosj5jMZbpmXFF0_rVMbOvV4Mf8/view?usp=drivesdk</t>
  </si>
  <si>
    <t>Document successfully created; Document successfully merged; PDF created; Manually run by skycircle.id@gmail.com; Timestamp: Nov 7 2025 3:37 AM</t>
  </si>
  <si>
    <t>0095549480 / 252610394</t>
  </si>
  <si>
    <t>Najwa Citra Lestari - P</t>
  </si>
  <si>
    <t>https://quickchart.io/qr?size=250&amp;text=https%3A%2F%2Fdocs.google.com%2Fforms%2Fd%2Fe%2F1FAIpQLSeZ-R1GrWlAPkfaThGqxeTj0QTtrARw4rroxIIepf2kipn1nw%2FformResponse%3Fusp%3Dpp_url%26entry.1313582257%3D0095549480%20%2F%20252610394%26entry.1578404635%3DHadir</t>
  </si>
  <si>
    <t>1Krltp8_86ZczGUXgnhOGvcEi8FJNwc2c</t>
  </si>
  <si>
    <t>https://drive.google.com/file/d/1Krltp8_86ZczGUXgnhOGvcEi8FJNwc2c/view?usp=drivesdk</t>
  </si>
  <si>
    <t>0108065698 / 252610410</t>
  </si>
  <si>
    <t>Nayra Putri Sagita - P</t>
  </si>
  <si>
    <t>https://quickchart.io/qr?size=250&amp;text=https%3A%2F%2Fdocs.google.com%2Fforms%2Fd%2Fe%2F1FAIpQLSeZ-R1GrWlAPkfaThGqxeTj0QTtrARw4rroxIIepf2kipn1nw%2FformResponse%3Fusp%3Dpp_url%26entry.1313582257%3D0108065698%20%2F%20252610410%26entry.1578404635%3DHadir</t>
  </si>
  <si>
    <t>10fv9Wpkn16WmqnYZolE6UAdqpxmpyVc-</t>
  </si>
  <si>
    <t>https://drive.google.com/file/d/10fv9Wpkn16WmqnYZolE6UAdqpxmpyVc-/view?usp=drivesdk</t>
  </si>
  <si>
    <t>0106380486 / 252610442</t>
  </si>
  <si>
    <t>Queensha Amiradana Putri Hamka - P</t>
  </si>
  <si>
    <t>https://quickchart.io/qr?size=250&amp;text=https%3A%2F%2Fdocs.google.com%2Fforms%2Fd%2Fe%2F1FAIpQLSeZ-R1GrWlAPkfaThGqxeTj0QTtrARw4rroxIIepf2kipn1nw%2FformResponse%3Fusp%3Dpp_url%26entry.1313582257%3D0106380486%20%2F%20252610442%26entry.1578404635%3DHadir</t>
  </si>
  <si>
    <t>1YdYuLcKGzXCO9vu7zTJKO21jX25O6vTO</t>
  </si>
  <si>
    <t>https://drive.google.com/file/d/1YdYuLcKGzXCO9vu7zTJKO21jX25O6vTO/view?usp=drivesdk</t>
  </si>
  <si>
    <t>0101582567 / 252610446</t>
  </si>
  <si>
    <t>Quinsha Rizkya Irawan - P</t>
  </si>
  <si>
    <t>https://quickchart.io/qr?size=250&amp;text=https%3A%2F%2Fdocs.google.com%2Fforms%2Fd%2Fe%2F1FAIpQLSeZ-R1GrWlAPkfaThGqxeTj0QTtrARw4rroxIIepf2kipn1nw%2FformResponse%3Fusp%3Dpp_url%26entry.1313582257%3D0101582567%20%2F%20252610446%26entry.1578404635%3DHadir</t>
  </si>
  <si>
    <t>1OsJNT8-hdUiQEJd-PnhFfMxwSmjo6Zab</t>
  </si>
  <si>
    <t>https://drive.google.com/file/d/1OsJNT8-hdUiQEJd-PnhFfMxwSmjo6Zab/view?usp=drivesdk</t>
  </si>
  <si>
    <t>Document successfully created; Document successfully merged; PDF created; Manually run by skycircle.id@gmail.com; Timestamp: Nov 7 2025 3:38 AM</t>
  </si>
  <si>
    <t>0092020564 / 252610449</t>
  </si>
  <si>
    <t>Raasyid Zhariif Santoso - L</t>
  </si>
  <si>
    <t>https://quickchart.io/qr?size=250&amp;text=https%3A%2F%2Fdocs.google.com%2Fforms%2Fd%2Fe%2F1FAIpQLSeZ-R1GrWlAPkfaThGqxeTj0QTtrARw4rroxIIepf2kipn1nw%2FformResponse%3Fusp%3Dpp_url%26entry.1313582257%3D0092020564%20%2F%20252610449%26entry.1578404635%3DHadir</t>
  </si>
  <si>
    <t>1wH6m1Hp_VdHA1BZWds47XspS_Tr2e-6W</t>
  </si>
  <si>
    <t>https://drive.google.com/file/d/1wH6m1Hp_VdHA1BZWds47XspS_Tr2e-6W/view?usp=drivesdk</t>
  </si>
  <si>
    <t>0107445789 / 252610456</t>
  </si>
  <si>
    <t>Raditya Rafa Abdillah - L</t>
  </si>
  <si>
    <t>https://quickchart.io/qr?size=250&amp;text=https%3A%2F%2Fdocs.google.com%2Fforms%2Fd%2Fe%2F1FAIpQLSeZ-R1GrWlAPkfaThGqxeTj0QTtrARw4rroxIIepf2kipn1nw%2FformResponse%3Fusp%3Dpp_url%26entry.1313582257%3D0107445789%20%2F%20252610456%26entry.1578404635%3DHadir</t>
  </si>
  <si>
    <t>1InSYWy0ZFfj4W8oC-I5T7bDayGcHCYq8</t>
  </si>
  <si>
    <t>https://drive.google.com/file/d/1InSYWy0ZFfj4W8oC-I5T7bDayGcHCYq8/view?usp=drivesdk</t>
  </si>
  <si>
    <t>0094690365 / 252610478</t>
  </si>
  <si>
    <t>Raynar Abiyu Diera - L</t>
  </si>
  <si>
    <t>https://quickchart.io/qr?size=250&amp;text=https%3A%2F%2Fdocs.google.com%2Fforms%2Fd%2Fe%2F1FAIpQLSeZ-R1GrWlAPkfaThGqxeTj0QTtrARw4rroxIIepf2kipn1nw%2FformResponse%3Fusp%3Dpp_url%26entry.1313582257%3D0094690365%20%2F%20252610478%26entry.1578404635%3DHadir</t>
  </si>
  <si>
    <t>1MZq_u6VF6CGfbGnIYbmdiWtK9QqAtRbr</t>
  </si>
  <si>
    <t>https://drive.google.com/file/d/1MZq_u6VF6CGfbGnIYbmdiWtK9QqAtRbr/view?usp=drivesdk</t>
  </si>
  <si>
    <t>0093623051 / 252610479</t>
  </si>
  <si>
    <t>Rayyan Wahyu Ramadhan - L</t>
  </si>
  <si>
    <t>https://quickchart.io/qr?size=250&amp;text=https%3A%2F%2Fdocs.google.com%2Fforms%2Fd%2Fe%2F1FAIpQLSeZ-R1GrWlAPkfaThGqxeTj0QTtrARw4rroxIIepf2kipn1nw%2FformResponse%3Fusp%3Dpp_url%26entry.1313582257%3D0093623051%20%2F%20252610479%26entry.1578404635%3DHadir</t>
  </si>
  <si>
    <t>1tlrINIeMSTClo7v3LHvlEB2GuQsbwVQ2</t>
  </si>
  <si>
    <t>https://drive.google.com/file/d/1tlrINIeMSTClo7v3LHvlEB2GuQsbwVQ2/view?usp=drivesdk</t>
  </si>
  <si>
    <t>0108406931 / 252610484</t>
  </si>
  <si>
    <t>Reva Aulia Putri - P</t>
  </si>
  <si>
    <t>https://quickchart.io/qr?size=250&amp;text=https%3A%2F%2Fdocs.google.com%2Fforms%2Fd%2Fe%2F1FAIpQLSeZ-R1GrWlAPkfaThGqxeTj0QTtrARw4rroxIIepf2kipn1nw%2FformResponse%3Fusp%3Dpp_url%26entry.1313582257%3D0108406931%20%2F%20252610484%26entry.1578404635%3DHadir</t>
  </si>
  <si>
    <t>1um8ZeyTvrNYaAdokbZrgc5jowoarqdOX</t>
  </si>
  <si>
    <t>https://drive.google.com/file/d/1um8ZeyTvrNYaAdokbZrgc5jowoarqdOX/view?usp=drivesdk</t>
  </si>
  <si>
    <t>Document successfully created; Document successfully merged; PDF created; Manually run by skycircle.id@gmail.com; Timestamp: Nov 7 2025 3:39 AM</t>
  </si>
  <si>
    <t>0104171202 / 252610486</t>
  </si>
  <si>
    <t>Revina Apriza - P</t>
  </si>
  <si>
    <t>https://quickchart.io/qr?size=250&amp;text=https%3A%2F%2Fdocs.google.com%2Fforms%2Fd%2Fe%2F1FAIpQLSeZ-R1GrWlAPkfaThGqxeTj0QTtrARw4rroxIIepf2kipn1nw%2FformResponse%3Fusp%3Dpp_url%26entry.1313582257%3D0104171202%20%2F%20252610486%26entry.1578404635%3DHadir</t>
  </si>
  <si>
    <t>1UdxmdVhxMV76N6Nv-Nk-7tddUB_1SP_D</t>
  </si>
  <si>
    <t>https://drive.google.com/file/d/1UdxmdVhxMV76N6Nv-Nk-7tddUB_1SP_D/view?usp=drivesdk</t>
  </si>
  <si>
    <t>3096816288 / 252610495</t>
  </si>
  <si>
    <t>Rossy Indriyati - P</t>
  </si>
  <si>
    <t>https://quickchart.io/qr?size=250&amp;text=https%3A%2F%2Fdocs.google.com%2Fforms%2Fd%2Fe%2F1FAIpQLSeZ-R1GrWlAPkfaThGqxeTj0QTtrARw4rroxIIepf2kipn1nw%2FformResponse%3Fusp%3Dpp_url%26entry.1313582257%3D3096816288%20%2F%20252610495%26entry.1578404635%3DHadir</t>
  </si>
  <si>
    <t>1opE__sRAKCoYyAn9crLHfabvI_BFWzm2</t>
  </si>
  <si>
    <t>https://drive.google.com/file/d/1opE__sRAKCoYyAn9crLHfabvI_BFWzm2/view?usp=drivesdk</t>
  </si>
  <si>
    <t>0102698949 / 252610505</t>
  </si>
  <si>
    <t>Salsa Kirana Putri - P</t>
  </si>
  <si>
    <t>https://quickchart.io/qr?size=250&amp;text=https%3A%2F%2Fdocs.google.com%2Fforms%2Fd%2Fe%2F1FAIpQLSeZ-R1GrWlAPkfaThGqxeTj0QTtrARw4rroxIIepf2kipn1nw%2FformResponse%3Fusp%3Dpp_url%26entry.1313582257%3D0102698949%20%2F%20252610505%26entry.1578404635%3DHadir</t>
  </si>
  <si>
    <t>1E-sxpa6-EewmMh3sb_tYZlelAkGNwfha</t>
  </si>
  <si>
    <t>https://drive.google.com/file/d/1E-sxpa6-EewmMh3sb_tYZlelAkGNwfha/view?usp=drivesdk</t>
  </si>
  <si>
    <t>3096600612 / 252610517</t>
  </si>
  <si>
    <t>Shalomieta Aira Kinaya - P</t>
  </si>
  <si>
    <t>https://quickchart.io/qr?size=250&amp;text=https%3A%2F%2Fdocs.google.com%2Fforms%2Fd%2Fe%2F1FAIpQLSeZ-R1GrWlAPkfaThGqxeTj0QTtrARw4rroxIIepf2kipn1nw%2FformResponse%3Fusp%3Dpp_url%26entry.1313582257%3D3096600612%20%2F%20252610517%26entry.1578404635%3DHadir</t>
  </si>
  <si>
    <t>1rykEWF3929Ix4i95Vr3YX6oAaTggJYhw</t>
  </si>
  <si>
    <t>https://drive.google.com/file/d/1rykEWF3929Ix4i95Vr3YX6oAaTggJYhw/view?usp=drivesdk</t>
  </si>
  <si>
    <t>0106462308 / 252610528</t>
  </si>
  <si>
    <t>Syahdan Akbar Mara Putra - L</t>
  </si>
  <si>
    <t>https://quickchart.io/qr?size=250&amp;text=https%3A%2F%2Fdocs.google.com%2Fforms%2Fd%2Fe%2F1FAIpQLSeZ-R1GrWlAPkfaThGqxeTj0QTtrARw4rroxIIepf2kipn1nw%2FformResponse%3Fusp%3Dpp_url%26entry.1313582257%3D0106462308%20%2F%20252610528%26entry.1578404635%3DHadir</t>
  </si>
  <si>
    <t>1mJsCd2MaCZHgXkeZnlDQznGIkaAbAnzr</t>
  </si>
  <si>
    <t>https://drive.google.com/file/d/1mJsCd2MaCZHgXkeZnlDQznGIkaAbAnzr/view?usp=drivesdk</t>
  </si>
  <si>
    <t>Document successfully created; Document successfully merged; PDF created; Manually run by skycircle.id@gmail.com; Timestamp: Nov 7 2025 3:40 AM</t>
  </si>
  <si>
    <t>0101383149 / 252610529</t>
  </si>
  <si>
    <t>Syahla Adzkannisa Vuzela - P</t>
  </si>
  <si>
    <t>https://quickchart.io/qr?size=250&amp;text=https%3A%2F%2Fdocs.google.com%2Fforms%2Fd%2Fe%2F1FAIpQLSeZ-R1GrWlAPkfaThGqxeTj0QTtrARw4rroxIIepf2kipn1nw%2FformResponse%3Fusp%3Dpp_url%26entry.1313582257%3D0101383149%20%2F%20252610529%26entry.1578404635%3DHadir</t>
  </si>
  <si>
    <t>1ouJ5Q6DSbL7V4O7VVF4PK94JpHuSgAKc</t>
  </si>
  <si>
    <t>https://drive.google.com/file/d/1ouJ5Q6DSbL7V4O7VVF4PK94JpHuSgAKc/view?usp=drivesdk</t>
  </si>
  <si>
    <t>0107096617 / 252610541</t>
  </si>
  <si>
    <t>Taufik Hidayah - L</t>
  </si>
  <si>
    <t>https://quickchart.io/qr?size=250&amp;text=https%3A%2F%2Fdocs.google.com%2Fforms%2Fd%2Fe%2F1FAIpQLSeZ-R1GrWlAPkfaThGqxeTj0QTtrARw4rroxIIepf2kipn1nw%2FformResponse%3Fusp%3Dpp_url%26entry.1313582257%3D0107096617%20%2F%20252610541%26entry.1578404635%3DHadir</t>
  </si>
  <si>
    <t>1Vnp7qGQ42f_J1eRShzKRXXvjwqWqQN88</t>
  </si>
  <si>
    <t>https://drive.google.com/file/d/1Vnp7qGQ42f_J1eRShzKRXXvjwqWqQN88/view?usp=drivesdk</t>
  </si>
  <si>
    <t>0101303057 / 252610006</t>
  </si>
  <si>
    <t>Adara Luthfia Putri - P</t>
  </si>
  <si>
    <t>X7</t>
  </si>
  <si>
    <t>https://quickchart.io/qr?size=250&amp;text=https%3A%2F%2Fdocs.google.com%2Fforms%2Fd%2Fe%2F1FAIpQLSeZ-R1GrWlAPkfaThGqxeTj0QTtrARw4rroxIIepf2kipn1nw%2FformResponse%3Fusp%3Dpp_url%26entry.1313582257%3D0101303057%20%2F%20252610006%26entry.1578404635%3DHadir</t>
  </si>
  <si>
    <t>1prGU8SJ-IJPBTudgrA8n86oCpLDpP6LA</t>
  </si>
  <si>
    <t>https://drive.google.com/file/d/1prGU8SJ-IJPBTudgrA8n86oCpLDpP6LA/view?usp=drivesdk</t>
  </si>
  <si>
    <t>0109597144 / 252610017</t>
  </si>
  <si>
    <t>Ahmad Fahri Hidayat - L</t>
  </si>
  <si>
    <t>https://quickchart.io/qr?size=250&amp;text=https%3A%2F%2Fdocs.google.com%2Fforms%2Fd%2Fe%2F1FAIpQLSeZ-R1GrWlAPkfaThGqxeTj0QTtrARw4rroxIIepf2kipn1nw%2FformResponse%3Fusp%3Dpp_url%26entry.1313582257%3D0109597144%20%2F%20252610017%26entry.1578404635%3DHadir</t>
  </si>
  <si>
    <t>1k_SCLZ9fSTmtjaBQYqpC9xXeoEgxItEk</t>
  </si>
  <si>
    <t>https://drive.google.com/file/d/1k_SCLZ9fSTmtjaBQYqpC9xXeoEgxItEk/view?usp=drivesdk</t>
  </si>
  <si>
    <t>Aira Kirana - P</t>
  </si>
  <si>
    <t>https://quickchart.io/qr?size=250&amp;text=https%3A%2F%2Fdocs.google.com%2Fforms%2Fd%2Fe%2F1FAIpQLSeZ-R1GrWlAPkfaThGqxeTj0QTtrARw4rroxIIepf2kipn1nw%2FformResponse%3Fusp%3Dpp_url%26entry.1313582257%3D3096764634%20%2F%20252610025%26entry.1578404635%3DHadir</t>
  </si>
  <si>
    <t>1Sqz7pITl8A-BX94GJpa0mG2BZv-uoYgZ</t>
  </si>
  <si>
    <t>https://drive.google.com/file/d/1Sqz7pITl8A-BX94GJpa0mG2BZv-uoYgZ/view?usp=drivesdk</t>
  </si>
  <si>
    <t>Document successfully created; Document successfully merged; PDF created; Manually run by skycircle.id@gmail.com; Timestamp: Nov 7 2025 3:41 AM</t>
  </si>
  <si>
    <t>0094347087 / 252610044</t>
  </si>
  <si>
    <t>Aliya Trianzani Putri - P</t>
  </si>
  <si>
    <t>https://quickchart.io/qr?size=250&amp;text=https%3A%2F%2Fdocs.google.com%2Fforms%2Fd%2Fe%2F1FAIpQLSeZ-R1GrWlAPkfaThGqxeTj0QTtrARw4rroxIIepf2kipn1nw%2FformResponse%3Fusp%3Dpp_url%26entry.1313582257%3D0094347087%20%2F%20252610044%26entry.1578404635%3DHadir</t>
  </si>
  <si>
    <t>1ukNP_BnqVTmqbnpLJBPQWWm5zvGZu-oW</t>
  </si>
  <si>
    <t>https://drive.google.com/file/d/1ukNP_BnqVTmqbnpLJBPQWWm5zvGZu-oW/view?usp=drivesdk</t>
  </si>
  <si>
    <t>Alya Silvana Sarifah - P</t>
  </si>
  <si>
    <t>https://quickchart.io/qr?size=250&amp;text=https%3A%2F%2Fdocs.google.com%2Fforms%2Fd%2Fe%2F1FAIpQLSeZ-R1GrWlAPkfaThGqxeTj0QTtrARw4rroxIIepf2kipn1nw%2FformResponse%3Fusp%3Dpp_url%26entry.1313582257%3D0101401010%20%2F%20252610051%26entry.1578404635%3DHadir</t>
  </si>
  <si>
    <t>1eMikJPs34UY0mvreaw_8BUAH9YPjMiO8</t>
  </si>
  <si>
    <t>https://drive.google.com/file/d/1eMikJPs34UY0mvreaw_8BUAH9YPjMiO8/view?usp=drivesdk</t>
  </si>
  <si>
    <t>Anindya Estyana Damayanti - P</t>
  </si>
  <si>
    <t>https://quickchart.io/qr?size=250&amp;text=https%3A%2F%2Fdocs.google.com%2Fforms%2Fd%2Fe%2F1FAIpQLSeZ-R1GrWlAPkfaThGqxeTj0QTtrARw4rroxIIepf2kipn1nw%2FformResponse%3Fusp%3Dpp_url%26entry.1313582257%3D0106758481%20%2F%20252610064%26entry.1578404635%3DHadir</t>
  </si>
  <si>
    <t>19I6GUzKtyFn9Y0LHB_rHcKAVV-7OBj7C</t>
  </si>
  <si>
    <t>https://drive.google.com/file/d/19I6GUzKtyFn9Y0LHB_rHcKAVV-7OBj7C/view?usp=drivesdk</t>
  </si>
  <si>
    <t>Azri Aditya Amada - L</t>
  </si>
  <si>
    <t>https://quickchart.io/qr?size=250&amp;text=https%3A%2F%2Fdocs.google.com%2Fforms%2Fd%2Fe%2F1FAIpQLSeZ-R1GrWlAPkfaThGqxeTj0QTtrARw4rroxIIepf2kipn1nw%2FformResponse%3Fusp%3Dpp_url%26entry.1313582257%3D0092241333%20%2F%20252610113%26entry.1578404635%3DHadir</t>
  </si>
  <si>
    <t>1n0Rqkx62oCPX8Hi5co4UWZk1y_y1dskD</t>
  </si>
  <si>
    <t>https://drive.google.com/file/d/1n0Rqkx62oCPX8Hi5co4UWZk1y_y1dskD/view?usp=drivesdk</t>
  </si>
  <si>
    <t>Clara Dwi Cahya - P</t>
  </si>
  <si>
    <t>https://quickchart.io/qr?size=250&amp;text=https%3A%2F%2Fdocs.google.com%2Fforms%2Fd%2Fe%2F1FAIpQLSeZ-R1GrWlAPkfaThGqxeTj0QTtrARw4rroxIIepf2kipn1nw%2FformResponse%3Fusp%3Dpp_url%26entry.1313582257%3D0102239764%20%2F%20252610140%26entry.1578404635%3DHadir</t>
  </si>
  <si>
    <t>1u9DR_1DJaxjTPtNCvrU_tJm47CuCIE-Q</t>
  </si>
  <si>
    <t>https://drive.google.com/file/d/1u9DR_1DJaxjTPtNCvrU_tJm47CuCIE-Q/view?usp=drivesdk</t>
  </si>
  <si>
    <t>Document successfully created; Document successfully merged; PDF created; Manually run by skycircle.id@gmail.com; Timestamp: Nov 7 2025 3:42 AM</t>
  </si>
  <si>
    <t>Clarisa Meidiana - P</t>
  </si>
  <si>
    <t>https://quickchart.io/qr?size=250&amp;text=https%3A%2F%2Fdocs.google.com%2Fforms%2Fd%2Fe%2F1FAIpQLSeZ-R1GrWlAPkfaThGqxeTj0QTtrARw4rroxIIepf2kipn1nw%2FformResponse%3Fusp%3Dpp_url%26entry.1313582257%3D0108763766%20%2F%20252610141%26entry.1578404635%3DHadir</t>
  </si>
  <si>
    <t>1LXFiIppbtalcbpiDrnRgHNeEHovRD6N4</t>
  </si>
  <si>
    <t>https://drive.google.com/file/d/1LXFiIppbtalcbpiDrnRgHNeEHovRD6N4/view?usp=drivesdk</t>
  </si>
  <si>
    <t>Daffa Khoirul Fajri - L</t>
  </si>
  <si>
    <t>https://quickchart.io/qr?size=250&amp;text=https%3A%2F%2Fdocs.google.com%2Fforms%2Fd%2Fe%2F1FAIpQLSeZ-R1GrWlAPkfaThGqxeTj0QTtrARw4rroxIIepf2kipn1nw%2FformResponse%3Fusp%3Dpp_url%26entry.1313582257%3D0103120702%20%2F%20252610144%26entry.1578404635%3DHadir</t>
  </si>
  <si>
    <t>1BmDXEgwljdWNjU6wCrsYmM6yOVsA4vZP</t>
  </si>
  <si>
    <t>https://drive.google.com/file/d/1BmDXEgwljdWNjU6wCrsYmM6yOVsA4vZP/view?usp=drivesdk</t>
  </si>
  <si>
    <t>Dhia Devita Ramadhani - P</t>
  </si>
  <si>
    <t>https://quickchart.io/qr?size=250&amp;text=https%3A%2F%2Fdocs.google.com%2Fforms%2Fd%2Fe%2F1FAIpQLSeZ-R1GrWlAPkfaThGqxeTj0QTtrARw4rroxIIepf2kipn1nw%2FformResponse%3Fusp%3Dpp_url%26entry.1313582257%3D0099164493%20%2F%20252610156%26entry.1578404635%3DHadir</t>
  </si>
  <si>
    <t>1AceUVFIX4YCoqFouiOC55_DHOQg8FuFu</t>
  </si>
  <si>
    <t>https://drive.google.com/file/d/1AceUVFIX4YCoqFouiOC55_DHOQg8FuFu/view?usp=drivesdk</t>
  </si>
  <si>
    <t>Diajeng Inggil Lintang Aulia - P</t>
  </si>
  <si>
    <t>https://quickchart.io/qr?size=250&amp;text=https%3A%2F%2Fdocs.google.com%2Fforms%2Fd%2Fe%2F1FAIpQLSeZ-R1GrWlAPkfaThGqxeTj0QTtrARw4rroxIIepf2kipn1nw%2FformResponse%3Fusp%3Dpp_url%26entry.1313582257%3D0093281671%20%2F%20252610159%26entry.1578404635%3DHadir</t>
  </si>
  <si>
    <t>1eu-ALrI43IlGR5flc6eaeorPlKgmqobL</t>
  </si>
  <si>
    <t>https://drive.google.com/file/d/1eu-ALrI43IlGR5flc6eaeorPlKgmqobL/view?usp=drivesdk</t>
  </si>
  <si>
    <t>Elgiva Damara Sanchia - P</t>
  </si>
  <si>
    <t>https://quickchart.io/qr?size=250&amp;text=https%3A%2F%2Fdocs.google.com%2Fforms%2Fd%2Fe%2F1FAIpQLSeZ-R1GrWlAPkfaThGqxeTj0QTtrARw4rroxIIepf2kipn1nw%2FformResponse%3Fusp%3Dpp_url%26entry.1313582257%3D0091524155%20%2F%20252610179%26entry.1578404635%3DHadir</t>
  </si>
  <si>
    <t>1lmlc61idtwi-hq7hhjEfAl9FxfqW-xMW</t>
  </si>
  <si>
    <t>https://drive.google.com/file/d/1lmlc61idtwi-hq7hhjEfAl9FxfqW-xMW/view?usp=drivesdk</t>
  </si>
  <si>
    <t>0094004131 / 252610182</t>
  </si>
  <si>
    <t>Enzo Asido Rama Raditya - L</t>
  </si>
  <si>
    <t>https://quickchart.io/qr?size=250&amp;text=https%3A%2F%2Fdocs.google.com%2Fforms%2Fd%2Fe%2F1FAIpQLSeZ-R1GrWlAPkfaThGqxeTj0QTtrARw4rroxIIepf2kipn1nw%2FformResponse%3Fusp%3Dpp_url%26entry.1313582257%3D0094004131%20%2F%20252610182%26entry.1578404635%3DHadir</t>
  </si>
  <si>
    <t>1MBoWMyVFTczExKalmTZ2u03zOKDbGNOC</t>
  </si>
  <si>
    <t>https://drive.google.com/file/d/1MBoWMyVFTczExKalmTZ2u03zOKDbGNOC/view?usp=drivesdk</t>
  </si>
  <si>
    <t>Document successfully created; Document successfully merged; PDF created; Manually run by skycircle.id@gmail.com; Timestamp: Nov 7 2025 3:43 AM</t>
  </si>
  <si>
    <t>0107042804 / 252610197</t>
  </si>
  <si>
    <t>Farhan Abdurrahman Yusuf - L</t>
  </si>
  <si>
    <t>https://quickchart.io/qr?size=250&amp;text=https%3A%2F%2Fdocs.google.com%2Fforms%2Fd%2Fe%2F1FAIpQLSeZ-R1GrWlAPkfaThGqxeTj0QTtrARw4rroxIIepf2kipn1nw%2FformResponse%3Fusp%3Dpp_url%26entry.1313582257%3D0107042804%20%2F%20252610197%26entry.1578404635%3DHadir</t>
  </si>
  <si>
    <t>1IzM4Mzfw4WSBZgv_949z-CWhkwBJXUZ3</t>
  </si>
  <si>
    <t>https://drive.google.com/file/d/1IzM4Mzfw4WSBZgv_949z-CWhkwBJXUZ3/view?usp=drivesdk</t>
  </si>
  <si>
    <t>Faris Razwa Sambega - L</t>
  </si>
  <si>
    <t>https://quickchart.io/qr?size=250&amp;text=https%3A%2F%2Fdocs.google.com%2Fforms%2Fd%2Fe%2F1FAIpQLSeZ-R1GrWlAPkfaThGqxeTj0QTtrARw4rroxIIepf2kipn1nw%2FformResponse%3Fusp%3Dpp_url%26entry.1313582257%3D0094782869%20%2F%20252610200%26entry.1578404635%3DHadir</t>
  </si>
  <si>
    <t>10ok6w91GLXBs0uVyQ2eKltTz5fjeFMJh</t>
  </si>
  <si>
    <t>https://drive.google.com/file/d/10ok6w91GLXBs0uVyQ2eKltTz5fjeFMJh/view?usp=drivesdk</t>
  </si>
  <si>
    <t>Ghaniyah Adelia - P</t>
  </si>
  <si>
    <t>https://quickchart.io/qr?size=250&amp;text=https%3A%2F%2Fdocs.google.com%2Fforms%2Fd%2Fe%2F1FAIpQLSeZ-R1GrWlAPkfaThGqxeTj0QTtrARw4rroxIIepf2kipn1nw%2FformResponse%3Fusp%3Dpp_url%26entry.1313582257%3D0107335774%20%2F%20252610221%26entry.1578404635%3DHadir</t>
  </si>
  <si>
    <t>13DvewKRpqiQFbG2yQhjp_FSN1ugaQ1yl</t>
  </si>
  <si>
    <t>https://drive.google.com/file/d/13DvewKRpqiQFbG2yQhjp_FSN1ugaQ1yl/view?usp=drivesdk</t>
  </si>
  <si>
    <t>Hafizh Mumtaz - L</t>
  </si>
  <si>
    <t>https://quickchart.io/qr?size=250&amp;text=https%3A%2F%2Fdocs.google.com%2Fforms%2Fd%2Fe%2F1FAIpQLSeZ-R1GrWlAPkfaThGqxeTj0QTtrARw4rroxIIepf2kipn1nw%2FformResponse%3Fusp%3Dpp_url%26entry.1313582257%3D3103220251%20%2F%20252610225%26entry.1578404635%3DHadir</t>
  </si>
  <si>
    <t>1ugNh5yH0ffDrsIzXKyPNgXh9przMk1Br</t>
  </si>
  <si>
    <t>https://drive.google.com/file/d/1ugNh5yH0ffDrsIzXKyPNgXh9przMk1Br/view?usp=drivesdk</t>
  </si>
  <si>
    <t>Juan Pirlo Benzema - L</t>
  </si>
  <si>
    <t>https://quickchart.io/qr?size=250&amp;text=https%3A%2F%2Fdocs.google.com%2Fforms%2Fd%2Fe%2F1FAIpQLSeZ-R1GrWlAPkfaThGqxeTj0QTtrARw4rroxIIepf2kipn1nw%2FformResponse%3Fusp%3Dpp_url%26entry.1313582257%3D0093078917%20%2F%20252610252%26entry.1578404635%3DHadir</t>
  </si>
  <si>
    <t>1EMyhj1TzY9KHsOrpCVSVE60DXNBKjwgm</t>
  </si>
  <si>
    <t>https://drive.google.com/file/d/1EMyhj1TzY9KHsOrpCVSVE60DXNBKjwgm/view?usp=drivesdk</t>
  </si>
  <si>
    <t>Document successfully created; Document successfully merged; PDF created; Manually run by skycircle.id@gmail.com; Timestamp: Nov 7 2025 3:44 AM</t>
  </si>
  <si>
    <t>Kania Putriana Yaswin - P</t>
  </si>
  <si>
    <t>https://quickchart.io/qr?size=250&amp;text=https%3A%2F%2Fdocs.google.com%2Fforms%2Fd%2Fe%2F1FAIpQLSeZ-R1GrWlAPkfaThGqxeTj0QTtrARw4rroxIIepf2kipn1nw%2FformResponse%3Fusp%3Dpp_url%26entry.1313582257%3D0106222604%20%2F%20252610254%26entry.1578404635%3DHadir</t>
  </si>
  <si>
    <t>1kHPRkitEcG8H0W-d76ANCPVHPOGN0F7k</t>
  </si>
  <si>
    <t>https://drive.google.com/file/d/1kHPRkitEcG8H0W-d76ANCPVHPOGN0F7k/view?usp=drivesdk</t>
  </si>
  <si>
    <t>Kaysa Maharani Sofyan - P</t>
  </si>
  <si>
    <t>https://quickchart.io/qr?size=250&amp;text=https%3A%2F%2Fdocs.google.com%2Fforms%2Fd%2Fe%2F1FAIpQLSeZ-R1GrWlAPkfaThGqxeTj0QTtrARw4rroxIIepf2kipn1nw%2FformResponse%3Fusp%3Dpp_url%26entry.1313582257%3D0105055119%20%2F%20252610264%26entry.1578404635%3DHadir</t>
  </si>
  <si>
    <t>1LhhtRuRhZQyUnLyE4-IEvZ-RggSRXnwK</t>
  </si>
  <si>
    <t>https://drive.google.com/file/d/1LhhtRuRhZQyUnLyE4-IEvZ-RggSRXnwK/view?usp=drivesdk</t>
  </si>
  <si>
    <t>Keisya Andhita Kirana Putri - P</t>
  </si>
  <si>
    <t>https://quickchart.io/qr?size=250&amp;text=https%3A%2F%2Fdocs.google.com%2Fforms%2Fd%2Fe%2F1FAIpQLSeZ-R1GrWlAPkfaThGqxeTj0QTtrARw4rroxIIepf2kipn1nw%2FformResponse%3Fusp%3Dpp_url%26entry.1313582257%3D0096544983%20%2F%20252610268%26entry.1578404635%3DHadir</t>
  </si>
  <si>
    <t>1SIYILAU0e2-dUE47Cl6ITSe5m_haindr</t>
  </si>
  <si>
    <t>https://drive.google.com/file/d/1SIYILAU0e2-dUE47Cl6ITSe5m_haindr/view?usp=drivesdk</t>
  </si>
  <si>
    <t>3093288409 / 252610291</t>
  </si>
  <si>
    <t>Livia Vidyadhara - P</t>
  </si>
  <si>
    <t>https://quickchart.io/qr?size=250&amp;text=https%3A%2F%2Fdocs.google.com%2Fforms%2Fd%2Fe%2F1FAIpQLSeZ-R1GrWlAPkfaThGqxeTj0QTtrARw4rroxIIepf2kipn1nw%2FformResponse%3Fusp%3Dpp_url%26entry.1313582257%3D3093288409%20%2F%20252610291%26entry.1578404635%3DHadir</t>
  </si>
  <si>
    <t>1O2WqY97qUmK31RjTKBZWhMSOqX6XSPD5</t>
  </si>
  <si>
    <t>https://drive.google.com/file/d/1O2WqY97qUmK31RjTKBZWhMSOqX6XSPD5/view?usp=drivesdk</t>
  </si>
  <si>
    <t>Document successfully created; Document successfully merged; PDF created; Manually run by skycircle.id@gmail.com; Timestamp: Nov 7 2025 3:45 AM</t>
  </si>
  <si>
    <t>Manar Abbas Bawazir - P</t>
  </si>
  <si>
    <t>https://quickchart.io/qr?size=250&amp;text=https%3A%2F%2Fdocs.google.com%2Fforms%2Fd%2Fe%2F1FAIpQLSeZ-R1GrWlAPkfaThGqxeTj0QTtrARw4rroxIIepf2kipn1nw%2FformResponse%3Fusp%3Dpp_url%26entry.1313582257%3D0103468589%20%2F%20252610300%26entry.1578404635%3DHadir</t>
  </si>
  <si>
    <t>1spUSsBb4s2y7VAJhyPtYf6PQ4bvAxW4X</t>
  </si>
  <si>
    <t>https://drive.google.com/file/d/1spUSsBb4s2y7VAJhyPtYf6PQ4bvAxW4X/view?usp=drivesdk</t>
  </si>
  <si>
    <t>Mohammad Arsa Dafansyah - L</t>
  </si>
  <si>
    <t>https://quickchart.io/qr?size=250&amp;text=https%3A%2F%2Fdocs.google.com%2Fforms%2Fd%2Fe%2F1FAIpQLSeZ-R1GrWlAPkfaThGqxeTj0QTtrARw4rroxIIepf2kipn1nw%2FformResponse%3Fusp%3Dpp_url%26entry.1313582257%3D0104328116%20%2F%20252610318%26entry.1578404635%3DHadir</t>
  </si>
  <si>
    <t>1KyIgbmdsU82RWgoWxZBEUIrVnryuVKJg</t>
  </si>
  <si>
    <t>https://drive.google.com/file/d/1KyIgbmdsU82RWgoWxZBEUIrVnryuVKJg/view?usp=drivesdk</t>
  </si>
  <si>
    <t>Muhamad Yusuf Zarkasi - L</t>
  </si>
  <si>
    <t>https://quickchart.io/qr?size=250&amp;text=https%3A%2F%2Fdocs.google.com%2Fforms%2Fd%2Fe%2F1FAIpQLSeZ-R1GrWlAPkfaThGqxeTj0QTtrARw4rroxIIepf2kipn1nw%2FformResponse%3Fusp%3Dpp_url%26entry.1313582257%3D0093678218%20%2F%20252610333%26entry.1578404635%3DHadir</t>
  </si>
  <si>
    <t>1SoTy2pMCzpK44_tDmNORl0VI1mcdAdLI</t>
  </si>
  <si>
    <t>https://drive.google.com/file/d/1SoTy2pMCzpK44_tDmNORl0VI1mcdAdLI/view?usp=drivesdk</t>
  </si>
  <si>
    <t>Muhammad Arsyal Divo Firmansyah - L</t>
  </si>
  <si>
    <t>https://quickchart.io/qr?size=250&amp;text=https%3A%2F%2Fdocs.google.com%2Fforms%2Fd%2Fe%2F1FAIpQLSeZ-R1GrWlAPkfaThGqxeTj0QTtrARw4rroxIIepf2kipn1nw%2FformResponse%3Fusp%3Dpp_url%26entry.1313582257%3D0093828028%20%2F%20252610340%26entry.1578404635%3DHadir</t>
  </si>
  <si>
    <t>1j1WG4K78RYJ8C7MxC7_iIsIAzzZ59CES</t>
  </si>
  <si>
    <t>https://drive.google.com/file/d/1j1WG4K78RYJ8C7MxC7_iIsIAzzZ59CES/view?usp=drivesdk</t>
  </si>
  <si>
    <t>Document successfully created; Document successfully merged; PDF created; Manually run by skycircle.id@gmail.com; Timestamp: Nov 7 2025 3:46 AM</t>
  </si>
  <si>
    <t>0109769349 / 252610345</t>
  </si>
  <si>
    <t>Muhammad Danish Fathul Ulum - L</t>
  </si>
  <si>
    <t>https://quickchart.io/qr?size=250&amp;text=https%3A%2F%2Fdocs.google.com%2Fforms%2Fd%2Fe%2F1FAIpQLSeZ-R1GrWlAPkfaThGqxeTj0QTtrARw4rroxIIepf2kipn1nw%2FformResponse%3Fusp%3Dpp_url%26entry.1313582257%3D0109769349%20%2F%20252610345%26entry.1578404635%3DHadir</t>
  </si>
  <si>
    <t>1IhgJfaUNEkSOAMQcDscX_VIM83mkW1gE</t>
  </si>
  <si>
    <t>https://drive.google.com/file/d/1IhgJfaUNEkSOAMQcDscX_VIM83mkW1gE/view?usp=drivesdk</t>
  </si>
  <si>
    <t>0093629282 / 252610352</t>
  </si>
  <si>
    <t>Muhammad Fathandra Rizki - L</t>
  </si>
  <si>
    <t>https://quickchart.io/qr?size=250&amp;text=https%3A%2F%2Fdocs.google.com%2Fforms%2Fd%2Fe%2F1FAIpQLSeZ-R1GrWlAPkfaThGqxeTj0QTtrARw4rroxIIepf2kipn1nw%2FformResponse%3Fusp%3Dpp_url%26entry.1313582257%3D0093629282%20%2F%20252610352%26entry.1578404635%3DHadir</t>
  </si>
  <si>
    <t>1hiszoa4RnsQmxSixQXbpqp2I-NDkSrwA</t>
  </si>
  <si>
    <t>https://drive.google.com/file/d/1hiszoa4RnsQmxSixQXbpqp2I-NDkSrwA/view?usp=drivesdk</t>
  </si>
  <si>
    <t>Muhammad Gabriel - L</t>
  </si>
  <si>
    <t>https://quickchart.io/qr?size=250&amp;text=https%3A%2F%2Fdocs.google.com%2Fforms%2Fd%2Fe%2F1FAIpQLSeZ-R1GrWlAPkfaThGqxeTj0QTtrARw4rroxIIepf2kipn1nw%2FformResponse%3Fusp%3Dpp_url%26entry.1313582257%3D0095243962%20%2F%20252610354%26entry.1578404635%3DHadir</t>
  </si>
  <si>
    <t>1fe0qSa9lSWiB62ANVWW1FKOun0Gtuc1O</t>
  </si>
  <si>
    <t>https://drive.google.com/file/d/1fe0qSa9lSWiB62ANVWW1FKOun0Gtuc1O/view?usp=drivesdk</t>
  </si>
  <si>
    <t>0105755550 / 252610383</t>
  </si>
  <si>
    <t>Myiesha Lunar Wisesa Putri - P</t>
  </si>
  <si>
    <t>https://quickchart.io/qr?size=250&amp;text=https%3A%2F%2Fdocs.google.com%2Fforms%2Fd%2Fe%2F1FAIpQLSeZ-R1GrWlAPkfaThGqxeTj0QTtrARw4rroxIIepf2kipn1nw%2FformResponse%3Fusp%3Dpp_url%26entry.1313582257%3D0105755550%20%2F%20252610383%26entry.1578404635%3DHadir</t>
  </si>
  <si>
    <t>1XG5JFbAyLiDfCSMHHyjBf2U89uHI-oD0</t>
  </si>
  <si>
    <t>https://drive.google.com/file/d/1XG5JFbAyLiDfCSMHHyjBf2U89uHI-oD0/view?usp=drivesdk</t>
  </si>
  <si>
    <t>Document successfully created; Document successfully merged; PDF created; Manually run by skycircle.id@gmail.com; Timestamp: Nov 7 2025 3:47 AM</t>
  </si>
  <si>
    <t>0106828126 / 252610389</t>
  </si>
  <si>
    <t>Nadila Safira - P</t>
  </si>
  <si>
    <t>https://quickchart.io/qr?size=250&amp;text=https%3A%2F%2Fdocs.google.com%2Fforms%2Fd%2Fe%2F1FAIpQLSeZ-R1GrWlAPkfaThGqxeTj0QTtrARw4rroxIIepf2kipn1nw%2FformResponse%3Fusp%3Dpp_url%26entry.1313582257%3D0106828126%20%2F%20252610389%26entry.1578404635%3DHadir</t>
  </si>
  <si>
    <t>1yXMQnhy4y9TkCgMdga-yrjoy6HpeRRdd</t>
  </si>
  <si>
    <t>https://drive.google.com/file/d/1yXMQnhy4y9TkCgMdga-yrjoy6HpeRRdd/view?usp=drivesdk</t>
  </si>
  <si>
    <t>0097673142 / 252610404</t>
  </si>
  <si>
    <t>Naurah Afifah Amaliyah - P</t>
  </si>
  <si>
    <t>https://quickchart.io/qr?size=250&amp;text=https%3A%2F%2Fdocs.google.com%2Fforms%2Fd%2Fe%2F1FAIpQLSeZ-R1GrWlAPkfaThGqxeTj0QTtrARw4rroxIIepf2kipn1nw%2FformResponse%3Fusp%3Dpp_url%26entry.1313582257%3D0097673142%20%2F%20252610404%26entry.1578404635%3DHadir</t>
  </si>
  <si>
    <t>1ggLjnRNRfT4WjyXehz1Rem5Ua_IJS181</t>
  </si>
  <si>
    <t>https://drive.google.com/file/d/1ggLjnRNRfT4WjyXehz1Rem5Ua_IJS181/view?usp=drivesdk</t>
  </si>
  <si>
    <t>0107698921 / 252610409</t>
  </si>
  <si>
    <t>Nayla Widya Cakraprawartana - P</t>
  </si>
  <si>
    <t>https://quickchart.io/qr?size=250&amp;text=https%3A%2F%2Fdocs.google.com%2Fforms%2Fd%2Fe%2F1FAIpQLSeZ-R1GrWlAPkfaThGqxeTj0QTtrARw4rroxIIepf2kipn1nw%2FformResponse%3Fusp%3Dpp_url%26entry.1313582257%3D0107698921%20%2F%20252610409%26entry.1578404635%3DHadir</t>
  </si>
  <si>
    <t>1KKgPhB3c-kn-0KGMqSHo4WAyVw_-Whfz</t>
  </si>
  <si>
    <t>https://drive.google.com/file/d/1KKgPhB3c-kn-0KGMqSHo4WAyVw_-Whfz/view?usp=drivesdk</t>
  </si>
  <si>
    <t>0098514088 / 252610428</t>
  </si>
  <si>
    <t>Nydia Aisyah Allifia - P</t>
  </si>
  <si>
    <t>https://quickchart.io/qr?size=250&amp;text=https%3A%2F%2Fdocs.google.com%2Fforms%2Fd%2Fe%2F1FAIpQLSeZ-R1GrWlAPkfaThGqxeTj0QTtrARw4rroxIIepf2kipn1nw%2FformResponse%3Fusp%3Dpp_url%26entry.1313582257%3D0098514088%20%2F%20252610428%26entry.1578404635%3DHadir</t>
  </si>
  <si>
    <t>1qL2v5YZcOkn8tb7OszCIr--Z-6jFSv1-</t>
  </si>
  <si>
    <t>https://drive.google.com/file/d/1qL2v5YZcOkn8tb7OszCIr--Z-6jFSv1-/view?usp=drivesdk</t>
  </si>
  <si>
    <t>0108129059 / 252610464</t>
  </si>
  <si>
    <t>Raihana Humairah Budianto - P</t>
  </si>
  <si>
    <t>https://quickchart.io/qr?size=250&amp;text=https%3A%2F%2Fdocs.google.com%2Fforms%2Fd%2Fe%2F1FAIpQLSeZ-R1GrWlAPkfaThGqxeTj0QTtrARw4rroxIIepf2kipn1nw%2FformResponse%3Fusp%3Dpp_url%26entry.1313582257%3D0108129059%20%2F%20252610464%26entry.1578404635%3DHadir</t>
  </si>
  <si>
    <t>1f7IDhZ7kOIFEAMSoY_fiwFFlCN3-GWpg</t>
  </si>
  <si>
    <t>https://drive.google.com/file/d/1f7IDhZ7kOIFEAMSoY_fiwFFlCN3-GWpg/view?usp=drivesdk</t>
  </si>
  <si>
    <t>Document successfully created; Document successfully merged; PDF created; Manually run by skycircle.id@gmail.com; Timestamp: Nov 7 2025 3:48 AM</t>
  </si>
  <si>
    <t>0109551129 / 252610466</t>
  </si>
  <si>
    <t>Raisa Putri Rahima - P</t>
  </si>
  <si>
    <t>https://quickchart.io/qr?size=250&amp;text=https%3A%2F%2Fdocs.google.com%2Fforms%2Fd%2Fe%2F1FAIpQLSeZ-R1GrWlAPkfaThGqxeTj0QTtrARw4rroxIIepf2kipn1nw%2FformResponse%3Fusp%3Dpp_url%26entry.1313582257%3D0109551129%20%2F%20252610466%26entry.1578404635%3DHadir</t>
  </si>
  <si>
    <t>1LR8tS-FHRR20TBqKEfAkjlfeg0N3BiC6</t>
  </si>
  <si>
    <t>https://drive.google.com/file/d/1LR8tS-FHRR20TBqKEfAkjlfeg0N3BiC6/view?usp=drivesdk</t>
  </si>
  <si>
    <t>0096444734 / 252610491</t>
  </si>
  <si>
    <t>Rindu Gatari Asmiladi - P</t>
  </si>
  <si>
    <t>https://quickchart.io/qr?size=250&amp;text=https%3A%2F%2Fdocs.google.com%2Fforms%2Fd%2Fe%2F1FAIpQLSeZ-R1GrWlAPkfaThGqxeTj0QTtrARw4rroxIIepf2kipn1nw%2FformResponse%3Fusp%3Dpp_url%26entry.1313582257%3D0096444734%20%2F%20252610491%26entry.1578404635%3DHadir</t>
  </si>
  <si>
    <t>1KY2sT4sz-HPsRP9vwx1yovXkcrK3VIJZ</t>
  </si>
  <si>
    <t>https://drive.google.com/file/d/1KY2sT4sz-HPsRP9vwx1yovXkcrK3VIJZ/view?usp=drivesdk</t>
  </si>
  <si>
    <t>Salman Latif Anshari - L</t>
  </si>
  <si>
    <t>https://quickchart.io/qr?size=250&amp;text=https%3A%2F%2Fdocs.google.com%2Fforms%2Fd%2Fe%2F1FAIpQLSeZ-R1GrWlAPkfaThGqxeTj0QTtrARw4rroxIIepf2kipn1nw%2FformResponse%3Fusp%3Dpp_url%26entry.1313582257%3D0107487290%20%2F%20252610504%26entry.1578404635%3DHadir</t>
  </si>
  <si>
    <t>1k_yrRkQBmJETffMLByJ4GyryPd9ergwI</t>
  </si>
  <si>
    <t>https://drive.google.com/file/d/1k_yrRkQBmJETffMLByJ4GyryPd9ergwI/view?usp=drivesdk</t>
  </si>
  <si>
    <t>3102286552 / 252610523</t>
  </si>
  <si>
    <t>Siti Iklima Sakurani - P</t>
  </si>
  <si>
    <t>https://quickchart.io/qr?size=250&amp;text=https%3A%2F%2Fdocs.google.com%2Fforms%2Fd%2Fe%2F1FAIpQLSeZ-R1GrWlAPkfaThGqxeTj0QTtrARw4rroxIIepf2kipn1nw%2FformResponse%3Fusp%3Dpp_url%26entry.1313582257%3D3102286552%20%2F%20252610523%26entry.1578404635%3DHadir</t>
  </si>
  <si>
    <t>1zraI27SR9TF7qDueX8zMTRTTufAMFdJc</t>
  </si>
  <si>
    <t>https://drive.google.com/file/d/1zraI27SR9TF7qDueX8zMTRTTufAMFdJc/view?usp=drivesdk</t>
  </si>
  <si>
    <t>Document successfully created; Document successfully merged; PDF created; Manually run by skycircle.id@gmail.com; Timestamp: Nov 7 2025 3:49 AM</t>
  </si>
  <si>
    <t>Sultan Reynard Sabdadika - L</t>
  </si>
  <si>
    <t>https://quickchart.io/qr?size=250&amp;text=https%3A%2F%2Fdocs.google.com%2Fforms%2Fd%2Fe%2F1FAIpQLSeZ-R1GrWlAPkfaThGqxeTj0QTtrARw4rroxIIepf2kipn1nw%2FformResponse%3Fusp%3Dpp_url%26entry.1313582257%3D0107936085%20%2F%20252610525%26entry.1578404635%3DHadir</t>
  </si>
  <si>
    <t>1qbErimgv20dfqaXEGj9ro17sZC8EXY06</t>
  </si>
  <si>
    <t>https://drive.google.com/file/d/1qbErimgv20dfqaXEGj9ro17sZC8EXY06/view?usp=drivesdk</t>
  </si>
  <si>
    <t>0106701592 / 252610527</t>
  </si>
  <si>
    <t>Syafiqa Bariq Mahya - P</t>
  </si>
  <si>
    <t>https://quickchart.io/qr?size=250&amp;text=https%3A%2F%2Fdocs.google.com%2Fforms%2Fd%2Fe%2F1FAIpQLSeZ-R1GrWlAPkfaThGqxeTj0QTtrARw4rroxIIepf2kipn1nw%2FformResponse%3Fusp%3Dpp_url%26entry.1313582257%3D0106701592%20%2F%20252610527%26entry.1578404635%3DHadir</t>
  </si>
  <si>
    <t>1bANOwAbRVsOLWwyU32jAP3LdRyLTAExS</t>
  </si>
  <si>
    <t>https://drive.google.com/file/d/1bANOwAbRVsOLWwyU32jAP3LdRyLTAExS/view?usp=drivesdk</t>
  </si>
  <si>
    <t>0104155224 / 252610532</t>
  </si>
  <si>
    <t>Syahluna Ananta Putri - P</t>
  </si>
  <si>
    <t>https://quickchart.io/qr?size=250&amp;text=https%3A%2F%2Fdocs.google.com%2Fforms%2Fd%2Fe%2F1FAIpQLSeZ-R1GrWlAPkfaThGqxeTj0QTtrARw4rroxIIepf2kipn1nw%2FformResponse%3Fusp%3Dpp_url%26entry.1313582257%3D0104155224%20%2F%20252610532%26entry.1578404635%3DHadir</t>
  </si>
  <si>
    <t>1Sxp7n3dNpDekBxhmR0j9d6ciEnQlEXpF</t>
  </si>
  <si>
    <t>https://drive.google.com/file/d/1Sxp7n3dNpDekBxhmR0j9d6ciEnQlEXpF/view?usp=drivesdk</t>
  </si>
  <si>
    <t>Document successfully created; Document successfully merged; PDF created; Manually run by skycircle.id@gmail.com; Timestamp: Nov 7 2025 3:50 AM</t>
  </si>
  <si>
    <t>0097446281 / 252610539</t>
  </si>
  <si>
    <t>Tabah Rafie Abdillah - L</t>
  </si>
  <si>
    <t>https://quickchart.io/qr?size=250&amp;text=https%3A%2F%2Fdocs.google.com%2Fforms%2Fd%2Fe%2F1FAIpQLSeZ-R1GrWlAPkfaThGqxeTj0QTtrARw4rroxIIepf2kipn1nw%2FformResponse%3Fusp%3Dpp_url%26entry.1313582257%3D0097446281%20%2F%20252610539%26entry.1578404635%3DHadir</t>
  </si>
  <si>
    <t>1u6ib-4PTjt81Y6hFAiCaWGJAJlnHKFtT</t>
  </si>
  <si>
    <t>https://drive.google.com/file/d/1u6ib-4PTjt81Y6hFAiCaWGJAJlnHKFtT/view?usp=drivesdk</t>
  </si>
  <si>
    <t>Tristan Lovriano Aryasatya - L</t>
  </si>
  <si>
    <t>https://quickchart.io/qr?size=250&amp;text=https%3A%2F%2Fdocs.google.com%2Fforms%2Fd%2Fe%2F1FAIpQLSeZ-R1GrWlAPkfaThGqxeTj0QTtrARw4rroxIIepf2kipn1nw%2FformResponse%3Fusp%3Dpp_url%26entry.1313582257%3D0105614197%20%2F%20252610547%26entry.1578404635%3DHadir</t>
  </si>
  <si>
    <t>11DxLmQ2-9NcVgvAHP7nGkXQGxdpkb2bD</t>
  </si>
  <si>
    <t>https://drive.google.com/file/d/11DxLmQ2-9NcVgvAHP7nGkXQGxdpkb2bD/view?usp=drivesdk</t>
  </si>
  <si>
    <t>0109499801 / 252610559</t>
  </si>
  <si>
    <t>Zafira Salsa Haniah - P</t>
  </si>
  <si>
    <t>https://quickchart.io/qr?size=250&amp;text=https%3A%2F%2Fdocs.google.com%2Fforms%2Fd%2Fe%2F1FAIpQLSeZ-R1GrWlAPkfaThGqxeTj0QTtrARw4rroxIIepf2kipn1nw%2FformResponse%3Fusp%3Dpp_url%26entry.1313582257%3D0109499801%20%2F%20252610559%26entry.1578404635%3DHadir</t>
  </si>
  <si>
    <t>1sTNfv3bFxfEBUl7yQxZ_apRJI-_VXYHG</t>
  </si>
  <si>
    <t>https://drive.google.com/file/d/1sTNfv3bFxfEBUl7yQxZ_apRJI-_VXYHG/view?usp=drivesdk</t>
  </si>
  <si>
    <t>0093560012 / 252610007</t>
  </si>
  <si>
    <t>Adelia Niken - P</t>
  </si>
  <si>
    <t>X8</t>
  </si>
  <si>
    <t>https://quickchart.io/qr?size=250&amp;text=https%3A%2F%2Fdocs.google.com%2Fforms%2Fd%2Fe%2F1FAIpQLSeZ-R1GrWlAPkfaThGqxeTj0QTtrARw4rroxIIepf2kipn1nw%2FformResponse%3Fusp%3Dpp_url%26entry.1313582257%3D0093560012%20%2F%20252610007%26entry.1578404635%3DHadir</t>
  </si>
  <si>
    <t>1qZ1kLHrnAdCVvI-pBDVubEPs3g77goAf</t>
  </si>
  <si>
    <t>https://drive.google.com/file/d/1qZ1kLHrnAdCVvI-pBDVubEPs3g77goAf/view?usp=drivesdk</t>
  </si>
  <si>
    <t>0092017710 / 252610028</t>
  </si>
  <si>
    <t>Aisyah Agustiani - P</t>
  </si>
  <si>
    <t>https://quickchart.io/qr?size=250&amp;text=https%3A%2F%2Fdocs.google.com%2Fforms%2Fd%2Fe%2F1FAIpQLSeZ-R1GrWlAPkfaThGqxeTj0QTtrARw4rroxIIepf2kipn1nw%2FformResponse%3Fusp%3Dpp_url%26entry.1313582257%3D0092017710%20%2F%20252610028%26entry.1578404635%3DHadir</t>
  </si>
  <si>
    <t>1xepw31JpQb7oB9wtf9417oq4spDKm5J5</t>
  </si>
  <si>
    <t>https://drive.google.com/file/d/1xepw31JpQb7oB9wtf9417oq4spDKm5J5/view?usp=drivesdk</t>
  </si>
  <si>
    <t>0098009248 / 252610035</t>
  </si>
  <si>
    <t>Alenka Meisyarofa - P</t>
  </si>
  <si>
    <t>https://quickchart.io/qr?size=250&amp;text=https%3A%2F%2Fdocs.google.com%2Fforms%2Fd%2Fe%2F1FAIpQLSeZ-R1GrWlAPkfaThGqxeTj0QTtrARw4rroxIIepf2kipn1nw%2FformResponse%3Fusp%3Dpp_url%26entry.1313582257%3D0098009248%20%2F%20252610035%26entry.1578404635%3DHadir</t>
  </si>
  <si>
    <t>1pqaEdN8FvNzvP17l9ZLAqXT42S5rpYks</t>
  </si>
  <si>
    <t>https://drive.google.com/file/d/1pqaEdN8FvNzvP17l9ZLAqXT42S5rpYks/view?usp=drivesdk</t>
  </si>
  <si>
    <t>Document successfully created; Document successfully merged; PDF created; Manually run by skycircle.id@gmail.com; Timestamp: Nov 7 2025 3:51 AM</t>
  </si>
  <si>
    <t>3105167232 / 252610040</t>
  </si>
  <si>
    <t>Alifa Taqqiya Zahwa - P</t>
  </si>
  <si>
    <t>https://quickchart.io/qr?size=250&amp;text=https%3A%2F%2Fdocs.google.com%2Fforms%2Fd%2Fe%2F1FAIpQLSeZ-R1GrWlAPkfaThGqxeTj0QTtrARw4rroxIIepf2kipn1nw%2FformResponse%3Fusp%3Dpp_url%26entry.1313582257%3D3105167232%20%2F%20252610040%26entry.1578404635%3DHadir</t>
  </si>
  <si>
    <t>1QNub72plsmWNf8OWRx0hPiorBIy7lDyU</t>
  </si>
  <si>
    <t>https://drive.google.com/file/d/1QNub72plsmWNf8OWRx0hPiorBIy7lDyU/view?usp=drivesdk</t>
  </si>
  <si>
    <t>0107122505 / 252610041</t>
  </si>
  <si>
    <t>Alifah Hasannah - P</t>
  </si>
  <si>
    <t>https://quickchart.io/qr?size=250&amp;text=https%3A%2F%2Fdocs.google.com%2Fforms%2Fd%2Fe%2F1FAIpQLSeZ-R1GrWlAPkfaThGqxeTj0QTtrARw4rroxIIepf2kipn1nw%2FformResponse%3Fusp%3Dpp_url%26entry.1313582257%3D0107122505%20%2F%20252610041%26entry.1578404635%3DHadir</t>
  </si>
  <si>
    <t>1rOpBcto7npbLSOm41qMQdLdJlnEJu797</t>
  </si>
  <si>
    <t>https://drive.google.com/file/d/1rOpBcto7npbLSOm41qMQdLdJlnEJu797/view?usp=drivesdk</t>
  </si>
  <si>
    <t>0104668456 / 252610061</t>
  </si>
  <si>
    <t>Andagita Vilnaria Atha - P</t>
  </si>
  <si>
    <t>https://quickchart.io/qr?size=250&amp;text=https%3A%2F%2Fdocs.google.com%2Fforms%2Fd%2Fe%2F1FAIpQLSeZ-R1GrWlAPkfaThGqxeTj0QTtrARw4rroxIIepf2kipn1nw%2FformResponse%3Fusp%3Dpp_url%26entry.1313582257%3D0104668456%20%2F%20252610061%26entry.1578404635%3DHadir</t>
  </si>
  <si>
    <t>1xv-LoEl3sHdx3HuYbBT18bkSxn_mcz7R</t>
  </si>
  <si>
    <t>https://drive.google.com/file/d/1xv-LoEl3sHdx3HuYbBT18bkSxn_mcz7R/view?usp=drivesdk</t>
  </si>
  <si>
    <t>0102036572 / 252610077</t>
  </si>
  <si>
    <t>Ariqah Putri Nasution - P</t>
  </si>
  <si>
    <t>https://quickchart.io/qr?size=250&amp;text=https%3A%2F%2Fdocs.google.com%2Fforms%2Fd%2Fe%2F1FAIpQLSeZ-R1GrWlAPkfaThGqxeTj0QTtrARw4rroxIIepf2kipn1nw%2FformResponse%3Fusp%3Dpp_url%26entry.1313582257%3D0102036572%20%2F%20252610077%26entry.1578404635%3DHadir</t>
  </si>
  <si>
    <t>1mJZNxbYnEN8lnyPt_y_RzExXEJU47iTf</t>
  </si>
  <si>
    <t>https://drive.google.com/file/d/1mJZNxbYnEN8lnyPt_y_RzExXEJU47iTf/view?usp=drivesdk</t>
  </si>
  <si>
    <t>0102307654 / 252610097</t>
  </si>
  <si>
    <t>Aulia Cinta Divia - P</t>
  </si>
  <si>
    <t>https://quickchart.io/qr?size=250&amp;text=https%3A%2F%2Fdocs.google.com%2Fforms%2Fd%2Fe%2F1FAIpQLSeZ-R1GrWlAPkfaThGqxeTj0QTtrARw4rroxIIepf2kipn1nw%2FformResponse%3Fusp%3Dpp_url%26entry.1313582257%3D0102307654%20%2F%20252610097%26entry.1578404635%3DHadir</t>
  </si>
  <si>
    <t>1wPRE9bGD9zzkC4SIsu6-Dv8PPlUdgDmU</t>
  </si>
  <si>
    <t>https://drive.google.com/file/d/1wPRE9bGD9zzkC4SIsu6-Dv8PPlUdgDmU/view?usp=drivesdk</t>
  </si>
  <si>
    <t>Document successfully created; Document successfully merged; PDF created; Manually run by skycircle.id@gmail.com; Timestamp: Nov 7 2025 3:52 AM</t>
  </si>
  <si>
    <t>0105089607 / 252610108</t>
  </si>
  <si>
    <t>Aysha Mahira Dewi Tryana - P</t>
  </si>
  <si>
    <t>https://quickchart.io/qr?size=250&amp;text=https%3A%2F%2Fdocs.google.com%2Fforms%2Fd%2Fe%2F1FAIpQLSeZ-R1GrWlAPkfaThGqxeTj0QTtrARw4rroxIIepf2kipn1nw%2FformResponse%3Fusp%3Dpp_url%26entry.1313582257%3D0105089607%20%2F%20252610108%26entry.1578404635%3DHadir</t>
  </si>
  <si>
    <t>1iDWeLrwZEg2B8fyHCXssKZOYEZkMGQr2</t>
  </si>
  <si>
    <t>https://drive.google.com/file/d/1iDWeLrwZEg2B8fyHCXssKZOYEZkMGQr2/view?usp=drivesdk</t>
  </si>
  <si>
    <t>0096174502 / 252610118</t>
  </si>
  <si>
    <t>Belinda Angelica  - P</t>
  </si>
  <si>
    <t>https://quickchart.io/qr?size=250&amp;text=https%3A%2F%2Fdocs.google.com%2Fforms%2Fd%2Fe%2F1FAIpQLSeZ-R1GrWlAPkfaThGqxeTj0QTtrARw4rroxIIepf2kipn1nw%2FformResponse%3Fusp%3Dpp_url%26entry.1313582257%3D0096174502%20%2F%20252610118%26entry.1578404635%3DHadir</t>
  </si>
  <si>
    <t>16PsUa2GapK5GBDTZe7Wpw6NZS5bA6Ui5</t>
  </si>
  <si>
    <t>https://drive.google.com/file/d/16PsUa2GapK5GBDTZe7Wpw6NZS5bA6Ui5/view?usp=drivesdk</t>
  </si>
  <si>
    <t>0092180086 / 252610125</t>
  </si>
  <si>
    <t>Bima Anggareksa Yusiansyah - L</t>
  </si>
  <si>
    <t>https://quickchart.io/qr?size=250&amp;text=https%3A%2F%2Fdocs.google.com%2Fforms%2Fd%2Fe%2F1FAIpQLSeZ-R1GrWlAPkfaThGqxeTj0QTtrARw4rroxIIepf2kipn1nw%2FformResponse%3Fusp%3Dpp_url%26entry.1313582257%3D0092180086%20%2F%20252610125%26entry.1578404635%3DHadir</t>
  </si>
  <si>
    <t>1EVx5iQgji81YUkPPJcW8vAzP0aOjkAFD</t>
  </si>
  <si>
    <t>https://drive.google.com/file/d/1EVx5iQgji81YUkPPJcW8vAzP0aOjkAFD/view?usp=drivesdk</t>
  </si>
  <si>
    <t>3094942931 / 252610151</t>
  </si>
  <si>
    <t>Dela Ananda Putri  - P</t>
  </si>
  <si>
    <t>https://quickchart.io/qr?size=250&amp;text=https%3A%2F%2Fdocs.google.com%2Fforms%2Fd%2Fe%2F1FAIpQLSeZ-R1GrWlAPkfaThGqxeTj0QTtrARw4rroxIIepf2kipn1nw%2FformResponse%3Fusp%3Dpp_url%26entry.1313582257%3D3094942931%20%2F%20252610151%26entry.1578404635%3DHadir</t>
  </si>
  <si>
    <t>1Cc5ePLefoBmBg9zDtDgiTNvbmMTw2_nX</t>
  </si>
  <si>
    <t>https://drive.google.com/file/d/1Cc5ePLefoBmBg9zDtDgiTNvbmMTw2_nX/view?usp=drivesdk</t>
  </si>
  <si>
    <t>Document successfully created; Document successfully merged; PDF created; Manually run by skycircle.id@gmail.com; Timestamp: Nov 7 2025 3:53 AM</t>
  </si>
  <si>
    <t>0103091510 / 252610160</t>
  </si>
  <si>
    <t>Dian Noer Savitri  - P</t>
  </si>
  <si>
    <t>https://quickchart.io/qr?size=250&amp;text=https%3A%2F%2Fdocs.google.com%2Fforms%2Fd%2Fe%2F1FAIpQLSeZ-R1GrWlAPkfaThGqxeTj0QTtrARw4rroxIIepf2kipn1nw%2FformResponse%3Fusp%3Dpp_url%26entry.1313582257%3D0103091510%20%2F%20252610160%26entry.1578404635%3DHadir</t>
  </si>
  <si>
    <t>1LoYuL9o7tC1DdH8wvstzSCbzbywnp7h9</t>
  </si>
  <si>
    <t>https://drive.google.com/file/d/1LoYuL9o7tC1DdH8wvstzSCbzbywnp7h9/view?usp=drivesdk</t>
  </si>
  <si>
    <t>0093558313 / 252610161</t>
  </si>
  <si>
    <t>Diandra Mentari Fazri  - P</t>
  </si>
  <si>
    <t>https://quickchart.io/qr?size=250&amp;text=https%3A%2F%2Fdocs.google.com%2Fforms%2Fd%2Fe%2F1FAIpQLSeZ-R1GrWlAPkfaThGqxeTj0QTtrARw4rroxIIepf2kipn1nw%2FformResponse%3Fusp%3Dpp_url%26entry.1313582257%3D0093558313%20%2F%20252610161%26entry.1578404635%3DHadir</t>
  </si>
  <si>
    <t>16exbhPU0N7cT--SNs9xcMQi5Rv-7Oj32</t>
  </si>
  <si>
    <t>https://drive.google.com/file/d/16exbhPU0N7cT--SNs9xcMQi5Rv-7Oj32/view?usp=drivesdk</t>
  </si>
  <si>
    <t>0093242338 / 252610170</t>
  </si>
  <si>
    <t>Divania Kayla Windu Sabrina - P</t>
  </si>
  <si>
    <t>https://quickchart.io/qr?size=250&amp;text=https%3A%2F%2Fdocs.google.com%2Fforms%2Fd%2Fe%2F1FAIpQLSeZ-R1GrWlAPkfaThGqxeTj0QTtrARw4rroxIIepf2kipn1nw%2FformResponse%3Fusp%3Dpp_url%26entry.1313582257%3D0093242338%20%2F%20252610170%26entry.1578404635%3DHadir</t>
  </si>
  <si>
    <t>1tJG01XXCT8STANnlTCkdvQzA7wtHzLry</t>
  </si>
  <si>
    <t>https://drive.google.com/file/d/1tJG01XXCT8STANnlTCkdvQzA7wtHzLry/view?usp=drivesdk</t>
  </si>
  <si>
    <t>0095632017 / 252610174</t>
  </si>
  <si>
    <t>Dyshan Attaya Haq Triatno - P</t>
  </si>
  <si>
    <t>https://quickchart.io/qr?size=250&amp;text=https%3A%2F%2Fdocs.google.com%2Fforms%2Fd%2Fe%2F1FAIpQLSeZ-R1GrWlAPkfaThGqxeTj0QTtrARw4rroxIIepf2kipn1nw%2FformResponse%3Fusp%3Dpp_url%26entry.1313582257%3D0095632017%20%2F%20252610174%26entry.1578404635%3DHadir</t>
  </si>
  <si>
    <t>1ulNB2IDV_5QDJ8DHekQWC-jW70BWdGTA</t>
  </si>
  <si>
    <t>https://drive.google.com/file/d/1ulNB2IDV_5QDJ8DHekQWC-jW70BWdGTA/view?usp=drivesdk</t>
  </si>
  <si>
    <t>0099446424 / 252610199</t>
  </si>
  <si>
    <t>Farid Pradana - L</t>
  </si>
  <si>
    <t>https://quickchart.io/qr?size=250&amp;text=https%3A%2F%2Fdocs.google.com%2Fforms%2Fd%2Fe%2F1FAIpQLSeZ-R1GrWlAPkfaThGqxeTj0QTtrARw4rroxIIepf2kipn1nw%2FformResponse%3Fusp%3Dpp_url%26entry.1313582257%3D0099446424%20%2F%20252610199%26entry.1578404635%3DHadir</t>
  </si>
  <si>
    <t>1VHvOOI5NL4zQX8sHbcBu17f4y7G2c3LT</t>
  </si>
  <si>
    <t>https://drive.google.com/file/d/1VHvOOI5NL4zQX8sHbcBu17f4y7G2c3LT/view?usp=drivesdk</t>
  </si>
  <si>
    <t>0103174946 / 252610203</t>
  </si>
  <si>
    <t>Fathia Adilla Ramsha - P</t>
  </si>
  <si>
    <t>https://quickchart.io/qr?size=250&amp;text=https%3A%2F%2Fdocs.google.com%2Fforms%2Fd%2Fe%2F1FAIpQLSeZ-R1GrWlAPkfaThGqxeTj0QTtrARw4rroxIIepf2kipn1nw%2FformResponse%3Fusp%3Dpp_url%26entry.1313582257%3D0103174946%20%2F%20252610203%26entry.1578404635%3DHadir</t>
  </si>
  <si>
    <t>1dzb7_XVTDsb3qcH7ApqAjH0xW9kmPKAH</t>
  </si>
  <si>
    <t>https://drive.google.com/file/d/1dzb7_XVTDsb3qcH7ApqAjH0xW9kmPKAH/view?usp=drivesdk</t>
  </si>
  <si>
    <t>Document successfully created; Document successfully merged; PDF created; Manually run by skycircle.id@gmail.com; Timestamp: Nov 7 2025 3:54 AM</t>
  </si>
  <si>
    <t>0101801767 / 252610223</t>
  </si>
  <si>
    <t>Gracia Valen Manik - P</t>
  </si>
  <si>
    <t>https://quickchart.io/qr?size=250&amp;text=https%3A%2F%2Fdocs.google.com%2Fforms%2Fd%2Fe%2F1FAIpQLSeZ-R1GrWlAPkfaThGqxeTj0QTtrARw4rroxIIepf2kipn1nw%2FformResponse%3Fusp%3Dpp_url%26entry.1313582257%3D0101801767%20%2F%20252610223%26entry.1578404635%3DHadir</t>
  </si>
  <si>
    <t>1-lugdhTK_aPYuXkd2awTSeYUG11X3RiR</t>
  </si>
  <si>
    <t>https://drive.google.com/file/d/1-lugdhTK_aPYuXkd2awTSeYUG11X3RiR/view?usp=drivesdk</t>
  </si>
  <si>
    <t>Kania Wismar Adnyana  - P</t>
  </si>
  <si>
    <t>https://quickchart.io/qr?size=250&amp;text=https%3A%2F%2Fdocs.google.com%2Fforms%2Fd%2Fe%2F1FAIpQLSeZ-R1GrWlAPkfaThGqxeTj0QTtrARw4rroxIIepf2kipn1nw%2FformResponse%3Fusp%3Dpp_url%26entry.1313582257%3D0107691976%20%2F%20252610255%26entry.1578404635%3DHadir</t>
  </si>
  <si>
    <t>1boX__7aSpP7lWOh16Ac6qU4davKWKr4x</t>
  </si>
  <si>
    <t>https://drive.google.com/file/d/1boX__7aSpP7lWOh16Ac6qU4davKWKr4x/view?usp=drivesdk</t>
  </si>
  <si>
    <t>0101976221 / 252610265</t>
  </si>
  <si>
    <t>Kaysan Umar Azka Setiawan - L</t>
  </si>
  <si>
    <t>https://quickchart.io/qr?size=250&amp;text=https%3A%2F%2Fdocs.google.com%2Fforms%2Fd%2Fe%2F1FAIpQLSeZ-R1GrWlAPkfaThGqxeTj0QTtrARw4rroxIIepf2kipn1nw%2FformResponse%3Fusp%3Dpp_url%26entry.1313582257%3D0101976221%20%2F%20252610265%26entry.1578404635%3DHadir</t>
  </si>
  <si>
    <t>1fvPxb9jayW8472g1UYvdKNcMi5jUnf14</t>
  </si>
  <si>
    <t>https://drive.google.com/file/d/1fvPxb9jayW8472g1UYvdKNcMi5jUnf14/view?usp=drivesdk</t>
  </si>
  <si>
    <t>0092212305 / 252610293</t>
  </si>
  <si>
    <t>Luqman Aziz Saputro - L</t>
  </si>
  <si>
    <t>https://quickchart.io/qr?size=250&amp;text=https%3A%2F%2Fdocs.google.com%2Fforms%2Fd%2Fe%2F1FAIpQLSeZ-R1GrWlAPkfaThGqxeTj0QTtrARw4rroxIIepf2kipn1nw%2FformResponse%3Fusp%3Dpp_url%26entry.1313582257%3D0092212305%20%2F%20252610293%26entry.1578404635%3DHadir</t>
  </si>
  <si>
    <t>1AXQr7lTwXTnA5voDtkNE_br7mcWcMEyz</t>
  </si>
  <si>
    <t>https://drive.google.com/file/d/1AXQr7lTwXTnA5voDtkNE_br7mcWcMEyz/view?usp=drivesdk</t>
  </si>
  <si>
    <t>0102160006 / 252610314</t>
  </si>
  <si>
    <t>Mirza Maulana Altamis - L</t>
  </si>
  <si>
    <t>https://quickchart.io/qr?size=250&amp;text=https%3A%2F%2Fdocs.google.com%2Fforms%2Fd%2Fe%2F1FAIpQLSeZ-R1GrWlAPkfaThGqxeTj0QTtrARw4rroxIIepf2kipn1nw%2FformResponse%3Fusp%3Dpp_url%26entry.1313582257%3D0102160006%20%2F%20252610314%26entry.1578404635%3DHadir</t>
  </si>
  <si>
    <t>1CGgJB6t8MW3birUXGPttjL2udJponf2g</t>
  </si>
  <si>
    <t>https://drive.google.com/file/d/1CGgJB6t8MW3birUXGPttjL2udJponf2g/view?usp=drivesdk</t>
  </si>
  <si>
    <t>Document successfully created; Document successfully merged; PDF created; Manually run by skycircle.id@gmail.com; Timestamp: Nov 7 2025 3:55 AM</t>
  </si>
  <si>
    <t>Mouris Marcha Adisty - P</t>
  </si>
  <si>
    <t>https://quickchart.io/qr?size=250&amp;text=https%3A%2F%2Fdocs.google.com%2Fforms%2Fd%2Fe%2F1FAIpQLSeZ-R1GrWlAPkfaThGqxeTj0QTtrARw4rroxIIepf2kipn1nw%2FformResponse%3Fusp%3Dpp_url%26entry.1313582257%3D0105918833%20%2F%20252610321%26entry.1578404635%3DHadir</t>
  </si>
  <si>
    <t>1wOtr4HvBtyyLEPxBthvB5AjTBUOTFeAv</t>
  </si>
  <si>
    <t>https://drive.google.com/file/d/1wOtr4HvBtyyLEPxBthvB5AjTBUOTFeAv/view?usp=drivesdk</t>
  </si>
  <si>
    <t>Muhamad Ilham Akbar - L</t>
  </si>
  <si>
    <t>https://quickchart.io/qr?size=250&amp;text=https%3A%2F%2Fdocs.google.com%2Fforms%2Fd%2Fe%2F1FAIpQLSeZ-R1GrWlAPkfaThGqxeTj0QTtrARw4rroxIIepf2kipn1nw%2FformResponse%3Fusp%3Dpp_url%26entry.1313582257%3D0099772945%20%2F%20252610324%26entry.1578404635%3DHadir</t>
  </si>
  <si>
    <t>1cQm8ba6Z6I8sAr2uhRSDScd8E9yOxp2m</t>
  </si>
  <si>
    <t>https://drive.google.com/file/d/1cQm8ba6Z6I8sAr2uhRSDScd8E9yOxp2m/view?usp=drivesdk</t>
  </si>
  <si>
    <t>0094259451 / 252610326</t>
  </si>
  <si>
    <t>Muhamad Mustakim - L</t>
  </si>
  <si>
    <t>https://quickchart.io/qr?size=250&amp;text=https%3A%2F%2Fdocs.google.com%2Fforms%2Fd%2Fe%2F1FAIpQLSeZ-R1GrWlAPkfaThGqxeTj0QTtrARw4rroxIIepf2kipn1nw%2FformResponse%3Fusp%3Dpp_url%26entry.1313582257%3D0094259451%20%2F%20252610326%26entry.1578404635%3DHadir</t>
  </si>
  <si>
    <t>1_0UtRXvgAgQftL4v4X0Qqr_WpAaPOI_p</t>
  </si>
  <si>
    <t>https://drive.google.com/file/d/1_0UtRXvgAgQftL4v4X0Qqr_WpAaPOI_p/view?usp=drivesdk</t>
  </si>
  <si>
    <t>0107525738 / 252610349</t>
  </si>
  <si>
    <t>Muhammad Faiz Fathian - L</t>
  </si>
  <si>
    <t>https://quickchart.io/qr?size=250&amp;text=https%3A%2F%2Fdocs.google.com%2Fforms%2Fd%2Fe%2F1FAIpQLSeZ-R1GrWlAPkfaThGqxeTj0QTtrARw4rroxIIepf2kipn1nw%2FformResponse%3Fusp%3Dpp_url%26entry.1313582257%3D0107525738%20%2F%20252610349%26entry.1578404635%3DHadir</t>
  </si>
  <si>
    <t>1p4BepxkMk1yisQXnBvMPh6vFEm2V_71M</t>
  </si>
  <si>
    <t>https://drive.google.com/file/d/1p4BepxkMk1yisQXnBvMPh6vFEm2V_71M/view?usp=drivesdk</t>
  </si>
  <si>
    <t>3107499493 / 252610350</t>
  </si>
  <si>
    <t>Muhammad Fariz Nuh - L</t>
  </si>
  <si>
    <t>https://quickchart.io/qr?size=250&amp;text=https%3A%2F%2Fdocs.google.com%2Fforms%2Fd%2Fe%2F1FAIpQLSeZ-R1GrWlAPkfaThGqxeTj0QTtrARw4rroxIIepf2kipn1nw%2FformResponse%3Fusp%3Dpp_url%26entry.1313582257%3D3107499493%20%2F%20252610350%26entry.1578404635%3DHadir</t>
  </si>
  <si>
    <t>1a9hj72A11WnR8qdLLj3syAyBCflC9OqU</t>
  </si>
  <si>
    <t>https://drive.google.com/file/d/1a9hj72A11WnR8qdLLj3syAyBCflC9OqU/view?usp=drivesdk</t>
  </si>
  <si>
    <t>3108018555 / 252610353</t>
  </si>
  <si>
    <t>Muhammad Fawaz Ali - L</t>
  </si>
  <si>
    <t>https://quickchart.io/qr?size=250&amp;text=https%3A%2F%2Fdocs.google.com%2Fforms%2Fd%2Fe%2F1FAIpQLSeZ-R1GrWlAPkfaThGqxeTj0QTtrARw4rroxIIepf2kipn1nw%2FformResponse%3Fusp%3Dpp_url%26entry.1313582257%3D3108018555%20%2F%20252610353%26entry.1578404635%3DHadir</t>
  </si>
  <si>
    <t>1tYUCsjBxN9h-e4oFEv3SGCdfCmHbKnCU</t>
  </si>
  <si>
    <t>https://drive.google.com/file/d/1tYUCsjBxN9h-e4oFEv3SGCdfCmHbKnCU/view?usp=drivesdk</t>
  </si>
  <si>
    <t>Document successfully created; Document successfully merged; PDF created; Manually run by skycircle.id@gmail.com; Timestamp: Nov 7 2025 3:56 AM</t>
  </si>
  <si>
    <t>0091031385 / 252610364</t>
  </si>
  <si>
    <t>Muhammad Rafli Ramsha - L</t>
  </si>
  <si>
    <t>https://quickchart.io/qr?size=250&amp;text=https%3A%2F%2Fdocs.google.com%2Fforms%2Fd%2Fe%2F1FAIpQLSeZ-R1GrWlAPkfaThGqxeTj0QTtrARw4rroxIIepf2kipn1nw%2FformResponse%3Fusp%3Dpp_url%26entry.1313582257%3D0091031385%20%2F%20252610364%26entry.1578404635%3DHadir</t>
  </si>
  <si>
    <t>1YGojwgli3PbdcwzRUHY1KAPqWj4opfpI</t>
  </si>
  <si>
    <t>https://drive.google.com/file/d/1YGojwgli3PbdcwzRUHY1KAPqWj4opfpI/view?usp=drivesdk</t>
  </si>
  <si>
    <t>0111220217 / 252610376</t>
  </si>
  <si>
    <t>Muhammad Yafiargi Simbangando - L</t>
  </si>
  <si>
    <t>https://quickchart.io/qr?size=250&amp;text=https%3A%2F%2Fdocs.google.com%2Fforms%2Fd%2Fe%2F1FAIpQLSeZ-R1GrWlAPkfaThGqxeTj0QTtrARw4rroxIIepf2kipn1nw%2FformResponse%3Fusp%3Dpp_url%26entry.1313582257%3D0111220217%20%2F%20252610376%26entry.1578404635%3DHadir</t>
  </si>
  <si>
    <t>15DOjJAAI_WTVaUSbDeSpWyP4x8Pc_07Q</t>
  </si>
  <si>
    <t>https://drive.google.com/file/d/15DOjJAAI_WTVaUSbDeSpWyP4x8Pc_07Q/view?usp=drivesdk</t>
  </si>
  <si>
    <t>Naila Khansa Rahmawati - P</t>
  </si>
  <si>
    <t>https://quickchart.io/qr?size=250&amp;text=https%3A%2F%2Fdocs.google.com%2Fforms%2Fd%2Fe%2F1FAIpQLSeZ-R1GrWlAPkfaThGqxeTj0QTtrARw4rroxIIepf2kipn1nw%2FformResponse%3Fusp%3Dpp_url%26entry.1313582257%3D0098938532%20%2F%20252610392%26entry.1578404635%3DHadir</t>
  </si>
  <si>
    <t>1M4mjV0HRr116PMe1kVwrKa0iNu76Usny</t>
  </si>
  <si>
    <t>https://drive.google.com/file/d/1M4mjV0HRr116PMe1kVwrKa0iNu76Usny/view?usp=drivesdk</t>
  </si>
  <si>
    <t>Namira Nur Azkia - P</t>
  </si>
  <si>
    <t>https://quickchart.io/qr?size=250&amp;text=https%3A%2F%2Fdocs.google.com%2Fforms%2Fd%2Fe%2F1FAIpQLSeZ-R1GrWlAPkfaThGqxeTj0QTtrARw4rroxIIepf2kipn1nw%2FformResponse%3Fusp%3Dpp_url%26entry.1313582257%3D3109348901%20%2F%20252610395%26entry.1578404635%3DHadir</t>
  </si>
  <si>
    <t>1bdfxmOIeQEMgdKnVmgRoOFPfTlu3JJPm</t>
  </si>
  <si>
    <t>https://drive.google.com/file/d/1bdfxmOIeQEMgdKnVmgRoOFPfTlu3JJPm/view?usp=drivesdk</t>
  </si>
  <si>
    <t>0091281050 / 252610399</t>
  </si>
  <si>
    <t>Naswa Ramadhani - P</t>
  </si>
  <si>
    <t>https://quickchart.io/qr?size=250&amp;text=https%3A%2F%2Fdocs.google.com%2Fforms%2Fd%2Fe%2F1FAIpQLSeZ-R1GrWlAPkfaThGqxeTj0QTtrARw4rroxIIepf2kipn1nw%2FformResponse%3Fusp%3Dpp_url%26entry.1313582257%3D0091281050%20%2F%20252610399%26entry.1578404635%3DHadir</t>
  </si>
  <si>
    <t>1fqbxmKjqlPlA8kK_tH7RUkmWAUqJ7fpL</t>
  </si>
  <si>
    <t>https://drive.google.com/file/d/1fqbxmKjqlPlA8kK_tH7RUkmWAUqJ7fpL/view?usp=drivesdk</t>
  </si>
  <si>
    <t>0107347265 / 252610408</t>
  </si>
  <si>
    <t>Nayla Ulya Taqiyya - P</t>
  </si>
  <si>
    <t>https://quickchart.io/qr?size=250&amp;text=https%3A%2F%2Fdocs.google.com%2Fforms%2Fd%2Fe%2F1FAIpQLSeZ-R1GrWlAPkfaThGqxeTj0QTtrARw4rroxIIepf2kipn1nw%2FformResponse%3Fusp%3Dpp_url%26entry.1313582257%3D0107347265%20%2F%20252610408%26entry.1578404635%3DHadir</t>
  </si>
  <si>
    <t>1kAXs0fABYDv3D3Y_ZkQ1zOeJcy75uwCW</t>
  </si>
  <si>
    <t>https://drive.google.com/file/d/1kAXs0fABYDv3D3Y_ZkQ1zOeJcy75uwCW/view?usp=drivesdk</t>
  </si>
  <si>
    <t>Document successfully created; Document successfully merged; PDF created; Manually run by skycircle.id@gmail.com; Timestamp: Nov 7 2025 3:57 AM</t>
  </si>
  <si>
    <t>Nazwa Malika Asral - P</t>
  </si>
  <si>
    <t>https://quickchart.io/qr?size=250&amp;text=https%3A%2F%2Fdocs.google.com%2Fforms%2Fd%2Fe%2F1FAIpQLSeZ-R1GrWlAPkfaThGqxeTj0QTtrARw4rroxIIepf2kipn1nw%2FformResponse%3Fusp%3Dpp_url%26entry.1313582257%3D0105961239%20%2F%20252610413%26entry.1578404635%3DHadir</t>
  </si>
  <si>
    <t>1tkLsQp-jYHbbnA1Dn9yqZkyGSpzmn67Q</t>
  </si>
  <si>
    <t>https://drive.google.com/file/d/1tkLsQp-jYHbbnA1Dn9yqZkyGSpzmn67Q/view?usp=drivesdk</t>
  </si>
  <si>
    <t>0095193509 / 252610421</t>
  </si>
  <si>
    <t>Ni'Matul Aulia Ningtias - P</t>
  </si>
  <si>
    <t>https://quickchart.io/qr?size=250&amp;text=https%3A%2F%2Fdocs.google.com%2Fforms%2Fd%2Fe%2F1FAIpQLSeZ-R1GrWlAPkfaThGqxeTj0QTtrARw4rroxIIepf2kipn1nw%2FformResponse%3Fusp%3Dpp_url%26entry.1313582257%3D0095193509%20%2F%20252610421%26entry.1578404635%3DHadir</t>
  </si>
  <si>
    <t>1GP19s3JDtBIHSEFKp4NWHhoTzeSpaLia</t>
  </si>
  <si>
    <t>https://drive.google.com/file/d/1GP19s3JDtBIHSEFKp4NWHhoTzeSpaLia/view?usp=drivesdk</t>
  </si>
  <si>
    <t>Nikesha Nashwa Damara - P</t>
  </si>
  <si>
    <t>https://quickchart.io/qr?size=250&amp;text=https%3A%2F%2Fdocs.google.com%2Fforms%2Fd%2Fe%2F1FAIpQLSeZ-R1GrWlAPkfaThGqxeTj0QTtrARw4rroxIIepf2kipn1nw%2FformResponse%3Fusp%3Dpp_url%26entry.1313582257%3D0105803552%20%2F%20252610420%26entry.1578404635%3DHadir</t>
  </si>
  <si>
    <t>1YPtRJefNo6OO6EHI1PFxOprpECrtxt6u</t>
  </si>
  <si>
    <t>https://drive.google.com/file/d/1YPtRJefNo6OO6EHI1PFxOprpECrtxt6u/view?usp=drivesdk</t>
  </si>
  <si>
    <t>Quensha Rahayu Kusuma Agora - P</t>
  </si>
  <si>
    <t>https://quickchart.io/qr?size=250&amp;text=https%3A%2F%2Fdocs.google.com%2Fforms%2Fd%2Fe%2F1FAIpQLSeZ-R1GrWlAPkfaThGqxeTj0QTtrARw4rroxIIepf2kipn1nw%2FformResponse%3Fusp%3Dpp_url%26entry.1313582257%3D0109599363%20%2F%20252610444%26entry.1578404635%3DHadir</t>
  </si>
  <si>
    <t>1SnMbLyN8iEZiPwdQN8ayRPLOaqn0UYP8</t>
  </si>
  <si>
    <t>https://drive.google.com/file/d/1SnMbLyN8iEZiPwdQN8ayRPLOaqn0UYP8/view?usp=drivesdk</t>
  </si>
  <si>
    <t>Document successfully created; Document successfully merged; PDF created; Manually run by skycircle.id@gmail.com; Timestamp: Nov 7 2025 3:58 AM</t>
  </si>
  <si>
    <t>0105462734 / 252610445</t>
  </si>
  <si>
    <t>Quincha Aura Brilliani - P</t>
  </si>
  <si>
    <t>https://quickchart.io/qr?size=250&amp;text=https%3A%2F%2Fdocs.google.com%2Fforms%2Fd%2Fe%2F1FAIpQLSeZ-R1GrWlAPkfaThGqxeTj0QTtrARw4rroxIIepf2kipn1nw%2FformResponse%3Fusp%3Dpp_url%26entry.1313582257%3D0105462734%20%2F%20252610445%26entry.1578404635%3DHadir</t>
  </si>
  <si>
    <t>1GeFuSDghN-VYipUTH8I7Bim-IEZOCJ5S</t>
  </si>
  <si>
    <t>https://drive.google.com/file/d/1GeFuSDghN-VYipUTH8I7Bim-IEZOCJ5S/view?usp=drivesdk</t>
  </si>
  <si>
    <t>0097882314 / 252610463</t>
  </si>
  <si>
    <t>Raihan Farras Sutisna - L</t>
  </si>
  <si>
    <t>https://quickchart.io/qr?size=250&amp;text=https%3A%2F%2Fdocs.google.com%2Fforms%2Fd%2Fe%2F1FAIpQLSeZ-R1GrWlAPkfaThGqxeTj0QTtrARw4rroxIIepf2kipn1nw%2FformResponse%3Fusp%3Dpp_url%26entry.1313582257%3D0097882314%20%2F%20252610463%26entry.1578404635%3DHadir</t>
  </si>
  <si>
    <t>16wCZP1nOnfBymXchbUkKREYFjzjAbhPD</t>
  </si>
  <si>
    <t>https://drive.google.com/file/d/16wCZP1nOnfBymXchbUkKREYFjzjAbhPD/view?usp=drivesdk</t>
  </si>
  <si>
    <t>0099739465 / 252610470</t>
  </si>
  <si>
    <t>Raka Syabany Amsyah - L</t>
  </si>
  <si>
    <t>https://quickchart.io/qr?size=250&amp;text=https%3A%2F%2Fdocs.google.com%2Fforms%2Fd%2Fe%2F1FAIpQLSeZ-R1GrWlAPkfaThGqxeTj0QTtrARw4rroxIIepf2kipn1nw%2FformResponse%3Fusp%3Dpp_url%26entry.1313582257%3D0099739465%20%2F%20252610470%26entry.1578404635%3DHadir</t>
  </si>
  <si>
    <t>1avXJj_8naw2JSewx7AtP8TOqNb9P8K__</t>
  </si>
  <si>
    <t>https://drive.google.com/file/d/1avXJj_8naw2JSewx7AtP8TOqNb9P8K__/view?usp=drivesdk</t>
  </si>
  <si>
    <t>0102838068 / 252610500</t>
  </si>
  <si>
    <t>Ryzen Gevandra Wirapratama - L</t>
  </si>
  <si>
    <t>https://quickchart.io/qr?size=250&amp;text=https%3A%2F%2Fdocs.google.com%2Fforms%2Fd%2Fe%2F1FAIpQLSeZ-R1GrWlAPkfaThGqxeTj0QTtrARw4rroxIIepf2kipn1nw%2FformResponse%3Fusp%3Dpp_url%26entry.1313582257%3D0102838068%20%2F%20252610500%26entry.1578404635%3DHadir</t>
  </si>
  <si>
    <t>1SoqWy3FOYMBhih2lVV-h6VPIf7sWjsX3</t>
  </si>
  <si>
    <t>https://drive.google.com/file/d/1SoqWy3FOYMBhih2lVV-h6VPIf7sWjsX3/view?usp=drivesdk</t>
  </si>
  <si>
    <t>Document successfully created; Document successfully merged; PDF created; Manually run by skycircle.id@gmail.com; Timestamp: Nov 7 2025 3:59 AM</t>
  </si>
  <si>
    <t>Sinta Dwi Nuri Widodo - P</t>
  </si>
  <si>
    <t>https://quickchart.io/qr?size=250&amp;text=https%3A%2F%2Fdocs.google.com%2Fforms%2Fd%2Fe%2F1FAIpQLSeZ-R1GrWlAPkfaThGqxeTj0QTtrARw4rroxIIepf2kipn1nw%2FformResponse%3Fusp%3Dpp_url%26entry.1313582257%3D0107357472%20%2F%20252610522%26entry.1578404635%3DHadir</t>
  </si>
  <si>
    <t>1UqtgMAjKDcdedizEM0wVIG_qLs6e9ufV</t>
  </si>
  <si>
    <t>https://drive.google.com/file/d/1UqtgMAjKDcdedizEM0wVIG_qLs6e9ufV/view?usp=drivesdk</t>
  </si>
  <si>
    <t>Syarifah Nur Salsabila - P</t>
  </si>
  <si>
    <t>https://quickchart.io/qr?size=250&amp;text=https%3A%2F%2Fdocs.google.com%2Fforms%2Fd%2Fe%2F1FAIpQLSeZ-R1GrWlAPkfaThGqxeTj0QTtrARw4rroxIIepf2kipn1nw%2FformResponse%3Fusp%3Dpp_url%26entry.1313582257%3D0093433461%20%2F%20252610536%26entry.1578404635%3DHadir</t>
  </si>
  <si>
    <t>1pQB9M6v0-jO29FdyEoWWC5qXFo-0ytGa</t>
  </si>
  <si>
    <t>https://drive.google.com/file/d/1pQB9M6v0-jO29FdyEoWWC5qXFo-0ytGa/view?usp=drivesdk</t>
  </si>
  <si>
    <t>0108340159 / 252610548</t>
  </si>
  <si>
    <t>Tsamara Privita Sya'Ban Syahdu - P</t>
  </si>
  <si>
    <t>https://quickchart.io/qr?size=250&amp;text=https%3A%2F%2Fdocs.google.com%2Fforms%2Fd%2Fe%2F1FAIpQLSeZ-R1GrWlAPkfaThGqxeTj0QTtrARw4rroxIIepf2kipn1nw%2FformResponse%3Fusp%3Dpp_url%26entry.1313582257%3D0108340159%20%2F%20252610548%26entry.1578404635%3DHadir</t>
  </si>
  <si>
    <t>1NzaWcxaQy_N8_CdwIVE1urjpXjgwAckE</t>
  </si>
  <si>
    <t>https://drive.google.com/file/d/1NzaWcxaQy_N8_CdwIVE1urjpXjgwAckE/view?usp=drivesdk</t>
  </si>
  <si>
    <t>0094438921 / 252610558</t>
  </si>
  <si>
    <t>Yuzusie Aida Nenat - L</t>
  </si>
  <si>
    <t>https://quickchart.io/qr?size=250&amp;text=https%3A%2F%2Fdocs.google.com%2Fforms%2Fd%2Fe%2F1FAIpQLSeZ-R1GrWlAPkfaThGqxeTj0QTtrARw4rroxIIepf2kipn1nw%2FformResponse%3Fusp%3Dpp_url%26entry.1313582257%3D0094438921%20%2F%20252610558%26entry.1578404635%3DHadir</t>
  </si>
  <si>
    <t>1btAHPECatGgvh-CKWDVVOQVVLsYv1jGi</t>
  </si>
  <si>
    <t>https://drive.google.com/file/d/1btAHPECatGgvh-CKWDVVOQVVLsYv1jGi/view?usp=drivesdk</t>
  </si>
  <si>
    <t>0106681838 / 252610003</t>
  </si>
  <si>
    <t>Abyan Zuka Ibrahim Nasution - L</t>
  </si>
  <si>
    <t>X9</t>
  </si>
  <si>
    <t>https://quickchart.io/qr?size=250&amp;text=https%3A%2F%2Fdocs.google.com%2Fforms%2Fd%2Fe%2F1FAIpQLSeZ-R1GrWlAPkfaThGqxeTj0QTtrARw4rroxIIepf2kipn1nw%2FformResponse%3Fusp%3Dpp_url%26entry.1313582257%3D0106681838%20%2F%20252610003%26entry.1578404635%3DHadir</t>
  </si>
  <si>
    <t>1oAZVOO7paNfWLOOgWDYZbyKS86clKSmL</t>
  </si>
  <si>
    <t>https://drive.google.com/file/d/1oAZVOO7paNfWLOOgWDYZbyKS86clKSmL/view?usp=drivesdk</t>
  </si>
  <si>
    <t>0108974704 / 252610019</t>
  </si>
  <si>
    <t>Ahmad Hafidz Anwar - L</t>
  </si>
  <si>
    <t>https://quickchart.io/qr?size=250&amp;text=https%3A%2F%2Fdocs.google.com%2Fforms%2Fd%2Fe%2F1FAIpQLSeZ-R1GrWlAPkfaThGqxeTj0QTtrARw4rroxIIepf2kipn1nw%2FformResponse%3Fusp%3Dpp_url%26entry.1313582257%3D0108974704%20%2F%20252610019%26entry.1578404635%3DHadir</t>
  </si>
  <si>
    <t>1Y8iiO9EePoMj_IrHjG70vAHyi8T3trnx</t>
  </si>
  <si>
    <t>https://drive.google.com/file/d/1Y8iiO9EePoMj_IrHjG70vAHyi8T3trnx/view?usp=drivesdk</t>
  </si>
  <si>
    <t>Document successfully created; Document successfully merged; PDF created; Manually run by skycircle.id@gmail.com; Timestamp: Nov 7 2025 4:00 AM</t>
  </si>
  <si>
    <t>Aishanna Latifa Harjono - P</t>
  </si>
  <si>
    <t>https://quickchart.io/qr?size=250&amp;text=https%3A%2F%2Fdocs.google.com%2Fforms%2Fd%2Fe%2F1FAIpQLSeZ-R1GrWlAPkfaThGqxeTj0QTtrARw4rroxIIepf2kipn1nw%2FformResponse%3Fusp%3Dpp_url%26entry.1313582257%3D0105339420%20%2F%20252610027%26entry.1578404635%3DHadir</t>
  </si>
  <si>
    <t>1taw6m-k3cF-q68BiOqDwq6DpGqUG_ACs</t>
  </si>
  <si>
    <t>https://drive.google.com/file/d/1taw6m-k3cF-q68BiOqDwq6DpGqUG_ACs/view?usp=drivesdk</t>
  </si>
  <si>
    <t>Aqila Elmohri - P</t>
  </si>
  <si>
    <t>https://quickchart.io/qr?size=250&amp;text=https%3A%2F%2Fdocs.google.com%2Fforms%2Fd%2Fe%2F1FAIpQLSeZ-R1GrWlAPkfaThGqxeTj0QTtrARw4rroxIIepf2kipn1nw%2FformResponse%3Fusp%3Dpp_url%26entry.1313582257%3D0093799489%20%2F%20252610071%26entry.1578404635%3DHadir</t>
  </si>
  <si>
    <t>1sRI7clE8Ov-jESP9D5wjmO63sB4hghRn</t>
  </si>
  <si>
    <t>https://drive.google.com/file/d/1sRI7clE8Ov-jESP9D5wjmO63sB4hghRn/view?usp=drivesdk</t>
  </si>
  <si>
    <t>3111697965 / 252610073</t>
  </si>
  <si>
    <t>Aqilla Al-Farabi - P</t>
  </si>
  <si>
    <t>https://quickchart.io/qr?size=250&amp;text=https%3A%2F%2Fdocs.google.com%2Fforms%2Fd%2Fe%2F1FAIpQLSeZ-R1GrWlAPkfaThGqxeTj0QTtrARw4rroxIIepf2kipn1nw%2FformResponse%3Fusp%3Dpp_url%26entry.1313582257%3D3111697965%20%2F%20252610073%26entry.1578404635%3DHadir</t>
  </si>
  <si>
    <t>1qaRQfRwnDD-aNQ5nq_E-OtM7qewROZMO</t>
  </si>
  <si>
    <t>https://drive.google.com/file/d/1qaRQfRwnDD-aNQ5nq_E-OtM7qewROZMO/view?usp=drivesdk</t>
  </si>
  <si>
    <t>Document successfully created; Document successfully merged; PDF created; Manually run by skycircle.id@gmail.com; Timestamp: Nov 7 2025 4:01 AM</t>
  </si>
  <si>
    <t>0102592413 / 252610078</t>
  </si>
  <si>
    <t>Ariyo Raditya Putra - L</t>
  </si>
  <si>
    <t>https://quickchart.io/qr?size=250&amp;text=https%3A%2F%2Fdocs.google.com%2Fforms%2Fd%2Fe%2F1FAIpQLSeZ-R1GrWlAPkfaThGqxeTj0QTtrARw4rroxIIepf2kipn1nw%2FformResponse%3Fusp%3Dpp_url%26entry.1313582257%3D0102592413%20%2F%20252610078%26entry.1578404635%3DHadir</t>
  </si>
  <si>
    <t>1-ii8k60hcKBrcI_SaCntR1HN58UBQrbC</t>
  </si>
  <si>
    <t>https://drive.google.com/file/d/1-ii8k60hcKBrcI_SaCntR1HN58UBQrbC/view?usp=drivesdk</t>
  </si>
  <si>
    <t>Asshafa Nur Intan - P</t>
  </si>
  <si>
    <t>https://quickchart.io/qr?size=250&amp;text=https%3A%2F%2Fdocs.google.com%2Fforms%2Fd%2Fe%2F1FAIpQLSeZ-R1GrWlAPkfaThGqxeTj0QTtrARw4rroxIIepf2kipn1nw%2FformResponse%3Fusp%3Dpp_url%26entry.1313582257%3D0099452000%20%2F%20252610086%26entry.1578404635%3DHadir</t>
  </si>
  <si>
    <t>1NJBzI7pihsm7DAdteAsM3pO72QnpeDKz</t>
  </si>
  <si>
    <t>https://drive.google.com/file/d/1NJBzI7pihsm7DAdteAsM3pO72QnpeDKz/view?usp=drivesdk</t>
  </si>
  <si>
    <t>0093343311 / 252610092</t>
  </si>
  <si>
    <t>Attar Palestine Taha - P</t>
  </si>
  <si>
    <t>https://quickchart.io/qr?size=250&amp;text=https%3A%2F%2Fdocs.google.com%2Fforms%2Fd%2Fe%2F1FAIpQLSeZ-R1GrWlAPkfaThGqxeTj0QTtrARw4rroxIIepf2kipn1nw%2FformResponse%3Fusp%3Dpp_url%26entry.1313582257%3D0093343311%20%2F%20252610092%26entry.1578404635%3DHadir</t>
  </si>
  <si>
    <t>1v6rT5CvNhcnK-f3d6yTDQ6OAoWhRmayl</t>
  </si>
  <si>
    <t>https://drive.google.com/file/d/1v6rT5CvNhcnK-f3d6yTDQ6OAoWhRmayl/view?usp=drivesdk</t>
  </si>
  <si>
    <t>Aufa Khairunnisa - P</t>
  </si>
  <si>
    <t>https://quickchart.io/qr?size=250&amp;text=https%3A%2F%2Fdocs.google.com%2Fforms%2Fd%2Fe%2F1FAIpQLSeZ-R1GrWlAPkfaThGqxeTj0QTtrARw4rroxIIepf2kipn1nw%2FformResponse%3Fusp%3Dpp_url%26entry.1313582257%3D0102924778%20%2F%20252610095%26entry.1578404635%3DHadir</t>
  </si>
  <si>
    <t>1BPHZmO4oXoh2t6ooeG5Yrcj2mVls6rL5</t>
  </si>
  <si>
    <t>https://drive.google.com/file/d/1BPHZmO4oXoh2t6ooeG5Yrcj2mVls6rL5/view?usp=drivesdk</t>
  </si>
  <si>
    <t>Document successfully created; Document successfully merged; PDF created; Manually run by skycircle.id@gmail.com; Timestamp: Nov 7 2025 4:02 AM</t>
  </si>
  <si>
    <t>Balqis Luthfiyah Zahra - P</t>
  </si>
  <si>
    <t>https://quickchart.io/qr?size=250&amp;text=https%3A%2F%2Fdocs.google.com%2Fforms%2Fd%2Fe%2F1FAIpQLSeZ-R1GrWlAPkfaThGqxeTj0QTtrARw4rroxIIepf2kipn1nw%2FformResponse%3Fusp%3Dpp_url%26entry.1313582257%3D0108974038%20%2F%20252610117%26entry.1578404635%3DHadir</t>
  </si>
  <si>
    <t>1H1Pyf_FgOrqUJk1Lc9ZMH0kwkCuKWLxm</t>
  </si>
  <si>
    <t>https://drive.google.com/file/d/1H1Pyf_FgOrqUJk1Lc9ZMH0kwkCuKWLxm/view?usp=drivesdk</t>
  </si>
  <si>
    <t>Chayra Putri Dwinata - P</t>
  </si>
  <si>
    <t>https://quickchart.io/qr?size=250&amp;text=https%3A%2F%2Fdocs.google.com%2Fforms%2Fd%2Fe%2F1FAIpQLSeZ-R1GrWlAPkfaThGqxeTj0QTtrARw4rroxIIepf2kipn1nw%2FformResponse%3Fusp%3Dpp_url%26entry.1313582257%3D0104378571%20%2F%20252610133%26entry.1578404635%3DHadir</t>
  </si>
  <si>
    <t>1n9T1k_I0OxO7JRtGgrvkVXBNwf4nSclS</t>
  </si>
  <si>
    <t>https://drive.google.com/file/d/1n9T1k_I0OxO7JRtGgrvkVXBNwf4nSclS/view?usp=drivesdk</t>
  </si>
  <si>
    <t>Cheryl Anandiora - L</t>
  </si>
  <si>
    <t>https://quickchart.io/qr?size=250&amp;text=https%3A%2F%2Fdocs.google.com%2Fforms%2Fd%2Fe%2F1FAIpQLSeZ-R1GrWlAPkfaThGqxeTj0QTtrARw4rroxIIepf2kipn1nw%2FformResponse%3Fusp%3Dpp_url%26entry.1313582257%3D0107900663%20%2F%20252610135%26entry.1578404635%3DHadir</t>
  </si>
  <si>
    <t>1Ce3gEQxuGFYrNiLHhwFXOj0IbbwaDBm8</t>
  </si>
  <si>
    <t>https://drive.google.com/file/d/1Ce3gEQxuGFYrNiLHhwFXOj0IbbwaDBm8/view?usp=drivesdk</t>
  </si>
  <si>
    <t>Dahayu Nadhilah Syafa - P</t>
  </si>
  <si>
    <t>https://quickchart.io/qr?size=250&amp;text=https%3A%2F%2Fdocs.google.com%2Fforms%2Fd%2Fe%2F1FAIpQLSeZ-R1GrWlAPkfaThGqxeTj0QTtrARw4rroxIIepf2kipn1nw%2FformResponse%3Fusp%3Dpp_url%26entry.1313582257%3D0091254694%20%2F%20252610146%26entry.1578404635%3DHadir</t>
  </si>
  <si>
    <t>10_IKFjUjMchCzwTlNDI4M0yjcDo6okEh</t>
  </si>
  <si>
    <t>https://drive.google.com/file/d/10_IKFjUjMchCzwTlNDI4M0yjcDo6okEh/view?usp=drivesdk</t>
  </si>
  <si>
    <t>Elen Vanesyah Wahyudi - P</t>
  </si>
  <si>
    <t>https://quickchart.io/qr?size=250&amp;text=https%3A%2F%2Fdocs.google.com%2Fforms%2Fd%2Fe%2F1FAIpQLSeZ-R1GrWlAPkfaThGqxeTj0QTtrARw4rroxIIepf2kipn1nw%2FformResponse%3Fusp%3Dpp_url%26entry.1313582257%3D0108673369%20%2F%20252610178%26entry.1578404635%3DHadir</t>
  </si>
  <si>
    <t>1M--UR7nMOBDn3QNZY27CpLLl9LR5HkPl</t>
  </si>
  <si>
    <t>https://drive.google.com/file/d/1M--UR7nMOBDn3QNZY27CpLLl9LR5HkPl/view?usp=drivesdk</t>
  </si>
  <si>
    <t>0097946386 / 252610211</t>
  </si>
  <si>
    <t>Fitrah Thirafi - L</t>
  </si>
  <si>
    <t>https://quickchart.io/qr?size=250&amp;text=https%3A%2F%2Fdocs.google.com%2Fforms%2Fd%2Fe%2F1FAIpQLSeZ-R1GrWlAPkfaThGqxeTj0QTtrARw4rroxIIepf2kipn1nw%2FformResponse%3Fusp%3Dpp_url%26entry.1313582257%3D0097946386%20%2F%20252610211%26entry.1578404635%3DHadir</t>
  </si>
  <si>
    <t>1PwDmhAx1dBR9tZk2sVJsj9NwJSnl6mY_</t>
  </si>
  <si>
    <t>https://drive.google.com/file/d/1PwDmhAx1dBR9tZk2sVJsj9NwJSnl6mY_/view?usp=drivesdk</t>
  </si>
  <si>
    <t>Document successfully created; Document successfully merged; PDF created; Manually run by skycircle.id@gmail.com; Timestamp: Nov 7 2025 4:03 AM</t>
  </si>
  <si>
    <t>Fitri Rahmawati - P</t>
  </si>
  <si>
    <t>https://quickchart.io/qr?size=250&amp;text=https%3A%2F%2Fdocs.google.com%2Fforms%2Fd%2Fe%2F1FAIpQLSeZ-R1GrWlAPkfaThGqxeTj0QTtrARw4rroxIIepf2kipn1nw%2FformResponse%3Fusp%3Dpp_url%26entry.1313582257%3D0099535255%20%2F%20252610212%26entry.1578404635%3DHadir</t>
  </si>
  <si>
    <t>1W5Wk145cGHRbGE9ZOR_NsqOK2PjYlL5L</t>
  </si>
  <si>
    <t>https://drive.google.com/file/d/1W5Wk145cGHRbGE9ZOR_NsqOK2PjYlL5L/view?usp=drivesdk</t>
  </si>
  <si>
    <t>Ghaniah Aqilah - P</t>
  </si>
  <si>
    <t>https://quickchart.io/qr?size=250&amp;text=https%3A%2F%2Fdocs.google.com%2Fforms%2Fd%2Fe%2F1FAIpQLSeZ-R1GrWlAPkfaThGqxeTj0QTtrARw4rroxIIepf2kipn1nw%2FformResponse%3Fusp%3Dpp_url%26entry.1313582257%3D0094573200%20%2F%20252610220%26entry.1578404635%3DHadir</t>
  </si>
  <si>
    <t>1srWhqPtQwnZRFo0c4SA0x_klS-1rKk7a</t>
  </si>
  <si>
    <t>https://drive.google.com/file/d/1srWhqPtQwnZRFo0c4SA0x_klS-1rKk7a/view?usp=drivesdk</t>
  </si>
  <si>
    <t>0114593936 / 252610231</t>
  </si>
  <si>
    <t>Hizam Kynan Putra Purwanto - L</t>
  </si>
  <si>
    <t>https://quickchart.io/qr?size=250&amp;text=https%3A%2F%2Fdocs.google.com%2Fforms%2Fd%2Fe%2F1FAIpQLSeZ-R1GrWlAPkfaThGqxeTj0QTtrARw4rroxIIepf2kipn1nw%2FformResponse%3Fusp%3Dpp_url%26entry.1313582257%3D0114593936%20%2F%20252610231%26entry.1578404635%3DHadir</t>
  </si>
  <si>
    <t>1WQiFti8Z2Z3wL2dsxW97_s1Q0wdw2d5j</t>
  </si>
  <si>
    <t>https://drive.google.com/file/d/1WQiFti8Z2Z3wL2dsxW97_s1Q0wdw2d5j/view?usp=drivesdk</t>
  </si>
  <si>
    <t>0109669821 / 252610232</t>
  </si>
  <si>
    <t>Ilham Rizki Pratama - L</t>
  </si>
  <si>
    <t>https://quickchart.io/qr?size=250&amp;text=https%3A%2F%2Fdocs.google.com%2Fforms%2Fd%2Fe%2F1FAIpQLSeZ-R1GrWlAPkfaThGqxeTj0QTtrARw4rroxIIepf2kipn1nw%2FformResponse%3Fusp%3Dpp_url%26entry.1313582257%3D0109669821%20%2F%20252610232%26entry.1578404635%3DHadir</t>
  </si>
  <si>
    <t>1wji7YvC71m4v2sjFHj_SoVHs6ShtANWM</t>
  </si>
  <si>
    <t>https://drive.google.com/file/d/1wji7YvC71m4v2sjFHj_SoVHs6ShtANWM/view?usp=drivesdk</t>
  </si>
  <si>
    <t>0103695549 / 252610236</t>
  </si>
  <si>
    <t>Izaz Izzatul Islam - P</t>
  </si>
  <si>
    <t>https://quickchart.io/qr?size=250&amp;text=https%3A%2F%2Fdocs.google.com%2Fforms%2Fd%2Fe%2F1FAIpQLSeZ-R1GrWlAPkfaThGqxeTj0QTtrARw4rroxIIepf2kipn1nw%2FformResponse%3Fusp%3Dpp_url%26entry.1313582257%3D0103695549%20%2F%20252610236%26entry.1578404635%3DHadir</t>
  </si>
  <si>
    <t>1ZH_hl7sg2oWnjYxRlN7R3NyYGx_QRbeY</t>
  </si>
  <si>
    <t>https://drive.google.com/file/d/1ZH_hl7sg2oWnjYxRlN7R3NyYGx_QRbeY/view?usp=drivesdk</t>
  </si>
  <si>
    <t>Document successfully created; Document successfully merged; PDF created; Manually run by skycircle.id@gmail.com; Timestamp: Nov 7 2025 4:04 AM</t>
  </si>
  <si>
    <t>0095770160 / 252610240</t>
  </si>
  <si>
    <t>Jazila Abid Niyaz Chan Lase - L</t>
  </si>
  <si>
    <t>https://quickchart.io/qr?size=250&amp;text=https%3A%2F%2Fdocs.google.com%2Fforms%2Fd%2Fe%2F1FAIpQLSeZ-R1GrWlAPkfaThGqxeTj0QTtrARw4rroxIIepf2kipn1nw%2FformResponse%3Fusp%3Dpp_url%26entry.1313582257%3D0095770160%20%2F%20252610240%26entry.1578404635%3DHadir</t>
  </si>
  <si>
    <t>1ccFFOuMzKZCQoqOzJ31mPZNq-OzZ0b86</t>
  </si>
  <si>
    <t>https://drive.google.com/file/d/1ccFFOuMzKZCQoqOzJ31mPZNq-OzZ0b86/view?usp=drivesdk</t>
  </si>
  <si>
    <t>Jihan Nailatusy Syarafah - P</t>
  </si>
  <si>
    <t>https://quickchart.io/qr?size=250&amp;text=https%3A%2F%2Fdocs.google.com%2Fforms%2Fd%2Fe%2F1FAIpQLSeZ-R1GrWlAPkfaThGqxeTj0QTtrARw4rroxIIepf2kipn1nw%2FformResponse%3Fusp%3Dpp_url%26entry.1313582257%3D0106852675%20%2F%20252610248%26entry.1578404635%3DHadir</t>
  </si>
  <si>
    <t>1646bajL3jWHkC85b7ZhwjCfKxuDxP424</t>
  </si>
  <si>
    <t>https://drive.google.com/file/d/1646bajL3jWHkC85b7ZhwjCfKxuDxP424/view?usp=drivesdk</t>
  </si>
  <si>
    <t>0094047198 / 252610256</t>
  </si>
  <si>
    <t>Kanza Olivia Ramadhani - P</t>
  </si>
  <si>
    <t>https://quickchart.io/qr?size=250&amp;text=https%3A%2F%2Fdocs.google.com%2Fforms%2Fd%2Fe%2F1FAIpQLSeZ-R1GrWlAPkfaThGqxeTj0QTtrARw4rroxIIepf2kipn1nw%2FformResponse%3Fusp%3Dpp_url%26entry.1313582257%3D0094047198%20%2F%20252610256%26entry.1578404635%3DHadir</t>
  </si>
  <si>
    <t>1QgrCJZ1zfSSAdKuBRspDXYreWMODunm9</t>
  </si>
  <si>
    <t>https://drive.google.com/file/d/1QgrCJZ1zfSSAdKuBRspDXYreWMODunm9/view?usp=drivesdk</t>
  </si>
  <si>
    <t>Kayla Tria Fatarani - P</t>
  </si>
  <si>
    <t>https://quickchart.io/qr?size=250&amp;text=https%3A%2F%2Fdocs.google.com%2Fforms%2Fd%2Fe%2F1FAIpQLSeZ-R1GrWlAPkfaThGqxeTj0QTtrARw4rroxIIepf2kipn1nw%2FformResponse%3Fusp%3Dpp_url%26entry.1313582257%3D0102372511%20%2F%20252610263%26entry.1578404635%3DHadir</t>
  </si>
  <si>
    <t>1mT800thkCc4dnBeQx9tfOPK4hS8k1lhp</t>
  </si>
  <si>
    <t>https://drive.google.com/file/d/1mT800thkCc4dnBeQx9tfOPK4hS8k1lhp/view?usp=drivesdk</t>
  </si>
  <si>
    <t>Document successfully created; Document successfully merged; PDF created; Manually run by skycircle.id@gmail.com; Timestamp: Nov 7 2025 4:05 AM</t>
  </si>
  <si>
    <t>Mahera Raisha Davanita Faizal - P</t>
  </si>
  <si>
    <t>https://quickchart.io/qr?size=250&amp;text=https%3A%2F%2Fdocs.google.com%2Fforms%2Fd%2Fe%2F1FAIpQLSeZ-R1GrWlAPkfaThGqxeTj0QTtrARw4rroxIIepf2kipn1nw%2FformResponse%3Fusp%3Dpp_url%26entry.1313582257%3D0098113225%20%2F%20252610297%26entry.1578404635%3DHadir</t>
  </si>
  <si>
    <t>1-LFlmmphRhlrCgDt44ld8Q2OmaCk0Acy</t>
  </si>
  <si>
    <t>https://drive.google.com/file/d/1-LFlmmphRhlrCgDt44ld8Q2OmaCk0Acy/view?usp=drivesdk</t>
  </si>
  <si>
    <t>0103979225 / 252610325</t>
  </si>
  <si>
    <t>Muhamad Juan Arkhan - L</t>
  </si>
  <si>
    <t>https://quickchart.io/qr?size=250&amp;text=https%3A%2F%2Fdocs.google.com%2Fforms%2Fd%2Fe%2F1FAIpQLSeZ-R1GrWlAPkfaThGqxeTj0QTtrARw4rroxIIepf2kipn1nw%2FformResponse%3Fusp%3Dpp_url%26entry.1313582257%3D0103979225%20%2F%20252610325%26entry.1578404635%3DHadir</t>
  </si>
  <si>
    <t>1ASb8XVjDf3qyAfZRQyrNr1BTOMZc5EOR</t>
  </si>
  <si>
    <t>https://drive.google.com/file/d/1ASb8XVjDf3qyAfZRQyrNr1BTOMZc5EOR/view?usp=drivesdk</t>
  </si>
  <si>
    <t>0095022365 / 252610337</t>
  </si>
  <si>
    <t>Muhammad Ariel Setiawan - L</t>
  </si>
  <si>
    <t>https://quickchart.io/qr?size=250&amp;text=https%3A%2F%2Fdocs.google.com%2Fforms%2Fd%2Fe%2F1FAIpQLSeZ-R1GrWlAPkfaThGqxeTj0QTtrARw4rroxIIepf2kipn1nw%2FformResponse%3Fusp%3Dpp_url%26entry.1313582257%3D0095022365%20%2F%20252610337%26entry.1578404635%3DHadir</t>
  </si>
  <si>
    <t>1Q0dr7XX_BT63odide2pPUjAObYbPHgDP</t>
  </si>
  <si>
    <t>https://drive.google.com/file/d/1Q0dr7XX_BT63odide2pPUjAObYbPHgDP/view?usp=drivesdk</t>
  </si>
  <si>
    <t>0104557332 / 252610341</t>
  </si>
  <si>
    <t>Muhammad Azka Shahizinda - L</t>
  </si>
  <si>
    <t>https://quickchart.io/qr?size=250&amp;text=https%3A%2F%2Fdocs.google.com%2Fforms%2Fd%2Fe%2F1FAIpQLSeZ-R1GrWlAPkfaThGqxeTj0QTtrARw4rroxIIepf2kipn1nw%2FformResponse%3Fusp%3Dpp_url%26entry.1313582257%3D0104557332%20%2F%20252610341%26entry.1578404635%3DHadir</t>
  </si>
  <si>
    <t>1fJKtK7iFTe5XhnSyddqz0AmPyFCdPVLd</t>
  </si>
  <si>
    <t>https://drive.google.com/file/d/1fJKtK7iFTe5XhnSyddqz0AmPyFCdPVLd/view?usp=drivesdk</t>
  </si>
  <si>
    <t>Document successfully created; Document successfully merged; PDF created; Manually run by skycircle.id@gmail.com; Timestamp: Nov 7 2025 4:06 AM</t>
  </si>
  <si>
    <t>0092772943 / 252610344</t>
  </si>
  <si>
    <t>Muhammad Daffa Alfarizki - L</t>
  </si>
  <si>
    <t>https://quickchart.io/qr?size=250&amp;text=https%3A%2F%2Fdocs.google.com%2Fforms%2Fd%2Fe%2F1FAIpQLSeZ-R1GrWlAPkfaThGqxeTj0QTtrARw4rroxIIepf2kipn1nw%2FformResponse%3Fusp%3Dpp_url%26entry.1313582257%3D0092772943%20%2F%20252610344%26entry.1578404635%3DHadir</t>
  </si>
  <si>
    <t>1fzVffhaCpBwlCBCDcm2onK1vWpIZ3xeR</t>
  </si>
  <si>
    <t>https://drive.google.com/file/d/1fzVffhaCpBwlCBCDcm2onK1vWpIZ3xeR/view?usp=drivesdk</t>
  </si>
  <si>
    <t>0098897790 / 252610347</t>
  </si>
  <si>
    <t>Muhammad Fadil Ranoval - L</t>
  </si>
  <si>
    <t>https://quickchart.io/qr?size=250&amp;text=https%3A%2F%2Fdocs.google.com%2Fforms%2Fd%2Fe%2F1FAIpQLSeZ-R1GrWlAPkfaThGqxeTj0QTtrARw4rroxIIepf2kipn1nw%2FformResponse%3Fusp%3Dpp_url%26entry.1313582257%3D0098897790%20%2F%20252610347%26entry.1578404635%3DHadir</t>
  </si>
  <si>
    <t>1_H_aDS3OGuW9Wr729dq8dgjM2uNVuZ3E</t>
  </si>
  <si>
    <t>https://drive.google.com/file/d/1_H_aDS3OGuW9Wr729dq8dgjM2uNVuZ3E/view?usp=drivesdk</t>
  </si>
  <si>
    <t>0101059940 / 252610358</t>
  </si>
  <si>
    <t>Muhammad In'Amul Aufa - L</t>
  </si>
  <si>
    <t>https://quickchart.io/qr?size=250&amp;text=https%3A%2F%2Fdocs.google.com%2Fforms%2Fd%2Fe%2F1FAIpQLSeZ-R1GrWlAPkfaThGqxeTj0QTtrARw4rroxIIepf2kipn1nw%2FformResponse%3Fusp%3Dpp_url%26entry.1313582257%3D0101059940%20%2F%20252610358%26entry.1578404635%3DHadir</t>
  </si>
  <si>
    <t>1SZanjG_TDY3MQ--2SuLL2_i1LsyngS9R</t>
  </si>
  <si>
    <t>https://drive.google.com/file/d/1SZanjG_TDY3MQ--2SuLL2_i1LsyngS9R/view?usp=drivesdk</t>
  </si>
  <si>
    <t>0094119764 / 252610368</t>
  </si>
  <si>
    <t>Muhammad Reyhan Alfariky - L</t>
  </si>
  <si>
    <t>https://quickchart.io/qr?size=250&amp;text=https%3A%2F%2Fdocs.google.com%2Fforms%2Fd%2Fe%2F1FAIpQLSeZ-R1GrWlAPkfaThGqxeTj0QTtrARw4rroxIIepf2kipn1nw%2FformResponse%3Fusp%3Dpp_url%26entry.1313582257%3D0094119764%20%2F%20252610368%26entry.1578404635%3DHadir</t>
  </si>
  <si>
    <t>1bG-bQX3qiJ3lZ9qiaX9iRZzBwbTniBc1</t>
  </si>
  <si>
    <t>https://drive.google.com/file/d/1bG-bQX3qiJ3lZ9qiaX9iRZzBwbTniBc1/view?usp=drivesdk</t>
  </si>
  <si>
    <t>0096882416 / 252610372</t>
  </si>
  <si>
    <t>Muhammad Sayyid Amjad - L</t>
  </si>
  <si>
    <t>https://quickchart.io/qr?size=250&amp;text=https%3A%2F%2Fdocs.google.com%2Fforms%2Fd%2Fe%2F1FAIpQLSeZ-R1GrWlAPkfaThGqxeTj0QTtrARw4rroxIIepf2kipn1nw%2FformResponse%3Fusp%3Dpp_url%26entry.1313582257%3D0096882416%20%2F%20252610372%26entry.1578404635%3DHadir</t>
  </si>
  <si>
    <t>1x31mvtUKznWytCHe7btCQ_q4hZuHtFM2</t>
  </si>
  <si>
    <t>https://drive.google.com/file/d/1x31mvtUKznWytCHe7btCQ_q4hZuHtFM2/view?usp=drivesdk</t>
  </si>
  <si>
    <t>Document successfully created; Document successfully merged; PDF created; Manually run by skycircle.id@gmail.com; Timestamp: Nov 7 2025 4:07 AM</t>
  </si>
  <si>
    <t>0093640113 / 252610397</t>
  </si>
  <si>
    <t>Nararya Hylmi Kenzie - P</t>
  </si>
  <si>
    <t>https://quickchart.io/qr?size=250&amp;text=https%3A%2F%2Fdocs.google.com%2Fforms%2Fd%2Fe%2F1FAIpQLSeZ-R1GrWlAPkfaThGqxeTj0QTtrARw4rroxIIepf2kipn1nw%2FformResponse%3Fusp%3Dpp_url%26entry.1313582257%3D0093640113%20%2F%20252610397%26entry.1578404635%3DHadir</t>
  </si>
  <si>
    <t>1OGVICJsQP16V-rzwdRnW9UKpMn4YGv39</t>
  </si>
  <si>
    <t>https://drive.google.com/file/d/1OGVICJsQP16V-rzwdRnW9UKpMn4YGv39/view?usp=drivesdk</t>
  </si>
  <si>
    <t>Nur Azizah - P</t>
  </si>
  <si>
    <t>https://quickchart.io/qr?size=250&amp;text=https%3A%2F%2Fdocs.google.com%2Fforms%2Fd%2Fe%2F1FAIpQLSeZ-R1GrWlAPkfaThGqxeTj0QTtrARw4rroxIIepf2kipn1nw%2FformResponse%3Fusp%3Dpp_url%26entry.1313582257%3D0097910400%20%2F%20252610425%26entry.1578404635%3DHadir</t>
  </si>
  <si>
    <t>1FjHY3KyiP0GPComHVmbW72AX871bfXmF</t>
  </si>
  <si>
    <t>https://drive.google.com/file/d/1FjHY3KyiP0GPComHVmbW72AX871bfXmF/view?usp=drivesdk</t>
  </si>
  <si>
    <t>0091134035 / 252610441</t>
  </si>
  <si>
    <t>Qitrie Anisa Khaeri - P</t>
  </si>
  <si>
    <t>https://quickchart.io/qr?size=250&amp;text=https%3A%2F%2Fdocs.google.com%2Fforms%2Fd%2Fe%2F1FAIpQLSeZ-R1GrWlAPkfaThGqxeTj0QTtrARw4rroxIIepf2kipn1nw%2FformResponse%3Fusp%3Dpp_url%26entry.1313582257%3D0091134035%20%2F%20252610441%26entry.1578404635%3DHadir</t>
  </si>
  <si>
    <t>1smeZuWDuoSwzTsT-xwWPLiF-Vm3jqtf-</t>
  </si>
  <si>
    <t>https://drive.google.com/file/d/1smeZuWDuoSwzTsT-xwWPLiF-Vm3jqtf-/view?usp=drivesdk</t>
  </si>
  <si>
    <t>0106245820 / 252610457</t>
  </si>
  <si>
    <t>Radya Camilla Arinda - P</t>
  </si>
  <si>
    <t>https://quickchart.io/qr?size=250&amp;text=https%3A%2F%2Fdocs.google.com%2Fforms%2Fd%2Fe%2F1FAIpQLSeZ-R1GrWlAPkfaThGqxeTj0QTtrARw4rroxIIepf2kipn1nw%2FformResponse%3Fusp%3Dpp_url%26entry.1313582257%3D0106245820%20%2F%20252610457%26entry.1578404635%3DHadir</t>
  </si>
  <si>
    <t>1KtSwTqzFrCRW4OJXDjQM_8ogpipWCd3C</t>
  </si>
  <si>
    <t>https://drive.google.com/file/d/1KtSwTqzFrCRW4OJXDjQM_8ogpipWCd3C/view?usp=drivesdk</t>
  </si>
  <si>
    <t>Document successfully created; Document successfully merged; PDF created; Manually run by skycircle.id@gmail.com; Timestamp: Nov 7 2025 4:08 AM</t>
  </si>
  <si>
    <t>0101902217 / 252610460</t>
  </si>
  <si>
    <t>Rahardian Muhamad Abisiena Koeswara - L</t>
  </si>
  <si>
    <t>https://quickchart.io/qr?size=250&amp;text=https%3A%2F%2Fdocs.google.com%2Fforms%2Fd%2Fe%2F1FAIpQLSeZ-R1GrWlAPkfaThGqxeTj0QTtrARw4rroxIIepf2kipn1nw%2FformResponse%3Fusp%3Dpp_url%26entry.1313582257%3D0101902217%20%2F%20252610460%26entry.1578404635%3DHadir</t>
  </si>
  <si>
    <t>1JR6j_3fS6a1EQNPCEhGrj-Sx0llmN6kD</t>
  </si>
  <si>
    <t>https://drive.google.com/file/d/1JR6j_3fS6a1EQNPCEhGrj-Sx0llmN6kD/view?usp=drivesdk</t>
  </si>
  <si>
    <t>0094238472 / 252610465</t>
  </si>
  <si>
    <t>Raihana Syafiqah Andyni - P</t>
  </si>
  <si>
    <t>https://quickchart.io/qr?size=250&amp;text=https%3A%2F%2Fdocs.google.com%2Fforms%2Fd%2Fe%2F1FAIpQLSeZ-R1GrWlAPkfaThGqxeTj0QTtrARw4rroxIIepf2kipn1nw%2FformResponse%3Fusp%3Dpp_url%26entry.1313582257%3D0094238472%20%2F%20252610465%26entry.1578404635%3DHadir</t>
  </si>
  <si>
    <t>1LHZl9J2LoRDJfgS2iW7IxS1AwPiRo-ej</t>
  </si>
  <si>
    <t>https://drive.google.com/file/d/1LHZl9J2LoRDJfgS2iW7IxS1AwPiRo-ej/view?usp=drivesdk</t>
  </si>
  <si>
    <t>3096149866 / 252610473</t>
  </si>
  <si>
    <t>Rassya Faiq Hibatullah - P</t>
  </si>
  <si>
    <t>https://quickchart.io/qr?size=250&amp;text=https%3A%2F%2Fdocs.google.com%2Fforms%2Fd%2Fe%2F1FAIpQLSeZ-R1GrWlAPkfaThGqxeTj0QTtrARw4rroxIIepf2kipn1nw%2FformResponse%3Fusp%3Dpp_url%26entry.1313582257%3D3096149866%20%2F%20252610473%26entry.1578404635%3DHadir</t>
  </si>
  <si>
    <t>1gF1p6TjGMY2qISJxK6UQZ5nS3RDxxwAl</t>
  </si>
  <si>
    <t>https://drive.google.com/file/d/1gF1p6TjGMY2qISJxK6UQZ5nS3RDxxwAl/view?usp=drivesdk</t>
  </si>
  <si>
    <t>0106183087 / 252610487</t>
  </si>
  <si>
    <t>Reynaldi - L</t>
  </si>
  <si>
    <t>https://quickchart.io/qr?size=250&amp;text=https%3A%2F%2Fdocs.google.com%2Fforms%2Fd%2Fe%2F1FAIpQLSeZ-R1GrWlAPkfaThGqxeTj0QTtrARw4rroxIIepf2kipn1nw%2FformResponse%3Fusp%3Dpp_url%26entry.1313582257%3D0106183087%20%2F%20252610487%26entry.1578404635%3DHadir</t>
  </si>
  <si>
    <t>1A54QyLTQmQfyaHIHY_JqO_Li_SZs0yww</t>
  </si>
  <si>
    <t>https://drive.google.com/file/d/1A54QyLTQmQfyaHIHY_JqO_Li_SZs0yww/view?usp=drivesdk</t>
  </si>
  <si>
    <t>Sekar Raynaningrum - P</t>
  </si>
  <si>
    <t>https://quickchart.io/qr?size=250&amp;text=https%3A%2F%2Fdocs.google.com%2Fforms%2Fd%2Fe%2F1FAIpQLSeZ-R1GrWlAPkfaThGqxeTj0QTtrARw4rroxIIepf2kipn1nw%2FformResponse%3Fusp%3Dpp_url%26entry.1313582257%3D0107182326%20%2F%20252610511%26entry.1578404635%3DHadir</t>
  </si>
  <si>
    <t>1906f_v0pP5AH4xJsJsNL4EwFf8l3niNR</t>
  </si>
  <si>
    <t>https://drive.google.com/file/d/1906f_v0pP5AH4xJsJsNL4EwFf8l3niNR/view?usp=drivesdk</t>
  </si>
  <si>
    <t>Document successfully created; Document successfully merged; PDF created; Manually run by skycircle.id@gmail.com; Timestamp: Nov 7 2025 4:09 AM</t>
  </si>
  <si>
    <t>0099107315 / 252610530</t>
  </si>
  <si>
    <t>Syahla Nurul Arisma - P</t>
  </si>
  <si>
    <t>https://quickchart.io/qr?size=250&amp;text=https%3A%2F%2Fdocs.google.com%2Fforms%2Fd%2Fe%2F1FAIpQLSeZ-R1GrWlAPkfaThGqxeTj0QTtrARw4rroxIIepf2kipn1nw%2FformResponse%3Fusp%3Dpp_url%26entry.1313582257%3D0099107315%20%2F%20252610530%26entry.1578404635%3DHadir</t>
  </si>
  <si>
    <t>1uzXYV45RXbLevz0fKWoRTghKQnTpGLC2</t>
  </si>
  <si>
    <t>https://drive.google.com/file/d/1uzXYV45RXbLevz0fKWoRTghKQnTpGLC2/view?usp=drivesdk</t>
  </si>
  <si>
    <t>Syauqi Anandya Putri - L</t>
  </si>
  <si>
    <t>https://quickchart.io/qr?size=250&amp;text=https%3A%2F%2Fdocs.google.com%2Fforms%2Fd%2Fe%2F1FAIpQLSeZ-R1GrWlAPkfaThGqxeTj0QTtrARw4rroxIIepf2kipn1nw%2FformResponse%3Fusp%3Dpp_url%26entry.1313582257%3D0094680852%20%2F%20252610537%26entry.1578404635%3DHadir</t>
  </si>
  <si>
    <t>1T3pcPnYfbSEJUkbX8K2Ug5rl2aePxpRN</t>
  </si>
  <si>
    <t>https://drive.google.com/file/d/1T3pcPnYfbSEJUkbX8K2Ug5rl2aePxpRN/view?usp=drivesdk</t>
  </si>
  <si>
    <t>Tayya Dzulhijjah Mokodompit - P</t>
  </si>
  <si>
    <t>https://quickchart.io/qr?size=250&amp;text=https%3A%2F%2Fdocs.google.com%2Fforms%2Fd%2Fe%2F1FAIpQLSeZ-R1GrWlAPkfaThGqxeTj0QTtrARw4rroxIIepf2kipn1nw%2FformResponse%3Fusp%3Dpp_url%26entry.1313582257%3D0098348385%20%2F%20252610542%26entry.1578404635%3DHadir</t>
  </si>
  <si>
    <t>1Q3XJt-z3JbZDBzqvSjEuZqCQsw2U8Y6G</t>
  </si>
  <si>
    <t>https://drive.google.com/file/d/1Q3XJt-z3JbZDBzqvSjEuZqCQsw2U8Y6G/view?usp=drivesdk</t>
  </si>
  <si>
    <t>Abdul Ghofar - L</t>
  </si>
  <si>
    <t>X10</t>
  </si>
  <si>
    <t>https://quickchart.io/qr?size=250&amp;text=https%3A%2F%2Fdocs.google.com%2Fforms%2Fd%2Fe%2F1FAIpQLSeZ-R1GrWlAPkfaThGqxeTj0QTtrARw4rroxIIepf2kipn1nw%2FformResponse%3Fusp%3Dpp_url%26entry.1313582257%3D0096033014%20%2F%20252610001%26entry.1578404635%3DHadir</t>
  </si>
  <si>
    <t>1uENI4xfrK1ExKVLJUjiRv1ZpmZCnr6w9</t>
  </si>
  <si>
    <t>https://drive.google.com/file/d/1uENI4xfrK1ExKVLJUjiRv1ZpmZCnr6w9/view?usp=drivesdk</t>
  </si>
  <si>
    <t>0104072965 / 252610012</t>
  </si>
  <si>
    <t>Aditya Bayu Sutanto - L</t>
  </si>
  <si>
    <t>https://quickchart.io/qr?size=250&amp;text=https%3A%2F%2Fdocs.google.com%2Fforms%2Fd%2Fe%2F1FAIpQLSeZ-R1GrWlAPkfaThGqxeTj0QTtrARw4rroxIIepf2kipn1nw%2FformResponse%3Fusp%3Dpp_url%26entry.1313582257%3D0104072965%20%2F%20252610012%26entry.1578404635%3DHadir</t>
  </si>
  <si>
    <t>1kSBm6IyIqzfd4b3VBfGw71zeAeieDgeF</t>
  </si>
  <si>
    <t>https://drive.google.com/file/d/1kSBm6IyIqzfd4b3VBfGw71zeAeieDgeF/view?usp=drivesdk</t>
  </si>
  <si>
    <t>Document successfully created; Document successfully merged; PDF created; Manually run by skycircle.id@gmail.com; Timestamp: Nov 7 2025 4:10 AM</t>
  </si>
  <si>
    <t>2107246447 / 252610014</t>
  </si>
  <si>
    <t>Affy Kaew Ni'Mitr Alhanafi - P</t>
  </si>
  <si>
    <t>https://quickchart.io/qr?size=250&amp;text=https%3A%2F%2Fdocs.google.com%2Fforms%2Fd%2Fe%2F1FAIpQLSeZ-R1GrWlAPkfaThGqxeTj0QTtrARw4rroxIIepf2kipn1nw%2FformResponse%3Fusp%3Dpp_url%26entry.1313582257%3D2107246447%20%2F%20252610014%26entry.1578404635%3DHadir</t>
  </si>
  <si>
    <t>12SAYlR-y51OOJWjua-s1-_V-N3JytqmG</t>
  </si>
  <si>
    <t>https://drive.google.com/file/d/12SAYlR-y51OOJWjua-s1-_V-N3JytqmG/view?usp=drivesdk</t>
  </si>
  <si>
    <t>0096128036 / 252610020</t>
  </si>
  <si>
    <t>Ahmad Husein Al Latief - L</t>
  </si>
  <si>
    <t>https://quickchart.io/qr?size=250&amp;text=https%3A%2F%2Fdocs.google.com%2Fforms%2Fd%2Fe%2F1FAIpQLSeZ-R1GrWlAPkfaThGqxeTj0QTtrARw4rroxIIepf2kipn1nw%2FformResponse%3Fusp%3Dpp_url%26entry.1313582257%3D0096128036%20%2F%20252610020%26entry.1578404635%3DHadir</t>
  </si>
  <si>
    <t>1pEwBdU-KniYGWZsHFB3AER3ez3q1TyPe</t>
  </si>
  <si>
    <t>https://drive.google.com/file/d/1pEwBdU-KniYGWZsHFB3AER3ez3q1TyPe/view?usp=drivesdk</t>
  </si>
  <si>
    <t>0107055406 / 252610032</t>
  </si>
  <si>
    <t>Akram Mubarak - L</t>
  </si>
  <si>
    <t>https://quickchart.io/qr?size=250&amp;text=https%3A%2F%2Fdocs.google.com%2Fforms%2Fd%2Fe%2F1FAIpQLSeZ-R1GrWlAPkfaThGqxeTj0QTtrARw4rroxIIepf2kipn1nw%2FformResponse%3Fusp%3Dpp_url%26entry.1313582257%3D0107055406%20%2F%20252610032%26entry.1578404635%3DHadir</t>
  </si>
  <si>
    <t>1oMSeiX52SMriRYPe7C63UcjyeER0aWkM</t>
  </si>
  <si>
    <t>https://drive.google.com/file/d/1oMSeiX52SMriRYPe7C63UcjyeER0aWkM/view?usp=drivesdk</t>
  </si>
  <si>
    <t>Alfi Amalia - P</t>
  </si>
  <si>
    <t>https://quickchart.io/qr?size=250&amp;text=https%3A%2F%2Fdocs.google.com%2Fforms%2Fd%2Fe%2F1FAIpQLSeZ-R1GrWlAPkfaThGqxeTj0QTtrARw4rroxIIepf2kipn1nw%2FformResponse%3Fusp%3Dpp_url%26entry.1313582257%3D0108389311%20%2F%20252610037%26entry.1578404635%3DHadir</t>
  </si>
  <si>
    <t>1MyeTXKFxsF093--UrF5stTZuF5LlBgp9</t>
  </si>
  <si>
    <t>https://drive.google.com/file/d/1MyeTXKFxsF093--UrF5stTZuF5LlBgp9/view?usp=drivesdk</t>
  </si>
  <si>
    <t>Amelia Nur Zahra - P</t>
  </si>
  <si>
    <t>https://quickchart.io/qr?size=250&amp;text=https%3A%2F%2Fdocs.google.com%2Fforms%2Fd%2Fe%2F1FAIpQLSeZ-R1GrWlAPkfaThGqxeTj0QTtrARw4rroxIIepf2kipn1nw%2FformResponse%3Fusp%3Dpp_url%26entry.1313582257%3D0097357764%20%2F%20252610054%26entry.1578404635%3DHadir</t>
  </si>
  <si>
    <t>1TdZqpL1B49vdAbNfzmwQa4e53f_CjSXn</t>
  </si>
  <si>
    <t>https://drive.google.com/file/d/1TdZqpL1B49vdAbNfzmwQa4e53f_CjSXn/view?usp=drivesdk</t>
  </si>
  <si>
    <t>Document successfully created; Document successfully merged; PDF created; Manually run by skycircle.id@gmail.com; Timestamp: Nov 7 2025 4:11 AM</t>
  </si>
  <si>
    <t>0102387971 / 252610059</t>
  </si>
  <si>
    <t>Ananda Bari Al Kausar - L</t>
  </si>
  <si>
    <t>https://quickchart.io/qr?size=250&amp;text=https%3A%2F%2Fdocs.google.com%2Fforms%2Fd%2Fe%2F1FAIpQLSeZ-R1GrWlAPkfaThGqxeTj0QTtrARw4rroxIIepf2kipn1nw%2FformResponse%3Fusp%3Dpp_url%26entry.1313582257%3D0102387971%20%2F%20252610059%26entry.1578404635%3DHadir</t>
  </si>
  <si>
    <t>1H2XHA7whVQdCMigAfZ445zluSCl5G9PM</t>
  </si>
  <si>
    <t>https://drive.google.com/file/d/1H2XHA7whVQdCMigAfZ445zluSCl5G9PM/view?usp=drivesdk</t>
  </si>
  <si>
    <t>0092171774 / 252610089</t>
  </si>
  <si>
    <t>Ataya Arkan Ramadhan - P</t>
  </si>
  <si>
    <t>https://quickchart.io/qr?size=250&amp;text=https%3A%2F%2Fdocs.google.com%2Fforms%2Fd%2Fe%2F1FAIpQLSeZ-R1GrWlAPkfaThGqxeTj0QTtrARw4rroxIIepf2kipn1nw%2FformResponse%3Fusp%3Dpp_url%26entry.1313582257%3D0092171774%20%2F%20252610089%26entry.1578404635%3DHadir</t>
  </si>
  <si>
    <t>1xwWTmUvDRhtLoZM9IQU_KcP0Xg_MuKRQ</t>
  </si>
  <si>
    <t>https://drive.google.com/file/d/1xwWTmUvDRhtLoZM9IQU_KcP0Xg_MuKRQ/view?usp=drivesdk</t>
  </si>
  <si>
    <t>0103134538 / 252610091</t>
  </si>
  <si>
    <t>Athaya Muhammad Daffa - P</t>
  </si>
  <si>
    <t>https://quickchart.io/qr?size=250&amp;text=https%3A%2F%2Fdocs.google.com%2Fforms%2Fd%2Fe%2F1FAIpQLSeZ-R1GrWlAPkfaThGqxeTj0QTtrARw4rroxIIepf2kipn1nw%2FformResponse%3Fusp%3Dpp_url%26entry.1313582257%3D0103134538%20%2F%20252610091%26entry.1578404635%3DHadir</t>
  </si>
  <si>
    <t>1sIM86_jXFN0MemXnsfyi_itswaOvLt5k</t>
  </si>
  <si>
    <t>https://drive.google.com/file/d/1sIM86_jXFN0MemXnsfyi_itswaOvLt5k/view?usp=drivesdk</t>
  </si>
  <si>
    <t>Aura Nabilah Zahirah - P</t>
  </si>
  <si>
    <t>https://quickchart.io/qr?size=250&amp;text=https%3A%2F%2Fdocs.google.com%2Fforms%2Fd%2Fe%2F1FAIpQLSeZ-R1GrWlAPkfaThGqxeTj0QTtrARw4rroxIIepf2kipn1nw%2FformResponse%3Fusp%3Dpp_url%26entry.1313582257%3D0104895570%20%2F%20252610099%26entry.1578404635%3DHadir</t>
  </si>
  <si>
    <t>10KFoxBEtRV__suDiWCvI9dbMOnmGbsrI</t>
  </si>
  <si>
    <t>https://drive.google.com/file/d/10KFoxBEtRV__suDiWCvI9dbMOnmGbsrI/view?usp=drivesdk</t>
  </si>
  <si>
    <t>Aurora Putri Samudra Dwiko - P</t>
  </si>
  <si>
    <t>https://quickchart.io/qr?size=250&amp;text=https%3A%2F%2Fdocs.google.com%2Fforms%2Fd%2Fe%2F1FAIpQLSeZ-R1GrWlAPkfaThGqxeTj0QTtrARw4rroxIIepf2kipn1nw%2FformResponse%3Fusp%3Dpp_url%26entry.1313582257%3D0099138854%20%2F%20252610103%26entry.1578404635%3DHadir</t>
  </si>
  <si>
    <t>1qH8d0SKifWVqC-pmO2WbRoiWVfOmFZXG</t>
  </si>
  <si>
    <t>https://drive.google.com/file/d/1qH8d0SKifWVqC-pmO2WbRoiWVfOmFZXG/view?usp=drivesdk</t>
  </si>
  <si>
    <t>Document successfully created; Document successfully merged; PDF created; Manually run by skycircle.id@gmail.com; Timestamp: Nov 7 2025 4:12 AM</t>
  </si>
  <si>
    <t>Belva Thalita Ramadhena - P</t>
  </si>
  <si>
    <t>https://quickchart.io/qr?size=250&amp;text=https%3A%2F%2Fdocs.google.com%2Fforms%2Fd%2Fe%2F1FAIpQLSeZ-R1GrWlAPkfaThGqxeTj0QTtrARw4rroxIIepf2kipn1nw%2FformResponse%3Fusp%3Dpp_url%26entry.1313582257%3D0105133490%20%2F%20252610119%26entry.1578404635%3DHadir</t>
  </si>
  <si>
    <t>1jZEXvIxTbtBA-9FgGjOoC5E2YEF_fhGq</t>
  </si>
  <si>
    <t>https://drive.google.com/file/d/1jZEXvIxTbtBA-9FgGjOoC5E2YEF_fhGq/view?usp=drivesdk</t>
  </si>
  <si>
    <t>0099153455 / 252610128</t>
  </si>
  <si>
    <t>Bintang Mahardika Abhyoso Ardy - L</t>
  </si>
  <si>
    <t>https://quickchart.io/qr?size=250&amp;text=https%3A%2F%2Fdocs.google.com%2Fforms%2Fd%2Fe%2F1FAIpQLSeZ-R1GrWlAPkfaThGqxeTj0QTtrARw4rroxIIepf2kipn1nw%2FformResponse%3Fusp%3Dpp_url%26entry.1313582257%3D0099153455%20%2F%20252610128%26entry.1578404635%3DHadir</t>
  </si>
  <si>
    <t>1ohcOeJRDt0K164RFLDrIA8kLRRyqfLFo</t>
  </si>
  <si>
    <t>https://drive.google.com/file/d/1ohcOeJRDt0K164RFLDrIA8kLRRyqfLFo/view?usp=drivesdk</t>
  </si>
  <si>
    <t>0094286208 / 252610142</t>
  </si>
  <si>
    <t>Claudia Dominique Gabriella Torus - P</t>
  </si>
  <si>
    <t>https://quickchart.io/qr?size=250&amp;text=https%3A%2F%2Fdocs.google.com%2Fforms%2Fd%2Fe%2F1FAIpQLSeZ-R1GrWlAPkfaThGqxeTj0QTtrARw4rroxIIepf2kipn1nw%2FformResponse%3Fusp%3Dpp_url%26entry.1313582257%3D0094286208%20%2F%20252610142%26entry.1578404635%3DHadir</t>
  </si>
  <si>
    <t>1dud0cPY7je1-1SQK8drQxojhM4vP1Zq8</t>
  </si>
  <si>
    <t>https://drive.google.com/file/d/1dud0cPY7je1-1SQK8drQxojhM4vP1Zq8/view?usp=drivesdk</t>
  </si>
  <si>
    <t>0103526904 / 252610165</t>
  </si>
  <si>
    <t>Dinara Savina - P</t>
  </si>
  <si>
    <t>https://quickchart.io/qr?size=250&amp;text=https%3A%2F%2Fdocs.google.com%2Fforms%2Fd%2Fe%2F1FAIpQLSeZ-R1GrWlAPkfaThGqxeTj0QTtrARw4rroxIIepf2kipn1nw%2FformResponse%3Fusp%3Dpp_url%26entry.1313582257%3D0103526904%20%2F%20252610165%26entry.1578404635%3DHadir</t>
  </si>
  <si>
    <t>13xhLGMxggeIVStz4AxQR6y8S5WnCjRZo</t>
  </si>
  <si>
    <t>https://drive.google.com/file/d/13xhLGMxggeIVStz4AxQR6y8S5WnCjRZo/view?usp=drivesdk</t>
  </si>
  <si>
    <t>Dinda Syifa Rahmayanti - P</t>
  </si>
  <si>
    <t>https://quickchart.io/qr?size=250&amp;text=https%3A%2F%2Fdocs.google.com%2Fforms%2Fd%2Fe%2F1FAIpQLSeZ-R1GrWlAPkfaThGqxeTj0QTtrARw4rroxIIepf2kipn1nw%2FformResponse%3Fusp%3Dpp_url%26entry.1313582257%3D0098248691%20%2F%20252610168%26entry.1578404635%3DHadir</t>
  </si>
  <si>
    <t>1TgWyJ76cIOdVabWhz1RGO8h4TpZLqpsT</t>
  </si>
  <si>
    <t>https://drive.google.com/file/d/1TgWyJ76cIOdVabWhz1RGO8h4TpZLqpsT/view?usp=drivesdk</t>
  </si>
  <si>
    <t>Dindin Andini Suryaman - L</t>
  </si>
  <si>
    <t>https://quickchart.io/qr?size=250&amp;text=https%3A%2F%2Fdocs.google.com%2Fforms%2Fd%2Fe%2F1FAIpQLSeZ-R1GrWlAPkfaThGqxeTj0QTtrARw4rroxIIepf2kipn1nw%2FformResponse%3Fusp%3Dpp_url%26entry.1313582257%3D0105616025%20%2F%20252610169%26entry.1578404635%3DHadir</t>
  </si>
  <si>
    <t>1LefcLcLIjcSmLwvO_0S9l8CSLcaNvRrW</t>
  </si>
  <si>
    <t>https://drive.google.com/file/d/1LefcLcLIjcSmLwvO_0S9l8CSLcaNvRrW/view?usp=drivesdk</t>
  </si>
  <si>
    <t>Document successfully created; Document successfully merged; PDF created; Manually run by skycircle.id@gmail.com; Timestamp: Nov 7 2025 4:13 AM</t>
  </si>
  <si>
    <t>Gita Tazkiyatunnisa - P</t>
  </si>
  <si>
    <t>https://quickchart.io/qr?size=250&amp;text=https%3A%2F%2Fdocs.google.com%2Fforms%2Fd%2Fe%2F1FAIpQLSeZ-R1GrWlAPkfaThGqxeTj0QTtrARw4rroxIIepf2kipn1nw%2FformResponse%3Fusp%3Dpp_url%26entry.1313582257%3D0102329313%20%2F%20252610222%26entry.1578404635%3DHadir</t>
  </si>
  <si>
    <t>1Y1yMv0Ekfz4iXfF4t0mG0g1ntWTmTcYk</t>
  </si>
  <si>
    <t>https://drive.google.com/file/d/1Y1yMv0Ekfz4iXfF4t0mG0g1ntWTmTcYk/view?usp=drivesdk</t>
  </si>
  <si>
    <t>0094626978 / 252610226</t>
  </si>
  <si>
    <t>Haifa Aysha Zahira - P</t>
  </si>
  <si>
    <t>https://quickchart.io/qr?size=250&amp;text=https%3A%2F%2Fdocs.google.com%2Fforms%2Fd%2Fe%2F1FAIpQLSeZ-R1GrWlAPkfaThGqxeTj0QTtrARw4rroxIIepf2kipn1nw%2FformResponse%3Fusp%3Dpp_url%26entry.1313582257%3D0094626978%20%2F%20252610226%26entry.1578404635%3DHadir</t>
  </si>
  <si>
    <t>1ePfFGENiYelrCFVJNcnGFf8OyhVWdAe8</t>
  </si>
  <si>
    <t>https://drive.google.com/file/d/1ePfFGENiYelrCFVJNcnGFf8OyhVWdAe8/view?usp=drivesdk</t>
  </si>
  <si>
    <t>Intan Dwi Novianingrum - P</t>
  </si>
  <si>
    <t>https://quickchart.io/qr?size=250&amp;text=https%3A%2F%2Fdocs.google.com%2Fforms%2Fd%2Fe%2F1FAIpQLSeZ-R1GrWlAPkfaThGqxeTj0QTtrARw4rroxIIepf2kipn1nw%2FformResponse%3Fusp%3Dpp_url%26entry.1313582257%3D0093849649%20%2F%20252610234%26entry.1578404635%3DHadir</t>
  </si>
  <si>
    <t>1NDChGA_tvaIAx5EsZjbXfwCkkCbffj1W</t>
  </si>
  <si>
    <t>https://drive.google.com/file/d/1NDChGA_tvaIAx5EsZjbXfwCkkCbffj1W/view?usp=drivesdk</t>
  </si>
  <si>
    <t>Isnaini Fauziyah Utomo - P</t>
  </si>
  <si>
    <t>https://quickchart.io/qr?size=250&amp;text=https%3A%2F%2Fdocs.google.com%2Fforms%2Fd%2Fe%2F1FAIpQLSeZ-R1GrWlAPkfaThGqxeTj0QTtrARw4rroxIIepf2kipn1nw%2FformResponse%3Fusp%3Dpp_url%26entry.1313582257%3D0102890859%20%2F%20252610235%26entry.1578404635%3DHadir</t>
  </si>
  <si>
    <t>1GhASE87FUGfWDOXNhzq4VuAOI3VxbAAf</t>
  </si>
  <si>
    <t>https://drive.google.com/file/d/1GhASE87FUGfWDOXNhzq4VuAOI3VxbAAf/view?usp=drivesdk</t>
  </si>
  <si>
    <t>Document successfully created; Document successfully merged; PDF created; Manually run by skycircle.id@gmail.com; Timestamp: Nov 7 2025 4:14 AM</t>
  </si>
  <si>
    <t>0107943430 / 252610242</t>
  </si>
  <si>
    <t>Jeremia Geraldo Siregar - L</t>
  </si>
  <si>
    <t>https://quickchart.io/qr?size=250&amp;text=https%3A%2F%2Fdocs.google.com%2Fforms%2Fd%2Fe%2F1FAIpQLSeZ-R1GrWlAPkfaThGqxeTj0QTtrARw4rroxIIepf2kipn1nw%2FformResponse%3Fusp%3Dpp_url%26entry.1313582257%3D0107943430%20%2F%20252610242%26entry.1578404635%3DHadir</t>
  </si>
  <si>
    <t>1V3sriQRM_lOQ-olxyvziZ55lp8KKOsQG</t>
  </si>
  <si>
    <t>https://drive.google.com/file/d/1V3sriQRM_lOQ-olxyvziZ55lp8KKOsQG/view?usp=drivesdk</t>
  </si>
  <si>
    <t>Jerry Dwi Cahyono Putro - L</t>
  </si>
  <si>
    <t>https://quickchart.io/qr?size=250&amp;text=https%3A%2F%2Fdocs.google.com%2Fforms%2Fd%2Fe%2F1FAIpQLSeZ-R1GrWlAPkfaThGqxeTj0QTtrARw4rroxIIepf2kipn1nw%2FformResponse%3Fusp%3Dpp_url%26entry.1313582257%3D0102210036%20%2F%20252610243%26entry.1578404635%3DHadir</t>
  </si>
  <si>
    <t>1pm-nrhBv75yxwgE_4ugeu4zIilbtc-6b</t>
  </si>
  <si>
    <t>https://drive.google.com/file/d/1pm-nrhBv75yxwgE_4ugeu4zIilbtc-6b/view?usp=drivesdk</t>
  </si>
  <si>
    <t>3099544859 / 252610251</t>
  </si>
  <si>
    <t>Jovan Khayru Affandi - L</t>
  </si>
  <si>
    <t>https://quickchart.io/qr?size=250&amp;text=https%3A%2F%2Fdocs.google.com%2Fforms%2Fd%2Fe%2F1FAIpQLSeZ-R1GrWlAPkfaThGqxeTj0QTtrARw4rroxIIepf2kipn1nw%2FformResponse%3Fusp%3Dpp_url%26entry.1313582257%3D3099544859%20%2F%20252610251%26entry.1578404635%3DHadir</t>
  </si>
  <si>
    <t>1l0-rhsljH159-vJmLADhcsLwujlIxguA</t>
  </si>
  <si>
    <t>https://drive.google.com/file/d/1l0-rhsljH159-vJmLADhcsLwujlIxguA/view?usp=drivesdk</t>
  </si>
  <si>
    <t>Kayla Althafunnisa Arrasyid - P</t>
  </si>
  <si>
    <t>https://quickchart.io/qr?size=250&amp;text=https%3A%2F%2Fdocs.google.com%2Fforms%2Fd%2Fe%2F1FAIpQLSeZ-R1GrWlAPkfaThGqxeTj0QTtrARw4rroxIIepf2kipn1nw%2FformResponse%3Fusp%3Dpp_url%26entry.1313582257%3D0104574006%20%2F%20252610262%26entry.1578404635%3DHadir</t>
  </si>
  <si>
    <t>1Zhwz_JubKt-EJ2T0fpTB554qnuL3PMAX</t>
  </si>
  <si>
    <t>https://drive.google.com/file/d/1Zhwz_JubKt-EJ2T0fpTB554qnuL3PMAX/view?usp=drivesdk</t>
  </si>
  <si>
    <t>Keyla Ananda Safitri - P</t>
  </si>
  <si>
    <t>https://quickchart.io/qr?size=250&amp;text=https%3A%2F%2Fdocs.google.com%2Fforms%2Fd%2Fe%2F1FAIpQLSeZ-R1GrWlAPkfaThGqxeTj0QTtrARw4rroxIIepf2kipn1nw%2FformResponse%3Fusp%3Dpp_url%26entry.1313582257%3D0094966956%20%2F%20252610272%26entry.1578404635%3DHadir</t>
  </si>
  <si>
    <t>1aOTdleOROwPHyEjm_QjmjXy2YIr6HeBm</t>
  </si>
  <si>
    <t>https://drive.google.com/file/d/1aOTdleOROwPHyEjm_QjmjXy2YIr6HeBm/view?usp=drivesdk</t>
  </si>
  <si>
    <t>Khanza Aprillia Risyadi - P</t>
  </si>
  <si>
    <t>https://quickchart.io/qr?size=250&amp;text=https%3A%2F%2Fdocs.google.com%2Fforms%2Fd%2Fe%2F1FAIpQLSeZ-R1GrWlAPkfaThGqxeTj0QTtrARw4rroxIIepf2kipn1nw%2FformResponse%3Fusp%3Dpp_url%26entry.1313582257%3D0102208567%20%2F%20252610283%26entry.1578404635%3DHadir</t>
  </si>
  <si>
    <t>19tc4fQBTADYYTN2J4bRv_xLiXCzAE-ep</t>
  </si>
  <si>
    <t>https://drive.google.com/file/d/19tc4fQBTADYYTN2J4bRv_xLiXCzAE-ep/view?usp=drivesdk</t>
  </si>
  <si>
    <t>Document successfully created; Document successfully merged; PDF created; Manually run by skycircle.id@gmail.com; Timestamp: Nov 7 2025 4:15 AM</t>
  </si>
  <si>
    <t>Maroen Al-Fatih Ibrahimessi - L</t>
  </si>
  <si>
    <t>https://quickchart.io/qr?size=250&amp;text=https%3A%2F%2Fdocs.google.com%2Fforms%2Fd%2Fe%2F1FAIpQLSeZ-R1GrWlAPkfaThGqxeTj0QTtrARw4rroxIIepf2kipn1nw%2FformResponse%3Fusp%3Dpp_url%26entry.1313582257%3D3101402781%20%2F%20252610305%26entry.1578404635%3DHadir</t>
  </si>
  <si>
    <t>15BBLd_ZJYJUmS316YYtUQ_tFZ-huGGkO</t>
  </si>
  <si>
    <t>https://drive.google.com/file/d/15BBLd_ZJYJUmS316YYtUQ_tFZ-huGGkO/view?usp=drivesdk</t>
  </si>
  <si>
    <t>0098516941 / 252610327</t>
  </si>
  <si>
    <t>Muhamad Raihan Rizqullah - L</t>
  </si>
  <si>
    <t>https://quickchart.io/qr?size=250&amp;text=https%3A%2F%2Fdocs.google.com%2Fforms%2Fd%2Fe%2F1FAIpQLSeZ-R1GrWlAPkfaThGqxeTj0QTtrARw4rroxIIepf2kipn1nw%2FformResponse%3Fusp%3Dpp_url%26entry.1313582257%3D0098516941%20%2F%20252610327%26entry.1578404635%3DHadir</t>
  </si>
  <si>
    <t>1YntJv2prfCihAJlsOLBhVoBZ8oyi5R95</t>
  </si>
  <si>
    <t>https://drive.google.com/file/d/1YntJv2prfCihAJlsOLBhVoBZ8oyi5R95/view?usp=drivesdk</t>
  </si>
  <si>
    <t>Muhammad Akhtar Arkana Ramadhan - L</t>
  </si>
  <si>
    <t>https://quickchart.io/qr?size=250&amp;text=https%3A%2F%2Fdocs.google.com%2Fforms%2Fd%2Fe%2F1FAIpQLSeZ-R1GrWlAPkfaThGqxeTj0QTtrARw4rroxIIepf2kipn1nw%2FformResponse%3Fusp%3Dpp_url%26entry.1313582257%3D0113735828%20%2F%20252610335%26entry.1578404635%3DHadir</t>
  </si>
  <si>
    <t>1L5UWjdGxJUT_EzglhdDbLxhmv1R24L1v</t>
  </si>
  <si>
    <t>https://drive.google.com/file/d/1L5UWjdGxJUT_EzglhdDbLxhmv1R24L1v/view?usp=drivesdk</t>
  </si>
  <si>
    <t>Muhammad Tsafiq Ihsan - L</t>
  </si>
  <si>
    <t>https://quickchart.io/qr?size=250&amp;text=https%3A%2F%2Fdocs.google.com%2Fforms%2Fd%2Fe%2F1FAIpQLSeZ-R1GrWlAPkfaThGqxeTj0QTtrARw4rroxIIepf2kipn1nw%2FformResponse%3Fusp%3Dpp_url%26entry.1313582257%3D0109589144%20%2F%20252610375%26entry.1578404635%3DHadir</t>
  </si>
  <si>
    <t>1DMK6v77vjxjRB9rcWv1JKrsjtXLFndbL</t>
  </si>
  <si>
    <t>https://drive.google.com/file/d/1DMK6v77vjxjRB9rcWv1JKrsjtXLFndbL/view?usp=drivesdk</t>
  </si>
  <si>
    <t>0108105659 / 252610396</t>
  </si>
  <si>
    <t>Naqeesyaa Dhanova Al Adzra - P</t>
  </si>
  <si>
    <t>https://quickchart.io/qr?size=250&amp;text=https%3A%2F%2Fdocs.google.com%2Fforms%2Fd%2Fe%2F1FAIpQLSeZ-R1GrWlAPkfaThGqxeTj0QTtrARw4rroxIIepf2kipn1nw%2FformResponse%3Fusp%3Dpp_url%26entry.1313582257%3D0108105659%20%2F%20252610396%26entry.1578404635%3DHadir</t>
  </si>
  <si>
    <t>13zk0vigIw0GINxuEFuMyXLkKRpQVdnnV</t>
  </si>
  <si>
    <t>https://drive.google.com/file/d/13zk0vigIw0GINxuEFuMyXLkKRpQVdnnV/view?usp=drivesdk</t>
  </si>
  <si>
    <t>Document successfully created; Document successfully merged; PDF created; Manually run by skycircle.id@gmail.com; Timestamp: Nov 7 2025 4:16 AM</t>
  </si>
  <si>
    <t>0091758520 / 252610402</t>
  </si>
  <si>
    <t>Naufal Arzharel Ibrahimovic - L</t>
  </si>
  <si>
    <t>https://quickchart.io/qr?size=250&amp;text=https%3A%2F%2Fdocs.google.com%2Fforms%2Fd%2Fe%2F1FAIpQLSeZ-R1GrWlAPkfaThGqxeTj0QTtrARw4rroxIIepf2kipn1nw%2FformResponse%3Fusp%3Dpp_url%26entry.1313582257%3D0091758520%20%2F%20252610402%26entry.1578404635%3DHadir</t>
  </si>
  <si>
    <t>1I6M4sCvYHr03sOKZ-PGPr8ez3DsjPguj</t>
  </si>
  <si>
    <t>https://drive.google.com/file/d/1I6M4sCvYHr03sOKZ-PGPr8ez3DsjPguj/view?usp=drivesdk</t>
  </si>
  <si>
    <t>0093643944 / 252610403</t>
  </si>
  <si>
    <t>Naura Luvenavita Krisdianto - P</t>
  </si>
  <si>
    <t>https://quickchart.io/qr?size=250&amp;text=https%3A%2F%2Fdocs.google.com%2Fforms%2Fd%2Fe%2F1FAIpQLSeZ-R1GrWlAPkfaThGqxeTj0QTtrARw4rroxIIepf2kipn1nw%2FformResponse%3Fusp%3Dpp_url%26entry.1313582257%3D0093643944%20%2F%20252610403%26entry.1578404635%3DHadir</t>
  </si>
  <si>
    <t>1nLPi4DQZAHD6gPlS-JsYBBS7Wjv8d3wV</t>
  </si>
  <si>
    <t>https://drive.google.com/file/d/1nLPi4DQZAHD6gPlS-JsYBBS7Wjv8d3wV/view?usp=drivesdk</t>
  </si>
  <si>
    <t>0106941532 / 252610406</t>
  </si>
  <si>
    <t>Nava Marietta Siahaan - P</t>
  </si>
  <si>
    <t>https://quickchart.io/qr?size=250&amp;text=https%3A%2F%2Fdocs.google.com%2Fforms%2Fd%2Fe%2F1FAIpQLSeZ-R1GrWlAPkfaThGqxeTj0QTtrARw4rroxIIepf2kipn1nw%2FformResponse%3Fusp%3Dpp_url%26entry.1313582257%3D0106941532%20%2F%20252610406%26entry.1578404635%3DHadir</t>
  </si>
  <si>
    <t>1b5dOtpMPa4mKW18gLD-_xtf3ovRrbLaY</t>
  </si>
  <si>
    <t>https://drive.google.com/file/d/1b5dOtpMPa4mKW18gLD-_xtf3ovRrbLaY/view?usp=drivesdk</t>
  </si>
  <si>
    <t>0109464483 / 252610443</t>
  </si>
  <si>
    <t>Queensha Anindya Azka - P</t>
  </si>
  <si>
    <t>https://quickchart.io/qr?size=250&amp;text=https%3A%2F%2Fdocs.google.com%2Fforms%2Fd%2Fe%2F1FAIpQLSeZ-R1GrWlAPkfaThGqxeTj0QTtrARw4rroxIIepf2kipn1nw%2FformResponse%3Fusp%3Dpp_url%26entry.1313582257%3D0109464483%20%2F%20252610443%26entry.1578404635%3DHadir</t>
  </si>
  <si>
    <t>1fWX-wb8viQEQPtLzvbeCNkfp_5tjlFDh</t>
  </si>
  <si>
    <t>https://drive.google.com/file/d/1fWX-wb8viQEQPtLzvbeCNkfp_5tjlFDh/view?usp=drivesdk</t>
  </si>
  <si>
    <t>3103591489 / 252610459</t>
  </si>
  <si>
    <t>Rafael Anhar Armando - L</t>
  </si>
  <si>
    <t>https://quickchart.io/qr?size=250&amp;text=https%3A%2F%2Fdocs.google.com%2Fforms%2Fd%2Fe%2F1FAIpQLSeZ-R1GrWlAPkfaThGqxeTj0QTtrARw4rroxIIepf2kipn1nw%2FformResponse%3Fusp%3Dpp_url%26entry.1313582257%3D3103591489%20%2F%20252610459%26entry.1578404635%3DHadir</t>
  </si>
  <si>
    <t>1T1qm4lOEDigb218We-HfsTXITFwbi-ja</t>
  </si>
  <si>
    <t>https://drive.google.com/file/d/1T1qm4lOEDigb218We-HfsTXITFwbi-ja/view?usp=drivesdk</t>
  </si>
  <si>
    <t>Document successfully created; Document successfully merged; PDF created; Manually run by skycircle.id@gmail.com; Timestamp: Nov 7 2025 4:17 AM</t>
  </si>
  <si>
    <t>0097831413 / 252610462</t>
  </si>
  <si>
    <t>Rahmania Azahra - P</t>
  </si>
  <si>
    <t>https://quickchart.io/qr?size=250&amp;text=https%3A%2F%2Fdocs.google.com%2Fforms%2Fd%2Fe%2F1FAIpQLSeZ-R1GrWlAPkfaThGqxeTj0QTtrARw4rroxIIepf2kipn1nw%2FformResponse%3Fusp%3Dpp_url%26entry.1313582257%3D0097831413%20%2F%20252610462%26entry.1578404635%3DHadir</t>
  </si>
  <si>
    <t>1j27Em_H3BbHK3WJn3-y0s48m8jNBUOGf</t>
  </si>
  <si>
    <t>https://drive.google.com/file/d/1j27Em_H3BbHK3WJn3-y0s48m8jNBUOGf/view?usp=drivesdk</t>
  </si>
  <si>
    <t>Raivan Elang Pramono - L</t>
  </si>
  <si>
    <t>https://quickchart.io/qr?size=250&amp;text=https%3A%2F%2Fdocs.google.com%2Fforms%2Fd%2Fe%2F1FAIpQLSeZ-R1GrWlAPkfaThGqxeTj0QTtrARw4rroxIIepf2kipn1nw%2FformResponse%3Fusp%3Dpp_url%26entry.1313582257%3D0094313180%20%2F%20252610469%26entry.1578404635%3DHadir</t>
  </si>
  <si>
    <t>1XIIUpfeoDUFs9u7QKIzPlT7H1Wotg0Dh</t>
  </si>
  <si>
    <t>https://drive.google.com/file/d/1XIIUpfeoDUFs9u7QKIzPlT7H1Wotg0Dh/view?usp=drivesdk</t>
  </si>
  <si>
    <t>0093204066 / 252610493</t>
  </si>
  <si>
    <t>Rizqiyanah Qaysarania Herawan - P</t>
  </si>
  <si>
    <t>https://quickchart.io/qr?size=250&amp;text=https%3A%2F%2Fdocs.google.com%2Fforms%2Fd%2Fe%2F1FAIpQLSeZ-R1GrWlAPkfaThGqxeTj0QTtrARw4rroxIIepf2kipn1nw%2FformResponse%3Fusp%3Dpp_url%26entry.1313582257%3D0093204066%20%2F%20252610493%26entry.1578404635%3DHadir</t>
  </si>
  <si>
    <t>1GXD8x7YmmxKRbzK2CyPa8nq6RjHaEY1Y</t>
  </si>
  <si>
    <t>https://drive.google.com/file/d/1GXD8x7YmmxKRbzK2CyPa8nq6RjHaEY1Y/view?usp=drivesdk</t>
  </si>
  <si>
    <t>0108540094 / 252610509</t>
  </si>
  <si>
    <t>Salsha Aulia Akbar - P</t>
  </si>
  <si>
    <t>https://quickchart.io/qr?size=250&amp;text=https%3A%2F%2Fdocs.google.com%2Fforms%2Fd%2Fe%2F1FAIpQLSeZ-R1GrWlAPkfaThGqxeTj0QTtrARw4rroxIIepf2kipn1nw%2FformResponse%3Fusp%3Dpp_url%26entry.1313582257%3D0108540094%20%2F%20252610509%26entry.1578404635%3DHadir</t>
  </si>
  <si>
    <t>1645RAD9QtpT62AZ_oEWwOgAZ9n4cqyU5</t>
  </si>
  <si>
    <t>https://drive.google.com/file/d/1645RAD9QtpT62AZ_oEWwOgAZ9n4cqyU5/view?usp=drivesdk</t>
  </si>
  <si>
    <t>0108413702 / 252610510</t>
  </si>
  <si>
    <t>Sashikirana Luvena Maheswari - P</t>
  </si>
  <si>
    <t>https://quickchart.io/qr?size=250&amp;text=https%3A%2F%2Fdocs.google.com%2Fforms%2Fd%2Fe%2F1FAIpQLSeZ-R1GrWlAPkfaThGqxeTj0QTtrARw4rroxIIepf2kipn1nw%2FformResponse%3Fusp%3Dpp_url%26entry.1313582257%3D0108413702%20%2F%20252610510%26entry.1578404635%3DHadir</t>
  </si>
  <si>
    <t>1Ez676MMkLBryeXDLzg_l1uTUnbF6aBNt</t>
  </si>
  <si>
    <t>https://drive.google.com/file/d/1Ez676MMkLBryeXDLzg_l1uTUnbF6aBNt/view?usp=drivesdk</t>
  </si>
  <si>
    <t>Silvya Sri Aprilianti - P</t>
  </si>
  <si>
    <t>https://quickchart.io/qr?size=250&amp;text=https%3A%2F%2Fdocs.google.com%2Fforms%2Fd%2Fe%2F1FAIpQLSeZ-R1GrWlAPkfaThGqxeTj0QTtrARw4rroxIIepf2kipn1nw%2FformResponse%3Fusp%3Dpp_url%26entry.1313582257%3D0108718382%20%2F%20252610521%26entry.1578404635%3DHadir</t>
  </si>
  <si>
    <t>12Q-Q8U1DAItwpTMHpE5HoLOXmgXGkYxj</t>
  </si>
  <si>
    <t>https://drive.google.com/file/d/12Q-Q8U1DAItwpTMHpE5HoLOXmgXGkYxj/view?usp=drivesdk</t>
  </si>
  <si>
    <t>Document successfully created; Document successfully merged; PDF created; Manually run by skycircle.id@gmail.com; Timestamp: Nov 7 2025 4:18 AM</t>
  </si>
  <si>
    <t>0099775444 / 252610526</t>
  </si>
  <si>
    <t>Syaakhira Fauziah - P</t>
  </si>
  <si>
    <t>https://quickchart.io/qr?size=250&amp;text=https%3A%2F%2Fdocs.google.com%2Fforms%2Fd%2Fe%2F1FAIpQLSeZ-R1GrWlAPkfaThGqxeTj0QTtrARw4rroxIIepf2kipn1nw%2FformResponse%3Fusp%3Dpp_url%26entry.1313582257%3D0099775444%20%2F%20252610526%26entry.1578404635%3DHadir</t>
  </si>
  <si>
    <t>1WaKgiesXz4DUPDO-XDgIDCfws6EgivMg</t>
  </si>
  <si>
    <t>https://drive.google.com/file/d/1WaKgiesXz4DUPDO-XDgIDCfws6EgivMg/view?usp=drivesdk</t>
  </si>
  <si>
    <t>0093324313 / 252610552</t>
  </si>
  <si>
    <t>Vincentius Daniel Ornando - L</t>
  </si>
  <si>
    <t>https://quickchart.io/qr?size=250&amp;text=https%3A%2F%2Fdocs.google.com%2Fforms%2Fd%2Fe%2F1FAIpQLSeZ-R1GrWlAPkfaThGqxeTj0QTtrARw4rroxIIepf2kipn1nw%2FformResponse%3Fusp%3Dpp_url%26entry.1313582257%3D0093324313%20%2F%20252610552%26entry.1578404635%3DHadir</t>
  </si>
  <si>
    <t>1ic91xT4-eeK0c614R5c2CLY6l4VzZU73</t>
  </si>
  <si>
    <t>https://drive.google.com/file/d/1ic91xT4-eeK0c614R5c2CLY6l4VzZU73/view?usp=drivesdk</t>
  </si>
  <si>
    <t>0109542213 / 252610010</t>
  </si>
  <si>
    <t>Adinda Garnetha Prasistha - P</t>
  </si>
  <si>
    <t>X11</t>
  </si>
  <si>
    <t>https://quickchart.io/qr?size=250&amp;text=https%3A%2F%2Fdocs.google.com%2Fforms%2Fd%2Fe%2F1FAIpQLSeZ-R1GrWlAPkfaThGqxeTj0QTtrARw4rroxIIepf2kipn1nw%2FformResponse%3Fusp%3Dpp_url%26entry.1313582257%3D0109542213%20%2F%20252610010%26entry.1578404635%3DHadir</t>
  </si>
  <si>
    <t>1OUeBJDpzFxI6rify9hP9yeDLsd68BCU7</t>
  </si>
  <si>
    <t>https://drive.google.com/file/d/1OUeBJDpzFxI6rify9hP9yeDLsd68BCU7/view?usp=drivesdk</t>
  </si>
  <si>
    <t>0108324867 / 252610031</t>
  </si>
  <si>
    <t>Ajeng Adisty Fahira - P</t>
  </si>
  <si>
    <t>https://quickchart.io/qr?size=250&amp;text=https%3A%2F%2Fdocs.google.com%2Fforms%2Fd%2Fe%2F1FAIpQLSeZ-R1GrWlAPkfaThGqxeTj0QTtrARw4rroxIIepf2kipn1nw%2FformResponse%3Fusp%3Dpp_url%26entry.1313582257%3D0108324867%20%2F%20252610031%26entry.1578404635%3DHadir</t>
  </si>
  <si>
    <t>1U3XZwsnFv8XoBmG6aRSABTm6U2JuiTmZ</t>
  </si>
  <si>
    <t>https://drive.google.com/file/d/1U3XZwsnFv8XoBmG6aRSABTm6U2JuiTmZ/view?usp=drivesdk</t>
  </si>
  <si>
    <t>0109013664 / 252610033</t>
  </si>
  <si>
    <t>Al Fathdry Rizky Wibowo - L</t>
  </si>
  <si>
    <t>https://quickchart.io/qr?size=250&amp;text=https%3A%2F%2Fdocs.google.com%2Fforms%2Fd%2Fe%2F1FAIpQLSeZ-R1GrWlAPkfaThGqxeTj0QTtrARw4rroxIIepf2kipn1nw%2FformResponse%3Fusp%3Dpp_url%26entry.1313582257%3D0109013664%20%2F%20252610033%26entry.1578404635%3DHadir</t>
  </si>
  <si>
    <t>1IThwa0r4XifyXLHFIn_hI3xL7sVUdUpl</t>
  </si>
  <si>
    <t>https://drive.google.com/file/d/1IThwa0r4XifyXLHFIn_hI3xL7sVUdUpl/view?usp=drivesdk</t>
  </si>
  <si>
    <t>0108561560 / 252610047</t>
  </si>
  <si>
    <t>Almira Aprilia Putri - P</t>
  </si>
  <si>
    <t>https://quickchart.io/qr?size=250&amp;text=https%3A%2F%2Fdocs.google.com%2Fforms%2Fd%2Fe%2F1FAIpQLSeZ-R1GrWlAPkfaThGqxeTj0QTtrARw4rroxIIepf2kipn1nw%2FformResponse%3Fusp%3Dpp_url%26entry.1313582257%3D0108561560%20%2F%20252610047%26entry.1578404635%3DHadir</t>
  </si>
  <si>
    <t>1CJlxMG35FF0C3a3GgKL31GQFYiu5Ijps</t>
  </si>
  <si>
    <t>https://drive.google.com/file/d/1CJlxMG35FF0C3a3GgKL31GQFYiu5Ijps/view?usp=drivesdk</t>
  </si>
  <si>
    <t>Document successfully created; Document successfully merged; PDF created; Manually run by skycircle.id@gmail.com; Timestamp: Nov 7 2025 4:19 AM</t>
  </si>
  <si>
    <t>0096963702 / 252610066</t>
  </si>
  <si>
    <t>Anndita - P</t>
  </si>
  <si>
    <t>https://quickchart.io/qr?size=250&amp;text=https%3A%2F%2Fdocs.google.com%2Fforms%2Fd%2Fe%2F1FAIpQLSeZ-R1GrWlAPkfaThGqxeTj0QTtrARw4rroxIIepf2kipn1nw%2FformResponse%3Fusp%3Dpp_url%26entry.1313582257%3D0096963702%20%2F%20252610066%26entry.1578404635%3DHadir</t>
  </si>
  <si>
    <t>11-Ws1wn0wYxOLYXUnWZT6KXRliIwXaRF</t>
  </si>
  <si>
    <t>https://drive.google.com/file/d/11-Ws1wn0wYxOLYXUnWZT6KXRliIwXaRF/view?usp=drivesdk</t>
  </si>
  <si>
    <t>0091952413 / 252610085</t>
  </si>
  <si>
    <t>Askana Nailazahran Hermansyah - P</t>
  </si>
  <si>
    <t>https://quickchart.io/qr?size=250&amp;text=https%3A%2F%2Fdocs.google.com%2Fforms%2Fd%2Fe%2F1FAIpQLSeZ-R1GrWlAPkfaThGqxeTj0QTtrARw4rroxIIepf2kipn1nw%2FformResponse%3Fusp%3Dpp_url%26entry.1313582257%3D0091952413%20%2F%20252610085%26entry.1578404635%3DHadir</t>
  </si>
  <si>
    <t>1pRYUnewjumQBGFz6EbXneSMaFJw8G2-m</t>
  </si>
  <si>
    <t>https://drive.google.com/file/d/1pRYUnewjumQBGFz6EbXneSMaFJw8G2-m/view?usp=drivesdk</t>
  </si>
  <si>
    <t>Aulia Intan Rhamadhani - P</t>
  </si>
  <si>
    <t>https://quickchart.io/qr?size=250&amp;text=https%3A%2F%2Fdocs.google.com%2Fforms%2Fd%2Fe%2F1FAIpQLSeZ-R1GrWlAPkfaThGqxeTj0QTtrARw4rroxIIepf2kipn1nw%2FformResponse%3Fusp%3Dpp_url%26entry.1313582257%3D0099678017%20%2F%20252610098%26entry.1578404635%3DHadir</t>
  </si>
  <si>
    <t>1hSGaUO0qdoBUdidTGNBR4seD7NXCPlaF</t>
  </si>
  <si>
    <t>https://drive.google.com/file/d/1hSGaUO0qdoBUdidTGNBR4seD7NXCPlaF/view?usp=drivesdk</t>
  </si>
  <si>
    <t>0104439014 / 252610105</t>
  </si>
  <si>
    <t>Avrillino Herza Pratama - L</t>
  </si>
  <si>
    <t>https://quickchart.io/qr?size=250&amp;text=https%3A%2F%2Fdocs.google.com%2Fforms%2Fd%2Fe%2F1FAIpQLSeZ-R1GrWlAPkfaThGqxeTj0QTtrARw4rroxIIepf2kipn1nw%2FformResponse%3Fusp%3Dpp_url%26entry.1313582257%3D0104439014%20%2F%20252610105%26entry.1578404635%3DHadir</t>
  </si>
  <si>
    <t>1O4sAtwJvNBW7VIMvy5JYoh0WC-Uj2KjY</t>
  </si>
  <si>
    <t>https://drive.google.com/file/d/1O4sAtwJvNBW7VIMvy5JYoh0WC-Uj2KjY/view?usp=drivesdk</t>
  </si>
  <si>
    <t>0097138954 / 252610110</t>
  </si>
  <si>
    <t>Aziz Sakhi Zaidan - L</t>
  </si>
  <si>
    <t>https://quickchart.io/qr?size=250&amp;text=https%3A%2F%2Fdocs.google.com%2Fforms%2Fd%2Fe%2F1FAIpQLSeZ-R1GrWlAPkfaThGqxeTj0QTtrARw4rroxIIepf2kipn1nw%2FformResponse%3Fusp%3Dpp_url%26entry.1313582257%3D0097138954%20%2F%20252610110%26entry.1578404635%3DHadir</t>
  </si>
  <si>
    <t>1HijtrivCs_GPwiwoItIiGwOBkLLNsMtD</t>
  </si>
  <si>
    <t>https://drive.google.com/file/d/1HijtrivCs_GPwiwoItIiGwOBkLLNsMtD/view?usp=drivesdk</t>
  </si>
  <si>
    <t>Document successfully created; Document successfully merged; PDF created; Manually run by skycircle.id@gmail.com; Timestamp: Nov 7 2025 4:20 AM</t>
  </si>
  <si>
    <t>0101964014 / 252610111</t>
  </si>
  <si>
    <t>Azka Ivano Ananda Hidayat - L</t>
  </si>
  <si>
    <t>https://quickchart.io/qr?size=250&amp;text=https%3A%2F%2Fdocs.google.com%2Fforms%2Fd%2Fe%2F1FAIpQLSeZ-R1GrWlAPkfaThGqxeTj0QTtrARw4rroxIIepf2kipn1nw%2FformResponse%3Fusp%3Dpp_url%26entry.1313582257%3D0101964014%20%2F%20252610111%26entry.1578404635%3DHadir</t>
  </si>
  <si>
    <t>1PnyAbWszJZrCCbCFueZ5OMAgP_oTUNs_</t>
  </si>
  <si>
    <t>https://drive.google.com/file/d/1PnyAbWszJZrCCbCFueZ5OMAgP_oTUNs_/view?usp=drivesdk</t>
  </si>
  <si>
    <t>3105650741 / 252610112</t>
  </si>
  <si>
    <t>Azkiara Andhita - P</t>
  </si>
  <si>
    <t>https://quickchart.io/qr?size=250&amp;text=https%3A%2F%2Fdocs.google.com%2Fforms%2Fd%2Fe%2F1FAIpQLSeZ-R1GrWlAPkfaThGqxeTj0QTtrARw4rroxIIepf2kipn1nw%2FformResponse%3Fusp%3Dpp_url%26entry.1313582257%3D3105650741%20%2F%20252610112%26entry.1578404635%3DHadir</t>
  </si>
  <si>
    <t>1hqU42rTaEbJR9fG_34kBd4OUfQKRuCii</t>
  </si>
  <si>
    <t>https://drive.google.com/file/d/1hqU42rTaEbJR9fG_34kBd4OUfQKRuCii/view?usp=drivesdk</t>
  </si>
  <si>
    <t>0091891047 / 252610114</t>
  </si>
  <si>
    <t>Azzalea Sakinah Ayura Putri - P</t>
  </si>
  <si>
    <t>https://quickchart.io/qr?size=250&amp;text=https%3A%2F%2Fdocs.google.com%2Fforms%2Fd%2Fe%2F1FAIpQLSeZ-R1GrWlAPkfaThGqxeTj0QTtrARw4rroxIIepf2kipn1nw%2FformResponse%3Fusp%3Dpp_url%26entry.1313582257%3D0091891047%20%2F%20252610114%26entry.1578404635%3DHadir</t>
  </si>
  <si>
    <t>1oalAcL0xivMtndn37OqOOpKs4YyseuBp</t>
  </si>
  <si>
    <t>https://drive.google.com/file/d/1oalAcL0xivMtndn37OqOOpKs4YyseuBp/view?usp=drivesdk</t>
  </si>
  <si>
    <t>0103193565 / 252610116</t>
  </si>
  <si>
    <t>Balqis Jauza Sabreenijka - P</t>
  </si>
  <si>
    <t>https://quickchart.io/qr?size=250&amp;text=https%3A%2F%2Fdocs.google.com%2Fforms%2Fd%2Fe%2F1FAIpQLSeZ-R1GrWlAPkfaThGqxeTj0QTtrARw4rroxIIepf2kipn1nw%2FformResponse%3Fusp%3Dpp_url%26entry.1313582257%3D0103193565%20%2F%20252610116%26entry.1578404635%3DHadir</t>
  </si>
  <si>
    <t>1rUgfxLQ1-dHkcarKi3bEd2n-mW2mj8r3</t>
  </si>
  <si>
    <t>https://drive.google.com/file/d/1rUgfxLQ1-dHkcarKi3bEd2n-mW2mj8r3/view?usp=drivesdk</t>
  </si>
  <si>
    <t>0096506746 / 252610131</t>
  </si>
  <si>
    <t>Carissa Alia Andinaputri - P</t>
  </si>
  <si>
    <t>https://quickchart.io/qr?size=250&amp;text=https%3A%2F%2Fdocs.google.com%2Fforms%2Fd%2Fe%2F1FAIpQLSeZ-R1GrWlAPkfaThGqxeTj0QTtrARw4rroxIIepf2kipn1nw%2FformResponse%3Fusp%3Dpp_url%26entry.1313582257%3D0096506746%20%2F%20252610131%26entry.1578404635%3DHadir</t>
  </si>
  <si>
    <t>108LKwLn2T4NidthuZlbLlN8JWR0NnxiT</t>
  </si>
  <si>
    <t>https://drive.google.com/file/d/108LKwLn2T4NidthuZlbLlN8JWR0NnxiT/view?usp=drivesdk</t>
  </si>
  <si>
    <t>Document successfully created; Document successfully merged; PDF created; Manually run by skycircle.id@gmail.com; Timestamp: Nov 7 2025 4:21 AM</t>
  </si>
  <si>
    <t>0109934428 / 252610137</t>
  </si>
  <si>
    <t>Chntya Serlin Armedta Hia - P</t>
  </si>
  <si>
    <t>https://quickchart.io/qr?size=250&amp;text=https%3A%2F%2Fdocs.google.com%2Fforms%2Fd%2Fe%2F1FAIpQLSeZ-R1GrWlAPkfaThGqxeTj0QTtrARw4rroxIIepf2kipn1nw%2FformResponse%3Fusp%3Dpp_url%26entry.1313582257%3D0109934428%20%2F%20252610137%26entry.1578404635%3DHadir</t>
  </si>
  <si>
    <t>18ml4jdpb0Fd6HPGfrZNtAsaJF9iXPSmx</t>
  </si>
  <si>
    <t>https://drive.google.com/file/d/18ml4jdpb0Fd6HPGfrZNtAsaJF9iXPSmx/view?usp=drivesdk</t>
  </si>
  <si>
    <t>0095529275 / 252610184</t>
  </si>
  <si>
    <t>Evan Diaz - L</t>
  </si>
  <si>
    <t>https://quickchart.io/qr?size=250&amp;text=https%3A%2F%2Fdocs.google.com%2Fforms%2Fd%2Fe%2F1FAIpQLSeZ-R1GrWlAPkfaThGqxeTj0QTtrARw4rroxIIepf2kipn1nw%2FformResponse%3Fusp%3Dpp_url%26entry.1313582257%3D0095529275%20%2F%20252610184%26entry.1578404635%3DHadir</t>
  </si>
  <si>
    <t>17u_QzWJwD_3RV_734lve4vNJmwNfMoR-</t>
  </si>
  <si>
    <t>https://drive.google.com/file/d/17u_QzWJwD_3RV_734lve4vNJmwNfMoR-/view?usp=drivesdk</t>
  </si>
  <si>
    <t>0108527903 / 252610196</t>
  </si>
  <si>
    <t>Fannan Hoseki Fayyaz - P</t>
  </si>
  <si>
    <t>https://quickchart.io/qr?size=250&amp;text=https%3A%2F%2Fdocs.google.com%2Fforms%2Fd%2Fe%2F1FAIpQLSeZ-R1GrWlAPkfaThGqxeTj0QTtrARw4rroxIIepf2kipn1nw%2FformResponse%3Fusp%3Dpp_url%26entry.1313582257%3D0108527903%20%2F%20252610196%26entry.1578404635%3DHadir</t>
  </si>
  <si>
    <t>1d3qIKa8zIJw4g_ZuyoqGoCUl8M_voMRg</t>
  </si>
  <si>
    <t>https://drive.google.com/file/d/1d3qIKa8zIJw4g_ZuyoqGoCUl8M_voMRg/view?usp=drivesdk</t>
  </si>
  <si>
    <t>0108365392 / 252610217</t>
  </si>
  <si>
    <t>Galuh Pria Esa - P</t>
  </si>
  <si>
    <t>https://quickchart.io/qr?size=250&amp;text=https%3A%2F%2Fdocs.google.com%2Fforms%2Fd%2Fe%2F1FAIpQLSeZ-R1GrWlAPkfaThGqxeTj0QTtrARw4rroxIIepf2kipn1nw%2FformResponse%3Fusp%3Dpp_url%26entry.1313582257%3D0108365392%20%2F%20252610217%26entry.1578404635%3DHadir</t>
  </si>
  <si>
    <t>1wgPdQ4-einY4QlECgQ1SIB2fs-8Ns_Bl</t>
  </si>
  <si>
    <t>https://drive.google.com/file/d/1wgPdQ4-einY4QlECgQ1SIB2fs-8Ns_Bl/view?usp=drivesdk</t>
  </si>
  <si>
    <t>0107182013 / 252610228</t>
  </si>
  <si>
    <t>Henokh Prada Dhanendra Prasada - P</t>
  </si>
  <si>
    <t>https://quickchart.io/qr?size=250&amp;text=https%3A%2F%2Fdocs.google.com%2Fforms%2Fd%2Fe%2F1FAIpQLSeZ-R1GrWlAPkfaThGqxeTj0QTtrARw4rroxIIepf2kipn1nw%2FformResponse%3Fusp%3Dpp_url%26entry.1313582257%3D0107182013%20%2F%20252610228%26entry.1578404635%3DHadir</t>
  </si>
  <si>
    <t>1b9TsEH9WUevO5WD-a_58xw4BDClik4yf</t>
  </si>
  <si>
    <t>https://drive.google.com/file/d/1b9TsEH9WUevO5WD-a_58xw4BDClik4yf/view?usp=drivesdk</t>
  </si>
  <si>
    <t>0092709548 / 252610241</t>
  </si>
  <si>
    <t>Jazirah Rahmah - P</t>
  </si>
  <si>
    <t>https://quickchart.io/qr?size=250&amp;text=https%3A%2F%2Fdocs.google.com%2Fforms%2Fd%2Fe%2F1FAIpQLSeZ-R1GrWlAPkfaThGqxeTj0QTtrARw4rroxIIepf2kipn1nw%2FformResponse%3Fusp%3Dpp_url%26entry.1313582257%3D0092709548%20%2F%20252610241%26entry.1578404635%3DHadir</t>
  </si>
  <si>
    <t>1Dj8K18cEFOaA2IRWoXW1a5AiF5g8zttu</t>
  </si>
  <si>
    <t>https://drive.google.com/file/d/1Dj8K18cEFOaA2IRWoXW1a5AiF5g8zttu/view?usp=drivesdk</t>
  </si>
  <si>
    <t>Document successfully created; Document successfully merged; PDF created; Manually run by skycircle.id@gmail.com; Timestamp: Nov 7 2025 4:22 AM</t>
  </si>
  <si>
    <t>0118415302 / 252610253</t>
  </si>
  <si>
    <t>Kaira Fatiya Nurfan - P</t>
  </si>
  <si>
    <t>https://quickchart.io/qr?size=250&amp;text=https%3A%2F%2Fdocs.google.com%2Fforms%2Fd%2Fe%2F1FAIpQLSeZ-R1GrWlAPkfaThGqxeTj0QTtrARw4rroxIIepf2kipn1nw%2FformResponse%3Fusp%3Dpp_url%26entry.1313582257%3D0118415302%20%2F%20252610253%26entry.1578404635%3DHadir</t>
  </si>
  <si>
    <t>1aCpQswczSUS0jjeySfAfgt3eD0wSqfCw</t>
  </si>
  <si>
    <t>https://drive.google.com/file/d/1aCpQswczSUS0jjeySfAfgt3eD0wSqfCw/view?usp=drivesdk</t>
  </si>
  <si>
    <t>0097372379 / 252610289</t>
  </si>
  <si>
    <t>Linggara Anugrah - L</t>
  </si>
  <si>
    <t>https://quickchart.io/qr?size=250&amp;text=https%3A%2F%2Fdocs.google.com%2Fforms%2Fd%2Fe%2F1FAIpQLSeZ-R1GrWlAPkfaThGqxeTj0QTtrARw4rroxIIepf2kipn1nw%2FformResponse%3Fusp%3Dpp_url%26entry.1313582257%3D0097372379%20%2F%20252610289%26entry.1578404635%3DHadir</t>
  </si>
  <si>
    <t>1H3I4ZYgbiUnXut7GxgQsNfSd7Mc2FHSx</t>
  </si>
  <si>
    <t>https://drive.google.com/file/d/1H3I4ZYgbiUnXut7GxgQsNfSd7Mc2FHSx/view?usp=drivesdk</t>
  </si>
  <si>
    <t>0093335479 / 252610292</t>
  </si>
  <si>
    <t>Luna Majidah Zafira - P</t>
  </si>
  <si>
    <t>https://quickchart.io/qr?size=250&amp;text=https%3A%2F%2Fdocs.google.com%2Fforms%2Fd%2Fe%2F1FAIpQLSeZ-R1GrWlAPkfaThGqxeTj0QTtrARw4rroxIIepf2kipn1nw%2FformResponse%3Fusp%3Dpp_url%26entry.1313582257%3D0093335479%20%2F%20252610292%26entry.1578404635%3DHadir</t>
  </si>
  <si>
    <t>1OFhxW6z-fX29xC1P31d-mWzJyLvw6eIM</t>
  </si>
  <si>
    <t>https://drive.google.com/file/d/1OFhxW6z-fX29xC1P31d-mWzJyLvw6eIM/view?usp=drivesdk</t>
  </si>
  <si>
    <t>0106465537 / 252610295</t>
  </si>
  <si>
    <t>Lutfiana Silva - P</t>
  </si>
  <si>
    <t>https://quickchart.io/qr?size=250&amp;text=https%3A%2F%2Fdocs.google.com%2Fforms%2Fd%2Fe%2F1FAIpQLSeZ-R1GrWlAPkfaThGqxeTj0QTtrARw4rroxIIepf2kipn1nw%2FformResponse%3Fusp%3Dpp_url%26entry.1313582257%3D0106465537%20%2F%20252610295%26entry.1578404635%3DHadir</t>
  </si>
  <si>
    <t>1nwHUEVCi1u5VyupTN7Tl8FF1V1aPUZY_</t>
  </si>
  <si>
    <t>https://drive.google.com/file/d/1nwHUEVCi1u5VyupTN7Tl8FF1V1aPUZY_/view?usp=drivesdk</t>
  </si>
  <si>
    <t>0103732986 / 252610310</t>
  </si>
  <si>
    <t>Mazaya Marva Mardyanti - L</t>
  </si>
  <si>
    <t>https://quickchart.io/qr?size=250&amp;text=https%3A%2F%2Fdocs.google.com%2Fforms%2Fd%2Fe%2F1FAIpQLSeZ-R1GrWlAPkfaThGqxeTj0QTtrARw4rroxIIepf2kipn1nw%2FformResponse%3Fusp%3Dpp_url%26entry.1313582257%3D0103732986%20%2F%20252610310%26entry.1578404635%3DHadir</t>
  </si>
  <si>
    <t>1ifDQIQwGGfJ7PMSvoPbIb-_Ef6o4qSSA</t>
  </si>
  <si>
    <t>https://drive.google.com/file/d/1ifDQIQwGGfJ7PMSvoPbIb-_Ef6o4qSSA/view?usp=drivesdk</t>
  </si>
  <si>
    <t>0105348604 / 252610315</t>
  </si>
  <si>
    <t>Misykah Adzra Maulida - L</t>
  </si>
  <si>
    <t>https://quickchart.io/qr?size=250&amp;text=https%3A%2F%2Fdocs.google.com%2Fforms%2Fd%2Fe%2F1FAIpQLSeZ-R1GrWlAPkfaThGqxeTj0QTtrARw4rroxIIepf2kipn1nw%2FformResponse%3Fusp%3Dpp_url%26entry.1313582257%3D0105348604%20%2F%20252610315%26entry.1578404635%3DHadir</t>
  </si>
  <si>
    <t>1OJxylzVoiO8GMtO4qWQTSZ47DDIr0ubr</t>
  </si>
  <si>
    <t>https://drive.google.com/file/d/1OJxylzVoiO8GMtO4qWQTSZ47DDIr0ubr/view?usp=drivesdk</t>
  </si>
  <si>
    <t>0108812130 / 252610328</t>
  </si>
  <si>
    <t>Muhamad Reyhan Nurhakim - L</t>
  </si>
  <si>
    <t>https://quickchart.io/qr?size=250&amp;text=https%3A%2F%2Fdocs.google.com%2Fforms%2Fd%2Fe%2F1FAIpQLSeZ-R1GrWlAPkfaThGqxeTj0QTtrARw4rroxIIepf2kipn1nw%2FformResponse%3Fusp%3Dpp_url%26entry.1313582257%3D0108812130%20%2F%20252610328%26entry.1578404635%3DHadir</t>
  </si>
  <si>
    <t>1O0AoSQUMSA48Pzz9UGExQT05rwUhBqB7</t>
  </si>
  <si>
    <t>https://drive.google.com/file/d/1O0AoSQUMSA48Pzz9UGExQT05rwUhBqB7/view?usp=drivesdk</t>
  </si>
  <si>
    <t>Document successfully created; Document successfully merged; PDF created; Manually run by skycircle.id@gmail.com; Timestamp: Nov 7 2025 4:23 AM</t>
  </si>
  <si>
    <t>0094912922 / 252610346</t>
  </si>
  <si>
    <t>Muhammad Evan Fadillah - L</t>
  </si>
  <si>
    <t>https://quickchart.io/qr?size=250&amp;text=https%3A%2F%2Fdocs.google.com%2Fforms%2Fd%2Fe%2F1FAIpQLSeZ-R1GrWlAPkfaThGqxeTj0QTtrARw4rroxIIepf2kipn1nw%2FformResponse%3Fusp%3Dpp_url%26entry.1313582257%3D0094912922%20%2F%20252610346%26entry.1578404635%3DHadir</t>
  </si>
  <si>
    <t>1-9ORi1y6zrhbBJ3or1QBgVYxYqgID6fM</t>
  </si>
  <si>
    <t>https://drive.google.com/file/d/1-9ORi1y6zrhbBJ3or1QBgVYxYqgID6fM/view?usp=drivesdk</t>
  </si>
  <si>
    <t>0101578446 / 252610348</t>
  </si>
  <si>
    <t>Muhammad Fahry Tyandra - L</t>
  </si>
  <si>
    <t>https://quickchart.io/qr?size=250&amp;text=https%3A%2F%2Fdocs.google.com%2Fforms%2Fd%2Fe%2F1FAIpQLSeZ-R1GrWlAPkfaThGqxeTj0QTtrARw4rroxIIepf2kipn1nw%2FformResponse%3Fusp%3Dpp_url%26entry.1313582257%3D0101578446%20%2F%20252610348%26entry.1578404635%3DHadir</t>
  </si>
  <si>
    <t>1Q8ekKO4ZKgfKkZQXQnH7ozgo-l6_GTeN</t>
  </si>
  <si>
    <t>https://drive.google.com/file/d/1Q8ekKO4ZKgfKkZQXQnH7ozgo-l6_GTeN/view?usp=drivesdk</t>
  </si>
  <si>
    <t>0092179308 / 252610356</t>
  </si>
  <si>
    <t>Muhammad Ieddzar Haradiya - L</t>
  </si>
  <si>
    <t>https://quickchart.io/qr?size=250&amp;text=https%3A%2F%2Fdocs.google.com%2Fforms%2Fd%2Fe%2F1FAIpQLSeZ-R1GrWlAPkfaThGqxeTj0QTtrARw4rroxIIepf2kipn1nw%2FformResponse%3Fusp%3Dpp_url%26entry.1313582257%3D0092179308%20%2F%20252610356%26entry.1578404635%3DHadir</t>
  </si>
  <si>
    <t>1x4YI8dcLsx4N_KWW9UdWK6-6kz4p4WcN</t>
  </si>
  <si>
    <t>https://drive.google.com/file/d/1x4YI8dcLsx4N_KWW9UdWK6-6kz4p4WcN/view?usp=drivesdk</t>
  </si>
  <si>
    <t>0098186648 / 252610367</t>
  </si>
  <si>
    <t>Muhammad Revan Adi Saputra - L</t>
  </si>
  <si>
    <t>https://quickchart.io/qr?size=250&amp;text=https%3A%2F%2Fdocs.google.com%2Fforms%2Fd%2Fe%2F1FAIpQLSeZ-R1GrWlAPkfaThGqxeTj0QTtrARw4rroxIIepf2kipn1nw%2FformResponse%3Fusp%3Dpp_url%26entry.1313582257%3D0098186648%20%2F%20252610367%26entry.1578404635%3DHadir</t>
  </si>
  <si>
    <t>1mK7GI2hzFuUEjxepoBPwX0uWlSfPyS3G</t>
  </si>
  <si>
    <t>https://drive.google.com/file/d/1mK7GI2hzFuUEjxepoBPwX0uWlSfPyS3G/view?usp=drivesdk</t>
  </si>
  <si>
    <t>0092349928 / 252610380</t>
  </si>
  <si>
    <t>Muhammad Zaky Winata - L</t>
  </si>
  <si>
    <t>https://quickchart.io/qr?size=250&amp;text=https%3A%2F%2Fdocs.google.com%2Fforms%2Fd%2Fe%2F1FAIpQLSeZ-R1GrWlAPkfaThGqxeTj0QTtrARw4rroxIIepf2kipn1nw%2FformResponse%3Fusp%3Dpp_url%26entry.1313582257%3D0092349928%20%2F%20252610380%26entry.1578404635%3DHadir</t>
  </si>
  <si>
    <t>1urXWGNyNUIav87DF7xoa8hGWYrcYgyu6</t>
  </si>
  <si>
    <t>https://drive.google.com/file/d/1urXWGNyNUIav87DF7xoa8hGWYrcYgyu6/view?usp=drivesdk</t>
  </si>
  <si>
    <t>Document successfully created; Document successfully merged; PDF created; Manually run by skycircle.id@gmail.com; Timestamp: Nov 7 2025 4:24 AM</t>
  </si>
  <si>
    <t>0096753454 / 252610385</t>
  </si>
  <si>
    <t>Nadhifa Amelia Garjita - P</t>
  </si>
  <si>
    <t>https://quickchart.io/qr?size=250&amp;text=https%3A%2F%2Fdocs.google.com%2Fforms%2Fd%2Fe%2F1FAIpQLSeZ-R1GrWlAPkfaThGqxeTj0QTtrARw4rroxIIepf2kipn1nw%2FformResponse%3Fusp%3Dpp_url%26entry.1313582257%3D0096753454%20%2F%20252610385%26entry.1578404635%3DHadir</t>
  </si>
  <si>
    <t>1bPfjdLZMEVNocYnuvTVImQ9i6fpNPVr-</t>
  </si>
  <si>
    <t>https://drive.google.com/file/d/1bPfjdLZMEVNocYnuvTVImQ9i6fpNPVr-/view?usp=drivesdk</t>
  </si>
  <si>
    <t>0102000943 / 252610388</t>
  </si>
  <si>
    <t>Nadia Delisa Saefani - P</t>
  </si>
  <si>
    <t>https://quickchart.io/qr?size=250&amp;text=https%3A%2F%2Fdocs.google.com%2Fforms%2Fd%2Fe%2F1FAIpQLSeZ-R1GrWlAPkfaThGqxeTj0QTtrARw4rroxIIepf2kipn1nw%2FformResponse%3Fusp%3Dpp_url%26entry.1313582257%3D0102000943%20%2F%20252610388%26entry.1578404635%3DHadir</t>
  </si>
  <si>
    <t>1gl05f2TQ9bgEEzZBmRGq0cY5pCpAwTGe</t>
  </si>
  <si>
    <t>https://drive.google.com/file/d/1gl05f2TQ9bgEEzZBmRGq0cY5pCpAwTGe/view?usp=drivesdk</t>
  </si>
  <si>
    <t>0105612000 / 252610417</t>
  </si>
  <si>
    <t>Neysha Aurelya Azzahra - P</t>
  </si>
  <si>
    <t>https://quickchart.io/qr?size=250&amp;text=https%3A%2F%2Fdocs.google.com%2Fforms%2Fd%2Fe%2F1FAIpQLSeZ-R1GrWlAPkfaThGqxeTj0QTtrARw4rroxIIepf2kipn1nw%2FformResponse%3Fusp%3Dpp_url%26entry.1313582257%3D0105612000%20%2F%20252610417%26entry.1578404635%3DHadir</t>
  </si>
  <si>
    <t>1MAKq6SCCKJG3KILEOTQDESo_Sr0lbKE2</t>
  </si>
  <si>
    <t>https://drive.google.com/file/d/1MAKq6SCCKJG3KILEOTQDESo_Sr0lbKE2/view?usp=drivesdk</t>
  </si>
  <si>
    <t>0109258787 / 252610458</t>
  </si>
  <si>
    <t>Rafa Farand Pratama - L</t>
  </si>
  <si>
    <t>https://quickchart.io/qr?size=250&amp;text=https%3A%2F%2Fdocs.google.com%2Fforms%2Fd%2Fe%2F1FAIpQLSeZ-R1GrWlAPkfaThGqxeTj0QTtrARw4rroxIIepf2kipn1nw%2FformResponse%3Fusp%3Dpp_url%26entry.1313582257%3D0109258787%20%2F%20252610458%26entry.1578404635%3DHadir</t>
  </si>
  <si>
    <t>1dOLlkQn3GiWSoWP1jDeK-CaUVHw-MErs</t>
  </si>
  <si>
    <t>https://drive.google.com/file/d/1dOLlkQn3GiWSoWP1jDeK-CaUVHw-MErs/view?usp=drivesdk</t>
  </si>
  <si>
    <t>Document successfully created; Document successfully merged; PDF created; Manually run by skycircle.id@gmail.com; Timestamp: Nov 7 2025 4:25 AM</t>
  </si>
  <si>
    <t>0093712588 / 252610482</t>
  </si>
  <si>
    <t>Rendy Gilang Novianto - L</t>
  </si>
  <si>
    <t>https://quickchart.io/qr?size=250&amp;text=https%3A%2F%2Fdocs.google.com%2Fforms%2Fd%2Fe%2F1FAIpQLSeZ-R1GrWlAPkfaThGqxeTj0QTtrARw4rroxIIepf2kipn1nw%2FformResponse%3Fusp%3Dpp_url%26entry.1313582257%3D0093712588%20%2F%20252610482%26entry.1578404635%3DHadir</t>
  </si>
  <si>
    <t>1ZN9WcHZ-xpkLRRIxX-FQhewsJp_W_biX</t>
  </si>
  <si>
    <t>https://drive.google.com/file/d/1ZN9WcHZ-xpkLRRIxX-FQhewsJp_W_biX/view?usp=drivesdk</t>
  </si>
  <si>
    <t>0102414768 / 252610499</t>
  </si>
  <si>
    <t>Ruvita Rinjani - P</t>
  </si>
  <si>
    <t>https://quickchart.io/qr?size=250&amp;text=https%3A%2F%2Fdocs.google.com%2Fforms%2Fd%2Fe%2F1FAIpQLSeZ-R1GrWlAPkfaThGqxeTj0QTtrARw4rroxIIepf2kipn1nw%2FformResponse%3Fusp%3Dpp_url%26entry.1313582257%3D0102414768%20%2F%20252610499%26entry.1578404635%3DHadir</t>
  </si>
  <si>
    <t>1RUVzC4q-0IKurxyP0KDtMnvVgQEZx790</t>
  </si>
  <si>
    <t>https://drive.google.com/file/d/1RUVzC4q-0IKurxyP0KDtMnvVgQEZx790/view?usp=drivesdk</t>
  </si>
  <si>
    <t>0106760506 / 252610503</t>
  </si>
  <si>
    <t>Salmaa Saalimah Wibowo - P</t>
  </si>
  <si>
    <t>https://quickchart.io/qr?size=250&amp;text=https%3A%2F%2Fdocs.google.com%2Fforms%2Fd%2Fe%2F1FAIpQLSeZ-R1GrWlAPkfaThGqxeTj0QTtrARw4rroxIIepf2kipn1nw%2FformResponse%3Fusp%3Dpp_url%26entry.1313582257%3D0106760506%20%2F%20252610503%26entry.1578404635%3DHadir</t>
  </si>
  <si>
    <t>15COAz3RWKBPxvdatkj3s7-_qSbnIVTnM</t>
  </si>
  <si>
    <t>https://drive.google.com/file/d/15COAz3RWKBPxvdatkj3s7-_qSbnIVTnM/view?usp=drivesdk</t>
  </si>
  <si>
    <t>0095542022 / 252610506</t>
  </si>
  <si>
    <t>Salsabil Mulki - P</t>
  </si>
  <si>
    <t>https://quickchart.io/qr?size=250&amp;text=https%3A%2F%2Fdocs.google.com%2Fforms%2Fd%2Fe%2F1FAIpQLSeZ-R1GrWlAPkfaThGqxeTj0QTtrARw4rroxIIepf2kipn1nw%2FformResponse%3Fusp%3Dpp_url%26entry.1313582257%3D0095542022%20%2F%20252610506%26entry.1578404635%3DHadir</t>
  </si>
  <si>
    <t>1AFb8ppJyO5ykSGXyrxxGLGMCK0CtRwIP</t>
  </si>
  <si>
    <t>https://drive.google.com/file/d/1AFb8ppJyO5ykSGXyrxxGLGMCK0CtRwIP/view?usp=drivesdk</t>
  </si>
  <si>
    <t>0091610224 / 252610518</t>
  </si>
  <si>
    <t>Shaquille Putra Yudira - P</t>
  </si>
  <si>
    <t>https://quickchart.io/qr?size=250&amp;text=https%3A%2F%2Fdocs.google.com%2Fforms%2Fd%2Fe%2F1FAIpQLSeZ-R1GrWlAPkfaThGqxeTj0QTtrARw4rroxIIepf2kipn1nw%2FformResponse%3Fusp%3Dpp_url%26entry.1313582257%3D0091610224%20%2F%20252610518%26entry.1578404635%3DHadir</t>
  </si>
  <si>
    <t>1QqwCPiNF_wGqPxu2rHmxfhnWNMUAeG7s</t>
  </si>
  <si>
    <t>https://drive.google.com/file/d/1QqwCPiNF_wGqPxu2rHmxfhnWNMUAeG7s/view?usp=drivesdk</t>
  </si>
  <si>
    <t>Document successfully created; Document successfully merged; PDF created; Manually run by skycircle.id@gmail.com; Timestamp: Nov 7 2025 4:26 AM</t>
  </si>
  <si>
    <t>0105010681 / 252610524</t>
  </si>
  <si>
    <t>Siva Muliyanti - P</t>
  </si>
  <si>
    <t>https://quickchart.io/qr?size=250&amp;text=https%3A%2F%2Fdocs.google.com%2Fforms%2Fd%2Fe%2F1FAIpQLSeZ-R1GrWlAPkfaThGqxeTj0QTtrARw4rroxIIepf2kipn1nw%2FformResponse%3Fusp%3Dpp_url%26entry.1313582257%3D0105010681%20%2F%20252610524%26entry.1578404635%3DHadir</t>
  </si>
  <si>
    <t>1kAiUjKFKox5q_HZFu8j3TTAyCl-yHYsr</t>
  </si>
  <si>
    <t>https://drive.google.com/file/d/1kAiUjKFKox5q_HZFu8j3TTAyCl-yHYsr/view?usp=drivesdk</t>
  </si>
  <si>
    <t>0105717177 / 252610545</t>
  </si>
  <si>
    <t>Tiara Zenobia Nafisa - P</t>
  </si>
  <si>
    <t>https://quickchart.io/qr?size=250&amp;text=https%3A%2F%2Fdocs.google.com%2Fforms%2Fd%2Fe%2F1FAIpQLSeZ-R1GrWlAPkfaThGqxeTj0QTtrARw4rroxIIepf2kipn1nw%2FformResponse%3Fusp%3Dpp_url%26entry.1313582257%3D0105717177%20%2F%20252610545%26entry.1578404635%3DHadir</t>
  </si>
  <si>
    <t>1Ju6R3W8kWAuP8gLqqGoZxvN-0vKuu66w</t>
  </si>
  <si>
    <t>https://drive.google.com/file/d/1Ju6R3W8kWAuP8gLqqGoZxvN-0vKuu66w/view?usp=drivesdk</t>
  </si>
  <si>
    <t>0107258754 / 252610551</t>
  </si>
  <si>
    <t>Vilvizeeya Hazira Kurnia - P</t>
  </si>
  <si>
    <t>https://quickchart.io/qr?size=250&amp;text=https%3A%2F%2Fdocs.google.com%2Fforms%2Fd%2Fe%2F1FAIpQLSeZ-R1GrWlAPkfaThGqxeTj0QTtrARw4rroxIIepf2kipn1nw%2FformResponse%3Fusp%3Dpp_url%26entry.1313582257%3D0107258754%20%2F%20252610551%26entry.1578404635%3DHadir</t>
  </si>
  <si>
    <t>1di9iVDoHxXazxCfBSpqiS2pt2Jjpc7t9</t>
  </si>
  <si>
    <t>https://drive.google.com/file/d/1di9iVDoHxXazxCfBSpqiS2pt2Jjpc7t9/view?usp=drivesdk</t>
  </si>
  <si>
    <t>0106044416 / 252610553</t>
  </si>
  <si>
    <t>Weny Meylieneke Sianipar - P</t>
  </si>
  <si>
    <t>https://quickchart.io/qr?size=250&amp;text=https%3A%2F%2Fdocs.google.com%2Fforms%2Fd%2Fe%2F1FAIpQLSeZ-R1GrWlAPkfaThGqxeTj0QTtrARw4rroxIIepf2kipn1nw%2FformResponse%3Fusp%3Dpp_url%26entry.1313582257%3D0106044416%20%2F%20252610553%26entry.1578404635%3DHadir</t>
  </si>
  <si>
    <t>1bFLypIyvzJe1mFBVcUKR_hrMqvXOKAm9</t>
  </si>
  <si>
    <t>https://drive.google.com/file/d/1bFLypIyvzJe1mFBVcUKR_hrMqvXOKAm9/view?usp=drivesdk</t>
  </si>
  <si>
    <t>0108569165 / 252610557</t>
  </si>
  <si>
    <t>Yoanne Mulin Averina - P</t>
  </si>
  <si>
    <t>https://quickchart.io/qr?size=250&amp;text=https%3A%2F%2Fdocs.google.com%2Fforms%2Fd%2Fe%2F1FAIpQLSeZ-R1GrWlAPkfaThGqxeTj0QTtrARw4rroxIIepf2kipn1nw%2FformResponse%3Fusp%3Dpp_url%26entry.1313582257%3D0108569165%20%2F%20252610557%26entry.1578404635%3DHadir</t>
  </si>
  <si>
    <t>140tBODCKlDKrBICq72HM2SBbucYCfHjj</t>
  </si>
  <si>
    <t>https://drive.google.com/file/d/140tBODCKlDKrBICq72HM2SBbucYCfHjj/view?usp=drivesdk</t>
  </si>
  <si>
    <t>Document successfully created; Document successfully merged; PDF created; Manually run by skycircle.id@gmail.com; Timestamp: Nov 7 2025 4:27 AM</t>
  </si>
  <si>
    <t>0093632849 / 252610561</t>
  </si>
  <si>
    <t>Zaki Arya Wicaksono - L</t>
  </si>
  <si>
    <t>https://quickchart.io/qr?size=250&amp;text=https%3A%2F%2Fdocs.google.com%2Fforms%2Fd%2Fe%2F1FAIpQLSeZ-R1GrWlAPkfaThGqxeTj0QTtrARw4rroxIIepf2kipn1nw%2FformResponse%3Fusp%3Dpp_url%26entry.1313582257%3D0093632849%20%2F%20252610561%26entry.1578404635%3DHadir</t>
  </si>
  <si>
    <t>1L6cFcu8GJZOaL5WBX6jKmYU6vGpHowOz</t>
  </si>
  <si>
    <t>https://drive.google.com/file/d/1L6cFcu8GJZOaL5WBX6jKmYU6vGpHowOz/view?usp=drivesdk</t>
  </si>
  <si>
    <t>0105748224 / 252610565</t>
  </si>
  <si>
    <t>Zelda Hanifah Zaneta - P</t>
  </si>
  <si>
    <t>https://quickchart.io/qr?size=250&amp;text=https%3A%2F%2Fdocs.google.com%2Fforms%2Fd%2Fe%2F1FAIpQLSeZ-R1GrWlAPkfaThGqxeTj0QTtrARw4rroxIIepf2kipn1nw%2FformResponse%3Fusp%3Dpp_url%26entry.1313582257%3D0105748224%20%2F%20252610565%26entry.1578404635%3DHadir</t>
  </si>
  <si>
    <t>1CqAlnQ50yUN8zKreE0qoaFr2JI67Rfsy</t>
  </si>
  <si>
    <t>https://drive.google.com/file/d/1CqAlnQ50yUN8zKreE0qoaFr2JI67Rfsy/view?usp=drivesdk</t>
  </si>
  <si>
    <t>0097950619 / 252610015</t>
  </si>
  <si>
    <t>Afgan Prima Rizkia Iskandar - L</t>
  </si>
  <si>
    <t>X12</t>
  </si>
  <si>
    <t>https://quickchart.io/qr?size=250&amp;text=https%3A%2F%2Fdocs.google.com%2Fforms%2Fd%2Fe%2F1FAIpQLSeZ-R1GrWlAPkfaThGqxeTj0QTtrARw4rroxIIepf2kipn1nw%2FformResponse%3Fusp%3Dpp_url%26entry.1313582257%3D0097950619%20%2F%20252610015%26entry.1578404635%3DHadir</t>
  </si>
  <si>
    <t>14k1cQci74blP72MJD3pm5rGKVb9vi3Ba</t>
  </si>
  <si>
    <t>https://drive.google.com/file/d/14k1cQci74blP72MJD3pm5rGKVb9vi3Ba/view?usp=drivesdk</t>
  </si>
  <si>
    <t>0105770130 / 252610021</t>
  </si>
  <si>
    <t>Aik Novitasari - P</t>
  </si>
  <si>
    <t>https://quickchart.io/qr?size=250&amp;text=https%3A%2F%2Fdocs.google.com%2Fforms%2Fd%2Fe%2F1FAIpQLSeZ-R1GrWlAPkfaThGqxeTj0QTtrARw4rroxIIepf2kipn1nw%2FformResponse%3Fusp%3Dpp_url%26entry.1313582257%3D0105770130%20%2F%20252610021%26entry.1578404635%3DHadir</t>
  </si>
  <si>
    <t>1s9DTsUYTw921PaSa7oriTISn3GlIcIfv</t>
  </si>
  <si>
    <t>https://drive.google.com/file/d/1s9DTsUYTw921PaSa7oriTISn3GlIcIfv/view?usp=drivesdk</t>
  </si>
  <si>
    <t>0093866965 / 252610029</t>
  </si>
  <si>
    <t>Aisyah Aqilah Agni - P</t>
  </si>
  <si>
    <t>https://quickchart.io/qr?size=250&amp;text=https%3A%2F%2Fdocs.google.com%2Fforms%2Fd%2Fe%2F1FAIpQLSeZ-R1GrWlAPkfaThGqxeTj0QTtrARw4rroxIIepf2kipn1nw%2FformResponse%3Fusp%3Dpp_url%26entry.1313582257%3D0093866965%20%2F%20252610029%26entry.1578404635%3DHadir</t>
  </si>
  <si>
    <t>11yki3PHCNvlA_CPVDjHA9OiNdTAyCQ80</t>
  </si>
  <si>
    <t>https://drive.google.com/file/d/11yki3PHCNvlA_CPVDjHA9OiNdTAyCQ80/view?usp=drivesdk</t>
  </si>
  <si>
    <t>3097129671 / 252610030</t>
  </si>
  <si>
    <t>Aisyah Hanifa Redana - P</t>
  </si>
  <si>
    <t>https://quickchart.io/qr?size=250&amp;text=https%3A%2F%2Fdocs.google.com%2Fforms%2Fd%2Fe%2F1FAIpQLSeZ-R1GrWlAPkfaThGqxeTj0QTtrARw4rroxIIepf2kipn1nw%2FformResponse%3Fusp%3Dpp_url%26entry.1313582257%3D3097129671%20%2F%20252610030%26entry.1578404635%3DHadir</t>
  </si>
  <si>
    <t>1vG1u-HGh2M349ShU1HW13uaNC5KPsTpk</t>
  </si>
  <si>
    <t>https://drive.google.com/file/d/1vG1u-HGh2M349ShU1HW13uaNC5KPsTpk/view?usp=drivesdk</t>
  </si>
  <si>
    <t>0093002808 / 252610046</t>
  </si>
  <si>
    <t>Allya Luthfiah Putri - P</t>
  </si>
  <si>
    <t>https://quickchart.io/qr?size=250&amp;text=https%3A%2F%2Fdocs.google.com%2Fforms%2Fd%2Fe%2F1FAIpQLSeZ-R1GrWlAPkfaThGqxeTj0QTtrARw4rroxIIepf2kipn1nw%2FformResponse%3Fusp%3Dpp_url%26entry.1313582257%3D0093002808%20%2F%20252610046%26entry.1578404635%3DHadir</t>
  </si>
  <si>
    <t>1OhR1mzNeToZJ4z60SWZSFjtU2PlkKCqK</t>
  </si>
  <si>
    <t>https://drive.google.com/file/d/1OhR1mzNeToZJ4z60SWZSFjtU2PlkKCqK/view?usp=drivesdk</t>
  </si>
  <si>
    <t>Document successfully created; Document successfully merged; PDF created; Manually run by skycircle.id@gmail.com; Timestamp: Nov 7 2025 4:28 AM</t>
  </si>
  <si>
    <t>0107831985 / 252610068</t>
  </si>
  <si>
    <t>Annisa Salsabilla - P</t>
  </si>
  <si>
    <t>https://quickchart.io/qr?size=250&amp;text=https%3A%2F%2Fdocs.google.com%2Fforms%2Fd%2Fe%2F1FAIpQLSeZ-R1GrWlAPkfaThGqxeTj0QTtrARw4rroxIIepf2kipn1nw%2FformResponse%3Fusp%3Dpp_url%26entry.1313582257%3D0107831985%20%2F%20252610068%26entry.1578404635%3DHadir</t>
  </si>
  <si>
    <t>1-unveFZ6Dcz3IGmZqKoIT5GwaWajP1UW</t>
  </si>
  <si>
    <t>https://drive.google.com/file/d/1-unveFZ6Dcz3IGmZqKoIT5GwaWajP1UW/view?usp=drivesdk</t>
  </si>
  <si>
    <t>0101396555 / 252610080</t>
  </si>
  <si>
    <t>Arsyad Khaerul Izzan - L</t>
  </si>
  <si>
    <t>https://quickchart.io/qr?size=250&amp;text=https%3A%2F%2Fdocs.google.com%2Fforms%2Fd%2Fe%2F1FAIpQLSeZ-R1GrWlAPkfaThGqxeTj0QTtrARw4rroxIIepf2kipn1nw%2FformResponse%3Fusp%3Dpp_url%26entry.1313582257%3D0101396555%20%2F%20252610080%26entry.1578404635%3DHadir</t>
  </si>
  <si>
    <t>1Ra8Gu9k8ZysgymIEe4eNZD0q1T0ur6OF</t>
  </si>
  <si>
    <t>https://drive.google.com/file/d/1Ra8Gu9k8ZysgymIEe4eNZD0q1T0ur6OF/view?usp=drivesdk</t>
  </si>
  <si>
    <t>0108675973 / 252610081</t>
  </si>
  <si>
    <t>Aruni Khalila Ayu - P</t>
  </si>
  <si>
    <t>https://quickchart.io/qr?size=250&amp;text=https%3A%2F%2Fdocs.google.com%2Fforms%2Fd%2Fe%2F1FAIpQLSeZ-R1GrWlAPkfaThGqxeTj0QTtrARw4rroxIIepf2kipn1nw%2FformResponse%3Fusp%3Dpp_url%26entry.1313582257%3D0108675973%20%2F%20252610081%26entry.1578404635%3DHadir</t>
  </si>
  <si>
    <t>1eS_GpBLxcFH15P56p2xgZw_quGCb_nkj</t>
  </si>
  <si>
    <t>https://drive.google.com/file/d/1eS_GpBLxcFH15P56p2xgZw_quGCb_nkj/view?usp=drivesdk</t>
  </si>
  <si>
    <t>0096011114 / 252610104</t>
  </si>
  <si>
    <t>Avemarianne Ninetrie Septiane - P</t>
  </si>
  <si>
    <t>https://quickchart.io/qr?size=250&amp;text=https%3A%2F%2Fdocs.google.com%2Fforms%2Fd%2Fe%2F1FAIpQLSeZ-R1GrWlAPkfaThGqxeTj0QTtrARw4rroxIIepf2kipn1nw%2FformResponse%3Fusp%3Dpp_url%26entry.1313582257%3D0096011114%20%2F%20252610104%26entry.1578404635%3DHadir</t>
  </si>
  <si>
    <t>14xnwK_L1k2RdL_ujuqw3RowRRdY4Tj69</t>
  </si>
  <si>
    <t>https://drive.google.com/file/d/14xnwK_L1k2RdL_ujuqw3RowRRdY4Tj69/view?usp=drivesdk</t>
  </si>
  <si>
    <t>2099366441 / 252610106</t>
  </si>
  <si>
    <t>Ayi Artadinata - P</t>
  </si>
  <si>
    <t>https://quickchart.io/qr?size=250&amp;text=https%3A%2F%2Fdocs.google.com%2Fforms%2Fd%2Fe%2F1FAIpQLSeZ-R1GrWlAPkfaThGqxeTj0QTtrARw4rroxIIepf2kipn1nw%2FformResponse%3Fusp%3Dpp_url%26entry.1313582257%3D2099366441%20%2F%20252610106%26entry.1578404635%3DHadir</t>
  </si>
  <si>
    <t>1MogFFNapTCYXWGMRZ4AfnG9pOj1Ih2lg</t>
  </si>
  <si>
    <t>https://drive.google.com/file/d/1MogFFNapTCYXWGMRZ4AfnG9pOj1Ih2lg/view?usp=drivesdk</t>
  </si>
  <si>
    <t>0109010502 / 252610107</t>
  </si>
  <si>
    <t>Ayra Jauzaa Viranda - P</t>
  </si>
  <si>
    <t>https://quickchart.io/qr?size=250&amp;text=https%3A%2F%2Fdocs.google.com%2Fforms%2Fd%2Fe%2F1FAIpQLSeZ-R1GrWlAPkfaThGqxeTj0QTtrARw4rroxIIepf2kipn1nw%2FformResponse%3Fusp%3Dpp_url%26entry.1313582257%3D0109010502%20%2F%20252610107%26entry.1578404635%3DHadir</t>
  </si>
  <si>
    <t>15clUYie0zDYsyIDkZPoyNKt3lVWZixDG</t>
  </si>
  <si>
    <t>https://drive.google.com/file/d/15clUYie0zDYsyIDkZPoyNKt3lVWZixDG/view?usp=drivesdk</t>
  </si>
  <si>
    <t>0109682985 / 252610127</t>
  </si>
  <si>
    <t>Bintang Jati Pratama - L</t>
  </si>
  <si>
    <t>https://quickchart.io/qr?size=250&amp;text=https%3A%2F%2Fdocs.google.com%2Fforms%2Fd%2Fe%2F1FAIpQLSeZ-R1GrWlAPkfaThGqxeTj0QTtrARw4rroxIIepf2kipn1nw%2FformResponse%3Fusp%3Dpp_url%26entry.1313582257%3D0109682985%20%2F%20252610127%26entry.1578404635%3DHadir</t>
  </si>
  <si>
    <t>1etsRa7pU2ivrCzlWcrlbfCK2jTJit8DA</t>
  </si>
  <si>
    <t>https://drive.google.com/file/d/1etsRa7pU2ivrCzlWcrlbfCK2jTJit8DA/view?usp=drivesdk</t>
  </si>
  <si>
    <t>Document successfully created; Document successfully merged; PDF created; Manually run by skycircle.id@gmail.com; Timestamp: Nov 7 2025 4:29 AM</t>
  </si>
  <si>
    <t>0092725675 / 252610143</t>
  </si>
  <si>
    <t>Daffa Hafizh Firdausi - L</t>
  </si>
  <si>
    <t>https://quickchart.io/qr?size=250&amp;text=https%3A%2F%2Fdocs.google.com%2Fforms%2Fd%2Fe%2F1FAIpQLSeZ-R1GrWlAPkfaThGqxeTj0QTtrARw4rroxIIepf2kipn1nw%2FformResponse%3Fusp%3Dpp_url%26entry.1313582257%3D0092725675%20%2F%20252610143%26entry.1578404635%3DHadir</t>
  </si>
  <si>
    <t>1E-gw5w6Ulw4KXdV3K1qtPzk-tK_7I5Oy</t>
  </si>
  <si>
    <t>https://drive.google.com/file/d/1E-gw5w6Ulw4KXdV3K1qtPzk-tK_7I5Oy/view?usp=drivesdk</t>
  </si>
  <si>
    <t>3106961615 / 252610147</t>
  </si>
  <si>
    <t>Damara Dasha Bahi Utomo - L</t>
  </si>
  <si>
    <t>https://quickchart.io/qr?size=250&amp;text=https%3A%2F%2Fdocs.google.com%2Fforms%2Fd%2Fe%2F1FAIpQLSeZ-R1GrWlAPkfaThGqxeTj0QTtrARw4rroxIIepf2kipn1nw%2FformResponse%3Fusp%3Dpp_url%26entry.1313582257%3D3106961615%20%2F%20252610147%26entry.1578404635%3DHadir</t>
  </si>
  <si>
    <t>1by60MZ8Rn2DcDgKyoNoBohio-uDe2SxF</t>
  </si>
  <si>
    <t>https://drive.google.com/file/d/1by60MZ8Rn2DcDgKyoNoBohio-uDe2SxF/view?usp=drivesdk</t>
  </si>
  <si>
    <t>0102221985 / 252610149</t>
  </si>
  <si>
    <t>Deana Azalea Belva - P</t>
  </si>
  <si>
    <t>https://quickchart.io/qr?size=250&amp;text=https%3A%2F%2Fdocs.google.com%2Fforms%2Fd%2Fe%2F1FAIpQLSeZ-R1GrWlAPkfaThGqxeTj0QTtrARw4rroxIIepf2kipn1nw%2FformResponse%3Fusp%3Dpp_url%26entry.1313582257%3D0102221985%20%2F%20252610149%26entry.1578404635%3DHadir</t>
  </si>
  <si>
    <t>1wKqPVD9lOcXeCMDXmGos-aVOoo2hnHDm</t>
  </si>
  <si>
    <t>https://drive.google.com/file/d/1wKqPVD9lOcXeCMDXmGos-aVOoo2hnHDm/view?usp=drivesdk</t>
  </si>
  <si>
    <t>0096201622 / 252610152</t>
  </si>
  <si>
    <t>Delfa Maharani - P</t>
  </si>
  <si>
    <t>https://quickchart.io/qr?size=250&amp;text=https%3A%2F%2Fdocs.google.com%2Fforms%2Fd%2Fe%2F1FAIpQLSeZ-R1GrWlAPkfaThGqxeTj0QTtrARw4rroxIIepf2kipn1nw%2FformResponse%3Fusp%3Dpp_url%26entry.1313582257%3D0096201622%20%2F%20252610152%26entry.1578404635%3DHadir</t>
  </si>
  <si>
    <t>16zNgdWtB9JhjDBf47oSRqSxm7u4GojzD</t>
  </si>
  <si>
    <t>https://drive.google.com/file/d/16zNgdWtB9JhjDBf47oSRqSxm7u4GojzD/view?usp=drivesdk</t>
  </si>
  <si>
    <t>0104985283 / 252610208</t>
  </si>
  <si>
    <t>Fauza Nur Aziema - P</t>
  </si>
  <si>
    <t>https://quickchart.io/qr?size=250&amp;text=https%3A%2F%2Fdocs.google.com%2Fforms%2Fd%2Fe%2F1FAIpQLSeZ-R1GrWlAPkfaThGqxeTj0QTtrARw4rroxIIepf2kipn1nw%2FformResponse%3Fusp%3Dpp_url%26entry.1313582257%3D0104985283%20%2F%20252610208%26entry.1578404635%3DHadir</t>
  </si>
  <si>
    <t>1fwKzHMSrgwYVoJbC7eYh77qWYVho8OVb</t>
  </si>
  <si>
    <t>https://drive.google.com/file/d/1fwKzHMSrgwYVoJbC7eYh77qWYVho8OVb/view?usp=drivesdk</t>
  </si>
  <si>
    <t>Document successfully created; Document successfully merged; PDF created; Manually run by skycircle.id@gmail.com; Timestamp: Nov 7 2025 4:30 AM</t>
  </si>
  <si>
    <t>3086279831 / 252610218</t>
  </si>
  <si>
    <t>Gefira Azizatul Hasanah - L</t>
  </si>
  <si>
    <t>https://quickchart.io/qr?size=250&amp;text=https%3A%2F%2Fdocs.google.com%2Fforms%2Fd%2Fe%2F1FAIpQLSeZ-R1GrWlAPkfaThGqxeTj0QTtrARw4rroxIIepf2kipn1nw%2FformResponse%3Fusp%3Dpp_url%26entry.1313582257%3D3086279831%20%2F%20252610218%26entry.1578404635%3DHadir</t>
  </si>
  <si>
    <t>1V2F9-2mvx0AzbyRLkRZAIDTeBHeP_xS_</t>
  </si>
  <si>
    <t>https://drive.google.com/file/d/1V2F9-2mvx0AzbyRLkRZAIDTeBHeP_xS_/view?usp=drivesdk</t>
  </si>
  <si>
    <t>3091107524 / 252610267</t>
  </si>
  <si>
    <t>Keisha Nurazizah - P</t>
  </si>
  <si>
    <t>https://quickchart.io/qr?size=250&amp;text=https%3A%2F%2Fdocs.google.com%2Fforms%2Fd%2Fe%2F1FAIpQLSeZ-R1GrWlAPkfaThGqxeTj0QTtrARw4rroxIIepf2kipn1nw%2FformResponse%3Fusp%3Dpp_url%26entry.1313582257%3D3091107524%20%2F%20252610267%26entry.1578404635%3DHadir</t>
  </si>
  <si>
    <t>1_-8sc9TgPHiFK7pFRfXVpDSKKTu1NWWR</t>
  </si>
  <si>
    <t>https://drive.google.com/file/d/1_-8sc9TgPHiFK7pFRfXVpDSKKTu1NWWR/view?usp=drivesdk</t>
  </si>
  <si>
    <t>0103652262 / 252610269</t>
  </si>
  <si>
    <t>Kenzie Dzakwan Ibrahim - L</t>
  </si>
  <si>
    <t>https://quickchart.io/qr?size=250&amp;text=https%3A%2F%2Fdocs.google.com%2Fforms%2Fd%2Fe%2F1FAIpQLSeZ-R1GrWlAPkfaThGqxeTj0QTtrARw4rroxIIepf2kipn1nw%2FformResponse%3Fusp%3Dpp_url%26entry.1313582257%3D0103652262%20%2F%20252610269%26entry.1578404635%3DHadir</t>
  </si>
  <si>
    <t>1PySRl55fAWCDT4GhUVVePVg0eda-PsCs</t>
  </si>
  <si>
    <t>https://drive.google.com/file/d/1PySRl55fAWCDT4GhUVVePVg0eda-PsCs/view?usp=drivesdk</t>
  </si>
  <si>
    <t>0097732804 / 252610270</t>
  </si>
  <si>
    <t>Kesyha Ramadhani - P</t>
  </si>
  <si>
    <t>https://quickchart.io/qr?size=250&amp;text=https%3A%2F%2Fdocs.google.com%2Fforms%2Fd%2Fe%2F1FAIpQLSeZ-R1GrWlAPkfaThGqxeTj0QTtrARw4rroxIIepf2kipn1nw%2FformResponse%3Fusp%3Dpp_url%26entry.1313582257%3D0097732804%20%2F%20252610270%26entry.1578404635%3DHadir</t>
  </si>
  <si>
    <t>1ZMvNBBZW49JhHKeeffYeRiBjl4SXsxO4</t>
  </si>
  <si>
    <t>https://drive.google.com/file/d/1ZMvNBBZW49JhHKeeffYeRiBjl4SXsxO4/view?usp=drivesdk</t>
  </si>
  <si>
    <t>3093490279 / 252610271</t>
  </si>
  <si>
    <t>Kevin Septian Ramadhan - L</t>
  </si>
  <si>
    <t>https://quickchart.io/qr?size=250&amp;text=https%3A%2F%2Fdocs.google.com%2Fforms%2Fd%2Fe%2F1FAIpQLSeZ-R1GrWlAPkfaThGqxeTj0QTtrARw4rroxIIepf2kipn1nw%2FformResponse%3Fusp%3Dpp_url%26entry.1313582257%3D3093490279%20%2F%20252610271%26entry.1578404635%3DHadir</t>
  </si>
  <si>
    <t>1eSfFDVhXaqeejcUUS-lc8yDjPqTmDHfQ</t>
  </si>
  <si>
    <t>https://drive.google.com/file/d/1eSfFDVhXaqeejcUUS-lc8yDjPqTmDHfQ/view?usp=drivesdk</t>
  </si>
  <si>
    <t>Document successfully created; Document successfully merged; PDF created; Manually run by skycircle.id@gmail.com; Timestamp: Nov 7 2025 4:31 AM</t>
  </si>
  <si>
    <t>0094431854 / 252610296</t>
  </si>
  <si>
    <t>Madina Zulfa Aini - P</t>
  </si>
  <si>
    <t>https://quickchart.io/qr?size=250&amp;text=https%3A%2F%2Fdocs.google.com%2Fforms%2Fd%2Fe%2F1FAIpQLSeZ-R1GrWlAPkfaThGqxeTj0QTtrARw4rroxIIepf2kipn1nw%2FformResponse%3Fusp%3Dpp_url%26entry.1313582257%3D0094431854%20%2F%20252610296%26entry.1578404635%3DHadir</t>
  </si>
  <si>
    <t>1xX6hSt6s0pfLH0AKNPdutcaMbxsrsO_m</t>
  </si>
  <si>
    <t>https://drive.google.com/file/d/1xX6hSt6s0pfLH0AKNPdutcaMbxsrsO_m/view?usp=drivesdk</t>
  </si>
  <si>
    <t>0103035193 / 252610298</t>
  </si>
  <si>
    <t>Maheswara Pekik Hanuraga - L</t>
  </si>
  <si>
    <t>https://quickchart.io/qr?size=250&amp;text=https%3A%2F%2Fdocs.google.com%2Fforms%2Fd%2Fe%2F1FAIpQLSeZ-R1GrWlAPkfaThGqxeTj0QTtrARw4rroxIIepf2kipn1nw%2FformResponse%3Fusp%3Dpp_url%26entry.1313582257%3D0103035193%20%2F%20252610298%26entry.1578404635%3DHadir</t>
  </si>
  <si>
    <t>1k_L_l5H0CDgDjVSUv-1wURTOl9mV8f5-</t>
  </si>
  <si>
    <t>https://drive.google.com/file/d/1k_L_l5H0CDgDjVSUv-1wURTOl9mV8f5-/view?usp=drivesdk</t>
  </si>
  <si>
    <t>0106434110 / 252610303</t>
  </si>
  <si>
    <t>Maria Agatha Cherlin Christiani - P</t>
  </si>
  <si>
    <t>https://quickchart.io/qr?size=250&amp;text=https%3A%2F%2Fdocs.google.com%2Fforms%2Fd%2Fe%2F1FAIpQLSeZ-R1GrWlAPkfaThGqxeTj0QTtrARw4rroxIIepf2kipn1nw%2FformResponse%3Fusp%3Dpp_url%26entry.1313582257%3D0106434110%20%2F%20252610303%26entry.1578404635%3DHadir</t>
  </si>
  <si>
    <t>1JYzW9a1TqM-mPqbmUUN7msGAPWesQF0t</t>
  </si>
  <si>
    <t>https://drive.google.com/file/d/1JYzW9a1TqM-mPqbmUUN7msGAPWesQF0t/view?usp=drivesdk</t>
  </si>
  <si>
    <t>0095778047 / 252610307</t>
  </si>
  <si>
    <t>Maulida Ainnurahma - P</t>
  </si>
  <si>
    <t>https://quickchart.io/qr?size=250&amp;text=https%3A%2F%2Fdocs.google.com%2Fforms%2Fd%2Fe%2F1FAIpQLSeZ-R1GrWlAPkfaThGqxeTj0QTtrARw4rroxIIepf2kipn1nw%2FformResponse%3Fusp%3Dpp_url%26entry.1313582257%3D0095778047%20%2F%20252610307%26entry.1578404635%3DHadir</t>
  </si>
  <si>
    <t>1aqiuml4INz_yfHpTFAvmqIvCqCDZar63</t>
  </si>
  <si>
    <t>https://drive.google.com/file/d/1aqiuml4INz_yfHpTFAvmqIvCqCDZar63/view?usp=drivesdk</t>
  </si>
  <si>
    <t>0103777854 / 252610331</t>
  </si>
  <si>
    <t>Muhamad Subkhi - L</t>
  </si>
  <si>
    <t>https://quickchart.io/qr?size=250&amp;text=https%3A%2F%2Fdocs.google.com%2Fforms%2Fd%2Fe%2F1FAIpQLSeZ-R1GrWlAPkfaThGqxeTj0QTtrARw4rroxIIepf2kipn1nw%2FformResponse%3Fusp%3Dpp_url%26entry.1313582257%3D0103777854%20%2F%20252610331%26entry.1578404635%3DHadir</t>
  </si>
  <si>
    <t>1Zljw0HANknxSYbWvo-DojJLJBJWiH2zS</t>
  </si>
  <si>
    <t>https://drive.google.com/file/d/1Zljw0HANknxSYbWvo-DojJLJBJWiH2zS/view?usp=drivesdk</t>
  </si>
  <si>
    <t>3109116422 / 252610339</t>
  </si>
  <si>
    <t>Muhammad Armanugie Saputra - L</t>
  </si>
  <si>
    <t>https://quickchart.io/qr?size=250&amp;text=https%3A%2F%2Fdocs.google.com%2Fforms%2Fd%2Fe%2F1FAIpQLSeZ-R1GrWlAPkfaThGqxeTj0QTtrARw4rroxIIepf2kipn1nw%2FformResponse%3Fusp%3Dpp_url%26entry.1313582257%3D3109116422%20%2F%20252610339%26entry.1578404635%3DHadir</t>
  </si>
  <si>
    <t>16nab7q33I43V1ReRgRq6YEO_RRIkj4ch</t>
  </si>
  <si>
    <t>https://drive.google.com/file/d/16nab7q33I43V1ReRgRq6YEO_RRIkj4ch/view?usp=drivesdk</t>
  </si>
  <si>
    <t>Document successfully created; Document successfully merged; PDF created; Manually run by skycircle.id@gmail.com; Timestamp: Nov 7 2025 4:32 AM</t>
  </si>
  <si>
    <t>0103887571 / 252610359</t>
  </si>
  <si>
    <t>Muhammad Javier - L</t>
  </si>
  <si>
    <t>https://quickchart.io/qr?size=250&amp;text=https%3A%2F%2Fdocs.google.com%2Fforms%2Fd%2Fe%2F1FAIpQLSeZ-R1GrWlAPkfaThGqxeTj0QTtrARw4rroxIIepf2kipn1nw%2FformResponse%3Fusp%3Dpp_url%26entry.1313582257%3D0103887571%20%2F%20252610359%26entry.1578404635%3DHadir</t>
  </si>
  <si>
    <t>18-GbF5a3ilcpyU15_UmdOqCCT-LQiE3r</t>
  </si>
  <si>
    <t>https://drive.google.com/file/d/18-GbF5a3ilcpyU15_UmdOqCCT-LQiE3r/view?usp=drivesdk</t>
  </si>
  <si>
    <t>0102148224 / 252610377</t>
  </si>
  <si>
    <t>Muhammad Zahran Rifai - L</t>
  </si>
  <si>
    <t>https://quickchart.io/qr?size=250&amp;text=https%3A%2F%2Fdocs.google.com%2Fforms%2Fd%2Fe%2F1FAIpQLSeZ-R1GrWlAPkfaThGqxeTj0QTtrARw4rroxIIepf2kipn1nw%2FformResponse%3Fusp%3Dpp_url%26entry.1313582257%3D0102148224%20%2F%20252610377%26entry.1578404635%3DHadir</t>
  </si>
  <si>
    <t>1nU9Zfcb32Bbo5jWw2SDm8rzsg39w0k-Y</t>
  </si>
  <si>
    <t>https://drive.google.com/file/d/1nU9Zfcb32Bbo5jWw2SDm8rzsg39w0k-Y/view?usp=drivesdk</t>
  </si>
  <si>
    <t>0096368920 / 252610387</t>
  </si>
  <si>
    <t>Nadhifa Qeysa Auliani Soehardi - P</t>
  </si>
  <si>
    <t>https://quickchart.io/qr?size=250&amp;text=https%3A%2F%2Fdocs.google.com%2Fforms%2Fd%2Fe%2F1FAIpQLSeZ-R1GrWlAPkfaThGqxeTj0QTtrARw4rroxIIepf2kipn1nw%2FformResponse%3Fusp%3Dpp_url%26entry.1313582257%3D0096368920%20%2F%20252610387%26entry.1578404635%3DHadir</t>
  </si>
  <si>
    <t>1R0RkVmH0Vc0Q4Da3-Z_eZoFptZC4WXeE</t>
  </si>
  <si>
    <t>https://drive.google.com/file/d/1R0RkVmH0Vc0Q4Da3-Z_eZoFptZC4WXeE/view?usp=drivesdk</t>
  </si>
  <si>
    <t>Naila - P</t>
  </si>
  <si>
    <t>https://quickchart.io/qr?size=250&amp;text=https%3A%2F%2Fdocs.google.com%2Fforms%2Fd%2Fe%2F1FAIpQLSeZ-R1GrWlAPkfaThGqxeTj0QTtrARw4rroxIIepf2kipn1nw%2FformResponse%3Fusp%3Dpp_url%26entry.1313582257%3D0094328074%20%2F%20252610391%26entry.1578404635%3DHadir</t>
  </si>
  <si>
    <t>1PZoDVRsBMwEocsSIWdtVjSLqfFRccygd</t>
  </si>
  <si>
    <t>https://drive.google.com/file/d/1PZoDVRsBMwEocsSIWdtVjSLqfFRccygd/view?usp=drivesdk</t>
  </si>
  <si>
    <t>0098429745 / 252610400</t>
  </si>
  <si>
    <t>Natiq Tawqir Muniruzzaman Anandamaya - L</t>
  </si>
  <si>
    <t>https://quickchart.io/qr?size=250&amp;text=https%3A%2F%2Fdocs.google.com%2Fforms%2Fd%2Fe%2F1FAIpQLSeZ-R1GrWlAPkfaThGqxeTj0QTtrARw4rroxIIepf2kipn1nw%2FformResponse%3Fusp%3Dpp_url%26entry.1313582257%3D0098429745%20%2F%20252610400%26entry.1578404635%3DHadir</t>
  </si>
  <si>
    <t>1dk89f1O152X6qm8W_CGhctmHIqaNNXWO</t>
  </si>
  <si>
    <t>https://drive.google.com/file/d/1dk89f1O152X6qm8W_CGhctmHIqaNNXWO/view?usp=drivesdk</t>
  </si>
  <si>
    <t>Document successfully created; Document successfully merged; PDF created; Manually run by skycircle.id@gmail.com; Timestamp: Nov 7 2025 4:33 AM</t>
  </si>
  <si>
    <t>3102974181 / 252610405</t>
  </si>
  <si>
    <t>Naureen Shabiha Zahira - P</t>
  </si>
  <si>
    <t>https://quickchart.io/qr?size=250&amp;text=https%3A%2F%2Fdocs.google.com%2Fforms%2Fd%2Fe%2F1FAIpQLSeZ-R1GrWlAPkfaThGqxeTj0QTtrARw4rroxIIepf2kipn1nw%2FformResponse%3Fusp%3Dpp_url%26entry.1313582257%3D3102974181%20%2F%20252610405%26entry.1578404635%3DHadir</t>
  </si>
  <si>
    <t>159dZankp5k551jZwPKQ7vIqQZCrooGiP</t>
  </si>
  <si>
    <t>https://drive.google.com/file/d/159dZankp5k551jZwPKQ7vIqQZCrooGiP/view?usp=drivesdk</t>
  </si>
  <si>
    <t>0099622136 / 252610407</t>
  </si>
  <si>
    <t>Nayla Lyra Sagita - P</t>
  </si>
  <si>
    <t>https://quickchart.io/qr?size=250&amp;text=https%3A%2F%2Fdocs.google.com%2Fforms%2Fd%2Fe%2F1FAIpQLSeZ-R1GrWlAPkfaThGqxeTj0QTtrARw4rroxIIepf2kipn1nw%2FformResponse%3Fusp%3Dpp_url%26entry.1313582257%3D0099622136%20%2F%20252610407%26entry.1578404635%3DHadir</t>
  </si>
  <si>
    <t>1-p3NIewrjAYqdqAbxnRCj6clRfnfFspp</t>
  </si>
  <si>
    <t>https://drive.google.com/file/d/1-p3NIewrjAYqdqAbxnRCj6clRfnfFspp/view?usp=drivesdk</t>
  </si>
  <si>
    <t>0102898760 / 252610411</t>
  </si>
  <si>
    <t>Naywa Dinda Kansana Lubis - P</t>
  </si>
  <si>
    <t>https://quickchart.io/qr?size=250&amp;text=https%3A%2F%2Fdocs.google.com%2Fforms%2Fd%2Fe%2F1FAIpQLSeZ-R1GrWlAPkfaThGqxeTj0QTtrARw4rroxIIepf2kipn1nw%2FformResponse%3Fusp%3Dpp_url%26entry.1313582257%3D0102898760%20%2F%20252610411%26entry.1578404635%3DHadir</t>
  </si>
  <si>
    <t>1xYx7NEzhKNEJ5bEkaYY4vbfFx3zIpab1</t>
  </si>
  <si>
    <t>https://drive.google.com/file/d/1xYx7NEzhKNEJ5bEkaYY4vbfFx3zIpab1/view?usp=drivesdk</t>
  </si>
  <si>
    <t>0108592067 / 252610418</t>
  </si>
  <si>
    <t>Ni Putu Anjani Dewi Diningrat - P</t>
  </si>
  <si>
    <t>https://quickchart.io/qr?size=250&amp;text=https%3A%2F%2Fdocs.google.com%2Fforms%2Fd%2Fe%2F1FAIpQLSeZ-R1GrWlAPkfaThGqxeTj0QTtrARw4rroxIIepf2kipn1nw%2FformResponse%3Fusp%3Dpp_url%26entry.1313582257%3D0108592067%20%2F%20252610418%26entry.1578404635%3DHadir</t>
  </si>
  <si>
    <t>15WPEayzYdYpCMecS3j-y6n35i5MsokWx</t>
  </si>
  <si>
    <t>https://drive.google.com/file/d/15WPEayzYdYpCMecS3j-y6n35i5MsokWx/view?usp=drivesdk</t>
  </si>
  <si>
    <t>0095623487 / 252610430</t>
  </si>
  <si>
    <t>Olivia Desvita Sari - P</t>
  </si>
  <si>
    <t>https://quickchart.io/qr?size=250&amp;text=https%3A%2F%2Fdocs.google.com%2Fforms%2Fd%2Fe%2F1FAIpQLSeZ-R1GrWlAPkfaThGqxeTj0QTtrARw4rroxIIepf2kipn1nw%2FformResponse%3Fusp%3Dpp_url%26entry.1313582257%3D0095623487%20%2F%20252610430%26entry.1578404635%3DHadir</t>
  </si>
  <si>
    <t>1mfh6ZZzfxHpkB4j_4nuk4d9dVPzcXny5</t>
  </si>
  <si>
    <t>https://drive.google.com/file/d/1mfh6ZZzfxHpkB4j_4nuk4d9dVPzcXny5/view?usp=drivesdk</t>
  </si>
  <si>
    <t>0106961567 / 252610448</t>
  </si>
  <si>
    <t>R.A.M. Fakhri Izzuddin Mashur - L</t>
  </si>
  <si>
    <t>https://quickchart.io/qr?size=250&amp;text=https%3A%2F%2Fdocs.google.com%2Fforms%2Fd%2Fe%2F1FAIpQLSeZ-R1GrWlAPkfaThGqxeTj0QTtrARw4rroxIIepf2kipn1nw%2FformResponse%3Fusp%3Dpp_url%26entry.1313582257%3D0106961567%20%2F%20252610448%26entry.1578404635%3DHadir</t>
  </si>
  <si>
    <t>15uJFTphJoW5SAhwXa-tEg3QJ8Q8DVnEt</t>
  </si>
  <si>
    <t>https://drive.google.com/file/d/15uJFTphJoW5SAhwXa-tEg3QJ8Q8DVnEt/view?usp=drivesdk</t>
  </si>
  <si>
    <t>Document successfully created; Document successfully merged; PDF created; Manually run by skycircle.id@gmail.com; Timestamp: Nov 7 2025 4:34 AM</t>
  </si>
  <si>
    <t>0105994913 / 252610455</t>
  </si>
  <si>
    <t>Radinka Alano Hamizan Abqari - L</t>
  </si>
  <si>
    <t>https://quickchart.io/qr?size=250&amp;text=https%3A%2F%2Fdocs.google.com%2Fforms%2Fd%2Fe%2F1FAIpQLSeZ-R1GrWlAPkfaThGqxeTj0QTtrARw4rroxIIepf2kipn1nw%2FformResponse%3Fusp%3Dpp_url%26entry.1313582257%3D0105994913%20%2F%20252610455%26entry.1578404635%3DHadir</t>
  </si>
  <si>
    <t>1AG-k3UHGDwjhBVVjAWdsRY_CR4XnfKNt</t>
  </si>
  <si>
    <t>https://drive.google.com/file/d/1AG-k3UHGDwjhBVVjAWdsRY_CR4XnfKNt/view?usp=drivesdk</t>
  </si>
  <si>
    <t>0093563834 / 252610490</t>
  </si>
  <si>
    <t>Rifqah Ramadhani - P</t>
  </si>
  <si>
    <t>https://quickchart.io/qr?size=250&amp;text=https%3A%2F%2Fdocs.google.com%2Fforms%2Fd%2Fe%2F1FAIpQLSeZ-R1GrWlAPkfaThGqxeTj0QTtrARw4rroxIIepf2kipn1nw%2FformResponse%3Fusp%3Dpp_url%26entry.1313582257%3D0093563834%20%2F%20252610490%26entry.1578404635%3DHadir</t>
  </si>
  <si>
    <t>1dz4WCwXSJd_lnzsGFxONcWemN3yCNH64</t>
  </si>
  <si>
    <t>https://drive.google.com/file/d/1dz4WCwXSJd_lnzsGFxONcWemN3yCNH64/view?usp=drivesdk</t>
  </si>
  <si>
    <t>0097303991 / 252610494</t>
  </si>
  <si>
    <t>Roshan Aidan Juro Aprianto - L</t>
  </si>
  <si>
    <t>https://quickchart.io/qr?size=250&amp;text=https%3A%2F%2Fdocs.google.com%2Fforms%2Fd%2Fe%2F1FAIpQLSeZ-R1GrWlAPkfaThGqxeTj0QTtrARw4rroxIIepf2kipn1nw%2FformResponse%3Fusp%3Dpp_url%26entry.1313582257%3D0097303991%20%2F%20252610494%26entry.1578404635%3DHadir</t>
  </si>
  <si>
    <t>1BAlSWBBLTECV4GrtVsTadj2AODifJdHJ</t>
  </si>
  <si>
    <t>https://drive.google.com/file/d/1BAlSWBBLTECV4GrtVsTadj2AODifJdHJ/view?usp=drivesdk</t>
  </si>
  <si>
    <t>0098050747 / 252610496</t>
  </si>
  <si>
    <t>Ruba Aqeela Hafizha Mecca - P</t>
  </si>
  <si>
    <t>https://quickchart.io/qr?size=250&amp;text=https%3A%2F%2Fdocs.google.com%2Fforms%2Fd%2Fe%2F1FAIpQLSeZ-R1GrWlAPkfaThGqxeTj0QTtrARw4rroxIIepf2kipn1nw%2FformResponse%3Fusp%3Dpp_url%26entry.1313582257%3D0098050747%20%2F%20252610496%26entry.1578404635%3DHadir</t>
  </si>
  <si>
    <t>1Q_pLH6Y9Dl-VwmWnxa8301yQLp7DIIJA</t>
  </si>
  <si>
    <t>https://drive.google.com/file/d/1Q_pLH6Y9Dl-VwmWnxa8301yQLp7DIIJA/view?usp=drivesdk</t>
  </si>
  <si>
    <t>0092524998 / 252610502</t>
  </si>
  <si>
    <t>Sajna Jerrusalem Kharima Sugeng Putri - P</t>
  </si>
  <si>
    <t>https://quickchart.io/qr?size=250&amp;text=https%3A%2F%2Fdocs.google.com%2Fforms%2Fd%2Fe%2F1FAIpQLSeZ-R1GrWlAPkfaThGqxeTj0QTtrARw4rroxIIepf2kipn1nw%2FformResponse%3Fusp%3Dpp_url%26entry.1313582257%3D0092524998%20%2F%20252610502%26entry.1578404635%3DHadir</t>
  </si>
  <si>
    <t>1KcgMqd7qQzS-xjuABJLUSd31KL622CRc</t>
  </si>
  <si>
    <t>https://drive.google.com/file/d/1KcgMqd7qQzS-xjuABJLUSd31KL622CRc/view?usp=drivesdk</t>
  </si>
  <si>
    <t>0109344308 / 252610516</t>
  </si>
  <si>
    <t>Shahrazad Aulia Handyanto - P</t>
  </si>
  <si>
    <t>https://quickchart.io/qr?size=250&amp;text=https%3A%2F%2Fdocs.google.com%2Fforms%2Fd%2Fe%2F1FAIpQLSeZ-R1GrWlAPkfaThGqxeTj0QTtrARw4rroxIIepf2kipn1nw%2FformResponse%3Fusp%3Dpp_url%26entry.1313582257%3D0109344308%20%2F%20252610516%26entry.1578404635%3DHadir</t>
  </si>
  <si>
    <t>1bw0s6aL0WDYv3Tju7aAfo0auayztpSRe</t>
  </si>
  <si>
    <t>https://drive.google.com/file/d/1bw0s6aL0WDYv3Tju7aAfo0auayztpSRe/view?usp=drivesdk</t>
  </si>
  <si>
    <t>Document successfully created; Document successfully merged; PDF created; Manually run by skycircle.id@gmail.com; Timestamp: Nov 7 2025 4:35 AM</t>
  </si>
  <si>
    <t>0101659072 / 252610531</t>
  </si>
  <si>
    <t>Syahla Salsabila Ramdani - P</t>
  </si>
  <si>
    <t>https://quickchart.io/qr?size=250&amp;text=https%3A%2F%2Fdocs.google.com%2Fforms%2Fd%2Fe%2F1FAIpQLSeZ-R1GrWlAPkfaThGqxeTj0QTtrARw4rroxIIepf2kipn1nw%2FformResponse%3Fusp%3Dpp_url%26entry.1313582257%3D0101659072%20%2F%20252610531%26entry.1578404635%3DHadir</t>
  </si>
  <si>
    <t>1bfHbuU-FeYUM0sXmpGDf2W0DOonuuzls</t>
  </si>
  <si>
    <t>https://drive.google.com/file/d/1bfHbuU-FeYUM0sXmpGDf2W0DOonuuzls/view?usp=drivesdk</t>
  </si>
  <si>
    <t>0095899359 / 252610550</t>
  </si>
  <si>
    <t>Velicya Arnelita Zahra Suryana - P</t>
  </si>
  <si>
    <t>https://quickchart.io/qr?size=250&amp;text=https%3A%2F%2Fdocs.google.com%2Fforms%2Fd%2Fe%2F1FAIpQLSeZ-R1GrWlAPkfaThGqxeTj0QTtrARw4rroxIIepf2kipn1nw%2FformResponse%3Fusp%3Dpp_url%26entry.1313582257%3D0095899359%20%2F%20252610550%26entry.1578404635%3DHadir</t>
  </si>
  <si>
    <t>1kII2XQokFJUfIg-uzasqH7pmkOSY-dGq</t>
  </si>
  <si>
    <t>https://drive.google.com/file/d/1kII2XQokFJUfIg-uzasqH7pmkOSY-dGq/view?usp=drivesdk</t>
  </si>
  <si>
    <t>0095810986 / 252610562</t>
  </si>
  <si>
    <t>Zalfa Rizqia Nur Nadhifa - P</t>
  </si>
  <si>
    <t>https://quickchart.io/qr?size=250&amp;text=https%3A%2F%2Fdocs.google.com%2Fforms%2Fd%2Fe%2F1FAIpQLSeZ-R1GrWlAPkfaThGqxeTj0QTtrARw4rroxIIepf2kipn1nw%2FformResponse%3Fusp%3Dpp_url%26entry.1313582257%3D0095810986%20%2F%20252610562%26entry.1578404635%3DHadir</t>
  </si>
  <si>
    <t>1LmsSrZ6izeLs-KrKvvWe8qp7VSl_Aqjy</t>
  </si>
  <si>
    <t>https://drive.google.com/file/d/1LmsSrZ6izeLs-KrKvvWe8qp7VSl_Aqjy/view?usp=drivesdk</t>
  </si>
  <si>
    <t>Agil Umar</t>
  </si>
  <si>
    <t>XI A-1</t>
  </si>
  <si>
    <t>https://quickchart.io/qr?size=250&amp;text=https%3A%2F%2Fdocs.google.com%2Fforms%2Fd%2Fe%2F1FAIpQLSeZ-R1GrWlAPkfaThGqxeTj0QTtrARw4rroxIIepf2kipn1nw%2FformResponse%3Fusp%3Dpp_url%26entry.1313582257%3D0082590495%20%2F%20242510008%26entry.1578404635%3DHadir</t>
  </si>
  <si>
    <t>1wF89oOPoUtlE42ZMaeponNMDaNeZYfbF</t>
  </si>
  <si>
    <t>https://drive.google.com/file/d/1wF89oOPoUtlE42ZMaeponNMDaNeZYfbF/view?usp=drivesdk</t>
  </si>
  <si>
    <t>Document successfully created; Document successfully merged; PDF created; Manually run by skycircle.id@gmail.com; Timestamp: Feb 2 2026 6:12 PM</t>
  </si>
  <si>
    <t>0097313548 / 242510011</t>
  </si>
  <si>
    <t>Ahmad Riyad Sugiarto</t>
  </si>
  <si>
    <t>https://quickchart.io/qr?size=250&amp;text=https%3A%2F%2Fdocs.google.com%2Fforms%2Fd%2Fe%2F1FAIpQLSeZ-R1GrWlAPkfaThGqxeTj0QTtrARw4rroxIIepf2kipn1nw%2FformResponse%3Fusp%3Dpp_url%26entry.1313582257%3D0097313548%20%2F%20242510011%26entry.1578404635%3DHadir</t>
  </si>
  <si>
    <t>1_OB4d8De0ac3CTkZX17Z2CMbNljm7KH3</t>
  </si>
  <si>
    <t>https://drive.google.com/file/d/1_OB4d8De0ac3CTkZX17Z2CMbNljm7KH3/view?usp=drivesdk</t>
  </si>
  <si>
    <t>0094510551 / 242510025</t>
  </si>
  <si>
    <t>Alifah Khairani Sawaludin</t>
  </si>
  <si>
    <t>https://quickchart.io/qr?size=250&amp;text=https%3A%2F%2Fdocs.google.com%2Fforms%2Fd%2Fe%2F1FAIpQLSeZ-R1GrWlAPkfaThGqxeTj0QTtrARw4rroxIIepf2kipn1nw%2FformResponse%3Fusp%3Dpp_url%26entry.1313582257%3D0094510551%20%2F%20242510025%26entry.1578404635%3DHadir</t>
  </si>
  <si>
    <t>1Y3HqmGgSp5J4bu6J5ZprYRF7Bx6oZIWM</t>
  </si>
  <si>
    <t>https://drive.google.com/file/d/1Y3HqmGgSp5J4bu6J5ZprYRF7Bx6oZIWM/view?usp=drivesdk</t>
  </si>
  <si>
    <t>0087298416 / 242510031</t>
  </si>
  <si>
    <t>Almira Tungga Dewi</t>
  </si>
  <si>
    <t>https://quickchart.io/qr?size=250&amp;text=https%3A%2F%2Fdocs.google.com%2Fforms%2Fd%2Fe%2F1FAIpQLSeZ-R1GrWlAPkfaThGqxeTj0QTtrARw4rroxIIepf2kipn1nw%2FformResponse%3Fusp%3Dpp_url%26entry.1313582257%3D0087298416%20%2F%20242510031%26entry.1578404635%3DHadir</t>
  </si>
  <si>
    <t>1Hs9hPtrl1hJaR1SSq6JBLSq7Gb_G6KuZ</t>
  </si>
  <si>
    <t>https://drive.google.com/file/d/1Hs9hPtrl1hJaR1SSq6JBLSq7Gb_G6KuZ/view?usp=drivesdk</t>
  </si>
  <si>
    <t>0095546511 / 242510069</t>
  </si>
  <si>
    <t>Aulya Mawal Juniar</t>
  </si>
  <si>
    <t>https://quickchart.io/qr?size=250&amp;text=https%3A%2F%2Fdocs.google.com%2Fforms%2Fd%2Fe%2F1FAIpQLSeZ-R1GrWlAPkfaThGqxeTj0QTtrARw4rroxIIepf2kipn1nw%2FformResponse%3Fusp%3Dpp_url%26entry.1313582257%3D0095546511%20%2F%20242510069%26entry.1578404635%3DHadir</t>
  </si>
  <si>
    <t>1zv464SlLZcu4K9oheuRYwz9t__ZzFwo5</t>
  </si>
  <si>
    <t>https://drive.google.com/file/d/1zv464SlLZcu4K9oheuRYwz9t__ZzFwo5/view?usp=drivesdk</t>
  </si>
  <si>
    <t>3086190678 / 242510079</t>
  </si>
  <si>
    <t>Bagaskara Arya Perkasa</t>
  </si>
  <si>
    <t>https://quickchart.io/qr?size=250&amp;text=https%3A%2F%2Fdocs.google.com%2Fforms%2Fd%2Fe%2F1FAIpQLSeZ-R1GrWlAPkfaThGqxeTj0QTtrARw4rroxIIepf2kipn1nw%2FformResponse%3Fusp%3Dpp_url%26entry.1313582257%3D3086190678%20%2F%20242510079%26entry.1578404635%3DHadir</t>
  </si>
  <si>
    <t>1u0qY4PRYeuahVEqoGsCyrHCph_rbdPSi</t>
  </si>
  <si>
    <t>https://drive.google.com/file/d/1u0qY4PRYeuahVEqoGsCyrHCph_rbdPSi/view?usp=drivesdk</t>
  </si>
  <si>
    <t>Document successfully created; Document successfully merged; PDF created; Manually run by skycircle.id@gmail.com; Timestamp: Feb 2 2026 6:13 PM</t>
  </si>
  <si>
    <t>0107163370 / 242510095</t>
  </si>
  <si>
    <t>Chiara Nanda Setiyo Fazria</t>
  </si>
  <si>
    <t>https://quickchart.io/qr?size=250&amp;text=https%3A%2F%2Fdocs.google.com%2Fforms%2Fd%2Fe%2F1FAIpQLSeZ-R1GrWlAPkfaThGqxeTj0QTtrARw4rroxIIepf2kipn1nw%2FformResponse%3Fusp%3Dpp_url%26entry.1313582257%3D0107163370%20%2F%20242510095%26entry.1578404635%3DHadir</t>
  </si>
  <si>
    <t>1wREv-A67yt-5vuC7B8bOHm0SjynvFSDP</t>
  </si>
  <si>
    <t>https://drive.google.com/file/d/1wREv-A67yt-5vuC7B8bOHm0SjynvFSDP/view?usp=drivesdk</t>
  </si>
  <si>
    <t>3092678408 / 242510108</t>
  </si>
  <si>
    <t>Devin Anandya Syuja</t>
  </si>
  <si>
    <t>https://quickchart.io/qr?size=250&amp;text=https%3A%2F%2Fdocs.google.com%2Fforms%2Fd%2Fe%2F1FAIpQLSeZ-R1GrWlAPkfaThGqxeTj0QTtrARw4rroxIIepf2kipn1nw%2FformResponse%3Fusp%3Dpp_url%26entry.1313582257%3D3092678408%20%2F%20242510108%26entry.1578404635%3DHadir</t>
  </si>
  <si>
    <t>1dL7s66EUt8HR_u7PWBdYQoM4NmyHZoen</t>
  </si>
  <si>
    <t>https://drive.google.com/file/d/1dL7s66EUt8HR_u7PWBdYQoM4NmyHZoen/view?usp=drivesdk</t>
  </si>
  <si>
    <t>0095504110 / 242510111</t>
  </si>
  <si>
    <t>Diaz Pradana Putra</t>
  </si>
  <si>
    <t>https://quickchart.io/qr?size=250&amp;text=https%3A%2F%2Fdocs.google.com%2Fforms%2Fd%2Fe%2F1FAIpQLSeZ-R1GrWlAPkfaThGqxeTj0QTtrARw4rroxIIepf2kipn1nw%2FformResponse%3Fusp%3Dpp_url%26entry.1313582257%3D0095504110%20%2F%20242510111%26entry.1578404635%3DHadir</t>
  </si>
  <si>
    <t>1sLLSm4kMaFDT1aUZ1cHshv5ccxd9YZZq</t>
  </si>
  <si>
    <t>https://drive.google.com/file/d/1sLLSm4kMaFDT1aUZ1cHshv5ccxd9YZZq/view?usp=drivesdk</t>
  </si>
  <si>
    <t>3081717964 / 242510114</t>
  </si>
  <si>
    <t>Disha Ramanda Putra</t>
  </si>
  <si>
    <t>https://quickchart.io/qr?size=250&amp;text=https%3A%2F%2Fdocs.google.com%2Fforms%2Fd%2Fe%2F1FAIpQLSeZ-R1GrWlAPkfaThGqxeTj0QTtrARw4rroxIIepf2kipn1nw%2FformResponse%3Fusp%3Dpp_url%26entry.1313582257%3D3081717964%20%2F%20242510114%26entry.1578404635%3DHadir</t>
  </si>
  <si>
    <t>1j_vfeBsP8e4tlAE59Y76BLyGR9xeIIdX</t>
  </si>
  <si>
    <t>https://drive.google.com/file/d/1j_vfeBsP8e4tlAE59Y76BLyGR9xeIIdX/view?usp=drivesdk</t>
  </si>
  <si>
    <t>0083076557 / 242510116</t>
  </si>
  <si>
    <t>Donita Aulia Ramadhani</t>
  </si>
  <si>
    <t>https://quickchart.io/qr?size=250&amp;text=https%3A%2F%2Fdocs.google.com%2Fforms%2Fd%2Fe%2F1FAIpQLSeZ-R1GrWlAPkfaThGqxeTj0QTtrARw4rroxIIepf2kipn1nw%2FformResponse%3Fusp%3Dpp_url%26entry.1313582257%3D0083076557%20%2F%20242510116%26entry.1578404635%3DHadir</t>
  </si>
  <si>
    <t>1AFMn94HCEUiKyQ_6sDD-LGnoWOileGU4</t>
  </si>
  <si>
    <t>https://drive.google.com/file/d/1AFMn94HCEUiKyQ_6sDD-LGnoWOileGU4/view?usp=drivesdk</t>
  </si>
  <si>
    <t>0093137843 / 242510126</t>
  </si>
  <si>
    <t>Evania Sarah Ilmira</t>
  </si>
  <si>
    <t>https://quickchart.io/qr?size=250&amp;text=https%3A%2F%2Fdocs.google.com%2Fforms%2Fd%2Fe%2F1FAIpQLSeZ-R1GrWlAPkfaThGqxeTj0QTtrARw4rroxIIepf2kipn1nw%2FformResponse%3Fusp%3Dpp_url%26entry.1313582257%3D0093137843%20%2F%20242510126%26entry.1578404635%3DHadir</t>
  </si>
  <si>
    <t>1IdYvakE_NomhNHisQtJ0nLVNMdHcOGhe</t>
  </si>
  <si>
    <t>https://drive.google.com/file/d/1IdYvakE_NomhNHisQtJ0nLVNMdHcOGhe/view?usp=drivesdk</t>
  </si>
  <si>
    <t>3090828690 / 242510159</t>
  </si>
  <si>
    <t>Hanan Dzul Hilmi</t>
  </si>
  <si>
    <t>https://quickchart.io/qr?size=250&amp;text=https%3A%2F%2Fdocs.google.com%2Fforms%2Fd%2Fe%2F1FAIpQLSeZ-R1GrWlAPkfaThGqxeTj0QTtrARw4rroxIIepf2kipn1nw%2FformResponse%3Fusp%3Dpp_url%26entry.1313582257%3D3090828690%20%2F%20242510159%26entry.1578404635%3DHadir</t>
  </si>
  <si>
    <t>1Irw-wYSXV5ROPrEaqNlhfuWqpx1mbNIf</t>
  </si>
  <si>
    <t>https://drive.google.com/file/d/1Irw-wYSXV5ROPrEaqNlhfuWqpx1mbNIf/view?usp=drivesdk</t>
  </si>
  <si>
    <t>Document successfully created; Document successfully merged; PDF created; Manually run by skycircle.id@gmail.com; Timestamp: Feb 2 2026 6:14 PM</t>
  </si>
  <si>
    <t>0088101729 / 242510173</t>
  </si>
  <si>
    <t>Irsyad Abrian Al-Warid</t>
  </si>
  <si>
    <t>https://quickchart.io/qr?size=250&amp;text=https%3A%2F%2Fdocs.google.com%2Fforms%2Fd%2Fe%2F1FAIpQLSeZ-R1GrWlAPkfaThGqxeTj0QTtrARw4rroxIIepf2kipn1nw%2FformResponse%3Fusp%3Dpp_url%26entry.1313582257%3D0088101729%20%2F%20242510173%26entry.1578404635%3DHadir</t>
  </si>
  <si>
    <t>1NP0iHGTwAaqebNteu88DGS4bp5fwSpQ-</t>
  </si>
  <si>
    <t>https://drive.google.com/file/d/1NP0iHGTwAaqebNteu88DGS4bp5fwSpQ-/view?usp=drivesdk</t>
  </si>
  <si>
    <t>0099940887 / 242510183</t>
  </si>
  <si>
    <t>Kamiila Putri Khairunnisa</t>
  </si>
  <si>
    <t>https://quickchart.io/qr?size=250&amp;text=https%3A%2F%2Fdocs.google.com%2Fforms%2Fd%2Fe%2F1FAIpQLSeZ-R1GrWlAPkfaThGqxeTj0QTtrARw4rroxIIepf2kipn1nw%2FformResponse%3Fusp%3Dpp_url%26entry.1313582257%3D0099940887%20%2F%20242510183%26entry.1578404635%3DHadir</t>
  </si>
  <si>
    <t>10M8vDb-GhuUZEiCpVn0gXcFmbmCTzdJa</t>
  </si>
  <si>
    <t>https://drive.google.com/file/d/10M8vDb-GhuUZEiCpVn0gXcFmbmCTzdJa/view?usp=drivesdk</t>
  </si>
  <si>
    <t>0096213576 / 242510188</t>
  </si>
  <si>
    <t>Keisha Edsel Darmawan</t>
  </si>
  <si>
    <t>https://quickchart.io/qr?size=250&amp;text=https%3A%2F%2Fdocs.google.com%2Fforms%2Fd%2Fe%2F1FAIpQLSeZ-R1GrWlAPkfaThGqxeTj0QTtrARw4rroxIIepf2kipn1nw%2FformResponse%3Fusp%3Dpp_url%26entry.1313582257%3D0096213576%20%2F%20242510188%26entry.1578404635%3DHadir</t>
  </si>
  <si>
    <t>1LLlS06ztEcYL11nGbEd-pvZG5r48rv-r</t>
  </si>
  <si>
    <t>https://drive.google.com/file/d/1LLlS06ztEcYL11nGbEd-pvZG5r48rv-r/view?usp=drivesdk</t>
  </si>
  <si>
    <t>0091012038 / 242510189</t>
  </si>
  <si>
    <t>Keisha Juan</t>
  </si>
  <si>
    <t>https://quickchart.io/qr?size=250&amp;text=https%3A%2F%2Fdocs.google.com%2Fforms%2Fd%2Fe%2F1FAIpQLSeZ-R1GrWlAPkfaThGqxeTj0QTtrARw4rroxIIepf2kipn1nw%2FformResponse%3Fusp%3Dpp_url%26entry.1313582257%3D0091012038%20%2F%20242510189%26entry.1578404635%3DHadir</t>
  </si>
  <si>
    <t>11pIDvbk018V-IT-s2Cb_fB3KdbpLirDK</t>
  </si>
  <si>
    <t>https://drive.google.com/file/d/11pIDvbk018V-IT-s2Cb_fB3KdbpLirDK/view?usp=drivesdk</t>
  </si>
  <si>
    <t>0097202517 / 242510201</t>
  </si>
  <si>
    <t>Khansa Makaila Kayyasah</t>
  </si>
  <si>
    <t>https://quickchart.io/qr?size=250&amp;text=https%3A%2F%2Fdocs.google.com%2Fforms%2Fd%2Fe%2F1FAIpQLSeZ-R1GrWlAPkfaThGqxeTj0QTtrARw4rroxIIepf2kipn1nw%2FformResponse%3Fusp%3Dpp_url%26entry.1313582257%3D0097202517%20%2F%20242510201%26entry.1578404635%3DHadir</t>
  </si>
  <si>
    <t>1_Yl2BKeW6vcCXi_IXZ5S84UTRLpAxty7</t>
  </si>
  <si>
    <t>https://drive.google.com/file/d/1_Yl2BKeW6vcCXi_IXZ5S84UTRLpAxty7/view?usp=drivesdk</t>
  </si>
  <si>
    <t>0098256549 / 242510206</t>
  </si>
  <si>
    <t>Kirana Aura Azzahra Permana</t>
  </si>
  <si>
    <t>https://quickchart.io/qr?size=250&amp;text=https%3A%2F%2Fdocs.google.com%2Fforms%2Fd%2Fe%2F1FAIpQLSeZ-R1GrWlAPkfaThGqxeTj0QTtrARw4rroxIIepf2kipn1nw%2FformResponse%3Fusp%3Dpp_url%26entry.1313582257%3D0098256549%20%2F%20242510206%26entry.1578404635%3DHadir</t>
  </si>
  <si>
    <t>1shschA7jT274I_tKX6vd64SztpJXznMc</t>
  </si>
  <si>
    <t>https://drive.google.com/file/d/1shschA7jT274I_tKX6vd64SztpJXznMc/view?usp=drivesdk</t>
  </si>
  <si>
    <t>Document successfully created; Document successfully merged; PDF created; Manually run by skycircle.id@gmail.com; Timestamp: Feb 2 2026 6:15 PM</t>
  </si>
  <si>
    <t>0093623036 / 242510208</t>
  </si>
  <si>
    <t>Kirani Aira Salsabila Permana</t>
  </si>
  <si>
    <t>https://quickchart.io/qr?size=250&amp;text=https%3A%2F%2Fdocs.google.com%2Fforms%2Fd%2Fe%2F1FAIpQLSeZ-R1GrWlAPkfaThGqxeTj0QTtrARw4rroxIIepf2kipn1nw%2FformResponse%3Fusp%3Dpp_url%26entry.1313582257%3D0093623036%20%2F%20242510208%26entry.1578404635%3DHadir</t>
  </si>
  <si>
    <t>1WV16xPazxvaqcsV16C5LGv7K668q3E2l</t>
  </si>
  <si>
    <t>https://drive.google.com/file/d/1WV16xPazxvaqcsV16C5LGv7K668q3E2l/view?usp=drivesdk</t>
  </si>
  <si>
    <t>0083667654 / 242510209</t>
  </si>
  <si>
    <t>Kireina Zahra Yasmaini</t>
  </si>
  <si>
    <t>https://quickchart.io/qr?size=250&amp;text=https%3A%2F%2Fdocs.google.com%2Fforms%2Fd%2Fe%2F1FAIpQLSeZ-R1GrWlAPkfaThGqxeTj0QTtrARw4rroxIIepf2kipn1nw%2FformResponse%3Fusp%3Dpp_url%26entry.1313582257%3D0083667654%20%2F%20242510209%26entry.1578404635%3DHadir</t>
  </si>
  <si>
    <t>1CPXBYGQf4oTMJru_bb-03fYUcKY71ZE1</t>
  </si>
  <si>
    <t>https://drive.google.com/file/d/1CPXBYGQf4oTMJru_bb-03fYUcKY71ZE1/view?usp=drivesdk</t>
  </si>
  <si>
    <t>3083447726 / 242510257</t>
  </si>
  <si>
    <t>Muhammad Dzaky</t>
  </si>
  <si>
    <t>https://quickchart.io/qr?size=250&amp;text=https%3A%2F%2Fdocs.google.com%2Fforms%2Fd%2Fe%2F1FAIpQLSeZ-R1GrWlAPkfaThGqxeTj0QTtrARw4rroxIIepf2kipn1nw%2FformResponse%3Fusp%3Dpp_url%26entry.1313582257%3D3083447726%20%2F%20242510257%26entry.1578404635%3DHadir</t>
  </si>
  <si>
    <t>18gskCPqR1zp8D9luJTsNF8sx5sJt3qAt</t>
  </si>
  <si>
    <t>https://drive.google.com/file/d/18gskCPqR1zp8D9luJTsNF8sx5sJt3qAt/view?usp=drivesdk</t>
  </si>
  <si>
    <t>0098849381 / 242510281</t>
  </si>
  <si>
    <t>Muhammad Zaki Arrahman</t>
  </si>
  <si>
    <t>https://quickchart.io/qr?size=250&amp;text=https%3A%2F%2Fdocs.google.com%2Fforms%2Fd%2Fe%2F1FAIpQLSeZ-R1GrWlAPkfaThGqxeTj0QTtrARw4rroxIIepf2kipn1nw%2FformResponse%3Fusp%3Dpp_url%26entry.1313582257%3D0098849381%20%2F%20242510281%26entry.1578404635%3DHadir</t>
  </si>
  <si>
    <t>1yXmT90P0oAl1_QwTeiBGDbYYplSlIdIC</t>
  </si>
  <si>
    <t>https://drive.google.com/file/d/1yXmT90P0oAl1_QwTeiBGDbYYplSlIdIC/view?usp=drivesdk</t>
  </si>
  <si>
    <t>0097736512 / 242510291</t>
  </si>
  <si>
    <t>Nailatul Ullya</t>
  </si>
  <si>
    <t>https://quickchart.io/qr?size=250&amp;text=https%3A%2F%2Fdocs.google.com%2Fforms%2Fd%2Fe%2F1FAIpQLSeZ-R1GrWlAPkfaThGqxeTj0QTtrARw4rroxIIepf2kipn1nw%2FformResponse%3Fusp%3Dpp_url%26entry.1313582257%3D0097736512%20%2F%20242510291%26entry.1578404635%3DHadir</t>
  </si>
  <si>
    <t>10GJw-MIVsGu-zYPCNU9uwNKcNtuJCse0</t>
  </si>
  <si>
    <t>https://drive.google.com/file/d/10GJw-MIVsGu-zYPCNU9uwNKcNtuJCse0/view?usp=drivesdk</t>
  </si>
  <si>
    <t>0083833819 / 242510323</t>
  </si>
  <si>
    <t>Qatrun Nada Tannaqi</t>
  </si>
  <si>
    <t>https://quickchart.io/qr?size=250&amp;text=https%3A%2F%2Fdocs.google.com%2Fforms%2Fd%2Fe%2F1FAIpQLSeZ-R1GrWlAPkfaThGqxeTj0QTtrARw4rroxIIepf2kipn1nw%2FformResponse%3Fusp%3Dpp_url%26entry.1313582257%3D0083833819%20%2F%20242510323%26entry.1578404635%3DHadir</t>
  </si>
  <si>
    <t>1VaefiX2DSvkg8hvqetmcklePoxh3SLcC</t>
  </si>
  <si>
    <t>https://drive.google.com/file/d/1VaefiX2DSvkg8hvqetmcklePoxh3SLcC/view?usp=drivesdk</t>
  </si>
  <si>
    <t>Document successfully created; Document successfully merged; PDF created; Manually run by skycircle.id@gmail.com; Timestamp: Feb 2 2026 6:16 PM</t>
  </si>
  <si>
    <t>0094989387 / 242510325</t>
  </si>
  <si>
    <t>Queensha Anjani Sudrajat</t>
  </si>
  <si>
    <t>https://quickchart.io/qr?size=250&amp;text=https%3A%2F%2Fdocs.google.com%2Fforms%2Fd%2Fe%2F1FAIpQLSeZ-R1GrWlAPkfaThGqxeTj0QTtrARw4rroxIIepf2kipn1nw%2FformResponse%3Fusp%3Dpp_url%26entry.1313582257%3D0094989387%20%2F%20242510325%26entry.1578404635%3DHadir</t>
  </si>
  <si>
    <t>1IyLP75ltSORbdTEZ9QnX-lLa_mw4u0xX</t>
  </si>
  <si>
    <t>https://drive.google.com/file/d/1IyLP75ltSORbdTEZ9QnX-lLa_mw4u0xX/view?usp=drivesdk</t>
  </si>
  <si>
    <t>0091033788 / 242510336</t>
  </si>
  <si>
    <t>Raihanna Zahra Aqilah</t>
  </si>
  <si>
    <t>https://quickchart.io/qr?size=250&amp;text=https%3A%2F%2Fdocs.google.com%2Fforms%2Fd%2Fe%2F1FAIpQLSeZ-R1GrWlAPkfaThGqxeTj0QTtrARw4rroxIIepf2kipn1nw%2FformResponse%3Fusp%3Dpp_url%26entry.1313582257%3D0091033788%20%2F%20242510336%26entry.1578404635%3DHadir</t>
  </si>
  <si>
    <t>1PCZbJ58VHjBxzozad9lTVc_4WHcJ24hj</t>
  </si>
  <si>
    <t>https://drive.google.com/file/d/1PCZbJ58VHjBxzozad9lTVc_4WHcJ24hj/view?usp=drivesdk</t>
  </si>
  <si>
    <t>3098805753 / 242510342</t>
  </si>
  <si>
    <t>Rania Salsabila</t>
  </si>
  <si>
    <t>https://quickchart.io/qr?size=250&amp;text=https%3A%2F%2Fdocs.google.com%2Fforms%2Fd%2Fe%2F1FAIpQLSeZ-R1GrWlAPkfaThGqxeTj0QTtrARw4rroxIIepf2kipn1nw%2FformResponse%3Fusp%3Dpp_url%26entry.1313582257%3D3098805753%20%2F%20242510342%26entry.1578404635%3DHadir</t>
  </si>
  <si>
    <t>1eBdpx3G599Uem8Sjcw3q2k_9g-9WVAua</t>
  </si>
  <si>
    <t>https://drive.google.com/file/d/1eBdpx3G599Uem8Sjcw3q2k_9g-9WVAua/view?usp=drivesdk</t>
  </si>
  <si>
    <t>0092827580 / 242510388</t>
  </si>
  <si>
    <t>Syahrena Pita Pinasih</t>
  </si>
  <si>
    <t>https://quickchart.io/qr?size=250&amp;text=https%3A%2F%2Fdocs.google.com%2Fforms%2Fd%2Fe%2F1FAIpQLSeZ-R1GrWlAPkfaThGqxeTj0QTtrARw4rroxIIepf2kipn1nw%2FformResponse%3Fusp%3Dpp_url%26entry.1313582257%3D0092827580%20%2F%20242510388%26entry.1578404635%3DHadir</t>
  </si>
  <si>
    <t>14FsdATa0nFs9XtrUksgGJrRxn6UHBJa3</t>
  </si>
  <si>
    <t>https://drive.google.com/file/d/14FsdATa0nFs9XtrUksgGJrRxn6UHBJa3/view?usp=drivesdk</t>
  </si>
  <si>
    <t>0083624999 / 242510402</t>
  </si>
  <si>
    <t>Tristan Muhammad Jibril</t>
  </si>
  <si>
    <t>https://quickchart.io/qr?size=250&amp;text=https%3A%2F%2Fdocs.google.com%2Fforms%2Fd%2Fe%2F1FAIpQLSeZ-R1GrWlAPkfaThGqxeTj0QTtrARw4rroxIIepf2kipn1nw%2FformResponse%3Fusp%3Dpp_url%26entry.1313582257%3D0083624999%20%2F%20242510402%26entry.1578404635%3DHadir</t>
  </si>
  <si>
    <t>195MjgS9-9AHAPJr5Wxk_NmxmD91jmrrf</t>
  </si>
  <si>
    <t>https://drive.google.com/file/d/195MjgS9-9AHAPJr5Wxk_NmxmD91jmrrf/view?usp=drivesdk</t>
  </si>
  <si>
    <t>0084290235 / 242510406</t>
  </si>
  <si>
    <t>Valeta Febiola Irmadani</t>
  </si>
  <si>
    <t>https://quickchart.io/qr?size=250&amp;text=https%3A%2F%2Fdocs.google.com%2Fforms%2Fd%2Fe%2F1FAIpQLSeZ-R1GrWlAPkfaThGqxeTj0QTtrARw4rroxIIepf2kipn1nw%2FformResponse%3Fusp%3Dpp_url%26entry.1313582257%3D0084290235%20%2F%20242510406%26entry.1578404635%3DHadir</t>
  </si>
  <si>
    <t>1eVT5xn_yrzFTZjxpO6ueuUpC_yssbLEo</t>
  </si>
  <si>
    <t>https://drive.google.com/file/d/1eVT5xn_yrzFTZjxpO6ueuUpC_yssbLEo/view?usp=drivesdk</t>
  </si>
  <si>
    <t>Document successfully created; Document successfully merged; PDF created; Manually run by skycircle.id@gmail.com; Timestamp: Feb 2 2026 6:17 PM</t>
  </si>
  <si>
    <t>0093286737 / 242510414</t>
  </si>
  <si>
    <t>Winda Maharani</t>
  </si>
  <si>
    <t>https://quickchart.io/qr?size=250&amp;text=https%3A%2F%2Fdocs.google.com%2Fforms%2Fd%2Fe%2F1FAIpQLSeZ-R1GrWlAPkfaThGqxeTj0QTtrARw4rroxIIepf2kipn1nw%2FformResponse%3Fusp%3Dpp_url%26entry.1313582257%3D0093286737%20%2F%20242510414%26entry.1578404635%3DHadir</t>
  </si>
  <si>
    <t>1x4SiNdzK0Ur4EQ7Z2DU165vzoAFamSSo</t>
  </si>
  <si>
    <t>https://drive.google.com/file/d/1x4SiNdzK0Ur4EQ7Z2DU165vzoAFamSSo/view?usp=drivesdk</t>
  </si>
  <si>
    <t>0091061057 / 242510416</t>
  </si>
  <si>
    <t>Wintang Hikmah Kusuma Dewi</t>
  </si>
  <si>
    <t>https://quickchart.io/qr?size=250&amp;text=https%3A%2F%2Fdocs.google.com%2Fforms%2Fd%2Fe%2F1FAIpQLSeZ-R1GrWlAPkfaThGqxeTj0QTtrARw4rroxIIepf2kipn1nw%2FformResponse%3Fusp%3Dpp_url%26entry.1313582257%3D0091061057%20%2F%20242510416%26entry.1578404635%3DHadir</t>
  </si>
  <si>
    <t>1tiIfn0QKKG4r0vgCVyNXO0Gl6e64XvwI</t>
  </si>
  <si>
    <t>https://drive.google.com/file/d/1tiIfn0QKKG4r0vgCVyNXO0Gl6e64XvwI/view?usp=drivesdk</t>
  </si>
  <si>
    <t>0095163025 / 242510426</t>
  </si>
  <si>
    <t>Zaskia Aulia Putri</t>
  </si>
  <si>
    <t>https://quickchart.io/qr?size=250&amp;text=https%3A%2F%2Fdocs.google.com%2Fforms%2Fd%2Fe%2F1FAIpQLSeZ-R1GrWlAPkfaThGqxeTj0QTtrARw4rroxIIepf2kipn1nw%2FformResponse%3Fusp%3Dpp_url%26entry.1313582257%3D0095163025%20%2F%20242510426%26entry.1578404635%3DHadir</t>
  </si>
  <si>
    <t>1XBqrmOuMx6_1FjcIaSnYnUlzE9KQnUe4</t>
  </si>
  <si>
    <t>https://drive.google.com/file/d/1XBqrmOuMx6_1FjcIaSnYnUlzE9KQnUe4/view?usp=drivesdk</t>
  </si>
  <si>
    <t>Document successfully created; Document successfully merged; PDF created; Manually run by skycircle.id@gmail.com; Timestamp: Feb 2 2026 6:18 PM</t>
  </si>
  <si>
    <t>0082747470 / 242510430</t>
  </si>
  <si>
    <t>Zhalida Daumixy Mora Siregar</t>
  </si>
  <si>
    <t>https://quickchart.io/qr?size=250&amp;text=https%3A%2F%2Fdocs.google.com%2Fforms%2Fd%2Fe%2F1FAIpQLSeZ-R1GrWlAPkfaThGqxeTj0QTtrARw4rroxIIepf2kipn1nw%2FformResponse%3Fusp%3Dpp_url%26entry.1313582257%3D0082747470%20%2F%20242510430%26entry.1578404635%3DHadir</t>
  </si>
  <si>
    <t>10QMwOFMrKmIarNBo47YoB4dk-gWcpYut</t>
  </si>
  <si>
    <t>https://drive.google.com/file/d/10QMwOFMrKmIarNBo47YoB4dk-gWcpYut/view?usp=drivesdk</t>
  </si>
  <si>
    <t>0085011294 / 242510432</t>
  </si>
  <si>
    <t>Zulfa Laila Mashurah</t>
  </si>
  <si>
    <t>https://quickchart.io/qr?size=250&amp;text=https%3A%2F%2Fdocs.google.com%2Fforms%2Fd%2Fe%2F1FAIpQLSeZ-R1GrWlAPkfaThGqxeTj0QTtrARw4rroxIIepf2kipn1nw%2FformResponse%3Fusp%3Dpp_url%26entry.1313582257%3D0085011294%20%2F%20242510432%26entry.1578404635%3DHadir</t>
  </si>
  <si>
    <t>1eAjj8D5KtsQpqAwsssPxziuIXXpdlqpT</t>
  </si>
  <si>
    <t>https://drive.google.com/file/d/1eAjj8D5KtsQpqAwsssPxziuIXXpdlqpT/view?usp=drivesdk</t>
  </si>
  <si>
    <t>0092385645 / 242510005</t>
  </si>
  <si>
    <t>Adinda Khayla</t>
  </si>
  <si>
    <t>XI A-2</t>
  </si>
  <si>
    <t>https://quickchart.io/qr?size=250&amp;text=https%3A%2F%2Fdocs.google.com%2Fforms%2Fd%2Fe%2F1FAIpQLSeZ-R1GrWlAPkfaThGqxeTj0QTtrARw4rroxIIepf2kipn1nw%2FformResponse%3Fusp%3Dpp_url%26entry.1313582257%3D0092385645%20%2F%20242510005%26entry.1578404635%3DHadir</t>
  </si>
  <si>
    <t>1Nt0iHdTeWO1qD3-i5fA7YVvLU7BVXlHA</t>
  </si>
  <si>
    <t>https://drive.google.com/file/d/1Nt0iHdTeWO1qD3-i5fA7YVvLU7BVXlHA/view?usp=drivesdk</t>
  </si>
  <si>
    <t>0083638898 / 242510007</t>
  </si>
  <si>
    <t>Aditya Narayan</t>
  </si>
  <si>
    <t>https://quickchart.io/qr?size=250&amp;text=https%3A%2F%2Fdocs.google.com%2Fforms%2Fd%2Fe%2F1FAIpQLSeZ-R1GrWlAPkfaThGqxeTj0QTtrARw4rroxIIepf2kipn1nw%2FformResponse%3Fusp%3Dpp_url%26entry.1313582257%3D0083638898%20%2F%20242510007%26entry.1578404635%3DHadir</t>
  </si>
  <si>
    <t>1gKmDsL5rGL9MtZzGwxO2OHADsXcRy4Kk</t>
  </si>
  <si>
    <t>https://drive.google.com/file/d/1gKmDsL5rGL9MtZzGwxO2OHADsXcRy4Kk/view?usp=drivesdk</t>
  </si>
  <si>
    <t>0083581318 / 242510018</t>
  </si>
  <si>
    <t>Aisyah Syuja Larasati Sigit</t>
  </si>
  <si>
    <t>https://quickchart.io/qr?size=250&amp;text=https%3A%2F%2Fdocs.google.com%2Fforms%2Fd%2Fe%2F1FAIpQLSeZ-R1GrWlAPkfaThGqxeTj0QTtrARw4rroxIIepf2kipn1nw%2FformResponse%3Fusp%3Dpp_url%26entry.1313582257%3D0083581318%20%2F%20242510018%26entry.1578404635%3DHadir</t>
  </si>
  <si>
    <t>1pij1QdOOs09IJMi_TgHl7ThE3giSeg17</t>
  </si>
  <si>
    <t>https://drive.google.com/file/d/1pij1QdOOs09IJMi_TgHl7ThE3giSeg17/view?usp=drivesdk</t>
  </si>
  <si>
    <t>Document successfully created; Document successfully merged; PDF created; Manually run by skycircle.id@gmail.com; Timestamp: Feb 2 2026 6:19 PM</t>
  </si>
  <si>
    <t>0086733881 / 242510028</t>
  </si>
  <si>
    <t>Alma Destianti</t>
  </si>
  <si>
    <t>https://quickchart.io/qr?size=250&amp;text=https%3A%2F%2Fdocs.google.com%2Fforms%2Fd%2Fe%2F1FAIpQLSeZ-R1GrWlAPkfaThGqxeTj0QTtrARw4rroxIIepf2kipn1nw%2FformResponse%3Fusp%3Dpp_url%26entry.1313582257%3D0086733881%20%2F%20242510028%26entry.1578404635%3DHadir</t>
  </si>
  <si>
    <t>1FKsRKbmZ4eKe0yHl2ouiHpY4qTtRWiIf</t>
  </si>
  <si>
    <t>https://drive.google.com/file/d/1FKsRKbmZ4eKe0yHl2ouiHpY4qTtRWiIf/view?usp=drivesdk</t>
  </si>
  <si>
    <t>0098621054 / 242510037</t>
  </si>
  <si>
    <t>Alya Mukhbita Hendriana</t>
  </si>
  <si>
    <t>https://quickchart.io/qr?size=250&amp;text=https%3A%2F%2Fdocs.google.com%2Fforms%2Fd%2Fe%2F1FAIpQLSeZ-R1GrWlAPkfaThGqxeTj0QTtrARw4rroxIIepf2kipn1nw%2FformResponse%3Fusp%3Dpp_url%26entry.1313582257%3D0098621054%20%2F%20242510037%26entry.1578404635%3DHadir</t>
  </si>
  <si>
    <t>1K1ssMRCW24TlTgeLre2rESCSqzQH2KSI</t>
  </si>
  <si>
    <t>https://drive.google.com/file/d/1K1ssMRCW24TlTgeLre2rESCSqzQH2KSI/view?usp=drivesdk</t>
  </si>
  <si>
    <t>0092707821 / 242510046</t>
  </si>
  <si>
    <t>Anindita Naranisa Jati</t>
  </si>
  <si>
    <t>https://quickchart.io/qr?size=250&amp;text=https%3A%2F%2Fdocs.google.com%2Fforms%2Fd%2Fe%2F1FAIpQLSeZ-R1GrWlAPkfaThGqxeTj0QTtrARw4rroxIIepf2kipn1nw%2FformResponse%3Fusp%3Dpp_url%26entry.1313582257%3D0092707821%20%2F%20242510046%26entry.1578404635%3DHadir</t>
  </si>
  <si>
    <t>1WgkGa99gXIE8Fq2kPZrZC2d9JBKEiC_C</t>
  </si>
  <si>
    <t>https://drive.google.com/file/d/1WgkGa99gXIE8Fq2kPZrZC2d9JBKEiC_C/view?usp=drivesdk</t>
  </si>
  <si>
    <t>Annisa Nur Fajriya</t>
  </si>
  <si>
    <t>https://quickchart.io/qr?size=250&amp;text=https%3A%2F%2Fdocs.google.com%2Fforms%2Fd%2Fe%2F1FAIpQLSeZ-R1GrWlAPkfaThGqxeTj0QTtrARw4rroxIIepf2kipn1nw%2FformResponse%3Fusp%3Dpp_url%26entry.1313582257%3D0083016159%20%2F%20242510052%26entry.1578404635%3DHadir</t>
  </si>
  <si>
    <t>1Ub8UJF9FsxxWVRloNSZOohZgIT7yIHGA</t>
  </si>
  <si>
    <t>https://drive.google.com/file/d/1Ub8UJF9FsxxWVRloNSZOohZgIT7yIHGA/view?usp=drivesdk</t>
  </si>
  <si>
    <t>0083641645 / 242510064</t>
  </si>
  <si>
    <t>Atma Pertiwi</t>
  </si>
  <si>
    <t>https://quickchart.io/qr?size=250&amp;text=https%3A%2F%2Fdocs.google.com%2Fforms%2Fd%2Fe%2F1FAIpQLSeZ-R1GrWlAPkfaThGqxeTj0QTtrARw4rroxIIepf2kipn1nw%2FformResponse%3Fusp%3Dpp_url%26entry.1313582257%3D0083641645%20%2F%20242510064%26entry.1578404635%3DHadir</t>
  </si>
  <si>
    <t>1YjMx01n2gamnlkO5uzcvGQef8FuMVCqI</t>
  </si>
  <si>
    <t>https://drive.google.com/file/d/1YjMx01n2gamnlkO5uzcvGQef8FuMVCqI/view?usp=drivesdk</t>
  </si>
  <si>
    <t>0093262366 / 242510104</t>
  </si>
  <si>
    <t>Deivar Brimantara</t>
  </si>
  <si>
    <t>https://quickchart.io/qr?size=250&amp;text=https%3A%2F%2Fdocs.google.com%2Fforms%2Fd%2Fe%2F1FAIpQLSeZ-R1GrWlAPkfaThGqxeTj0QTtrARw4rroxIIepf2kipn1nw%2FformResponse%3Fusp%3Dpp_url%26entry.1313582257%3D0093262366%20%2F%20242510104%26entry.1578404635%3DHadir</t>
  </si>
  <si>
    <t>1FyXgj0IY9AsBtzkVuWSzb6HRbFuBZ725</t>
  </si>
  <si>
    <t>https://drive.google.com/file/d/1FyXgj0IY9AsBtzkVuWSzb6HRbFuBZ725/view?usp=drivesdk</t>
  </si>
  <si>
    <t>Document successfully created; Document successfully merged; PDF created; Manually run by skycircle.id@gmail.com; Timestamp: Feb 2 2026 6:20 PM</t>
  </si>
  <si>
    <t>0096851574 / 242510117</t>
  </si>
  <si>
    <t>Dzakia Fitri</t>
  </si>
  <si>
    <t>https://quickchart.io/qr?size=250&amp;text=https%3A%2F%2Fdocs.google.com%2Fforms%2Fd%2Fe%2F1FAIpQLSeZ-R1GrWlAPkfaThGqxeTj0QTtrARw4rroxIIepf2kipn1nw%2FformResponse%3Fusp%3Dpp_url%26entry.1313582257%3D0096851574%20%2F%20242510117%26entry.1578404635%3DHadir</t>
  </si>
  <si>
    <t>16_YoOi70WGM4s9H5fc-4LcWZweCXYvzK</t>
  </si>
  <si>
    <t>https://drive.google.com/file/d/16_YoOi70WGM4s9H5fc-4LcWZweCXYvzK/view?usp=drivesdk</t>
  </si>
  <si>
    <t>0092622229 / 242510129</t>
  </si>
  <si>
    <t>Fadhilah Dwi Sabrina Nugrahaning Putri</t>
  </si>
  <si>
    <t>https://quickchart.io/qr?size=250&amp;text=https%3A%2F%2Fdocs.google.com%2Fforms%2Fd%2Fe%2F1FAIpQLSeZ-R1GrWlAPkfaThGqxeTj0QTtrARw4rroxIIepf2kipn1nw%2FformResponse%3Fusp%3Dpp_url%26entry.1313582257%3D0092622229%20%2F%20242510129%26entry.1578404635%3DHadir</t>
  </si>
  <si>
    <t>1xmExiAcBq3UYwIIJKk4nIizCrMHanjGA</t>
  </si>
  <si>
    <t>https://drive.google.com/file/d/1xmExiAcBq3UYwIIJKk4nIizCrMHanjGA/view?usp=drivesdk</t>
  </si>
  <si>
    <t>0081916428 / 242510141</t>
  </si>
  <si>
    <t>Fellysia Oktafia Fernanda</t>
  </si>
  <si>
    <t>https://quickchart.io/qr?size=250&amp;text=https%3A%2F%2Fdocs.google.com%2Fforms%2Fd%2Fe%2F1FAIpQLSeZ-R1GrWlAPkfaThGqxeTj0QTtrARw4rroxIIepf2kipn1nw%2FformResponse%3Fusp%3Dpp_url%26entry.1313582257%3D0081916428%20%2F%20242510141%26entry.1578404635%3DHadir</t>
  </si>
  <si>
    <t>1fQuUx_YrRp3g8QaPJ7KTeSjtyONEKkjp</t>
  </si>
  <si>
    <t>https://drive.google.com/file/d/1fQuUx_YrRp3g8QaPJ7KTeSjtyONEKkjp/view?usp=drivesdk</t>
  </si>
  <si>
    <t>0095691756 / 242510144</t>
  </si>
  <si>
    <t>Fiquita Napu</t>
  </si>
  <si>
    <t>https://quickchart.io/qr?size=250&amp;text=https%3A%2F%2Fdocs.google.com%2Fforms%2Fd%2Fe%2F1FAIpQLSeZ-R1GrWlAPkfaThGqxeTj0QTtrARw4rroxIIepf2kipn1nw%2FformResponse%3Fusp%3Dpp_url%26entry.1313582257%3D0095691756%20%2F%20242510144%26entry.1578404635%3DHadir</t>
  </si>
  <si>
    <t>1cuAUKkFIiqVO0HFL_UxjouXAobedEbr3</t>
  </si>
  <si>
    <t>https://drive.google.com/file/d/1cuAUKkFIiqVO0HFL_UxjouXAobedEbr3/view?usp=drivesdk</t>
  </si>
  <si>
    <t>0082539116 / 242510153</t>
  </si>
  <si>
    <t>Glenn Hubert Jonathan Haholongan Simanungkalit</t>
  </si>
  <si>
    <t>https://quickchart.io/qr?size=250&amp;text=https%3A%2F%2Fdocs.google.com%2Fforms%2Fd%2Fe%2F1FAIpQLSeZ-R1GrWlAPkfaThGqxeTj0QTtrARw4rroxIIepf2kipn1nw%2FformResponse%3Fusp%3Dpp_url%26entry.1313582257%3D0082539116%20%2F%20242510153%26entry.1578404635%3DHadir</t>
  </si>
  <si>
    <t>1rKXOavkLcDfQ6anpqpYQ0hnfoXqPtVfB</t>
  </si>
  <si>
    <t>https://drive.google.com/file/d/1rKXOavkLcDfQ6anpqpYQ0hnfoXqPtVfB/view?usp=drivesdk</t>
  </si>
  <si>
    <t>Document successfully created; Document successfully merged; PDF created; Manually run by skycircle.id@gmail.com; Timestamp: Feb 2 2026 6:21 PM</t>
  </si>
  <si>
    <t>0099310873 / 242510160</t>
  </si>
  <si>
    <t>Hanif Aulia Rifqy</t>
  </si>
  <si>
    <t>https://quickchart.io/qr?size=250&amp;text=https%3A%2F%2Fdocs.google.com%2Fforms%2Fd%2Fe%2F1FAIpQLSeZ-R1GrWlAPkfaThGqxeTj0QTtrARw4rroxIIepf2kipn1nw%2FformResponse%3Fusp%3Dpp_url%26entry.1313582257%3D0099310873%20%2F%20242510160%26entry.1578404635%3DHadir</t>
  </si>
  <si>
    <t>13vginTAvj34LQWKkL2MCGz8fuFL_umXm</t>
  </si>
  <si>
    <t>https://drive.google.com/file/d/13vginTAvj34LQWKkL2MCGz8fuFL_umXm/view?usp=drivesdk</t>
  </si>
  <si>
    <t>0099954531 / 242510162</t>
  </si>
  <si>
    <t>Haykal Wisnu Bayu Wiemanji</t>
  </si>
  <si>
    <t>https://quickchart.io/qr?size=250&amp;text=https%3A%2F%2Fdocs.google.com%2Fforms%2Fd%2Fe%2F1FAIpQLSeZ-R1GrWlAPkfaThGqxeTj0QTtrARw4rroxIIepf2kipn1nw%2FformResponse%3Fusp%3Dpp_url%26entry.1313582257%3D0099954531%20%2F%20242510162%26entry.1578404635%3DHadir</t>
  </si>
  <si>
    <t>1qixOTObge-HjRaxnjiqhD9GB-uT-DBMW</t>
  </si>
  <si>
    <t>https://drive.google.com/file/d/1qixOTObge-HjRaxnjiqhD9GB-uT-DBMW/view?usp=drivesdk</t>
  </si>
  <si>
    <t>0094260903 / 242510227</t>
  </si>
  <si>
    <t>Maulida Az Zahra Nurrayani</t>
  </si>
  <si>
    <t>https://quickchart.io/qr?size=250&amp;text=https%3A%2F%2Fdocs.google.com%2Fforms%2Fd%2Fe%2F1FAIpQLSeZ-R1GrWlAPkfaThGqxeTj0QTtrARw4rroxIIepf2kipn1nw%2FformResponse%3Fusp%3Dpp_url%26entry.1313582257%3D0094260903%20%2F%20242510227%26entry.1578404635%3DHadir</t>
  </si>
  <si>
    <t>15mccHxrrQHJZ2FTi9DxicqMHAWSISoiy</t>
  </si>
  <si>
    <t>https://drive.google.com/file/d/15mccHxrrQHJZ2FTi9DxicqMHAWSISoiy/view?usp=drivesdk</t>
  </si>
  <si>
    <t>0089204896 / 242510238</t>
  </si>
  <si>
    <t>Moehamad Putra Aulia</t>
  </si>
  <si>
    <t>https://quickchart.io/qr?size=250&amp;text=https%3A%2F%2Fdocs.google.com%2Fforms%2Fd%2Fe%2F1FAIpQLSeZ-R1GrWlAPkfaThGqxeTj0QTtrARw4rroxIIepf2kipn1nw%2FformResponse%3Fusp%3Dpp_url%26entry.1313582257%3D0089204896%20%2F%20242510238%26entry.1578404635%3DHadir</t>
  </si>
  <si>
    <t>1cnM-Pr9VytVZm4S1dN6nj8BeMwDyyapw</t>
  </si>
  <si>
    <t>https://drive.google.com/file/d/1cnM-Pr9VytVZm4S1dN6nj8BeMwDyyapw/view?usp=drivesdk</t>
  </si>
  <si>
    <t>0091447390 / 242510261</t>
  </si>
  <si>
    <t>Muhammad Fariz Duta Ehsan</t>
  </si>
  <si>
    <t>https://quickchart.io/qr?size=250&amp;text=https%3A%2F%2Fdocs.google.com%2Fforms%2Fd%2Fe%2F1FAIpQLSeZ-R1GrWlAPkfaThGqxeTj0QTtrARw4rroxIIepf2kipn1nw%2FformResponse%3Fusp%3Dpp_url%26entry.1313582257%3D0091447390%20%2F%20242510261%26entry.1578404635%3DHadir</t>
  </si>
  <si>
    <t>1YjM2AyayUCM4yrowEafWde7v5QDEcLkO</t>
  </si>
  <si>
    <t>https://drive.google.com/file/d/1YjM2AyayUCM4yrowEafWde7v5QDEcLkO/view?usp=drivesdk</t>
  </si>
  <si>
    <t>3092211203 / 242510274</t>
  </si>
  <si>
    <t>Muhammad Rizki Salim</t>
  </si>
  <si>
    <t>https://quickchart.io/qr?size=250&amp;text=https%3A%2F%2Fdocs.google.com%2Fforms%2Fd%2Fe%2F1FAIpQLSeZ-R1GrWlAPkfaThGqxeTj0QTtrARw4rroxIIepf2kipn1nw%2FformResponse%3Fusp%3Dpp_url%26entry.1313582257%3D3092211203%20%2F%20242510274%26entry.1578404635%3DHadir</t>
  </si>
  <si>
    <t>1z4X73HtSA1nrDk8ntIkR3An9qb2abw5E</t>
  </si>
  <si>
    <t>https://drive.google.com/file/d/1z4X73HtSA1nrDk8ntIkR3An9qb2abw5E/view?usp=drivesdk</t>
  </si>
  <si>
    <t>Document successfully created; Document successfully merged; PDF created; Manually run by skycircle.id@gmail.com; Timestamp: Feb 2 2026 6:22 PM</t>
  </si>
  <si>
    <t>0095657800 / 242510283</t>
  </si>
  <si>
    <t>Muthia Jasmine Muthma Innah</t>
  </si>
  <si>
    <t>https://quickchart.io/qr?size=250&amp;text=https%3A%2F%2Fdocs.google.com%2Fforms%2Fd%2Fe%2F1FAIpQLSeZ-R1GrWlAPkfaThGqxeTj0QTtrARw4rroxIIepf2kipn1nw%2FformResponse%3Fusp%3Dpp_url%26entry.1313582257%3D0095657800%20%2F%20242510283%26entry.1578404635%3DHadir</t>
  </si>
  <si>
    <t>1fFivvI7Qj1k48x4-A312pDlEY-uQVNDh</t>
  </si>
  <si>
    <t>https://drive.google.com/file/d/1fFivvI7Qj1k48x4-A312pDlEY-uQVNDh/view?usp=drivesdk</t>
  </si>
  <si>
    <t>0082650076 / 242510304</t>
  </si>
  <si>
    <t>Ni Made Nazela</t>
  </si>
  <si>
    <t>https://quickchart.io/qr?size=250&amp;text=https%3A%2F%2Fdocs.google.com%2Fforms%2Fd%2Fe%2F1FAIpQLSeZ-R1GrWlAPkfaThGqxeTj0QTtrARw4rroxIIepf2kipn1nw%2FformResponse%3Fusp%3Dpp_url%26entry.1313582257%3D0082650076%20%2F%20242510304%26entry.1578404635%3DHadir</t>
  </si>
  <si>
    <t>1UL0PftDQj4NLemyTdQOTBPqZIzF3wMDW</t>
  </si>
  <si>
    <t>https://drive.google.com/file/d/1UL0PftDQj4NLemyTdQOTBPqZIzF3wMDW/view?usp=drivesdk</t>
  </si>
  <si>
    <t>0095420383 / 242510306</t>
  </si>
  <si>
    <t>Niken Zahrothul Sita</t>
  </si>
  <si>
    <t>https://quickchart.io/qr?size=250&amp;text=https%3A%2F%2Fdocs.google.com%2Fforms%2Fd%2Fe%2F1FAIpQLSeZ-R1GrWlAPkfaThGqxeTj0QTtrARw4rroxIIepf2kipn1nw%2FformResponse%3Fusp%3Dpp_url%26entry.1313582257%3D0095420383%20%2F%20242510306%26entry.1578404635%3DHadir</t>
  </si>
  <si>
    <t>1LD2TP9YmRR5l_gW03SsJhQYNhNBRb9yn</t>
  </si>
  <si>
    <t>https://drive.google.com/file/d/1LD2TP9YmRR5l_gW03SsJhQYNhNBRb9yn/view?usp=drivesdk</t>
  </si>
  <si>
    <t>3097669813 / 242510308</t>
  </si>
  <si>
    <t>Nurafni Maisa</t>
  </si>
  <si>
    <t>https://quickchart.io/qr?size=250&amp;text=https%3A%2F%2Fdocs.google.com%2Fforms%2Fd%2Fe%2F1FAIpQLSeZ-R1GrWlAPkfaThGqxeTj0QTtrARw4rroxIIepf2kipn1nw%2FformResponse%3Fusp%3Dpp_url%26entry.1313582257%3D3097669813%20%2F%20242510308%26entry.1578404635%3DHadir</t>
  </si>
  <si>
    <t>11oWzJ_iYizKGsd1ds5ITHNvm6a26BZZm</t>
  </si>
  <si>
    <t>https://drive.google.com/file/d/11oWzJ_iYizKGsd1ds5ITHNvm6a26BZZm/view?usp=drivesdk</t>
  </si>
  <si>
    <t>0086704012 / 242510310</t>
  </si>
  <si>
    <t>Nurisya Aulia Shabiira</t>
  </si>
  <si>
    <t>https://quickchart.io/qr?size=250&amp;text=https%3A%2F%2Fdocs.google.com%2Fforms%2Fd%2Fe%2F1FAIpQLSeZ-R1GrWlAPkfaThGqxeTj0QTtrARw4rroxIIepf2kipn1nw%2FformResponse%3Fusp%3Dpp_url%26entry.1313582257%3D0086704012%20%2F%20242510310%26entry.1578404635%3DHadir</t>
  </si>
  <si>
    <t>1ASp6actKQW6mR71itf0O3sEJLpt28IFE</t>
  </si>
  <si>
    <t>https://drive.google.com/file/d/1ASp6actKQW6mR71itf0O3sEJLpt28IFE/view?usp=drivesdk</t>
  </si>
  <si>
    <t>0095788052 / 242510329</t>
  </si>
  <si>
    <t>Rachmat Saidi Koes Mulyana</t>
  </si>
  <si>
    <t>https://quickchart.io/qr?size=250&amp;text=https%3A%2F%2Fdocs.google.com%2Fforms%2Fd%2Fe%2F1FAIpQLSeZ-R1GrWlAPkfaThGqxeTj0QTtrARw4rroxIIepf2kipn1nw%2FformResponse%3Fusp%3Dpp_url%26entry.1313582257%3D0095788052%20%2F%20242510329%26entry.1578404635%3DHadir</t>
  </si>
  <si>
    <t>1blDCiYzrRlolluLMMoA046c7qhE47oEO</t>
  </si>
  <si>
    <t>https://drive.google.com/file/d/1blDCiYzrRlolluLMMoA046c7qhE47oEO/view?usp=drivesdk</t>
  </si>
  <si>
    <t>Document successfully created; Document successfully merged; PDF created; Manually run by skycircle.id@gmail.com; Timestamp: Feb 2 2026 6:23 PM</t>
  </si>
  <si>
    <t>Raissa Zahra Hidayat</t>
  </si>
  <si>
    <t>https://quickchart.io/qr?size=250&amp;text=https%3A%2F%2Fdocs.google.com%2Fforms%2Fd%2Fe%2F1FAIpQLSeZ-R1GrWlAPkfaThGqxeTj0QTtrARw4rroxIIepf2kipn1nw%2FformResponse%3Fusp%3Dpp_url%26entry.1313582257%3D0094946777%20%2F%20242510338%26entry.1578404635%3DHadir</t>
  </si>
  <si>
    <t>1y87EPduhgNWu87jC08B82cQ5GaJQo5C5</t>
  </si>
  <si>
    <t>https://drive.google.com/file/d/1y87EPduhgNWu87jC08B82cQ5GaJQo5C5/view?usp=drivesdk</t>
  </si>
  <si>
    <t>0097830870 / 242510354</t>
  </si>
  <si>
    <t>Rizieq Zidan Rizal</t>
  </si>
  <si>
    <t>https://quickchart.io/qr?size=250&amp;text=https%3A%2F%2Fdocs.google.com%2Fforms%2Fd%2Fe%2F1FAIpQLSeZ-R1GrWlAPkfaThGqxeTj0QTtrARw4rroxIIepf2kipn1nw%2FformResponse%3Fusp%3Dpp_url%26entry.1313582257%3D0097830870%20%2F%20242510354%26entry.1578404635%3DHadir</t>
  </si>
  <si>
    <t>1Hcq0AkIXdzxce2LJzifkOYnk8ckc-uMm</t>
  </si>
  <si>
    <t>https://drive.google.com/file/d/1Hcq0AkIXdzxce2LJzifkOYnk8ckc-uMm/view?usp=drivesdk</t>
  </si>
  <si>
    <t>0092343794 / 242510355</t>
  </si>
  <si>
    <t>Rizka Rana Naila</t>
  </si>
  <si>
    <t>https://quickchart.io/qr?size=250&amp;text=https%3A%2F%2Fdocs.google.com%2Fforms%2Fd%2Fe%2F1FAIpQLSeZ-R1GrWlAPkfaThGqxeTj0QTtrARw4rroxIIepf2kipn1nw%2FformResponse%3Fusp%3Dpp_url%26entry.1313582257%3D0092343794%20%2F%20242510355%26entry.1578404635%3DHadir</t>
  </si>
  <si>
    <t>1HAc2q2ohDh7ya_3DqiXR-v3XfOUaPUVw</t>
  </si>
  <si>
    <t>https://drive.google.com/file/d/1HAc2q2ohDh7ya_3DqiXR-v3XfOUaPUVw/view?usp=drivesdk</t>
  </si>
  <si>
    <t>Document successfully created; Document successfully merged; PDF created; Manually run by skycircle.id@gmail.com; Timestamp: Feb 2 2026 6:24 PM</t>
  </si>
  <si>
    <t>0095556013 / 242510366</t>
  </si>
  <si>
    <t>Salsabila Maulani</t>
  </si>
  <si>
    <t>https://quickchart.io/qr?size=250&amp;text=https%3A%2F%2Fdocs.google.com%2Fforms%2Fd%2Fe%2F1FAIpQLSeZ-R1GrWlAPkfaThGqxeTj0QTtrARw4rroxIIepf2kipn1nw%2FformResponse%3Fusp%3Dpp_url%26entry.1313582257%3D0095556013%20%2F%20242510366%26entry.1578404635%3DHadir</t>
  </si>
  <si>
    <t>1IRu23d56JhG2cRCdAd81Nw3kMcARygLg</t>
  </si>
  <si>
    <t>https://drive.google.com/file/d/1IRu23d56JhG2cRCdAd81Nw3kMcARygLg/view?usp=drivesdk</t>
  </si>
  <si>
    <t>0094079262 / 242510374</t>
  </si>
  <si>
    <t>Santika Febyanti</t>
  </si>
  <si>
    <t>https://quickchart.io/qr?size=250&amp;text=https%3A%2F%2Fdocs.google.com%2Fforms%2Fd%2Fe%2F1FAIpQLSeZ-R1GrWlAPkfaThGqxeTj0QTtrARw4rroxIIepf2kipn1nw%2FformResponse%3Fusp%3Dpp_url%26entry.1313582257%3D0094079262%20%2F%20242510374%26entry.1578404635%3DHadir</t>
  </si>
  <si>
    <t>1cZwBkOPVd6iq4TowmWcDZYmZtknLUsj9</t>
  </si>
  <si>
    <t>https://drive.google.com/file/d/1cZwBkOPVd6iq4TowmWcDZYmZtknLUsj9/view?usp=drivesdk</t>
  </si>
  <si>
    <t>0072787144 / 242510377</t>
  </si>
  <si>
    <t>Savira Oktavia Prasetyo</t>
  </si>
  <si>
    <t>https://quickchart.io/qr?size=250&amp;text=https%3A%2F%2Fdocs.google.com%2Fforms%2Fd%2Fe%2F1FAIpQLSeZ-R1GrWlAPkfaThGqxeTj0QTtrARw4rroxIIepf2kipn1nw%2FformResponse%3Fusp%3Dpp_url%26entry.1313582257%3D0072787144%20%2F%20242510377%26entry.1578404635%3DHadir</t>
  </si>
  <si>
    <t>1o208HHg0gz0nVLVJsSVy230XOeFgZ_kd</t>
  </si>
  <si>
    <t>https://drive.google.com/file/d/1o208HHg0gz0nVLVJsSVy230XOeFgZ_kd/view?usp=drivesdk</t>
  </si>
  <si>
    <t>0096304229 / 242510387</t>
  </si>
  <si>
    <t>Syadien Kamillia Agustin</t>
  </si>
  <si>
    <t>https://quickchart.io/qr?size=250&amp;text=https%3A%2F%2Fdocs.google.com%2Fforms%2Fd%2Fe%2F1FAIpQLSeZ-R1GrWlAPkfaThGqxeTj0QTtrARw4rroxIIepf2kipn1nw%2FformResponse%3Fusp%3Dpp_url%26entry.1313582257%3D0096304229%20%2F%20242510387%26entry.1578404635%3DHadir</t>
  </si>
  <si>
    <t>10g-E-h0-1yWWBpSs8MjBmBeZDyLw4SNN</t>
  </si>
  <si>
    <t>https://drive.google.com/file/d/10g-E-h0-1yWWBpSs8MjBmBeZDyLw4SNN/view?usp=drivesdk</t>
  </si>
  <si>
    <t>0093907013 / 242510390</t>
  </si>
  <si>
    <t>Syaikhah Anbar</t>
  </si>
  <si>
    <t>https://quickchart.io/qr?size=250&amp;text=https%3A%2F%2Fdocs.google.com%2Fforms%2Fd%2Fe%2F1FAIpQLSeZ-R1GrWlAPkfaThGqxeTj0QTtrARw4rroxIIepf2kipn1nw%2FformResponse%3Fusp%3Dpp_url%26entry.1313582257%3D0093907013%20%2F%20242510390%26entry.1578404635%3DHadir</t>
  </si>
  <si>
    <t>12-3-zmMVPsQNinQmCUILOXrQy5jyqB8E</t>
  </si>
  <si>
    <t>https://drive.google.com/file/d/12-3-zmMVPsQNinQmCUILOXrQy5jyqB8E/view?usp=drivesdk</t>
  </si>
  <si>
    <t>0084548048 / 242510404</t>
  </si>
  <si>
    <t>Tumpal David Hotbonardo Napitupulu</t>
  </si>
  <si>
    <t>https://quickchart.io/qr?size=250&amp;text=https%3A%2F%2Fdocs.google.com%2Fforms%2Fd%2Fe%2F1FAIpQLSeZ-R1GrWlAPkfaThGqxeTj0QTtrARw4rroxIIepf2kipn1nw%2FformResponse%3Fusp%3Dpp_url%26entry.1313582257%3D0084548048%20%2F%20242510404%26entry.1578404635%3DHadir</t>
  </si>
  <si>
    <t>16Rv_r5y55P-EGBUMCzG3Sw_6zLM0MGoG</t>
  </si>
  <si>
    <t>https://drive.google.com/file/d/16Rv_r5y55P-EGBUMCzG3Sw_6zLM0MGoG/view?usp=drivesdk</t>
  </si>
  <si>
    <t>Document successfully created; Document successfully merged; PDF created; Manually run by skycircle.id@gmail.com; Timestamp: Feb 2 2026 6:25 PM</t>
  </si>
  <si>
    <t>0094935892 / 242510412</t>
  </si>
  <si>
    <t>Wanda Zhafirah</t>
  </si>
  <si>
    <t>https://quickchart.io/qr?size=250&amp;text=https%3A%2F%2Fdocs.google.com%2Fforms%2Fd%2Fe%2F1FAIpQLSeZ-R1GrWlAPkfaThGqxeTj0QTtrARw4rroxIIepf2kipn1nw%2FformResponse%3Fusp%3Dpp_url%26entry.1313582257%3D0094935892%20%2F%20242510412%26entry.1578404635%3DHadir</t>
  </si>
  <si>
    <t>1rTh_YCrFN7s6xeVA390L5xtI5iiVhT_g</t>
  </si>
  <si>
    <t>https://drive.google.com/file/d/1rTh_YCrFN7s6xeVA390L5xtI5iiVhT_g/view?usp=drivesdk</t>
  </si>
  <si>
    <t>0085027044 / 242510010</t>
  </si>
  <si>
    <t>Ahmad Humam Rifqi</t>
  </si>
  <si>
    <t>XI B-1</t>
  </si>
  <si>
    <t>https://quickchart.io/qr?size=250&amp;text=https%3A%2F%2Fdocs.google.com%2Fforms%2Fd%2Fe%2F1FAIpQLSeZ-R1GrWlAPkfaThGqxeTj0QTtrARw4rroxIIepf2kipn1nw%2FformResponse%3Fusp%3Dpp_url%26entry.1313582257%3D0085027044%20%2F%20242510010%26entry.1578404635%3DHadir</t>
  </si>
  <si>
    <t>1ZxGAz-3CZseYg3BkvfKFG9dvErrLhlqt</t>
  </si>
  <si>
    <t>https://drive.google.com/file/d/1ZxGAz-3CZseYg3BkvfKFG9dvErrLhlqt/view?usp=drivesdk</t>
  </si>
  <si>
    <t>0081265372 / 242510027</t>
  </si>
  <si>
    <t>Allayda Cindy Addrian</t>
  </si>
  <si>
    <t>https://quickchart.io/qr?size=250&amp;text=https%3A%2F%2Fdocs.google.com%2Fforms%2Fd%2Fe%2F1FAIpQLSeZ-R1GrWlAPkfaThGqxeTj0QTtrARw4rroxIIepf2kipn1nw%2FformResponse%3Fusp%3Dpp_url%26entry.1313582257%3D0081265372%20%2F%20242510027%26entry.1578404635%3DHadir</t>
  </si>
  <si>
    <t>1bbQwHPjLR2Fbl4etB8m3V996AdWwQshk</t>
  </si>
  <si>
    <t>https://drive.google.com/file/d/1bbQwHPjLR2Fbl4etB8m3V996AdWwQshk/view?usp=drivesdk</t>
  </si>
  <si>
    <t>0092697249 / 242510041</t>
  </si>
  <si>
    <t>Anandio Alfathir Suherman</t>
  </si>
  <si>
    <t>https://quickchart.io/qr?size=250&amp;text=https%3A%2F%2Fdocs.google.com%2Fforms%2Fd%2Fe%2F1FAIpQLSeZ-R1GrWlAPkfaThGqxeTj0QTtrARw4rroxIIepf2kipn1nw%2FformResponse%3Fusp%3Dpp_url%26entry.1313582257%3D0092697249%20%2F%20242510041%26entry.1578404635%3DHadir</t>
  </si>
  <si>
    <t>1F2YFyZW8VyeUaDsGTxbMyZm1uFU0x2MH</t>
  </si>
  <si>
    <t>https://drive.google.com/file/d/1F2YFyZW8VyeUaDsGTxbMyZm1uFU0x2MH/view?usp=drivesdk</t>
  </si>
  <si>
    <t>0085437129 / 242510070</t>
  </si>
  <si>
    <t>Aura Humaira Putri Gunawan</t>
  </si>
  <si>
    <t>https://quickchart.io/qr?size=250&amp;text=https%3A%2F%2Fdocs.google.com%2Fforms%2Fd%2Fe%2F1FAIpQLSeZ-R1GrWlAPkfaThGqxeTj0QTtrARw4rroxIIepf2kipn1nw%2FformResponse%3Fusp%3Dpp_url%26entry.1313582257%3D0085437129%20%2F%20242510070%26entry.1578404635%3DHadir</t>
  </si>
  <si>
    <t>1c1iqIMkG7fBxLprUvUiYFUm_I_Pusjqh</t>
  </si>
  <si>
    <t>https://drive.google.com/file/d/1c1iqIMkG7fBxLprUvUiYFUm_I_Pusjqh/view?usp=drivesdk</t>
  </si>
  <si>
    <t>0098656322 / 242510113</t>
  </si>
  <si>
    <t>Dinda Syafana Alfatiha .N .R .K</t>
  </si>
  <si>
    <t>https://quickchart.io/qr?size=250&amp;text=https%3A%2F%2Fdocs.google.com%2Fforms%2Fd%2Fe%2F1FAIpQLSeZ-R1GrWlAPkfaThGqxeTj0QTtrARw4rroxIIepf2kipn1nw%2FformResponse%3Fusp%3Dpp_url%26entry.1313582257%3D0098656322%20%2F%20242510113%26entry.1578404635%3DHadir</t>
  </si>
  <si>
    <t>1vNEpKnZArgOk_i4oC0SP_C9BTKP0Zt_P</t>
  </si>
  <si>
    <t>https://drive.google.com/file/d/1vNEpKnZArgOk_i4oC0SP_C9BTKP0Zt_P/view?usp=drivesdk</t>
  </si>
  <si>
    <t>Document successfully created; Document successfully merged; PDF created; Manually run by skycircle.id@gmail.com; Timestamp: Feb 2 2026 6:26 PM</t>
  </si>
  <si>
    <t>0096763243 / 242510120</t>
  </si>
  <si>
    <t>Elizabeth Fransiska Siregar</t>
  </si>
  <si>
    <t>https://quickchart.io/qr?size=250&amp;text=https%3A%2F%2Fdocs.google.com%2Fforms%2Fd%2Fe%2F1FAIpQLSeZ-R1GrWlAPkfaThGqxeTj0QTtrARw4rroxIIepf2kipn1nw%2FformResponse%3Fusp%3Dpp_url%26entry.1313582257%3D0096763243%20%2F%20242510120%26entry.1578404635%3DHadir</t>
  </si>
  <si>
    <t>1aiARtgiGSmWn9WluRhoPdHuesdvFjIYi</t>
  </si>
  <si>
    <t>https://drive.google.com/file/d/1aiARtgiGSmWn9WluRhoPdHuesdvFjIYi/view?usp=drivesdk</t>
  </si>
  <si>
    <t>0098951883 / 242510136</t>
  </si>
  <si>
    <t>Fariha Tiara Jinaani</t>
  </si>
  <si>
    <t>https://quickchart.io/qr?size=250&amp;text=https%3A%2F%2Fdocs.google.com%2Fforms%2Fd%2Fe%2F1FAIpQLSeZ-R1GrWlAPkfaThGqxeTj0QTtrARw4rroxIIepf2kipn1nw%2FformResponse%3Fusp%3Dpp_url%26entry.1313582257%3D0098951883%20%2F%20242510136%26entry.1578404635%3DHadir</t>
  </si>
  <si>
    <t>10KVTqJOkj4cC-xkm1cks0lLJ23C6zfzl</t>
  </si>
  <si>
    <t>https://drive.google.com/file/d/10KVTqJOkj4cC-xkm1cks0lLJ23C6zfzl/view?usp=drivesdk</t>
  </si>
  <si>
    <t>0094722345 / 242510180</t>
  </si>
  <si>
    <t>Juan Tri Alexandro Immanuel</t>
  </si>
  <si>
    <t>https://quickchart.io/qr?size=250&amp;text=https%3A%2F%2Fdocs.google.com%2Fforms%2Fd%2Fe%2F1FAIpQLSeZ-R1GrWlAPkfaThGqxeTj0QTtrARw4rroxIIepf2kipn1nw%2FformResponse%3Fusp%3Dpp_url%26entry.1313582257%3D0094722345%20%2F%20242510180%26entry.1578404635%3DHadir</t>
  </si>
  <si>
    <t>1jhTaoo4VI4R_TfqphyO4MZXwvAh1rZkX</t>
  </si>
  <si>
    <t>https://drive.google.com/file/d/1jhTaoo4VI4R_TfqphyO4MZXwvAh1rZkX/view?usp=drivesdk</t>
  </si>
  <si>
    <t>0097193046 / 242510184</t>
  </si>
  <si>
    <t>Karimah Bassam Faris Sawaftah</t>
  </si>
  <si>
    <t>https://quickchart.io/qr?size=250&amp;text=https%3A%2F%2Fdocs.google.com%2Fforms%2Fd%2Fe%2F1FAIpQLSeZ-R1GrWlAPkfaThGqxeTj0QTtrARw4rroxIIepf2kipn1nw%2FformResponse%3Fusp%3Dpp_url%26entry.1313582257%3D0097193046%20%2F%20242510184%26entry.1578404635%3DHadir</t>
  </si>
  <si>
    <t>1O61AQGQmCwxVAJI2em_HT8MJqMT6Op0j</t>
  </si>
  <si>
    <t>https://drive.google.com/file/d/1O61AQGQmCwxVAJI2em_HT8MJqMT6Op0j/view?usp=drivesdk</t>
  </si>
  <si>
    <t>0093505380 / 242510187</t>
  </si>
  <si>
    <t>Kayla Rahmah Mumtazah</t>
  </si>
  <si>
    <t>https://quickchart.io/qr?size=250&amp;text=https%3A%2F%2Fdocs.google.com%2Fforms%2Fd%2Fe%2F1FAIpQLSeZ-R1GrWlAPkfaThGqxeTj0QTtrARw4rroxIIepf2kipn1nw%2FformResponse%3Fusp%3Dpp_url%26entry.1313582257%3D0093505380%20%2F%20242510187%26entry.1578404635%3DHadir</t>
  </si>
  <si>
    <t>1XBiUQHfb3lnaODsl24Rr3RmPza5fdwpr</t>
  </si>
  <si>
    <t>https://drive.google.com/file/d/1XBiUQHfb3lnaODsl24Rr3RmPza5fdwpr/view?usp=drivesdk</t>
  </si>
  <si>
    <t>Document successfully created; Document successfully merged; PDF created; Manually run by skycircle.id@gmail.com; Timestamp: Feb 2 2026 6:27 PM</t>
  </si>
  <si>
    <t>0084361496 / 242510193</t>
  </si>
  <si>
    <t>Kesya Rashan Syilbiyy Firdaus</t>
  </si>
  <si>
    <t>https://quickchart.io/qr?size=250&amp;text=https%3A%2F%2Fdocs.google.com%2Fforms%2Fd%2Fe%2F1FAIpQLSeZ-R1GrWlAPkfaThGqxeTj0QTtrARw4rroxIIepf2kipn1nw%2FformResponse%3Fusp%3Dpp_url%26entry.1313582257%3D0084361496%20%2F%20242510193%26entry.1578404635%3DHadir</t>
  </si>
  <si>
    <t>1s1s1U02tSCetgb8gv83rqH-e5DmnygWR</t>
  </si>
  <si>
    <t>https://drive.google.com/file/d/1s1s1U02tSCetgb8gv83rqH-e5DmnygWR/view?usp=drivesdk</t>
  </si>
  <si>
    <t>0093778675 / 242510197</t>
  </si>
  <si>
    <t>Kezia Feodora Simarnala Ciberro</t>
  </si>
  <si>
    <t>https://quickchart.io/qr?size=250&amp;text=https%3A%2F%2Fdocs.google.com%2Fforms%2Fd%2Fe%2F1FAIpQLSeZ-R1GrWlAPkfaThGqxeTj0QTtrARw4rroxIIepf2kipn1nw%2FformResponse%3Fusp%3Dpp_url%26entry.1313582257%3D0093778675%20%2F%20242510197%26entry.1578404635%3DHadir</t>
  </si>
  <si>
    <t>1yqJG-BeFNpbuyFNWFOPKyogESvDjyeEZ</t>
  </si>
  <si>
    <t>https://drive.google.com/file/d/1yqJG-BeFNpbuyFNWFOPKyogESvDjyeEZ/view?usp=drivesdk</t>
  </si>
  <si>
    <t>0094698679 / 242510213</t>
  </si>
  <si>
    <t>Lina Amelia Dwi Anjani</t>
  </si>
  <si>
    <t>https://quickchart.io/qr?size=250&amp;text=https%3A%2F%2Fdocs.google.com%2Fforms%2Fd%2Fe%2F1FAIpQLSeZ-R1GrWlAPkfaThGqxeTj0QTtrARw4rroxIIepf2kipn1nw%2FformResponse%3Fusp%3Dpp_url%26entry.1313582257%3D0094698679%20%2F%20242510213%26entry.1578404635%3DHadir</t>
  </si>
  <si>
    <t>178X05-naYzjJb7ZAw6Sil7EdNSxlc1KM</t>
  </si>
  <si>
    <t>https://drive.google.com/file/d/178X05-naYzjJb7ZAw6Sil7EdNSxlc1KM/view?usp=drivesdk</t>
  </si>
  <si>
    <t>3095285309 / 242510216</t>
  </si>
  <si>
    <t>Luviyani</t>
  </si>
  <si>
    <t>https://quickchart.io/qr?size=250&amp;text=https%3A%2F%2Fdocs.google.com%2Fforms%2Fd%2Fe%2F1FAIpQLSeZ-R1GrWlAPkfaThGqxeTj0QTtrARw4rroxIIepf2kipn1nw%2FformResponse%3Fusp%3Dpp_url%26entry.1313582257%3D3095285309%20%2F%20242510216%26entry.1578404635%3DHadir</t>
  </si>
  <si>
    <t>1gKATXB57Z9Xfl0rbHvJy5ASorqji6eic</t>
  </si>
  <si>
    <t>https://drive.google.com/file/d/1gKATXB57Z9Xfl0rbHvJy5ASorqji6eic/view?usp=drivesdk</t>
  </si>
  <si>
    <t>0081476668 / 242510222</t>
  </si>
  <si>
    <t>Malika Nurzahira</t>
  </si>
  <si>
    <t>https://quickchart.io/qr?size=250&amp;text=https%3A%2F%2Fdocs.google.com%2Fforms%2Fd%2Fe%2F1FAIpQLSeZ-R1GrWlAPkfaThGqxeTj0QTtrARw4rroxIIepf2kipn1nw%2FformResponse%3Fusp%3Dpp_url%26entry.1313582257%3D0081476668%20%2F%20242510222%26entry.1578404635%3DHadir</t>
  </si>
  <si>
    <t>1Pd23SVesechBi49aeqmCP1ti6iPNoeTH</t>
  </si>
  <si>
    <t>https://drive.google.com/file/d/1Pd23SVesechBi49aeqmCP1ti6iPNoeTH/view?usp=drivesdk</t>
  </si>
  <si>
    <t>Document successfully created; Document successfully merged; PDF created; Manually run by skycircle.id@gmail.com; Timestamp: Feb 2 2026 6:28 PM</t>
  </si>
  <si>
    <t>0098908539 / 242510230</t>
  </si>
  <si>
    <t>Maysa Khumaira</t>
  </si>
  <si>
    <t>https://quickchart.io/qr?size=250&amp;text=https%3A%2F%2Fdocs.google.com%2Fforms%2Fd%2Fe%2F1FAIpQLSeZ-R1GrWlAPkfaThGqxeTj0QTtrARw4rroxIIepf2kipn1nw%2FformResponse%3Fusp%3Dpp_url%26entry.1313582257%3D0098908539%20%2F%20242510230%26entry.1578404635%3DHadir</t>
  </si>
  <si>
    <t>1RpBOb7YJjkXZAKLhEB7Lgm7QNgR1FG2m</t>
  </si>
  <si>
    <t>https://drive.google.com/file/d/1RpBOb7YJjkXZAKLhEB7Lgm7QNgR1FG2m/view?usp=drivesdk</t>
  </si>
  <si>
    <t>3095174589 / 242510231</t>
  </si>
  <si>
    <t>Mazaya Kamilah Manik</t>
  </si>
  <si>
    <t>https://quickchart.io/qr?size=250&amp;text=https%3A%2F%2Fdocs.google.com%2Fforms%2Fd%2Fe%2F1FAIpQLSeZ-R1GrWlAPkfaThGqxeTj0QTtrARw4rroxIIepf2kipn1nw%2FformResponse%3Fusp%3Dpp_url%26entry.1313582257%3D3095174589%20%2F%20242510231%26entry.1578404635%3DHadir</t>
  </si>
  <si>
    <t>1DTrvxRr2myWDtCZntXS3bK4cI2hAydQe</t>
  </si>
  <si>
    <t>https://drive.google.com/file/d/1DTrvxRr2myWDtCZntXS3bK4cI2hAydQe/view?usp=drivesdk</t>
  </si>
  <si>
    <t>0099030651 / 242510232</t>
  </si>
  <si>
    <t>Meydina Khaliilah Bramantya</t>
  </si>
  <si>
    <t>https://quickchart.io/qr?size=250&amp;text=https%3A%2F%2Fdocs.google.com%2Fforms%2Fd%2Fe%2F1FAIpQLSeZ-R1GrWlAPkfaThGqxeTj0QTtrARw4rroxIIepf2kipn1nw%2FformResponse%3Fusp%3Dpp_url%26entry.1313582257%3D0099030651%20%2F%20242510232%26entry.1578404635%3DHadir</t>
  </si>
  <si>
    <t>1A2eV6Sz08ScSbqzEFyohtS0bEz-fovM7</t>
  </si>
  <si>
    <t>https://drive.google.com/file/d/1A2eV6Sz08ScSbqzEFyohtS0bEz-fovM7/view?usp=drivesdk</t>
  </si>
  <si>
    <t>0098437864 / 242510233</t>
  </si>
  <si>
    <t>Meysa Yosi Salsabila</t>
  </si>
  <si>
    <t>https://quickchart.io/qr?size=250&amp;text=https%3A%2F%2Fdocs.google.com%2Fforms%2Fd%2Fe%2F1FAIpQLSeZ-R1GrWlAPkfaThGqxeTj0QTtrARw4rroxIIepf2kipn1nw%2FformResponse%3Fusp%3Dpp_url%26entry.1313582257%3D0098437864%20%2F%20242510233%26entry.1578404635%3DHadir</t>
  </si>
  <si>
    <t>1JFR8OVLVZ-FaJ00yApDpzKLzHLgd9Vs5</t>
  </si>
  <si>
    <t>https://drive.google.com/file/d/1JFR8OVLVZ-FaJ00yApDpzKLzHLgd9Vs5/view?usp=drivesdk</t>
  </si>
  <si>
    <t>Document successfully created; Document successfully merged; PDF created; Manually run by skycircle.id@gmail.com; Timestamp: Feb 2 2026 7:42 PM</t>
  </si>
  <si>
    <t>0088976294 / 242510244</t>
  </si>
  <si>
    <t>Muhamad Riski Aditiya</t>
  </si>
  <si>
    <t>https://quickchart.io/qr?size=250&amp;text=https%3A%2F%2Fdocs.google.com%2Fforms%2Fd%2Fe%2F1FAIpQLSeZ-R1GrWlAPkfaThGqxeTj0QTtrARw4rroxIIepf2kipn1nw%2FformResponse%3Fusp%3Dpp_url%26entry.1313582257%3D0088976294%20%2F%20242510244%26entry.1578404635%3DHadir</t>
  </si>
  <si>
    <t>1vNDDSSnQ3EloipaIqCDiCCKSutm7577D</t>
  </si>
  <si>
    <t>https://drive.google.com/file/d/1vNDDSSnQ3EloipaIqCDiCCKSutm7577D/view?usp=drivesdk</t>
  </si>
  <si>
    <t>0094412664 / 242510278</t>
  </si>
  <si>
    <t>Muhammad Shafa</t>
  </si>
  <si>
    <t>https://quickchart.io/qr?size=250&amp;text=https%3A%2F%2Fdocs.google.com%2Fforms%2Fd%2Fe%2F1FAIpQLSeZ-R1GrWlAPkfaThGqxeTj0QTtrARw4rroxIIepf2kipn1nw%2FformResponse%3Fusp%3Dpp_url%26entry.1313582257%3D0094412664%20%2F%20242510278%26entry.1578404635%3DHadir</t>
  </si>
  <si>
    <t>1mo-eAYd8Bq4t_3L4Xe2B_LkHEDRs-QON</t>
  </si>
  <si>
    <t>https://drive.google.com/file/d/1mo-eAYd8Bq4t_3L4Xe2B_LkHEDRs-QON/view?usp=drivesdk</t>
  </si>
  <si>
    <t>0091524851 / 242510286</t>
  </si>
  <si>
    <t>Nadian Putri Syafina</t>
  </si>
  <si>
    <t>https://quickchart.io/qr?size=250&amp;text=https%3A%2F%2Fdocs.google.com%2Fforms%2Fd%2Fe%2F1FAIpQLSeZ-R1GrWlAPkfaThGqxeTj0QTtrARw4rroxIIepf2kipn1nw%2FformResponse%3Fusp%3Dpp_url%26entry.1313582257%3D0091524851%20%2F%20242510286%26entry.1578404635%3DHadir</t>
  </si>
  <si>
    <t>1WyQmoA9QYakIKrk124hWkV4KO5T3Ul1z</t>
  </si>
  <si>
    <t>https://drive.google.com/file/d/1WyQmoA9QYakIKrk124hWkV4KO5T3Ul1z/view?usp=drivesdk</t>
  </si>
  <si>
    <t>3099271994 / 242510297</t>
  </si>
  <si>
    <t>Nayshila Dhiya Adzkia</t>
  </si>
  <si>
    <t>https://quickchart.io/qr?size=250&amp;text=https%3A%2F%2Fdocs.google.com%2Fforms%2Fd%2Fe%2F1FAIpQLSeZ-R1GrWlAPkfaThGqxeTj0QTtrARw4rroxIIepf2kipn1nw%2FformResponse%3Fusp%3Dpp_url%26entry.1313582257%3D3099271994%20%2F%20242510297%26entry.1578404635%3DHadir</t>
  </si>
  <si>
    <t>1A9ftqcJUto8yXWSGbo6FLHFuw2UwWcUO</t>
  </si>
  <si>
    <t>https://drive.google.com/file/d/1A9ftqcJUto8yXWSGbo6FLHFuw2UwWcUO/view?usp=drivesdk</t>
  </si>
  <si>
    <t>Document successfully created; Document successfully merged; PDF created; Manually run by skycircle.id@gmail.com; Timestamp: Feb 2 2026 7:43 PM</t>
  </si>
  <si>
    <t>0083974334 / 242510298</t>
  </si>
  <si>
    <t>Nazhera Irba Iwel</t>
  </si>
  <si>
    <t>https://quickchart.io/qr?size=250&amp;text=https%3A%2F%2Fdocs.google.com%2Fforms%2Fd%2Fe%2F1FAIpQLSeZ-R1GrWlAPkfaThGqxeTj0QTtrARw4rroxIIepf2kipn1nw%2FformResponse%3Fusp%3Dpp_url%26entry.1313582257%3D0083974334%20%2F%20242510298%26entry.1578404635%3DHadir</t>
  </si>
  <si>
    <t>1W3zVDSF6RWI5mXOLIlslG5sjlh6TMXSi</t>
  </si>
  <si>
    <t>https://drive.google.com/file/d/1W3zVDSF6RWI5mXOLIlslG5sjlh6TMXSi/view?usp=drivesdk</t>
  </si>
  <si>
    <t>0084584228 / 242510313</t>
  </si>
  <si>
    <t>Piona Abigail Zamar Sinaga</t>
  </si>
  <si>
    <t>https://quickchart.io/qr?size=250&amp;text=https%3A%2F%2Fdocs.google.com%2Fforms%2Fd%2Fe%2F1FAIpQLSeZ-R1GrWlAPkfaThGqxeTj0QTtrARw4rroxIIepf2kipn1nw%2FformResponse%3Fusp%3Dpp_url%26entry.1313582257%3D0084584228%20%2F%20242510313%26entry.1578404635%3DHadir</t>
  </si>
  <si>
    <t>1Ki5OkK-xEPJ8ozG7VCV1jHRnas6xbQvC</t>
  </si>
  <si>
    <t>https://drive.google.com/file/d/1Ki5OkK-xEPJ8ozG7VCV1jHRnas6xbQvC/view?usp=drivesdk</t>
  </si>
  <si>
    <t>0093556204 / 242510328</t>
  </si>
  <si>
    <t>Quintania Aura Putri</t>
  </si>
  <si>
    <t>https://quickchart.io/qr?size=250&amp;text=https%3A%2F%2Fdocs.google.com%2Fforms%2Fd%2Fe%2F1FAIpQLSeZ-R1GrWlAPkfaThGqxeTj0QTtrARw4rroxIIepf2kipn1nw%2FformResponse%3Fusp%3Dpp_url%26entry.1313582257%3D0093556204%20%2F%20242510328%26entry.1578404635%3DHadir</t>
  </si>
  <si>
    <t>1Ss63wjm1SP_Hz5qq1skyGab4I1kjit2o</t>
  </si>
  <si>
    <t>https://drive.google.com/file/d/1Ss63wjm1SP_Hz5qq1skyGab4I1kjit2o/view?usp=drivesdk</t>
  </si>
  <si>
    <t>0099332666 / 242510343</t>
  </si>
  <si>
    <t>Rania Salsabilla</t>
  </si>
  <si>
    <t>https://quickchart.io/qr?size=250&amp;text=https%3A%2F%2Fdocs.google.com%2Fforms%2Fd%2Fe%2F1FAIpQLSeZ-R1GrWlAPkfaThGqxeTj0QTtrARw4rroxIIepf2kipn1nw%2FformResponse%3Fusp%3Dpp_url%26entry.1313582257%3D0099332666%20%2F%20242510343%26entry.1578404635%3DHadir</t>
  </si>
  <si>
    <t>15128YcnEfRojny3hA8b19m0zxzJQC3HG</t>
  </si>
  <si>
    <t>https://drive.google.com/file/d/15128YcnEfRojny3hA8b19m0zxzJQC3HG/view?usp=drivesdk</t>
  </si>
  <si>
    <t>0087745551 / 242510350</t>
  </si>
  <si>
    <t>Rhaditia Fajar Kasyahvani</t>
  </si>
  <si>
    <t>https://quickchart.io/qr?size=250&amp;text=https%3A%2F%2Fdocs.google.com%2Fforms%2Fd%2Fe%2F1FAIpQLSeZ-R1GrWlAPkfaThGqxeTj0QTtrARw4rroxIIepf2kipn1nw%2FformResponse%3Fusp%3Dpp_url%26entry.1313582257%3D0087745551%20%2F%20242510350%26entry.1578404635%3DHadir</t>
  </si>
  <si>
    <t>11zPiQR-Fp9vCasAduHisrx6F0qjDILEt</t>
  </si>
  <si>
    <t>https://drive.google.com/file/d/11zPiQR-Fp9vCasAduHisrx6F0qjDILEt/view?usp=drivesdk</t>
  </si>
  <si>
    <t>Document successfully created; Document successfully merged; PDF created; Manually run by skycircle.id@gmail.com; Timestamp: Feb 2 2026 7:44 PM</t>
  </si>
  <si>
    <t>0085930059 / 242510371</t>
  </si>
  <si>
    <t>Samy Abdurrahman Romdhony</t>
  </si>
  <si>
    <t>https://quickchart.io/qr?size=250&amp;text=https%3A%2F%2Fdocs.google.com%2Fforms%2Fd%2Fe%2F1FAIpQLSeZ-R1GrWlAPkfaThGqxeTj0QTtrARw4rroxIIepf2kipn1nw%2FformResponse%3Fusp%3Dpp_url%26entry.1313582257%3D0085930059%20%2F%20242510371%26entry.1578404635%3DHadir</t>
  </si>
  <si>
    <t>1123VoSw-rQXOZ9CYnjzZ805bULdzWWim</t>
  </si>
  <si>
    <t>https://drive.google.com/file/d/1123VoSw-rQXOZ9CYnjzZ805bULdzWWim/view?usp=drivesdk</t>
  </si>
  <si>
    <t>0096344538 / 242510373</t>
  </si>
  <si>
    <t>Sanlia Moranda Br Silaban</t>
  </si>
  <si>
    <t>https://quickchart.io/qr?size=250&amp;text=https%3A%2F%2Fdocs.google.com%2Fforms%2Fd%2Fe%2F1FAIpQLSeZ-R1GrWlAPkfaThGqxeTj0QTtrARw4rroxIIepf2kipn1nw%2FformResponse%3Fusp%3Dpp_url%26entry.1313582257%3D0096344538%20%2F%20242510373%26entry.1578404635%3DHadir</t>
  </si>
  <si>
    <t>1mH9xob9REmOK3AbxCSFCfqHoWzzqaUpH</t>
  </si>
  <si>
    <t>https://drive.google.com/file/d/1mH9xob9REmOK3AbxCSFCfqHoWzzqaUpH/view?usp=drivesdk</t>
  </si>
  <si>
    <t>0096480588 / 242510395</t>
  </si>
  <si>
    <t>Syifa Aprilia</t>
  </si>
  <si>
    <t>https://quickchart.io/qr?size=250&amp;text=https%3A%2F%2Fdocs.google.com%2Fforms%2Fd%2Fe%2F1FAIpQLSeZ-R1GrWlAPkfaThGqxeTj0QTtrARw4rroxIIepf2kipn1nw%2FformResponse%3Fusp%3Dpp_url%26entry.1313582257%3D0096480588%20%2F%20242510395%26entry.1578404635%3DHadir</t>
  </si>
  <si>
    <t>17l_rEXz44S7Ir7rUWKu_2Gd4w0fq5S-H</t>
  </si>
  <si>
    <t>https://drive.google.com/file/d/17l_rEXz44S7Ir7rUWKu_2Gd4w0fq5S-H/view?usp=drivesdk</t>
  </si>
  <si>
    <t>0094958254 / 242510405</t>
  </si>
  <si>
    <t>Valentino Azka Febrian Putra</t>
  </si>
  <si>
    <t>https://quickchart.io/qr?size=250&amp;text=https%3A%2F%2Fdocs.google.com%2Fforms%2Fd%2Fe%2F1FAIpQLSeZ-R1GrWlAPkfaThGqxeTj0QTtrARw4rroxIIepf2kipn1nw%2FformResponse%3Fusp%3Dpp_url%26entry.1313582257%3D0094958254%20%2F%20242510405%26entry.1578404635%3DHadir</t>
  </si>
  <si>
    <t>1UwhZVMsftPoPs-aPtIxkLh5Pc7-WhEg9</t>
  </si>
  <si>
    <t>https://drive.google.com/file/d/1UwhZVMsftPoPs-aPtIxkLh5Pc7-WhEg9/view?usp=drivesdk</t>
  </si>
  <si>
    <t>0085108715 / 242510408</t>
  </si>
  <si>
    <t>Vinny Vionita</t>
  </si>
  <si>
    <t>https://quickchart.io/qr?size=250&amp;text=https%3A%2F%2Fdocs.google.com%2Fforms%2Fd%2Fe%2F1FAIpQLSeZ-R1GrWlAPkfaThGqxeTj0QTtrARw4rroxIIepf2kipn1nw%2FformResponse%3Fusp%3Dpp_url%26entry.1313582257%3D0085108715%20%2F%20242510408%26entry.1578404635%3DHadir</t>
  </si>
  <si>
    <t>1s0pzwTMfBRfQrsR94T_TuT42mo8Jp8pR</t>
  </si>
  <si>
    <t>https://drive.google.com/file/d/1s0pzwTMfBRfQrsR94T_TuT42mo8Jp8pR/view?usp=drivesdk</t>
  </si>
  <si>
    <t>Document successfully created; Document successfully merged; PDF created; Manually run by skycircle.id@gmail.com; Timestamp: Feb 2 2026 7:45 PM</t>
  </si>
  <si>
    <t>0089237233 / 242510409</t>
  </si>
  <si>
    <t>Viola Anindita Kurniawan</t>
  </si>
  <si>
    <t>https://quickchart.io/qr?size=250&amp;text=https%3A%2F%2Fdocs.google.com%2Fforms%2Fd%2Fe%2F1FAIpQLSeZ-R1GrWlAPkfaThGqxeTj0QTtrARw4rroxIIepf2kipn1nw%2FformResponse%3Fusp%3Dpp_url%26entry.1313582257%3D0089237233%20%2F%20242510409%26entry.1578404635%3DHadir</t>
  </si>
  <si>
    <t>1gvE0j3LwDE-vS4xSJISMJIlM8FCJ61sZ</t>
  </si>
  <si>
    <t>https://drive.google.com/file/d/1gvE0j3LwDE-vS4xSJISMJIlM8FCJ61sZ/view?usp=drivesdk</t>
  </si>
  <si>
    <t>0098438052 / 242510417</t>
  </si>
  <si>
    <t>Yasmin Diva Nurfiqra</t>
  </si>
  <si>
    <t>https://quickchart.io/qr?size=250&amp;text=https%3A%2F%2Fdocs.google.com%2Fforms%2Fd%2Fe%2F1FAIpQLSeZ-R1GrWlAPkfaThGqxeTj0QTtrARw4rroxIIepf2kipn1nw%2FformResponse%3Fusp%3Dpp_url%26entry.1313582257%3D0098438052%20%2F%20242510417%26entry.1578404635%3DHadir</t>
  </si>
  <si>
    <t>12sB6QVPqJsQqbiz_meDJeY1gpEFarZ0E</t>
  </si>
  <si>
    <t>https://drive.google.com/file/d/12sB6QVPqJsQqbiz_meDJeY1gpEFarZ0E/view?usp=drivesdk</t>
  </si>
  <si>
    <t>0082801587 / 242510421</t>
  </si>
  <si>
    <t>Zahisa Raudhatul Jannah</t>
  </si>
  <si>
    <t>https://quickchart.io/qr?size=250&amp;text=https%3A%2F%2Fdocs.google.com%2Fforms%2Fd%2Fe%2F1FAIpQLSeZ-R1GrWlAPkfaThGqxeTj0QTtrARw4rroxIIepf2kipn1nw%2FformResponse%3Fusp%3Dpp_url%26entry.1313582257%3D0082801587%20%2F%20242510421%26entry.1578404635%3DHadir</t>
  </si>
  <si>
    <t>1iljQwOk8LwT13xguKu8RHuo-SdPEIVWF</t>
  </si>
  <si>
    <t>https://drive.google.com/file/d/1iljQwOk8LwT13xguKu8RHuo-SdPEIVWF/view?usp=drivesdk</t>
  </si>
  <si>
    <t>0091989218 / 242510017</t>
  </si>
  <si>
    <t>Aisyah Nur Izzah</t>
  </si>
  <si>
    <t>XI B-2</t>
  </si>
  <si>
    <t>https://quickchart.io/qr?size=250&amp;text=https%3A%2F%2Fdocs.google.com%2Fforms%2Fd%2Fe%2F1FAIpQLSeZ-R1GrWlAPkfaThGqxeTj0QTtrARw4rroxIIepf2kipn1nw%2FformResponse%3Fusp%3Dpp_url%26entry.1313582257%3D0091989218%20%2F%20242510017%26entry.1578404635%3DHadir</t>
  </si>
  <si>
    <t>1KRxFYh37aantIyJ-DrSDoORYEEaBvyVp</t>
  </si>
  <si>
    <t>https://drive.google.com/file/d/1KRxFYh37aantIyJ-DrSDoORYEEaBvyVp/view?usp=drivesdk</t>
  </si>
  <si>
    <t>0087766031 / 252611568</t>
  </si>
  <si>
    <t>Alexandria Prameswari Prawira</t>
  </si>
  <si>
    <t>https://quickchart.io/qr?size=250&amp;text=https%3A%2F%2Fdocs.google.com%2Fforms%2Fd%2Fe%2F1FAIpQLSeZ-R1GrWlAPkfaThGqxeTj0QTtrARw4rroxIIepf2kipn1nw%2FformResponse%3Fusp%3Dpp_url%26entry.1313582257%3D0087766031%20%2F%20252611568%26entry.1578404635%3DHadir</t>
  </si>
  <si>
    <t>1zy_Tb5tueQGMh-MiHUQxYo8wJY1o3WxA</t>
  </si>
  <si>
    <t>https://drive.google.com/file/d/1zy_Tb5tueQGMh-MiHUQxYo8wJY1o3WxA/view?usp=drivesdk</t>
  </si>
  <si>
    <t>Document successfully created; Document successfully merged; PDF created; Manually run by skycircle.id@gmail.com; Timestamp: Feb 2 2026 7:46 PM</t>
  </si>
  <si>
    <t>0098715904 / 242510023</t>
  </si>
  <si>
    <t>Alexia Luigi Lian</t>
  </si>
  <si>
    <t>https://quickchart.io/qr?size=250&amp;text=https%3A%2F%2Fdocs.google.com%2Fforms%2Fd%2Fe%2F1FAIpQLSeZ-R1GrWlAPkfaThGqxeTj0QTtrARw4rroxIIepf2kipn1nw%2FformResponse%3Fusp%3Dpp_url%26entry.1313582257%3D0098715904%20%2F%20242510023%26entry.1578404635%3DHadir</t>
  </si>
  <si>
    <t>1YotAU3gE8y5p-3-WXuGdIYWZEnT-MNck</t>
  </si>
  <si>
    <t>https://drive.google.com/file/d/1YotAU3gE8y5p-3-WXuGdIYWZEnT-MNck/view?usp=drivesdk</t>
  </si>
  <si>
    <t>0081501338 / 242510042</t>
  </si>
  <si>
    <t>Andi Almaghfira Shabila Sawerigading</t>
  </si>
  <si>
    <t>https://quickchart.io/qr?size=250&amp;text=https%3A%2F%2Fdocs.google.com%2Fforms%2Fd%2Fe%2F1FAIpQLSeZ-R1GrWlAPkfaThGqxeTj0QTtrARw4rroxIIepf2kipn1nw%2FformResponse%3Fusp%3Dpp_url%26entry.1313582257%3D0081501338%20%2F%20242510042%26entry.1578404635%3DHadir</t>
  </si>
  <si>
    <t>1bB2Z9rd9VksmlYzY8k3VdzIo0a7xrIuB</t>
  </si>
  <si>
    <t>https://drive.google.com/file/d/1bB2Z9rd9VksmlYzY8k3VdzIo0a7xrIuB/view?usp=drivesdk</t>
  </si>
  <si>
    <t>0085534034 / 242510086</t>
  </si>
  <si>
    <t>Bintang Alif Putra Satriya</t>
  </si>
  <si>
    <t>https://quickchart.io/qr?size=250&amp;text=https%3A%2F%2Fdocs.google.com%2Fforms%2Fd%2Fe%2F1FAIpQLSeZ-R1GrWlAPkfaThGqxeTj0QTtrARw4rroxIIepf2kipn1nw%2FformResponse%3Fusp%3Dpp_url%26entry.1313582257%3D0085534034%20%2F%20242510086%26entry.1578404635%3DHadir</t>
  </si>
  <si>
    <t>1w40iXLtxzCjedo2118_c0LbtEEvIxEaU</t>
  </si>
  <si>
    <t>https://drive.google.com/file/d/1w40iXLtxzCjedo2118_c0LbtEEvIxEaU/view?usp=drivesdk</t>
  </si>
  <si>
    <t>0084745418 / 242510091</t>
  </si>
  <si>
    <t>Chaerani Yulianti</t>
  </si>
  <si>
    <t>https://quickchart.io/qr?size=250&amp;text=https%3A%2F%2Fdocs.google.com%2Fforms%2Fd%2Fe%2F1FAIpQLSeZ-R1GrWlAPkfaThGqxeTj0QTtrARw4rroxIIepf2kipn1nw%2FformResponse%3Fusp%3Dpp_url%26entry.1313582257%3D0084745418%20%2F%20242510091%26entry.1578404635%3DHadir</t>
  </si>
  <si>
    <t>1ckgG57xEMjICzyFt1t6jxBwjobRF-hcH</t>
  </si>
  <si>
    <t>https://drive.google.com/file/d/1ckgG57xEMjICzyFt1t6jxBwjobRF-hcH/view?usp=drivesdk</t>
  </si>
  <si>
    <t>0095136014 / 242510102</t>
  </si>
  <si>
    <t>Davina Mutiara Arfi</t>
  </si>
  <si>
    <t>https://quickchart.io/qr?size=250&amp;text=https%3A%2F%2Fdocs.google.com%2Fforms%2Fd%2Fe%2F1FAIpQLSeZ-R1GrWlAPkfaThGqxeTj0QTtrARw4rroxIIepf2kipn1nw%2FformResponse%3Fusp%3Dpp_url%26entry.1313582257%3D0095136014%20%2F%20242510102%26entry.1578404635%3DHadir</t>
  </si>
  <si>
    <t>1kNm2FJHkDsCg3iiG9Ra3i_CBd7vufmtW</t>
  </si>
  <si>
    <t>https://drive.google.com/file/d/1kNm2FJHkDsCg3iiG9Ra3i_CBd7vufmtW/view?usp=drivesdk</t>
  </si>
  <si>
    <t>Document successfully created; Document successfully merged; PDF created; Manually run by skycircle.id@gmail.com; Timestamp: Feb 2 2026 7:47 PM</t>
  </si>
  <si>
    <t>0098889247 / 242510133</t>
  </si>
  <si>
    <t>Faiza Zalfa Nadifa</t>
  </si>
  <si>
    <t>https://quickchart.io/qr?size=250&amp;text=https%3A%2F%2Fdocs.google.com%2Fforms%2Fd%2Fe%2F1FAIpQLSeZ-R1GrWlAPkfaThGqxeTj0QTtrARw4rroxIIepf2kipn1nw%2FformResponse%3Fusp%3Dpp_url%26entry.1313582257%3D0098889247%20%2F%20242510133%26entry.1578404635%3DHadir</t>
  </si>
  <si>
    <t>17LSPCBMufN0Oa7HwYsCr7vnP0i_drNVL</t>
  </si>
  <si>
    <t>https://drive.google.com/file/d/17LSPCBMufN0Oa7HwYsCr7vnP0i_drNVL/view?usp=drivesdk</t>
  </si>
  <si>
    <t>0094252138 / 242510134</t>
  </si>
  <si>
    <t>Fajra Aniq Khalisha</t>
  </si>
  <si>
    <t>https://quickchart.io/qr?size=250&amp;text=https%3A%2F%2Fdocs.google.com%2Fforms%2Fd%2Fe%2F1FAIpQLSeZ-R1GrWlAPkfaThGqxeTj0QTtrARw4rroxIIepf2kipn1nw%2FformResponse%3Fusp%3Dpp_url%26entry.1313582257%3D0094252138%20%2F%20242510134%26entry.1578404635%3DHadir</t>
  </si>
  <si>
    <t>1OqLNnrMTVJDNqGU87BL6DRtZ3KoUZu9E</t>
  </si>
  <si>
    <t>https://drive.google.com/file/d/1OqLNnrMTVJDNqGU87BL6DRtZ3KoUZu9E/view?usp=drivesdk</t>
  </si>
  <si>
    <t>Document successfully created; Document successfully merged; PDF created; Manually run by skycircle.id@gmail.com; Timestamp: Feb 3 2026 3:31 AM</t>
  </si>
  <si>
    <t>0086688060 / 242510135</t>
  </si>
  <si>
    <t>Faliqa Haq Hasanah</t>
  </si>
  <si>
    <t>https://quickchart.io/qr?size=250&amp;text=https%3A%2F%2Fdocs.google.com%2Fforms%2Fd%2Fe%2F1FAIpQLSeZ-R1GrWlAPkfaThGqxeTj0QTtrARw4rroxIIepf2kipn1nw%2FformResponse%3Fusp%3Dpp_url%26entry.1313582257%3D0086688060%20%2F%20242510135%26entry.1578404635%3DHadir</t>
  </si>
  <si>
    <t>1PpOR9x4Q_mWKQ273alsPUFhJ0bV5PHIP</t>
  </si>
  <si>
    <t>https://drive.google.com/file/d/1PpOR9x4Q_mWKQ273alsPUFhJ0bV5PHIP/view?usp=drivesdk</t>
  </si>
  <si>
    <t>0092223653 / 242510142</t>
  </si>
  <si>
    <t>Feyza Alya Mukhbita</t>
  </si>
  <si>
    <t>https://quickchart.io/qr?size=250&amp;text=https%3A%2F%2Fdocs.google.com%2Fforms%2Fd%2Fe%2F1FAIpQLSeZ-R1GrWlAPkfaThGqxeTj0QTtrARw4rroxIIepf2kipn1nw%2FformResponse%3Fusp%3Dpp_url%26entry.1313582257%3D0092223653%20%2F%20242510142%26entry.1578404635%3DHadir</t>
  </si>
  <si>
    <t>18117Gft4rArKzynyIHaZ6FgeV0RfGIu2</t>
  </si>
  <si>
    <t>https://drive.google.com/file/d/18117Gft4rArKzynyIHaZ6FgeV0RfGIu2/view?usp=drivesdk</t>
  </si>
  <si>
    <t>0085278931 / 242510165</t>
  </si>
  <si>
    <t>Hilma Sandria</t>
  </si>
  <si>
    <t>https://quickchart.io/qr?size=250&amp;text=https%3A%2F%2Fdocs.google.com%2Fforms%2Fd%2Fe%2F1FAIpQLSeZ-R1GrWlAPkfaThGqxeTj0QTtrARw4rroxIIepf2kipn1nw%2FformResponse%3Fusp%3Dpp_url%26entry.1313582257%3D0085278931%20%2F%20242510165%26entry.1578404635%3DHadir</t>
  </si>
  <si>
    <t>1GOm9TpJobyTg4EqmU8bdud1FtCadNR9p</t>
  </si>
  <si>
    <t>https://drive.google.com/file/d/1GOm9TpJobyTg4EqmU8bdud1FtCadNR9p/view?usp=drivesdk</t>
  </si>
  <si>
    <t>0084614966 / 242510167</t>
  </si>
  <si>
    <t>Hinezta Nailah Sanmaghfirah</t>
  </si>
  <si>
    <t>https://quickchart.io/qr?size=250&amp;text=https%3A%2F%2Fdocs.google.com%2Fforms%2Fd%2Fe%2F1FAIpQLSeZ-R1GrWlAPkfaThGqxeTj0QTtrARw4rroxIIepf2kipn1nw%2FformResponse%3Fusp%3Dpp_url%26entry.1313582257%3D0084614966%20%2F%20242510167%26entry.1578404635%3DHadir</t>
  </si>
  <si>
    <t>1Fae-AWhk0pJ2OZt2XxNkypQ7xGAcAjpn</t>
  </si>
  <si>
    <t>https://drive.google.com/file/d/1Fae-AWhk0pJ2OZt2XxNkypQ7xGAcAjpn/view?usp=drivesdk</t>
  </si>
  <si>
    <t>0097408336 / 242510169</t>
  </si>
  <si>
    <t>Ilma Nur Agnia</t>
  </si>
  <si>
    <t>https://quickchart.io/qr?size=250&amp;text=https%3A%2F%2Fdocs.google.com%2Fforms%2Fd%2Fe%2F1FAIpQLSeZ-R1GrWlAPkfaThGqxeTj0QTtrARw4rroxIIepf2kipn1nw%2FformResponse%3Fusp%3Dpp_url%26entry.1313582257%3D0097408336%20%2F%20242510169%26entry.1578404635%3DHadir</t>
  </si>
  <si>
    <t>1mXjaVC0LQ-aWsKaMA-6s6CBkHFtq216l</t>
  </si>
  <si>
    <t>https://drive.google.com/file/d/1mXjaVC0LQ-aWsKaMA-6s6CBkHFtq216l/view?usp=drivesdk</t>
  </si>
  <si>
    <t>Document successfully created; Document successfully merged; PDF created; Manually run by skycircle.id@gmail.com; Timestamp: Feb 3 2026 3:32 AM</t>
  </si>
  <si>
    <t>3094028221 / 242510171</t>
  </si>
  <si>
    <t>Intan Tania</t>
  </si>
  <si>
    <t>https://quickchart.io/qr?size=250&amp;text=https%3A%2F%2Fdocs.google.com%2Fforms%2Fd%2Fe%2F1FAIpQLSeZ-R1GrWlAPkfaThGqxeTj0QTtrARw4rroxIIepf2kipn1nw%2FformResponse%3Fusp%3Dpp_url%26entry.1313582257%3D3094028221%20%2F%20242510171%26entry.1578404635%3DHadir</t>
  </si>
  <si>
    <t>1Ea1OMREMpvK-0hsE7U1NhhuhFZaWPULD</t>
  </si>
  <si>
    <t>https://drive.google.com/file/d/1Ea1OMREMpvK-0hsE7U1NhhuhFZaWPULD/view?usp=drivesdk</t>
  </si>
  <si>
    <t>0094995394 / 242510176</t>
  </si>
  <si>
    <t>Januar Obed Holand Sitopu</t>
  </si>
  <si>
    <t>https://quickchart.io/qr?size=250&amp;text=https%3A%2F%2Fdocs.google.com%2Fforms%2Fd%2Fe%2F1FAIpQLSeZ-R1GrWlAPkfaThGqxeTj0QTtrARw4rroxIIepf2kipn1nw%2FformResponse%3Fusp%3Dpp_url%26entry.1313582257%3D0094995394%20%2F%20242510176%26entry.1578404635%3DHadir</t>
  </si>
  <si>
    <t>1S8QMS6IKFpKqnFU4AvZKplS9Fg1WyHRZ</t>
  </si>
  <si>
    <t>https://drive.google.com/file/d/1S8QMS6IKFpKqnFU4AvZKplS9Fg1WyHRZ/view?usp=drivesdk</t>
  </si>
  <si>
    <t>0081936585 / 242510185</t>
  </si>
  <si>
    <t>Kayla Dhea Nurma Fauziah</t>
  </si>
  <si>
    <t>https://quickchart.io/qr?size=250&amp;text=https%3A%2F%2Fdocs.google.com%2Fforms%2Fd%2Fe%2F1FAIpQLSeZ-R1GrWlAPkfaThGqxeTj0QTtrARw4rroxIIepf2kipn1nw%2FformResponse%3Fusp%3Dpp_url%26entry.1313582257%3D0081936585%20%2F%20242510185%26entry.1578404635%3DHadir</t>
  </si>
  <si>
    <t>1EVJsreOe9DVM6zd949JxbuUdFpY1h1op</t>
  </si>
  <si>
    <t>https://drive.google.com/file/d/1EVJsreOe9DVM6zd949JxbuUdFpY1h1op/view?usp=drivesdk</t>
  </si>
  <si>
    <t>0098191015 / 242510191</t>
  </si>
  <si>
    <t>Kesya Ardelia Kusuma</t>
  </si>
  <si>
    <t>https://quickchart.io/qr?size=250&amp;text=https%3A%2F%2Fdocs.google.com%2Fforms%2Fd%2Fe%2F1FAIpQLSeZ-R1GrWlAPkfaThGqxeTj0QTtrARw4rroxIIepf2kipn1nw%2FformResponse%3Fusp%3Dpp_url%26entry.1313582257%3D0098191015%20%2F%20242510191%26entry.1578404635%3DHadir</t>
  </si>
  <si>
    <t>1uTdSTawpWfUp1o2cF4-QxLCTPfZN5vOF</t>
  </si>
  <si>
    <t>https://drive.google.com/file/d/1uTdSTawpWfUp1o2cF4-QxLCTPfZN5vOF/view?usp=drivesdk</t>
  </si>
  <si>
    <t>0094057771 / 242510199</t>
  </si>
  <si>
    <t>Khairunnisa Rahadatul Aisy</t>
  </si>
  <si>
    <t>https://quickchart.io/qr?size=250&amp;text=https%3A%2F%2Fdocs.google.com%2Fforms%2Fd%2Fe%2F1FAIpQLSeZ-R1GrWlAPkfaThGqxeTj0QTtrARw4rroxIIepf2kipn1nw%2FformResponse%3Fusp%3Dpp_url%26entry.1313582257%3D0094057771%20%2F%20242510199%26entry.1578404635%3DHadir</t>
  </si>
  <si>
    <t>1HNvns4JgPDIZ948bacPQAYfj6O_6l0Ie</t>
  </si>
  <si>
    <t>https://drive.google.com/file/d/1HNvns4JgPDIZ948bacPQAYfj6O_6l0Ie/view?usp=drivesdk</t>
  </si>
  <si>
    <t>Document successfully created; Document successfully merged; PDF created; Manually run by skycircle.id@gmail.com; Timestamp: Feb 3 2026 3:33 AM</t>
  </si>
  <si>
    <t>0095872117 / 242510207</t>
  </si>
  <si>
    <t>Kirana Nur'Aini</t>
  </si>
  <si>
    <t>https://quickchart.io/qr?size=250&amp;text=https%3A%2F%2Fdocs.google.com%2Fforms%2Fd%2Fe%2F1FAIpQLSeZ-R1GrWlAPkfaThGqxeTj0QTtrARw4rroxIIepf2kipn1nw%2FformResponse%3Fusp%3Dpp_url%26entry.1313582257%3D0095872117%20%2F%20242510207%26entry.1578404635%3DHadir</t>
  </si>
  <si>
    <t>1lE8Uys9nMDOoooyXpAdypTZcW53uY7eQ</t>
  </si>
  <si>
    <t>https://drive.google.com/file/d/1lE8Uys9nMDOoooyXpAdypTZcW53uY7eQ/view?usp=drivesdk</t>
  </si>
  <si>
    <t>0098268916 / 242510239</t>
  </si>
  <si>
    <t>Mohammed Alvaro Fauzan Purnomo</t>
  </si>
  <si>
    <t>https://quickchart.io/qr?size=250&amp;text=https%3A%2F%2Fdocs.google.com%2Fforms%2Fd%2Fe%2F1FAIpQLSeZ-R1GrWlAPkfaThGqxeTj0QTtrARw4rroxIIepf2kipn1nw%2FformResponse%3Fusp%3Dpp_url%26entry.1313582257%3D0098268916%20%2F%20242510239%26entry.1578404635%3DHadir</t>
  </si>
  <si>
    <t>1ly_3-LKz-x-WMVlkgGxUuKlz-xsKyl_k</t>
  </si>
  <si>
    <t>https://drive.google.com/file/d/1ly_3-LKz-x-WMVlkgGxUuKlz-xsKyl_k/view?usp=drivesdk</t>
  </si>
  <si>
    <t>0086508497 / 242510241</t>
  </si>
  <si>
    <t>Muhamad Daffa Sugianto</t>
  </si>
  <si>
    <t>https://quickchart.io/qr?size=250&amp;text=https%3A%2F%2Fdocs.google.com%2Fforms%2Fd%2Fe%2F1FAIpQLSeZ-R1GrWlAPkfaThGqxeTj0QTtrARw4rroxIIepf2kipn1nw%2FformResponse%3Fusp%3Dpp_url%26entry.1313582257%3D0086508497%20%2F%20242510241%26entry.1578404635%3DHadir</t>
  </si>
  <si>
    <t>1y4MMn7HOMCqW7f1Ifiiyj71tmIyfcQnr</t>
  </si>
  <si>
    <t>https://drive.google.com/file/d/1y4MMn7HOMCqW7f1Ifiiyj71tmIyfcQnr/view?usp=drivesdk</t>
  </si>
  <si>
    <t>0091626296 / 242510254</t>
  </si>
  <si>
    <t>Muhammad Daffa Khairy Mufid</t>
  </si>
  <si>
    <t>https://quickchart.io/qr?size=250&amp;text=https%3A%2F%2Fdocs.google.com%2Fforms%2Fd%2Fe%2F1FAIpQLSeZ-R1GrWlAPkfaThGqxeTj0QTtrARw4rroxIIepf2kipn1nw%2FformResponse%3Fusp%3Dpp_url%26entry.1313582257%3D0091626296%20%2F%20242510254%26entry.1578404635%3DHadir</t>
  </si>
  <si>
    <t>1tktnHDyCJ-ndOyBMOGsOpe4ZoGWF8C52</t>
  </si>
  <si>
    <t>https://drive.google.com/file/d/1tktnHDyCJ-ndOyBMOGsOpe4ZoGWF8C52/view?usp=drivesdk</t>
  </si>
  <si>
    <t>3092559431 / 242510282</t>
  </si>
  <si>
    <t>Musyaffa Nureshan Pahlevi</t>
  </si>
  <si>
    <t>https://quickchart.io/qr?size=250&amp;text=https%3A%2F%2Fdocs.google.com%2Fforms%2Fd%2Fe%2F1FAIpQLSeZ-R1GrWlAPkfaThGqxeTj0QTtrARw4rroxIIepf2kipn1nw%2FformResponse%3Fusp%3Dpp_url%26entry.1313582257%3D3092559431%20%2F%20242510282%26entry.1578404635%3DHadir</t>
  </si>
  <si>
    <t>1O0TTuHp63plAAJZ1LdKRzZ2eLZdkvTSa</t>
  </si>
  <si>
    <t>https://drive.google.com/file/d/1O0TTuHp63plAAJZ1LdKRzZ2eLZdkvTSa/view?usp=drivesdk</t>
  </si>
  <si>
    <t>Nazwa Mufida</t>
  </si>
  <si>
    <t>https://quickchart.io/qr?size=250&amp;text=https%3A%2F%2Fdocs.google.com%2Fforms%2Fd%2Fe%2F1FAIpQLSeZ-R1GrWlAPkfaThGqxeTj0QTtrARw4rroxIIepf2kipn1nw%2FformResponse%3Fusp%3Dpp_url%26entry.1313582257%3D0083634869%20%2F%20242510301%26entry.1578404635%3DHadir</t>
  </si>
  <si>
    <t>1mM5GAjF7lBodDi7oHZL9k0GyPwWW05KA</t>
  </si>
  <si>
    <t>https://drive.google.com/file/d/1mM5GAjF7lBodDi7oHZL9k0GyPwWW05KA/view?usp=drivesdk</t>
  </si>
  <si>
    <t>Document successfully created; Document successfully merged; PDF created; Manually run by skycircle.id@gmail.com; Timestamp: Feb 3 2026 3:34 AM</t>
  </si>
  <si>
    <t>0091257095 / 242510312</t>
  </si>
  <si>
    <t>Oshe Bilqis Nadhifah</t>
  </si>
  <si>
    <t>https://quickchart.io/qr?size=250&amp;text=https%3A%2F%2Fdocs.google.com%2Fforms%2Fd%2Fe%2F1FAIpQLSeZ-R1GrWlAPkfaThGqxeTj0QTtrARw4rroxIIepf2kipn1nw%2FformResponse%3Fusp%3Dpp_url%26entry.1313582257%3D0091257095%20%2F%20242510312%26entry.1578404635%3DHadir</t>
  </si>
  <si>
    <t>1d3TNpEpZpFAk5jbBoY_sbgNH5Cab8r3z</t>
  </si>
  <si>
    <t>https://drive.google.com/file/d/1d3TNpEpZpFAk5jbBoY_sbgNH5Cab8r3z/view?usp=drivesdk</t>
  </si>
  <si>
    <t>0093570911 / 242510321</t>
  </si>
  <si>
    <t>Putri Khaila Azzahra</t>
  </si>
  <si>
    <t>https://quickchart.io/qr?size=250&amp;text=https%3A%2F%2Fdocs.google.com%2Fforms%2Fd%2Fe%2F1FAIpQLSeZ-R1GrWlAPkfaThGqxeTj0QTtrARw4rroxIIepf2kipn1nw%2FformResponse%3Fusp%3Dpp_url%26entry.1313582257%3D0093570911%20%2F%20242510321%26entry.1578404635%3DHadir</t>
  </si>
  <si>
    <t>1G7ErbS43XkVkCsYT4hyIVwVDbii8jVO_</t>
  </si>
  <si>
    <t>https://drive.google.com/file/d/1G7ErbS43XkVkCsYT4hyIVwVDbii8jVO_/view?usp=drivesdk</t>
  </si>
  <si>
    <t>0099524653 / 242510324</t>
  </si>
  <si>
    <t>Queen Aqila Althafunnisa</t>
  </si>
  <si>
    <t>https://quickchart.io/qr?size=250&amp;text=https%3A%2F%2Fdocs.google.com%2Fforms%2Fd%2Fe%2F1FAIpQLSeZ-R1GrWlAPkfaThGqxeTj0QTtrARw4rroxIIepf2kipn1nw%2FformResponse%3Fusp%3Dpp_url%26entry.1313582257%3D0099524653%20%2F%20242510324%26entry.1578404635%3DHadir</t>
  </si>
  <si>
    <t>1xbKFUImGPQgoj7GgpsZOz7UZcOPDrjPj</t>
  </si>
  <si>
    <t>https://drive.google.com/file/d/1xbKFUImGPQgoj7GgpsZOz7UZcOPDrjPj/view?usp=drivesdk</t>
  </si>
  <si>
    <t>0096689975 / 242510341</t>
  </si>
  <si>
    <t>Ramaditya Tangguh Alfian</t>
  </si>
  <si>
    <t>https://quickchart.io/qr?size=250&amp;text=https%3A%2F%2Fdocs.google.com%2Fforms%2Fd%2Fe%2F1FAIpQLSeZ-R1GrWlAPkfaThGqxeTj0QTtrARw4rroxIIepf2kipn1nw%2FformResponse%3Fusp%3Dpp_url%26entry.1313582257%3D0096689975%20%2F%20242510341%26entry.1578404635%3DHadir</t>
  </si>
  <si>
    <t>19bIA9UysghCPL5ZqmtrwNzWnXqxbB19L</t>
  </si>
  <si>
    <t>https://drive.google.com/file/d/19bIA9UysghCPL5ZqmtrwNzWnXqxbB19L/view?usp=drivesdk</t>
  </si>
  <si>
    <t>0087172262 / 242510346</t>
  </si>
  <si>
    <t>Raya Fitri Anjaini</t>
  </si>
  <si>
    <t>https://quickchart.io/qr?size=250&amp;text=https%3A%2F%2Fdocs.google.com%2Fforms%2Fd%2Fe%2F1FAIpQLSeZ-R1GrWlAPkfaThGqxeTj0QTtrARw4rroxIIepf2kipn1nw%2FformResponse%3Fusp%3Dpp_url%26entry.1313582257%3D0087172262%20%2F%20242510346%26entry.1578404635%3DHadir</t>
  </si>
  <si>
    <t>1EVmHHnF9ZKXipg6xz-2MeAI0oVRg3qzp</t>
  </si>
  <si>
    <t>https://drive.google.com/file/d/1EVmHHnF9ZKXipg6xz-2MeAI0oVRg3qzp/view?usp=drivesdk</t>
  </si>
  <si>
    <t>Document successfully created; Document successfully merged; PDF created; Manually run by skycircle.id@gmail.com; Timestamp: Feb 3 2026 3:35 AM</t>
  </si>
  <si>
    <t>0089992734 / 242510348</t>
  </si>
  <si>
    <t>Revalia Sabrina Safa</t>
  </si>
  <si>
    <t>https://quickchart.io/qr?size=250&amp;text=https%3A%2F%2Fdocs.google.com%2Fforms%2Fd%2Fe%2F1FAIpQLSeZ-R1GrWlAPkfaThGqxeTj0QTtrARw4rroxIIepf2kipn1nw%2FformResponse%3Fusp%3Dpp_url%26entry.1313582257%3D0089992734%20%2F%20242510348%26entry.1578404635%3DHadir</t>
  </si>
  <si>
    <t>1togJtEIn3xTiQ86PY5r964-R5ls4KO9r</t>
  </si>
  <si>
    <t>https://drive.google.com/file/d/1togJtEIn3xTiQ86PY5r964-R5ls4KO9r/view?usp=drivesdk</t>
  </si>
  <si>
    <t>0094272879 / 242510349</t>
  </si>
  <si>
    <t>Reyhan Saputra</t>
  </si>
  <si>
    <t>https://quickchart.io/qr?size=250&amp;text=https%3A%2F%2Fdocs.google.com%2Fforms%2Fd%2Fe%2F1FAIpQLSeZ-R1GrWlAPkfaThGqxeTj0QTtrARw4rroxIIepf2kipn1nw%2FformResponse%3Fusp%3Dpp_url%26entry.1313582257%3D0094272879%20%2F%20242510349%26entry.1578404635%3DHadir</t>
  </si>
  <si>
    <t>1yfevUELZb7cPic_90nSfs4wgroi7mzqD</t>
  </si>
  <si>
    <t>https://drive.google.com/file/d/1yfevUELZb7cPic_90nSfs4wgroi7mzqD/view?usp=drivesdk</t>
  </si>
  <si>
    <t>0094686903 / 242510362</t>
  </si>
  <si>
    <t>Safa Adalia</t>
  </si>
  <si>
    <t>https://quickchart.io/qr?size=250&amp;text=https%3A%2F%2Fdocs.google.com%2Fforms%2Fd%2Fe%2F1FAIpQLSeZ-R1GrWlAPkfaThGqxeTj0QTtrARw4rroxIIepf2kipn1nw%2FformResponse%3Fusp%3Dpp_url%26entry.1313582257%3D0094686903%20%2F%20242510362%26entry.1578404635%3DHadir</t>
  </si>
  <si>
    <t>15UjSrPR-BAE-foui5sV6pQf4OAMUh3Hc</t>
  </si>
  <si>
    <t>https://drive.google.com/file/d/15UjSrPR-BAE-foui5sV6pQf4OAMUh3Hc/view?usp=drivesdk</t>
  </si>
  <si>
    <t>0096820534 / 242510382</t>
  </si>
  <si>
    <t>Sheryn Valentia</t>
  </si>
  <si>
    <t>https://quickchart.io/qr?size=250&amp;text=https%3A%2F%2Fdocs.google.com%2Fforms%2Fd%2Fe%2F1FAIpQLSeZ-R1GrWlAPkfaThGqxeTj0QTtrARw4rroxIIepf2kipn1nw%2FformResponse%3Fusp%3Dpp_url%26entry.1313582257%3D0096820534%20%2F%20242510382%26entry.1578404635%3DHadir</t>
  </si>
  <si>
    <t>1RHvD-Gy8h9sWY2Jj6a2bh-pplME9MnuK</t>
  </si>
  <si>
    <t>https://drive.google.com/file/d/1RHvD-Gy8h9sWY2Jj6a2bh-pplME9MnuK/view?usp=drivesdk</t>
  </si>
  <si>
    <t>0091356987 / 242510392</t>
  </si>
  <si>
    <t>Syakira</t>
  </si>
  <si>
    <t>https://quickchart.io/qr?size=250&amp;text=https%3A%2F%2Fdocs.google.com%2Fforms%2Fd%2Fe%2F1FAIpQLSeZ-R1GrWlAPkfaThGqxeTj0QTtrARw4rroxIIepf2kipn1nw%2FformResponse%3Fusp%3Dpp_url%26entry.1313582257%3D0091356987%20%2F%20242510392%26entry.1578404635%3DHadir</t>
  </si>
  <si>
    <t>16QJJ1QPFNO0bxfwv-cwss1mEfooHEK6_</t>
  </si>
  <si>
    <t>https://drive.google.com/file/d/16QJJ1QPFNO0bxfwv-cwss1mEfooHEK6_/view?usp=drivesdk</t>
  </si>
  <si>
    <t>Document successfully created; Document successfully merged; PDF created; Manually run by skycircle.id@gmail.com; Timestamp: Feb 3 2026 3:36 AM</t>
  </si>
  <si>
    <t>0084616257 / 242510420</t>
  </si>
  <si>
    <t>Zahara Romadhona</t>
  </si>
  <si>
    <t>https://quickchart.io/qr?size=250&amp;text=https%3A%2F%2Fdocs.google.com%2Fforms%2Fd%2Fe%2F1FAIpQLSeZ-R1GrWlAPkfaThGqxeTj0QTtrARw4rroxIIepf2kipn1nw%2FformResponse%3Fusp%3Dpp_url%26entry.1313582257%3D0084616257%20%2F%20242510420%26entry.1578404635%3DHadir</t>
  </si>
  <si>
    <t>1AaFZy3z_Rti1yV5UFDlmYWl9ltS6QFf_</t>
  </si>
  <si>
    <t>https://drive.google.com/file/d/1AaFZy3z_Rti1yV5UFDlmYWl9ltS6QFf_/view?usp=drivesdk</t>
  </si>
  <si>
    <t>0097029152 / 242510001</t>
  </si>
  <si>
    <t>Abdurrahman Syauqi</t>
  </si>
  <si>
    <t>XI C</t>
  </si>
  <si>
    <t>https://quickchart.io/qr?size=250&amp;text=https%3A%2F%2Fdocs.google.com%2Fforms%2Fd%2Fe%2F1FAIpQLSeZ-R1GrWlAPkfaThGqxeTj0QTtrARw4rroxIIepf2kipn1nw%2FformResponse%3Fusp%3Dpp_url%26entry.1313582257%3D0097029152%20%2F%20242510001%26entry.1578404635%3DHadir</t>
  </si>
  <si>
    <t>18ZfbsXZKev6IvmDMvidwZficRkU0mmlz</t>
  </si>
  <si>
    <t>https://drive.google.com/file/d/18ZfbsXZKev6IvmDMvidwZficRkU0mmlz/view?usp=drivesdk</t>
  </si>
  <si>
    <t>Document successfully created; Document successfully merged; PDF created; Manually run by skycircle.id@gmail.com; Timestamp: Feb 3 2026 4:17 AM</t>
  </si>
  <si>
    <t>0096738562 / 242510014</t>
  </si>
  <si>
    <t>Aira Eva Fajarina</t>
  </si>
  <si>
    <t>https://quickchart.io/qr?size=250&amp;text=https%3A%2F%2Fdocs.google.com%2Fforms%2Fd%2Fe%2F1FAIpQLSeZ-R1GrWlAPkfaThGqxeTj0QTtrARw4rroxIIepf2kipn1nw%2FformResponse%3Fusp%3Dpp_url%26entry.1313582257%3D0096738562%20%2F%20242510014%26entry.1578404635%3DHadir</t>
  </si>
  <si>
    <t>1m19Dhw1Ww__IFN70Yd63wTB1IqMWVKrg</t>
  </si>
  <si>
    <t>https://drive.google.com/file/d/1m19Dhw1Ww__IFN70Yd63wTB1IqMWVKrg/view?usp=drivesdk</t>
  </si>
  <si>
    <t>0099375029 / 242510019</t>
  </si>
  <si>
    <t>Akram Dika Setiawan</t>
  </si>
  <si>
    <t>https://quickchart.io/qr?size=250&amp;text=https%3A%2F%2Fdocs.google.com%2Fforms%2Fd%2Fe%2F1FAIpQLSeZ-R1GrWlAPkfaThGqxeTj0QTtrARw4rroxIIepf2kipn1nw%2FformResponse%3Fusp%3Dpp_url%26entry.1313582257%3D0099375029%20%2F%20242510019%26entry.1578404635%3DHadir</t>
  </si>
  <si>
    <t>13gsiO4uoVzbMuJoPreZQ14r8fBxXYAuJ</t>
  </si>
  <si>
    <t>https://drive.google.com/file/d/13gsiO4uoVzbMuJoPreZQ14r8fBxXYAuJ/view?usp=drivesdk</t>
  </si>
  <si>
    <t>0085348468 / 242510024</t>
  </si>
  <si>
    <t>Al-Habi Syehar Irawan</t>
  </si>
  <si>
    <t>https://quickchart.io/qr?size=250&amp;text=https%3A%2F%2Fdocs.google.com%2Fforms%2Fd%2Fe%2F1FAIpQLSeZ-R1GrWlAPkfaThGqxeTj0QTtrARw4rroxIIepf2kipn1nw%2FformResponse%3Fusp%3Dpp_url%26entry.1313582257%3D0085348468%20%2F%20242510024%26entry.1578404635%3DHadir</t>
  </si>
  <si>
    <t>1BKd3DMu9VT55lPDPzSDUE233Ag23weMU</t>
  </si>
  <si>
    <t>https://drive.google.com/file/d/1BKd3DMu9VT55lPDPzSDUE233Ag23weMU/view?usp=drivesdk</t>
  </si>
  <si>
    <t>0095154966 / 242510036</t>
  </si>
  <si>
    <t>Alya Atifa Edfiyanti</t>
  </si>
  <si>
    <t>https://quickchart.io/qr?size=250&amp;text=https%3A%2F%2Fdocs.google.com%2Fforms%2Fd%2Fe%2F1FAIpQLSeZ-R1GrWlAPkfaThGqxeTj0QTtrARw4rroxIIepf2kipn1nw%2FformResponse%3Fusp%3Dpp_url%26entry.1313582257%3D0095154966%20%2F%20242510036%26entry.1578404635%3DHadir</t>
  </si>
  <si>
    <t>1WxeXD-60KcQK2zKpylhFpyYws8CXYMDx</t>
  </si>
  <si>
    <t>https://drive.google.com/file/d/1WxeXD-60KcQK2zKpylhFpyYws8CXYMDx/view?usp=drivesdk</t>
  </si>
  <si>
    <t>0096990480 / 242510044</t>
  </si>
  <si>
    <t>Andrea Kaira Nezza</t>
  </si>
  <si>
    <t>https://quickchart.io/qr?size=250&amp;text=https%3A%2F%2Fdocs.google.com%2Fforms%2Fd%2Fe%2F1FAIpQLSeZ-R1GrWlAPkfaThGqxeTj0QTtrARw4rroxIIepf2kipn1nw%2FformResponse%3Fusp%3Dpp_url%26entry.1313582257%3D0096990480%20%2F%20242510044%26entry.1578404635%3DHadir</t>
  </si>
  <si>
    <t>1FKqu0IwFBATQBywD6xCLyBKwH4sl8_E0</t>
  </si>
  <si>
    <t>https://drive.google.com/file/d/1FKqu0IwFBATQBywD6xCLyBKwH4sl8_E0/view?usp=drivesdk</t>
  </si>
  <si>
    <t>0081271561 / 242510054</t>
  </si>
  <si>
    <t>Ardhito Himawan Dwantara</t>
  </si>
  <si>
    <t>https://quickchart.io/qr?size=250&amp;text=https%3A%2F%2Fdocs.google.com%2Fforms%2Fd%2Fe%2F1FAIpQLSeZ-R1GrWlAPkfaThGqxeTj0QTtrARw4rroxIIepf2kipn1nw%2FformResponse%3Fusp%3Dpp_url%26entry.1313582257%3D0081271561%20%2F%20242510054%26entry.1578404635%3DHadir</t>
  </si>
  <si>
    <t>1QdRxwISmmMtWBUWUkJdP-3bXmV8rLFUH</t>
  </si>
  <si>
    <t>https://drive.google.com/file/d/1QdRxwISmmMtWBUWUkJdP-3bXmV8rLFUH/view?usp=drivesdk</t>
  </si>
  <si>
    <t>Document successfully created; Document successfully merged; PDF created; Manually run by skycircle.id@gmail.com; Timestamp: Feb 3 2026 4:18 AM</t>
  </si>
  <si>
    <t>0099561898 / 242510071</t>
  </si>
  <si>
    <t>Aureli Valency Achiles</t>
  </si>
  <si>
    <t>https://quickchart.io/qr?size=250&amp;text=https%3A%2F%2Fdocs.google.com%2Fforms%2Fd%2Fe%2F1FAIpQLSeZ-R1GrWlAPkfaThGqxeTj0QTtrARw4rroxIIepf2kipn1nw%2FformResponse%3Fusp%3Dpp_url%26entry.1313582257%3D0099561898%20%2F%20242510071%26entry.1578404635%3DHadir</t>
  </si>
  <si>
    <t>1BJRzcIgyROBd_gZynzda_sAA0hKCFV0n</t>
  </si>
  <si>
    <t>https://drive.google.com/file/d/1BJRzcIgyROBd_gZynzda_sAA0hKCFV0n/view?usp=drivesdk</t>
  </si>
  <si>
    <t>0091681862 / 242510088</t>
  </si>
  <si>
    <t>Caesy Aprilia Bausir</t>
  </si>
  <si>
    <t>https://quickchart.io/qr?size=250&amp;text=https%3A%2F%2Fdocs.google.com%2Fforms%2Fd%2Fe%2F1FAIpQLSeZ-R1GrWlAPkfaThGqxeTj0QTtrARw4rroxIIepf2kipn1nw%2FformResponse%3Fusp%3Dpp_url%26entry.1313582257%3D0091681862%20%2F%20242510088%26entry.1578404635%3DHadir</t>
  </si>
  <si>
    <t>1sxeQHIjjwStiSqNur5hFkT-LxeTwxdui</t>
  </si>
  <si>
    <t>https://drive.google.com/file/d/1sxeQHIjjwStiSqNur5hFkT-LxeTwxdui/view?usp=drivesdk</t>
  </si>
  <si>
    <t>0098451979 / 242510161</t>
  </si>
  <si>
    <t>Hasna Azmalea Radhina Santosa</t>
  </si>
  <si>
    <t>https://quickchart.io/qr?size=250&amp;text=https%3A%2F%2Fdocs.google.com%2Fforms%2Fd%2Fe%2F1FAIpQLSeZ-R1GrWlAPkfaThGqxeTj0QTtrARw4rroxIIepf2kipn1nw%2FformResponse%3Fusp%3Dpp_url%26entry.1313582257%3D0098451979%20%2F%20242510161%26entry.1578404635%3DHadir</t>
  </si>
  <si>
    <t>1fdknbril4WmsUhNlR6O8caCDK7Q5N4iQ</t>
  </si>
  <si>
    <t>https://drive.google.com/file/d/1fdknbril4WmsUhNlR6O8caCDK7Q5N4iQ/view?usp=drivesdk</t>
  </si>
  <si>
    <t>0084845522 / 242510200</t>
  </si>
  <si>
    <t>Khalista Bisi Elmyra</t>
  </si>
  <si>
    <t>https://quickchart.io/qr?size=250&amp;text=https%3A%2F%2Fdocs.google.com%2Fforms%2Fd%2Fe%2F1FAIpQLSeZ-R1GrWlAPkfaThGqxeTj0QTtrARw4rroxIIepf2kipn1nw%2FformResponse%3Fusp%3Dpp_url%26entry.1313582257%3D0084845522%20%2F%20242510200%26entry.1578404635%3DHadir</t>
  </si>
  <si>
    <t>16qvEw0CYgN-_idq6_UCiBxUdb58l7Gtj</t>
  </si>
  <si>
    <t>https://drive.google.com/file/d/16qvEw0CYgN-_idq6_UCiBxUdb58l7Gtj/view?usp=drivesdk</t>
  </si>
  <si>
    <t>0083434779 / 252611571</t>
  </si>
  <si>
    <t>Khansa Nadya Rahman</t>
  </si>
  <si>
    <t>https://quickchart.io/qr?size=250&amp;text=https%3A%2F%2Fdocs.google.com%2Fforms%2Fd%2Fe%2F1FAIpQLSeZ-R1GrWlAPkfaThGqxeTj0QTtrARw4rroxIIepf2kipn1nw%2FformResponse%3Fusp%3Dpp_url%26entry.1313582257%3D0083434779%20%2F%20252611571%26entry.1578404635%3DHadir</t>
  </si>
  <si>
    <t>1kTAPoyE6kdxUfEDQgZLhBwxZ9_MBHTT4</t>
  </si>
  <si>
    <t>https://drive.google.com/file/d/1kTAPoyE6kdxUfEDQgZLhBwxZ9_MBHTT4/view?usp=drivesdk</t>
  </si>
  <si>
    <t>Document successfully created; Document successfully merged; PDF created; Manually run by skycircle.id@gmail.com; Timestamp: Feb 3 2026 4:19 AM</t>
  </si>
  <si>
    <t>0094551974 / 242510212</t>
  </si>
  <si>
    <t>Lexa El Sohbia</t>
  </si>
  <si>
    <t>https://quickchart.io/qr?size=250&amp;text=https%3A%2F%2Fdocs.google.com%2Fforms%2Fd%2Fe%2F1FAIpQLSeZ-R1GrWlAPkfaThGqxeTj0QTtrARw4rroxIIepf2kipn1nw%2FformResponse%3Fusp%3Dpp_url%26entry.1313582257%3D0094551974%20%2F%20242510212%26entry.1578404635%3DHadir</t>
  </si>
  <si>
    <t>1B3C_1-y36AfCxLmW1qtU963Uh6qh-6lp</t>
  </si>
  <si>
    <t>https://drive.google.com/file/d/1B3C_1-y36AfCxLmW1qtU963Uh6qh-6lp/view?usp=drivesdk</t>
  </si>
  <si>
    <t>0081855086 / 242510220</t>
  </si>
  <si>
    <t>Madina Silvana Dewi</t>
  </si>
  <si>
    <t>https://quickchart.io/qr?size=250&amp;text=https%3A%2F%2Fdocs.google.com%2Fforms%2Fd%2Fe%2F1FAIpQLSeZ-R1GrWlAPkfaThGqxeTj0QTtrARw4rroxIIepf2kipn1nw%2FformResponse%3Fusp%3Dpp_url%26entry.1313582257%3D0081855086%20%2F%20242510220%26entry.1578404635%3DHadir</t>
  </si>
  <si>
    <t>1ie25e9jXMIdGl3bWmA5UbBS7kQ2PCVam</t>
  </si>
  <si>
    <t>https://drive.google.com/file/d/1ie25e9jXMIdGl3bWmA5UbBS7kQ2PCVam/view?usp=drivesdk</t>
  </si>
  <si>
    <t>Mala Nirmala</t>
  </si>
  <si>
    <t>https://quickchart.io/qr?size=250&amp;text=https%3A%2F%2Fdocs.google.com%2Fforms%2Fd%2Fe%2F1FAIpQLSeZ-R1GrWlAPkfaThGqxeTj0QTtrARw4rroxIIepf2kipn1nw%2FformResponse%3Fusp%3Dpp_url%26entry.1313582257%3D0083951567%20%2F%20242510221%26entry.1578404635%3DHadir</t>
  </si>
  <si>
    <t>1PQVjTfRDBDhc9hd9dAF_vbakhxchMtae</t>
  </si>
  <si>
    <t>https://drive.google.com/file/d/1PQVjTfRDBDhc9hd9dAF_vbakhxchMtae/view?usp=drivesdk</t>
  </si>
  <si>
    <t>0093504759 / 242510251</t>
  </si>
  <si>
    <t>Muhammad Aqila Zhafran Khair</t>
  </si>
  <si>
    <t>https://quickchart.io/qr?size=250&amp;text=https%3A%2F%2Fdocs.google.com%2Fforms%2Fd%2Fe%2F1FAIpQLSeZ-R1GrWlAPkfaThGqxeTj0QTtrARw4rroxIIepf2kipn1nw%2FformResponse%3Fusp%3Dpp_url%26entry.1313582257%3D0093504759%20%2F%20242510251%26entry.1578404635%3DHadir</t>
  </si>
  <si>
    <t>18tAxM4teDLTbdgBVO-AyvHo8trG0v7xF</t>
  </si>
  <si>
    <t>https://drive.google.com/file/d/18tAxM4teDLTbdgBVO-AyvHo8trG0v7xF/view?usp=drivesdk</t>
  </si>
  <si>
    <t>0086270372 / 242510271</t>
  </si>
  <si>
    <t>Muhammad Noval Irfandi</t>
  </si>
  <si>
    <t>https://quickchart.io/qr?size=250&amp;text=https%3A%2F%2Fdocs.google.com%2Fforms%2Fd%2Fe%2F1FAIpQLSeZ-R1GrWlAPkfaThGqxeTj0QTtrARw4rroxIIepf2kipn1nw%2FformResponse%3Fusp%3Dpp_url%26entry.1313582257%3D0086270372%20%2F%20242510271%26entry.1578404635%3DHadir</t>
  </si>
  <si>
    <t>1DKicOs_jjEpX0NTlmHqpOeB9scIvTBR3</t>
  </si>
  <si>
    <t>https://drive.google.com/file/d/1DKicOs_jjEpX0NTlmHqpOeB9scIvTBR3/view?usp=drivesdk</t>
  </si>
  <si>
    <t>Document successfully created; Document successfully merged; PDF created; Manually run by skycircle.id@gmail.com; Timestamp: Feb 3 2026 4:20 AM</t>
  </si>
  <si>
    <t>0096643467 / 242510272</t>
  </si>
  <si>
    <t>Muhammad Rayza Ijudin</t>
  </si>
  <si>
    <t>https://quickchart.io/qr?size=250&amp;text=https%3A%2F%2Fdocs.google.com%2Fforms%2Fd%2Fe%2F1FAIpQLSeZ-R1GrWlAPkfaThGqxeTj0QTtrARw4rroxIIepf2kipn1nw%2FformResponse%3Fusp%3Dpp_url%26entry.1313582257%3D0096643467%20%2F%20242510272%26entry.1578404635%3DHadir</t>
  </si>
  <si>
    <t>1ODXKp0ZK5Qf4mFW57j-GXI70D2HmxORO</t>
  </si>
  <si>
    <t>https://drive.google.com/file/d/1ODXKp0ZK5Qf4mFW57j-GXI70D2HmxORO/view?usp=drivesdk</t>
  </si>
  <si>
    <t>0091089933 / 242510284</t>
  </si>
  <si>
    <t>Nabilah Khoirunnisaa</t>
  </si>
  <si>
    <t>https://quickchart.io/qr?size=250&amp;text=https%3A%2F%2Fdocs.google.com%2Fforms%2Fd%2Fe%2F1FAIpQLSeZ-R1GrWlAPkfaThGqxeTj0QTtrARw4rroxIIepf2kipn1nw%2FformResponse%3Fusp%3Dpp_url%26entry.1313582257%3D0091089933%20%2F%20242510284%26entry.1578404635%3DHadir</t>
  </si>
  <si>
    <t>1g6-QICt_Zny8VTeRSA66FIyOtcJdzEHm</t>
  </si>
  <si>
    <t>https://drive.google.com/file/d/1g6-QICt_Zny8VTeRSA66FIyOtcJdzEHm/view?usp=drivesdk</t>
  </si>
  <si>
    <t>0096304188 / 242510289</t>
  </si>
  <si>
    <t>Nadya Putri</t>
  </si>
  <si>
    <t>https://quickchart.io/qr?size=250&amp;text=https%3A%2F%2Fdocs.google.com%2Fforms%2Fd%2Fe%2F1FAIpQLSeZ-R1GrWlAPkfaThGqxeTj0QTtrARw4rroxIIepf2kipn1nw%2FformResponse%3Fusp%3Dpp_url%26entry.1313582257%3D0096304188%20%2F%20242510289%26entry.1578404635%3DHadir</t>
  </si>
  <si>
    <t>1KAhcg8Ghm6AIkf6Zj28i8e46nacM3DP5</t>
  </si>
  <si>
    <t>https://drive.google.com/file/d/1KAhcg8Ghm6AIkf6Zj28i8e46nacM3DP5/view?usp=drivesdk</t>
  </si>
  <si>
    <t>0097295872 / 242510292</t>
  </si>
  <si>
    <t>Nasywa Neno Fauziah</t>
  </si>
  <si>
    <t>https://quickchart.io/qr?size=250&amp;text=https%3A%2F%2Fdocs.google.com%2Fforms%2Fd%2Fe%2F1FAIpQLSeZ-R1GrWlAPkfaThGqxeTj0QTtrARw4rroxIIepf2kipn1nw%2FformResponse%3Fusp%3Dpp_url%26entry.1313582257%3D0097295872%20%2F%20242510292%26entry.1578404635%3DHadir</t>
  </si>
  <si>
    <t>1iyokPqYkPmqbNzrtz6I5lHDNgM2P3wAa</t>
  </si>
  <si>
    <t>https://drive.google.com/file/d/1iyokPqYkPmqbNzrtz6I5lHDNgM2P3wAa/view?usp=drivesdk</t>
  </si>
  <si>
    <t>0096224183 / 242510299</t>
  </si>
  <si>
    <t>Nazira Meisa</t>
  </si>
  <si>
    <t>https://quickchart.io/qr?size=250&amp;text=https%3A%2F%2Fdocs.google.com%2Fforms%2Fd%2Fe%2F1FAIpQLSeZ-R1GrWlAPkfaThGqxeTj0QTtrARw4rroxIIepf2kipn1nw%2FformResponse%3Fusp%3Dpp_url%26entry.1313582257%3D0096224183%20%2F%20242510299%26entry.1578404635%3DHadir</t>
  </si>
  <si>
    <t>1jeQYTFIjBT9uw1PR1y24TK6bv9WQMvDa</t>
  </si>
  <si>
    <t>https://drive.google.com/file/d/1jeQYTFIjBT9uw1PR1y24TK6bv9WQMvDa/view?usp=drivesdk</t>
  </si>
  <si>
    <t>0083048491 / 242510303</t>
  </si>
  <si>
    <t>Ni Kadek Masayu Savitar Handayani</t>
  </si>
  <si>
    <t>https://quickchart.io/qr?size=250&amp;text=https%3A%2F%2Fdocs.google.com%2Fforms%2Fd%2Fe%2F1FAIpQLSeZ-R1GrWlAPkfaThGqxeTj0QTtrARw4rroxIIepf2kipn1nw%2FformResponse%3Fusp%3Dpp_url%26entry.1313582257%3D0083048491%20%2F%20242510303%26entry.1578404635%3DHadir</t>
  </si>
  <si>
    <t>1vW8cBFqldfh2fwDUSieSm_g_-Ju6whnL</t>
  </si>
  <si>
    <t>https://drive.google.com/file/d/1vW8cBFqldfh2fwDUSieSm_g_-Ju6whnL/view?usp=drivesdk</t>
  </si>
  <si>
    <t>Document successfully created; Document successfully merged; PDF created; Manually run by skycircle.id@gmail.com; Timestamp: Feb 3 2026 4:21 AM</t>
  </si>
  <si>
    <t>0094414485 / 242510315</t>
  </si>
  <si>
    <t>Prita Seliana</t>
  </si>
  <si>
    <t>https://quickchart.io/qr?size=250&amp;text=https%3A%2F%2Fdocs.google.com%2Fforms%2Fd%2Fe%2F1FAIpQLSeZ-R1GrWlAPkfaThGqxeTj0QTtrARw4rroxIIepf2kipn1nw%2FformResponse%3Fusp%3Dpp_url%26entry.1313582257%3D0094414485%20%2F%20242510315%26entry.1578404635%3DHadir</t>
  </si>
  <si>
    <t>1VFQvEyfIT8L_-v3ZmYPPXgFuRWAUcat7</t>
  </si>
  <si>
    <t>https://drive.google.com/file/d/1VFQvEyfIT8L_-v3ZmYPPXgFuRWAUcat7/view?usp=drivesdk</t>
  </si>
  <si>
    <t>0095501589 / 242510318</t>
  </si>
  <si>
    <t>Putri Allysia Yusup</t>
  </si>
  <si>
    <t>https://quickchart.io/qr?size=250&amp;text=https%3A%2F%2Fdocs.google.com%2Fforms%2Fd%2Fe%2F1FAIpQLSeZ-R1GrWlAPkfaThGqxeTj0QTtrARw4rroxIIepf2kipn1nw%2FformResponse%3Fusp%3Dpp_url%26entry.1313582257%3D0095501589%20%2F%20242510318%26entry.1578404635%3DHadir</t>
  </si>
  <si>
    <t>17NWvAlrYabycfAn4pSD8ME1V2IJNPLV2</t>
  </si>
  <si>
    <t>https://drive.google.com/file/d/17NWvAlrYabycfAn4pSD8ME1V2IJNPLV2/view?usp=drivesdk</t>
  </si>
  <si>
    <t>0093298242 / 242510319</t>
  </si>
  <si>
    <t>Putri Dita Apriliya</t>
  </si>
  <si>
    <t>https://quickchart.io/qr?size=250&amp;text=https%3A%2F%2Fdocs.google.com%2Fforms%2Fd%2Fe%2F1FAIpQLSeZ-R1GrWlAPkfaThGqxeTj0QTtrARw4rroxIIepf2kipn1nw%2FformResponse%3Fusp%3Dpp_url%26entry.1313582257%3D0093298242%20%2F%20242510319%26entry.1578404635%3DHadir</t>
  </si>
  <si>
    <t>1uMX1WBNSgjs7TYeUyu1f49TZuESfxdUK</t>
  </si>
  <si>
    <t>https://drive.google.com/file/d/1uMX1WBNSgjs7TYeUyu1f49TZuESfxdUK/view?usp=drivesdk</t>
  </si>
  <si>
    <t>0093266742 / 242510320</t>
  </si>
  <si>
    <t>Putri Keysha M. C</t>
  </si>
  <si>
    <t>https://quickchart.io/qr?size=250&amp;text=https%3A%2F%2Fdocs.google.com%2Fforms%2Fd%2Fe%2F1FAIpQLSeZ-R1GrWlAPkfaThGqxeTj0QTtrARw4rroxIIepf2kipn1nw%2FformResponse%3Fusp%3Dpp_url%26entry.1313582257%3D0093266742%20%2F%20242510320%26entry.1578404635%3DHadir</t>
  </si>
  <si>
    <t>1IVs1mgv3MVpBlaFf1_DFP0A9574RJ9Lo</t>
  </si>
  <si>
    <t>https://drive.google.com/file/d/1IVs1mgv3MVpBlaFf1_DFP0A9574RJ9Lo/view?usp=drivesdk</t>
  </si>
  <si>
    <t>Document successfully created; Document successfully merged; PDF created; Manually run by skycircle.id@gmail.com; Timestamp: Feb 3 2026 4:22 AM</t>
  </si>
  <si>
    <t>0092205557 / 242510345</t>
  </si>
  <si>
    <t>Ray Anita Natasya</t>
  </si>
  <si>
    <t>https://quickchart.io/qr?size=250&amp;text=https%3A%2F%2Fdocs.google.com%2Fforms%2Fd%2Fe%2F1FAIpQLSeZ-R1GrWlAPkfaThGqxeTj0QTtrARw4rroxIIepf2kipn1nw%2FformResponse%3Fusp%3Dpp_url%26entry.1313582257%3D0092205557%20%2F%20242510345%26entry.1578404635%3DHadir</t>
  </si>
  <si>
    <t>1NYaV2ByQFyONNDZAK3JhyXc_dAMwuqq0</t>
  </si>
  <si>
    <t>https://drive.google.com/file/d/1NYaV2ByQFyONNDZAK3JhyXc_dAMwuqq0/view?usp=drivesdk</t>
  </si>
  <si>
    <t>Document successfully created; Document successfully merged; PDF created; Manually run by skycircle.id@gmail.com; Timestamp: Feb 3 2026 4:25 AM</t>
  </si>
  <si>
    <t>0073027831 / 242510356</t>
  </si>
  <si>
    <t>Rizki Maulana Fadillah</t>
  </si>
  <si>
    <t>https://quickchart.io/qr?size=250&amp;text=https%3A%2F%2Fdocs.google.com%2Fforms%2Fd%2Fe%2F1FAIpQLSeZ-R1GrWlAPkfaThGqxeTj0QTtrARw4rroxIIepf2kipn1nw%2FformResponse%3Fusp%3Dpp_url%26entry.1313582257%3D0073027831%20%2F%20242510356%26entry.1578404635%3DHadir</t>
  </si>
  <si>
    <t>1bwDa5URBl6j7Ubw_OB9jZt5X9GyeTnkc</t>
  </si>
  <si>
    <t>https://drive.google.com/file/d/1bwDa5URBl6j7Ubw_OB9jZt5X9GyeTnkc/view?usp=drivesdk</t>
  </si>
  <si>
    <t>0091228007 / 242510363</t>
  </si>
  <si>
    <t>Sakila Nasution</t>
  </si>
  <si>
    <t>https://quickchart.io/qr?size=250&amp;text=https%3A%2F%2Fdocs.google.com%2Fforms%2Fd%2Fe%2F1FAIpQLSeZ-R1GrWlAPkfaThGqxeTj0QTtrARw4rroxIIepf2kipn1nw%2FformResponse%3Fusp%3Dpp_url%26entry.1313582257%3D0091228007%20%2F%20242510363%26entry.1578404635%3DHadir</t>
  </si>
  <si>
    <t>16a8tl7IsC9ow4dsXyk9a_OULUrZjE8gt</t>
  </si>
  <si>
    <t>https://drive.google.com/file/d/16a8tl7IsC9ow4dsXyk9a_OULUrZjE8gt/view?usp=drivesdk</t>
  </si>
  <si>
    <t>Document successfully created; Document successfully merged; PDF created; Manually run by skycircle.id@gmail.com; Timestamp: Feb 3 2026 4:26 AM</t>
  </si>
  <si>
    <t>0089954401 / 242510367</t>
  </si>
  <si>
    <t>Salsabila Putri</t>
  </si>
  <si>
    <t>https://quickchart.io/qr?size=250&amp;text=https%3A%2F%2Fdocs.google.com%2Fforms%2Fd%2Fe%2F1FAIpQLSeZ-R1GrWlAPkfaThGqxeTj0QTtrARw4rroxIIepf2kipn1nw%2FformResponse%3Fusp%3Dpp_url%26entry.1313582257%3D0089954401%20%2F%20242510367%26entry.1578404635%3DHadir</t>
  </si>
  <si>
    <t>1joEyy3WUul-tUP2vMNhpseKSGF800DDg</t>
  </si>
  <si>
    <t>https://drive.google.com/file/d/1joEyy3WUul-tUP2vMNhpseKSGF800DDg/view?usp=drivesdk</t>
  </si>
  <si>
    <t>0089191714 / 242510372</t>
  </si>
  <si>
    <t>Sandria Salsalina Sembiring Kembaren</t>
  </si>
  <si>
    <t>https://quickchart.io/qr?size=250&amp;text=https%3A%2F%2Fdocs.google.com%2Fforms%2Fd%2Fe%2F1FAIpQLSeZ-R1GrWlAPkfaThGqxeTj0QTtrARw4rroxIIepf2kipn1nw%2FformResponse%3Fusp%3Dpp_url%26entry.1313582257%3D0089191714%20%2F%20242510372%26entry.1578404635%3DHadir</t>
  </si>
  <si>
    <t>13kEWNoFSGqmLg6crNHt_i5DTT1mPOoJD</t>
  </si>
  <si>
    <t>https://drive.google.com/file/d/13kEWNoFSGqmLg6crNHt_i5DTT1mPOoJD/view?usp=drivesdk</t>
  </si>
  <si>
    <t>0095117423 / 242510380</t>
  </si>
  <si>
    <t>Shanaz Mufida</t>
  </si>
  <si>
    <t>https://quickchart.io/qr?size=250&amp;text=https%3A%2F%2Fdocs.google.com%2Fforms%2Fd%2Fe%2F1FAIpQLSeZ-R1GrWlAPkfaThGqxeTj0QTtrARw4rroxIIepf2kipn1nw%2FformResponse%3Fusp%3Dpp_url%26entry.1313582257%3D0095117423%20%2F%20242510380%26entry.1578404635%3DHadir</t>
  </si>
  <si>
    <t>1d2L1wZMi11Y_XWvmWn4pRqbwX7-sNb1s</t>
  </si>
  <si>
    <t>https://drive.google.com/file/d/1d2L1wZMi11Y_XWvmWn4pRqbwX7-sNb1s/view?usp=drivesdk</t>
  </si>
  <si>
    <t>0088535031 / 242510391</t>
  </si>
  <si>
    <t>Syaira Fakhrudina Putri</t>
  </si>
  <si>
    <t>https://quickchart.io/qr?size=250&amp;text=https%3A%2F%2Fdocs.google.com%2Fforms%2Fd%2Fe%2F1FAIpQLSeZ-R1GrWlAPkfaThGqxeTj0QTtrARw4rroxIIepf2kipn1nw%2FformResponse%3Fusp%3Dpp_url%26entry.1313582257%3D0088535031%20%2F%20242510391%26entry.1578404635%3DHadir</t>
  </si>
  <si>
    <t>1y_Qp1_pl_x0GvoBodL7DUC0MXW75lHS9</t>
  </si>
  <si>
    <t>https://drive.google.com/file/d/1y_Qp1_pl_x0GvoBodL7DUC0MXW75lHS9/view?usp=drivesdk</t>
  </si>
  <si>
    <t>0087500688 / 242510399</t>
  </si>
  <si>
    <t>Tegar Hermawan Anggoro</t>
  </si>
  <si>
    <t>https://quickchart.io/qr?size=250&amp;text=https%3A%2F%2Fdocs.google.com%2Fforms%2Fd%2Fe%2F1FAIpQLSeZ-R1GrWlAPkfaThGqxeTj0QTtrARw4rroxIIepf2kipn1nw%2FformResponse%3Fusp%3Dpp_url%26entry.1313582257%3D0087500688%20%2F%20242510399%26entry.1578404635%3DHadir</t>
  </si>
  <si>
    <t>1hw5QuEViQfThScYrUxpJWlxMeWi7_919</t>
  </si>
  <si>
    <t>https://drive.google.com/file/d/1hw5QuEViQfThScYrUxpJWlxMeWi7_919/view?usp=drivesdk</t>
  </si>
  <si>
    <t>0092434039 / 242510410</t>
  </si>
  <si>
    <t>Vira Aprilia Putri</t>
  </si>
  <si>
    <t>https://quickchart.io/qr?size=250&amp;text=https%3A%2F%2Fdocs.google.com%2Fforms%2Fd%2Fe%2F1FAIpQLSeZ-R1GrWlAPkfaThGqxeTj0QTtrARw4rroxIIepf2kipn1nw%2FformResponse%3Fusp%3Dpp_url%26entry.1313582257%3D0092434039%20%2F%20242510410%26entry.1578404635%3DHadir</t>
  </si>
  <si>
    <t>1IhZh6VlpMH756XG538DksOeCmrzeUaVx</t>
  </si>
  <si>
    <t>https://drive.google.com/file/d/1IhZh6VlpMH756XG538DksOeCmrzeUaVx/view?usp=drivesdk</t>
  </si>
  <si>
    <t>Document successfully created; Document successfully merged; PDF created; Manually run by skycircle.id@gmail.com; Timestamp: Feb 3 2026 4:27 AM</t>
  </si>
  <si>
    <t>0098762657 / 242510048</t>
  </si>
  <si>
    <t>Anindya Zhafira Sani</t>
  </si>
  <si>
    <t>XI D-1</t>
  </si>
  <si>
    <t>https://quickchart.io/qr?size=250&amp;text=https%3A%2F%2Fdocs.google.com%2Fforms%2Fd%2Fe%2F1FAIpQLSeZ-R1GrWlAPkfaThGqxeTj0QTtrARw4rroxIIepf2kipn1nw%2FformResponse%3Fusp%3Dpp_url%26entry.1313582257%3D0098762657%20%2F%20242510048%26entry.1578404635%3DHadir</t>
  </si>
  <si>
    <t>1eA22Og4NZMS_TD2ZugYclA0R3i7GYvon</t>
  </si>
  <si>
    <t>https://drive.google.com/file/d/1eA22Og4NZMS_TD2ZugYclA0R3i7GYvon/view?usp=drivesdk</t>
  </si>
  <si>
    <t>0089202112 / 242510055</t>
  </si>
  <si>
    <t>Ariij Arriyad</t>
  </si>
  <si>
    <t>https://quickchart.io/qr?size=250&amp;text=https%3A%2F%2Fdocs.google.com%2Fforms%2Fd%2Fe%2F1FAIpQLSeZ-R1GrWlAPkfaThGqxeTj0QTtrARw4rroxIIepf2kipn1nw%2FformResponse%3Fusp%3Dpp_url%26entry.1313582257%3D0089202112%20%2F%20242510055%26entry.1578404635%3DHadir</t>
  </si>
  <si>
    <t>16N9ioTcVWiVY67W0GNXWoXlY-zRGpfCg</t>
  </si>
  <si>
    <t>https://drive.google.com/file/d/16N9ioTcVWiVY67W0GNXWoXlY-zRGpfCg/view?usp=drivesdk</t>
  </si>
  <si>
    <t>0088260272 / 242510056</t>
  </si>
  <si>
    <t>Arinda Khalisha Pambudi</t>
  </si>
  <si>
    <t>https://quickchart.io/qr?size=250&amp;text=https%3A%2F%2Fdocs.google.com%2Fforms%2Fd%2Fe%2F1FAIpQLSeZ-R1GrWlAPkfaThGqxeTj0QTtrARw4rroxIIepf2kipn1nw%2FformResponse%3Fusp%3Dpp_url%26entry.1313582257%3D0088260272%20%2F%20242510056%26entry.1578404635%3DHadir</t>
  </si>
  <si>
    <t>1qchcYQgOPn2aDy63YNxpFhILjqf5d1kA</t>
  </si>
  <si>
    <t>https://drive.google.com/file/d/1qchcYQgOPn2aDy63YNxpFhILjqf5d1kA/view?usp=drivesdk</t>
  </si>
  <si>
    <t>0097111779 / 242510058</t>
  </si>
  <si>
    <t>Arya Muhammad Raihan</t>
  </si>
  <si>
    <t>https://quickchart.io/qr?size=250&amp;text=https%3A%2F%2Fdocs.google.com%2Fforms%2Fd%2Fe%2F1FAIpQLSeZ-R1GrWlAPkfaThGqxeTj0QTtrARw4rroxIIepf2kipn1nw%2FformResponse%3Fusp%3Dpp_url%26entry.1313582257%3D0097111779%20%2F%20242510058%26entry.1578404635%3DHadir</t>
  </si>
  <si>
    <t>1G1S3rqHYQyrPRdwldg8iN9C9032L8tEo</t>
  </si>
  <si>
    <t>https://drive.google.com/file/d/1G1S3rqHYQyrPRdwldg8iN9C9032L8tEo/view?usp=drivesdk</t>
  </si>
  <si>
    <t>0093831279 / 242510066</t>
  </si>
  <si>
    <t>Aulia Erlin Mummaizah</t>
  </si>
  <si>
    <t>https://quickchart.io/qr?size=250&amp;text=https%3A%2F%2Fdocs.google.com%2Fforms%2Fd%2Fe%2F1FAIpQLSeZ-R1GrWlAPkfaThGqxeTj0QTtrARw4rroxIIepf2kipn1nw%2FformResponse%3Fusp%3Dpp_url%26entry.1313582257%3D0093831279%20%2F%20242510066%26entry.1578404635%3DHadir</t>
  </si>
  <si>
    <t>1BYETF36y-uO2XmTihRxo7XKu03rnLCJh</t>
  </si>
  <si>
    <t>https://drive.google.com/file/d/1BYETF36y-uO2XmTihRxo7XKu03rnLCJh/view?usp=drivesdk</t>
  </si>
  <si>
    <t>Document successfully created; Document successfully merged; PDF created; Manually run by skycircle.id@gmail.com; Timestamp: Feb 3 2026 4:28 AM</t>
  </si>
  <si>
    <t>0096065165 / 242510072</t>
  </si>
  <si>
    <t>Aurelia Syifa Fiandra</t>
  </si>
  <si>
    <t>https://quickchart.io/qr?size=250&amp;text=https%3A%2F%2Fdocs.google.com%2Fforms%2Fd%2Fe%2F1FAIpQLSeZ-R1GrWlAPkfaThGqxeTj0QTtrARw4rroxIIepf2kipn1nw%2FformResponse%3Fusp%3Dpp_url%26entry.1313582257%3D0096065165%20%2F%20242510072%26entry.1578404635%3DHadir</t>
  </si>
  <si>
    <t>1ZYsiB7KisfsiBfbGe2g4-dA1Iq_hczmT</t>
  </si>
  <si>
    <t>https://drive.google.com/file/d/1ZYsiB7KisfsiBfbGe2g4-dA1Iq_hczmT/view?usp=drivesdk</t>
  </si>
  <si>
    <t>0099851224 / 242510085</t>
  </si>
  <si>
    <t>Bilqist Ayu Wulandari</t>
  </si>
  <si>
    <t>https://quickchart.io/qr?size=250&amp;text=https%3A%2F%2Fdocs.google.com%2Fforms%2Fd%2Fe%2F1FAIpQLSeZ-R1GrWlAPkfaThGqxeTj0QTtrARw4rroxIIepf2kipn1nw%2FformResponse%3Fusp%3Dpp_url%26entry.1313582257%3D0099851224%20%2F%20242510085%26entry.1578404635%3DHadir</t>
  </si>
  <si>
    <t>1rM8TaC-7TF2zFgPsxczsleUlXPpALwQB</t>
  </si>
  <si>
    <t>https://drive.google.com/file/d/1rM8TaC-7TF2zFgPsxczsleUlXPpALwQB/view?usp=drivesdk</t>
  </si>
  <si>
    <t>0092348709 / 242510096</t>
  </si>
  <si>
    <t>Cintia Zahfirah Asyiah Siregar</t>
  </si>
  <si>
    <t>https://quickchart.io/qr?size=250&amp;text=https%3A%2F%2Fdocs.google.com%2Fforms%2Fd%2Fe%2F1FAIpQLSeZ-R1GrWlAPkfaThGqxeTj0QTtrARw4rroxIIepf2kipn1nw%2FformResponse%3Fusp%3Dpp_url%26entry.1313582257%3D0092348709%20%2F%20242510096%26entry.1578404635%3DHadir</t>
  </si>
  <si>
    <t>116fKF8itwqcwoMpq5wOwV0QkDNS6xEX2</t>
  </si>
  <si>
    <t>https://drive.google.com/file/d/116fKF8itwqcwoMpq5wOwV0QkDNS6xEX2/view?usp=drivesdk</t>
  </si>
  <si>
    <t>0099087317 / 242510099</t>
  </si>
  <si>
    <t>Dania Anindita Tunggadewi</t>
  </si>
  <si>
    <t>https://quickchart.io/qr?size=250&amp;text=https%3A%2F%2Fdocs.google.com%2Fforms%2Fd%2Fe%2F1FAIpQLSeZ-R1GrWlAPkfaThGqxeTj0QTtrARw4rroxIIepf2kipn1nw%2FformResponse%3Fusp%3Dpp_url%26entry.1313582257%3D0099087317%20%2F%20242510099%26entry.1578404635%3DHadir</t>
  </si>
  <si>
    <t>1VMmhXD_yFzLy_PnfZES4CWLLtxM6eFig</t>
  </si>
  <si>
    <t>https://drive.google.com/file/d/1VMmhXD_yFzLy_PnfZES4CWLLtxM6eFig/view?usp=drivesdk</t>
  </si>
  <si>
    <t>0098666843 / 242510101</t>
  </si>
  <si>
    <t>Danisy Nahdhan Pratama</t>
  </si>
  <si>
    <t>https://quickchart.io/qr?size=250&amp;text=https%3A%2F%2Fdocs.google.com%2Fforms%2Fd%2Fe%2F1FAIpQLSeZ-R1GrWlAPkfaThGqxeTj0QTtrARw4rroxIIepf2kipn1nw%2FformResponse%3Fusp%3Dpp_url%26entry.1313582257%3D0098666843%20%2F%20242510101%26entry.1578404635%3DHadir</t>
  </si>
  <si>
    <t>1dWC7-SS7tit1z3CvhxeDcSw6XGr8DN60</t>
  </si>
  <si>
    <t>https://drive.google.com/file/d/1dWC7-SS7tit1z3CvhxeDcSw6XGr8DN60/view?usp=drivesdk</t>
  </si>
  <si>
    <t>0087242368 / 242510112</t>
  </si>
  <si>
    <t>Dicky Maulana</t>
  </si>
  <si>
    <t>https://quickchart.io/qr?size=250&amp;text=https%3A%2F%2Fdocs.google.com%2Fforms%2Fd%2Fe%2F1FAIpQLSeZ-R1GrWlAPkfaThGqxeTj0QTtrARw4rroxIIepf2kipn1nw%2FformResponse%3Fusp%3Dpp_url%26entry.1313582257%3D0087242368%20%2F%20242510112%26entry.1578404635%3DHadir</t>
  </si>
  <si>
    <t>1FD5BRiRoP1wIAHMC__OYdmH3-KfuW6bX</t>
  </si>
  <si>
    <t>https://drive.google.com/file/d/1FD5BRiRoP1wIAHMC__OYdmH3-KfuW6bX/view?usp=drivesdk</t>
  </si>
  <si>
    <t>Document successfully created; Document successfully merged; PDF created; Manually run by skycircle.id@gmail.com; Timestamp: Feb 3 2026 4:29 AM</t>
  </si>
  <si>
    <t>0087777223 / 242510130</t>
  </si>
  <si>
    <t>Faida Annaila Zahra</t>
  </si>
  <si>
    <t>https://quickchart.io/qr?size=250&amp;text=https%3A%2F%2Fdocs.google.com%2Fforms%2Fd%2Fe%2F1FAIpQLSeZ-R1GrWlAPkfaThGqxeTj0QTtrARw4rroxIIepf2kipn1nw%2FformResponse%3Fusp%3Dpp_url%26entry.1313582257%3D0087777223%20%2F%20242510130%26entry.1578404635%3DHadir</t>
  </si>
  <si>
    <t>1OGgIfjg4R9vjcGMBBhc99H4tohG3p21Q</t>
  </si>
  <si>
    <t>https://drive.google.com/file/d/1OGgIfjg4R9vjcGMBBhc99H4tohG3p21Q/view?usp=drivesdk</t>
  </si>
  <si>
    <t>0096321568 / 242510148</t>
  </si>
  <si>
    <t>Gan Muhammad Rizky</t>
  </si>
  <si>
    <t>https://quickchart.io/qr?size=250&amp;text=https%3A%2F%2Fdocs.google.com%2Fforms%2Fd%2Fe%2F1FAIpQLSeZ-R1GrWlAPkfaThGqxeTj0QTtrARw4rroxIIepf2kipn1nw%2FformResponse%3Fusp%3Dpp_url%26entry.1313582257%3D0096321568%20%2F%20242510148%26entry.1578404635%3DHadir</t>
  </si>
  <si>
    <t>13iIIVvy96o-2MwBxnbjEOyvnaKnitxk4</t>
  </si>
  <si>
    <t>https://drive.google.com/file/d/13iIIVvy96o-2MwBxnbjEOyvnaKnitxk4/view?usp=drivesdk</t>
  </si>
  <si>
    <t>0084693493 / 242510158</t>
  </si>
  <si>
    <t>Haidar Al Fathin</t>
  </si>
  <si>
    <t>https://quickchart.io/qr?size=250&amp;text=https%3A%2F%2Fdocs.google.com%2Fforms%2Fd%2Fe%2F1FAIpQLSeZ-R1GrWlAPkfaThGqxeTj0QTtrARw4rroxIIepf2kipn1nw%2FformResponse%3Fusp%3Dpp_url%26entry.1313582257%3D0084693493%20%2F%20242510158%26entry.1578404635%3DHadir</t>
  </si>
  <si>
    <t>1v8w2o4viqVhtZBTrbe7Wvq1MakdzWB77</t>
  </si>
  <si>
    <t>https://drive.google.com/file/d/1v8w2o4viqVhtZBTrbe7Wvq1MakdzWB77/view?usp=drivesdk</t>
  </si>
  <si>
    <t>0088791024 / 242510172</t>
  </si>
  <si>
    <t>Intan Zahira Aulia</t>
  </si>
  <si>
    <t>https://quickchart.io/qr?size=250&amp;text=https%3A%2F%2Fdocs.google.com%2Fforms%2Fd%2Fe%2F1FAIpQLSeZ-R1GrWlAPkfaThGqxeTj0QTtrARw4rroxIIepf2kipn1nw%2FformResponse%3Fusp%3Dpp_url%26entry.1313582257%3D0088791024%20%2F%20242510172%26entry.1578404635%3DHadir</t>
  </si>
  <si>
    <t>1Xqwd202ZznUPRzfNIgF3rXyoaOxpMnhQ</t>
  </si>
  <si>
    <t>https://drive.google.com/file/d/1Xqwd202ZznUPRzfNIgF3rXyoaOxpMnhQ/view?usp=drivesdk</t>
  </si>
  <si>
    <t>0083440916 / 242510182</t>
  </si>
  <si>
    <t>Kahla Mulia</t>
  </si>
  <si>
    <t>https://quickchart.io/qr?size=250&amp;text=https%3A%2F%2Fdocs.google.com%2Fforms%2Fd%2Fe%2F1FAIpQLSeZ-R1GrWlAPkfaThGqxeTj0QTtrARw4rroxIIepf2kipn1nw%2FformResponse%3Fusp%3Dpp_url%26entry.1313582257%3D0083440916%20%2F%20242510182%26entry.1578404635%3DHadir</t>
  </si>
  <si>
    <t>1tZ7xx8rZcJZyLNUjuSPwZYVIlawycsLC</t>
  </si>
  <si>
    <t>https://drive.google.com/file/d/1tZ7xx8rZcJZyLNUjuSPwZYVIlawycsLC/view?usp=drivesdk</t>
  </si>
  <si>
    <t>Document successfully created; Document successfully merged; PDF created; Manually run by skycircle.id@gmail.com; Timestamp: Feb 3 2026 4:30 AM</t>
  </si>
  <si>
    <t>0097101002 / 242510186</t>
  </si>
  <si>
    <t>Kayla Pelangi Harupi</t>
  </si>
  <si>
    <t>https://quickchart.io/qr?size=250&amp;text=https%3A%2F%2Fdocs.google.com%2Fforms%2Fd%2Fe%2F1FAIpQLSeZ-R1GrWlAPkfaThGqxeTj0QTtrARw4rroxIIepf2kipn1nw%2FformResponse%3Fusp%3Dpp_url%26entry.1313582257%3D0097101002%20%2F%20242510186%26entry.1578404635%3DHadir</t>
  </si>
  <si>
    <t>1eV2JvQ4DA9i5QB8CCYBOw5vPSRmY0Emo</t>
  </si>
  <si>
    <t>https://drive.google.com/file/d/1eV2JvQ4DA9i5QB8CCYBOw5vPSRmY0Emo/view?usp=drivesdk</t>
  </si>
  <si>
    <t>0083510857 / 242510205</t>
  </si>
  <si>
    <t>Khomairah</t>
  </si>
  <si>
    <t>https://quickchart.io/qr?size=250&amp;text=https%3A%2F%2Fdocs.google.com%2Fforms%2Fd%2Fe%2F1FAIpQLSeZ-R1GrWlAPkfaThGqxeTj0QTtrARw4rroxIIepf2kipn1nw%2FformResponse%3Fusp%3Dpp_url%26entry.1313582257%3D0083510857%20%2F%20242510205%26entry.1578404635%3DHadir</t>
  </si>
  <si>
    <t>17AGtEOhwFNZHAyEeIaBCtECQQQ0z0p0t</t>
  </si>
  <si>
    <t>https://drive.google.com/file/d/17AGtEOhwFNZHAyEeIaBCtECQQQ0z0p0t/view?usp=drivesdk</t>
  </si>
  <si>
    <t>0099224342 / 242510214</t>
  </si>
  <si>
    <t>Lingga Argan Zinggara</t>
  </si>
  <si>
    <t>https://quickchart.io/qr?size=250&amp;text=https%3A%2F%2Fdocs.google.com%2Fforms%2Fd%2Fe%2F1FAIpQLSeZ-R1GrWlAPkfaThGqxeTj0QTtrARw4rroxIIepf2kipn1nw%2FformResponse%3Fusp%3Dpp_url%26entry.1313582257%3D0099224342%20%2F%20242510214%26entry.1578404635%3DHadir</t>
  </si>
  <si>
    <t>1-nq3iCF65KkpO8WEGnOhHxXQcki3FB5l</t>
  </si>
  <si>
    <t>https://drive.google.com/file/d/1-nq3iCF65KkpO8WEGnOhHxXQcki3FB5l/view?usp=drivesdk</t>
  </si>
  <si>
    <t>0087441371 / 242510226</t>
  </si>
  <si>
    <t>Maulana Yusuf Purnama</t>
  </si>
  <si>
    <t>https://quickchart.io/qr?size=250&amp;text=https%3A%2F%2Fdocs.google.com%2Fforms%2Fd%2Fe%2F1FAIpQLSeZ-R1GrWlAPkfaThGqxeTj0QTtrARw4rroxIIepf2kipn1nw%2FformResponse%3Fusp%3Dpp_url%26entry.1313582257%3D0087441371%20%2F%20242510226%26entry.1578404635%3DHadir</t>
  </si>
  <si>
    <t>1eLyhakQqy9uttyjxTASHuJSa6OSljpKa</t>
  </si>
  <si>
    <t>https://drive.google.com/file/d/1eLyhakQqy9uttyjxTASHuJSa6OSljpKa/view?usp=drivesdk</t>
  </si>
  <si>
    <t>0092053150 / 242510248</t>
  </si>
  <si>
    <t>Muhammad Abidzar</t>
  </si>
  <si>
    <t>https://quickchart.io/qr?size=250&amp;text=https%3A%2F%2Fdocs.google.com%2Fforms%2Fd%2Fe%2F1FAIpQLSeZ-R1GrWlAPkfaThGqxeTj0QTtrARw4rroxIIepf2kipn1nw%2FformResponse%3Fusp%3Dpp_url%26entry.1313582257%3D0092053150%20%2F%20242510248%26entry.1578404635%3DHadir</t>
  </si>
  <si>
    <t>1e0VZTDaahe7jOz6soJUxxKZ3PeG0Lrfz</t>
  </si>
  <si>
    <t>https://drive.google.com/file/d/1e0VZTDaahe7jOz6soJUxxKZ3PeG0Lrfz/view?usp=drivesdk</t>
  </si>
  <si>
    <t>Document successfully created; Document successfully merged; PDF created; Manually run by skycircle.id@gmail.com; Timestamp: Feb 3 2026 4:31 AM</t>
  </si>
  <si>
    <t>0099674979 / 242510268</t>
  </si>
  <si>
    <t>Muhammad Irgi Avicenna Fachridho Putra</t>
  </si>
  <si>
    <t>https://quickchart.io/qr?size=250&amp;text=https%3A%2F%2Fdocs.google.com%2Fforms%2Fd%2Fe%2F1FAIpQLSeZ-R1GrWlAPkfaThGqxeTj0QTtrARw4rroxIIepf2kipn1nw%2FformResponse%3Fusp%3Dpp_url%26entry.1313582257%3D0099674979%20%2F%20242510268%26entry.1578404635%3DHadir</t>
  </si>
  <si>
    <t>1DwfepLGyqDbVCMz2vu4sHx4th5_0Qclj</t>
  </si>
  <si>
    <t>https://drive.google.com/file/d/1DwfepLGyqDbVCMz2vu4sHx4th5_0Qclj/view?usp=drivesdk</t>
  </si>
  <si>
    <t>0094087712 / 242510287</t>
  </si>
  <si>
    <t>Nadine Kirana Saraswati</t>
  </si>
  <si>
    <t>https://quickchart.io/qr?size=250&amp;text=https%3A%2F%2Fdocs.google.com%2Fforms%2Fd%2Fe%2F1FAIpQLSeZ-R1GrWlAPkfaThGqxeTj0QTtrARw4rroxIIepf2kipn1nw%2FformResponse%3Fusp%3Dpp_url%26entry.1313582257%3D0094087712%20%2F%20242510287%26entry.1578404635%3DHadir</t>
  </si>
  <si>
    <t>1M6PpG1qOz8P3TslC7PP7PE98ozY7cqaV</t>
  </si>
  <si>
    <t>https://drive.google.com/file/d/1M6PpG1qOz8P3TslC7PP7PE98ozY7cqaV/view?usp=drivesdk</t>
  </si>
  <si>
    <t>0096704827 / 242510295</t>
  </si>
  <si>
    <t>Naura Praprincess Ananda Anbiya</t>
  </si>
  <si>
    <t>https://quickchart.io/qr?size=250&amp;text=https%3A%2F%2Fdocs.google.com%2Fforms%2Fd%2Fe%2F1FAIpQLSeZ-R1GrWlAPkfaThGqxeTj0QTtrARw4rroxIIepf2kipn1nw%2FformResponse%3Fusp%3Dpp_url%26entry.1313582257%3D0096704827%20%2F%20242510295%26entry.1578404635%3DHadir</t>
  </si>
  <si>
    <t>1EUhWk8o9QgkvteSccDnGbyCBz404hXKO</t>
  </si>
  <si>
    <t>https://drive.google.com/file/d/1EUhWk8o9QgkvteSccDnGbyCBz404hXKO/view?usp=drivesdk</t>
  </si>
  <si>
    <t>0082766789 / 242510317</t>
  </si>
  <si>
    <t>Puti Pelangi Maharani</t>
  </si>
  <si>
    <t>https://quickchart.io/qr?size=250&amp;text=https%3A%2F%2Fdocs.google.com%2Fforms%2Fd%2Fe%2F1FAIpQLSeZ-R1GrWlAPkfaThGqxeTj0QTtrARw4rroxIIepf2kipn1nw%2FformResponse%3Fusp%3Dpp_url%26entry.1313582257%3D0082766789%20%2F%20242510317%26entry.1578404635%3DHadir</t>
  </si>
  <si>
    <t>1LvkyHqDHfSK14ZEWLt7hlhxDIdyZDr7M</t>
  </si>
  <si>
    <t>https://drive.google.com/file/d/1LvkyHqDHfSK14ZEWLt7hlhxDIdyZDr7M/view?usp=drivesdk</t>
  </si>
  <si>
    <t>Document successfully created; Document successfully merged; PDF created; Manually run by skycircle.id@gmail.com; Timestamp: Feb 3 2026 4:32 AM</t>
  </si>
  <si>
    <t>0087189022 / 242510326</t>
  </si>
  <si>
    <t>Quenna Valencia</t>
  </si>
  <si>
    <t>https://quickchart.io/qr?size=250&amp;text=https%3A%2F%2Fdocs.google.com%2Fforms%2Fd%2Fe%2F1FAIpQLSeZ-R1GrWlAPkfaThGqxeTj0QTtrARw4rroxIIepf2kipn1nw%2FformResponse%3Fusp%3Dpp_url%26entry.1313582257%3D0087189022%20%2F%20242510326%26entry.1578404635%3DHadir</t>
  </si>
  <si>
    <t>1zk9EOeEL2errs_Duel3Glyo66o5Onxj5</t>
  </si>
  <si>
    <t>https://drive.google.com/file/d/1zk9EOeEL2errs_Duel3Glyo66o5Onxj5/view?usp=drivesdk</t>
  </si>
  <si>
    <t>0083216448 / 242510340</t>
  </si>
  <si>
    <t>Rama Ar Rifatul Anbiya</t>
  </si>
  <si>
    <t>https://quickchart.io/qr?size=250&amp;text=https%3A%2F%2Fdocs.google.com%2Fforms%2Fd%2Fe%2F1FAIpQLSeZ-R1GrWlAPkfaThGqxeTj0QTtrARw4rroxIIepf2kipn1nw%2FformResponse%3Fusp%3Dpp_url%26entry.1313582257%3D0083216448%20%2F%20242510340%26entry.1578404635%3DHadir</t>
  </si>
  <si>
    <t>1k9g5l6HQ4Qu_wMiP6bTcmqSL54xEdmrb</t>
  </si>
  <si>
    <t>https://drive.google.com/file/d/1k9g5l6HQ4Qu_wMiP6bTcmqSL54xEdmrb/view?usp=drivesdk</t>
  </si>
  <si>
    <t>0081976297 / 242510351</t>
  </si>
  <si>
    <t>Rifky Akbar Maulana</t>
  </si>
  <si>
    <t>https://quickchart.io/qr?size=250&amp;text=https%3A%2F%2Fdocs.google.com%2Fforms%2Fd%2Fe%2F1FAIpQLSeZ-R1GrWlAPkfaThGqxeTj0QTtrARw4rroxIIepf2kipn1nw%2FformResponse%3Fusp%3Dpp_url%26entry.1313582257%3D0081976297%20%2F%20242510351%26entry.1578404635%3DHadir</t>
  </si>
  <si>
    <t>1H37gH5oBcFKQrlt16r8xLY6Jy1BXGJqZ</t>
  </si>
  <si>
    <t>https://drive.google.com/file/d/1H37gH5oBcFKQrlt16r8xLY6Jy1BXGJqZ/view?usp=drivesdk</t>
  </si>
  <si>
    <t>0087374524 / 242510358</t>
  </si>
  <si>
    <t>Rizky Baihaqi</t>
  </si>
  <si>
    <t>https://quickchart.io/qr?size=250&amp;text=https%3A%2F%2Fdocs.google.com%2Fforms%2Fd%2Fe%2F1FAIpQLSeZ-R1GrWlAPkfaThGqxeTj0QTtrARw4rroxIIepf2kipn1nw%2FformResponse%3Fusp%3Dpp_url%26entry.1313582257%3D0087374524%20%2F%20242510358%26entry.1578404635%3DHadir</t>
  </si>
  <si>
    <t>1r--HAY53j6-aeZ8W47W6cOQIhOpr1pyz</t>
  </si>
  <si>
    <t>https://drive.google.com/file/d/1r--HAY53j6-aeZ8W47W6cOQIhOpr1pyz/view?usp=drivesdk</t>
  </si>
  <si>
    <t>0095610000 / 242510359</t>
  </si>
  <si>
    <t>Rosliani Sarrah</t>
  </si>
  <si>
    <t>https://quickchart.io/qr?size=250&amp;text=https%3A%2F%2Fdocs.google.com%2Fforms%2Fd%2Fe%2F1FAIpQLSeZ-R1GrWlAPkfaThGqxeTj0QTtrARw4rroxIIepf2kipn1nw%2FformResponse%3Fusp%3Dpp_url%26entry.1313582257%3D0095610000%20%2F%20242510359%26entry.1578404635%3DHadir</t>
  </si>
  <si>
    <t>1eEalvso6_bS1ugIoaf73CPtjF_FTf0s4</t>
  </si>
  <si>
    <t>https://drive.google.com/file/d/1eEalvso6_bS1ugIoaf73CPtjF_FTf0s4/view?usp=drivesdk</t>
  </si>
  <si>
    <t>Document successfully created; Document successfully merged; PDF created; Manually run by skycircle.id@gmail.com; Timestamp: Feb 3 2026 4:33 AM</t>
  </si>
  <si>
    <t>3108459157 / 242510368</t>
  </si>
  <si>
    <t>Salwa Aisya Putri</t>
  </si>
  <si>
    <t>https://quickchart.io/qr?size=250&amp;text=https%3A%2F%2Fdocs.google.com%2Fforms%2Fd%2Fe%2F1FAIpQLSeZ-R1GrWlAPkfaThGqxeTj0QTtrARw4rroxIIepf2kipn1nw%2FformResponse%3Fusp%3Dpp_url%26entry.1313582257%3D3108459157%20%2F%20242510368%26entry.1578404635%3DHadir</t>
  </si>
  <si>
    <t>1trrzA6kDNZPIds7XPT2iwbWYZFCRNOCb</t>
  </si>
  <si>
    <t>https://drive.google.com/file/d/1trrzA6kDNZPIds7XPT2iwbWYZFCRNOCb/view?usp=drivesdk</t>
  </si>
  <si>
    <t>0092184814 / 242510369</t>
  </si>
  <si>
    <t>Salwa Amanda Putri</t>
  </si>
  <si>
    <t>https://quickchart.io/qr?size=250&amp;text=https%3A%2F%2Fdocs.google.com%2Fforms%2Fd%2Fe%2F1FAIpQLSeZ-R1GrWlAPkfaThGqxeTj0QTtrARw4rroxIIepf2kipn1nw%2FformResponse%3Fusp%3Dpp_url%26entry.1313582257%3D0092184814%20%2F%20242510369%26entry.1578404635%3DHadir</t>
  </si>
  <si>
    <t>1IXQOpwfZ37RVWYT-HOALxzquZZUtaTcH</t>
  </si>
  <si>
    <t>https://drive.google.com/file/d/1IXQOpwfZ37RVWYT-HOALxzquZZUtaTcH/view?usp=drivesdk</t>
  </si>
  <si>
    <t>0093513380 / 242510383</t>
  </si>
  <si>
    <t>Shinta Aulia</t>
  </si>
  <si>
    <t>https://quickchart.io/qr?size=250&amp;text=https%3A%2F%2Fdocs.google.com%2Fforms%2Fd%2Fe%2F1FAIpQLSeZ-R1GrWlAPkfaThGqxeTj0QTtrARw4rroxIIepf2kipn1nw%2FformResponse%3Fusp%3Dpp_url%26entry.1313582257%3D0093513380%20%2F%20242510383%26entry.1578404635%3DHadir</t>
  </si>
  <si>
    <t>1c9IESP9n-wjWjew1eMGWAQPDeTVv7_41</t>
  </si>
  <si>
    <t>https://drive.google.com/file/d/1c9IESP9n-wjWjew1eMGWAQPDeTVv7_41/view?usp=drivesdk</t>
  </si>
  <si>
    <t>0094484878 / 242510403</t>
  </si>
  <si>
    <t>Troy Rhezky Lembong</t>
  </si>
  <si>
    <t>https://quickchart.io/qr?size=250&amp;text=https%3A%2F%2Fdocs.google.com%2Fforms%2Fd%2Fe%2F1FAIpQLSeZ-R1GrWlAPkfaThGqxeTj0QTtrARw4rroxIIepf2kipn1nw%2FformResponse%3Fusp%3Dpp_url%26entry.1313582257%3D0094484878%20%2F%20242510403%26entry.1578404635%3DHadir</t>
  </si>
  <si>
    <t>1dlkLpSDt7MudD8u9Hou-7mIp1rMkdGpF</t>
  </si>
  <si>
    <t>https://drive.google.com/file/d/1dlkLpSDt7MudD8u9Hou-7mIp1rMkdGpF/view?usp=drivesdk</t>
  </si>
  <si>
    <t>0094008926 / 242510425</t>
  </si>
  <si>
    <t>Zalfa Anaya Putri</t>
  </si>
  <si>
    <t>https://quickchart.io/qr?size=250&amp;text=https%3A%2F%2Fdocs.google.com%2Fforms%2Fd%2Fe%2F1FAIpQLSeZ-R1GrWlAPkfaThGqxeTj0QTtrARw4rroxIIepf2kipn1nw%2FformResponse%3Fusp%3Dpp_url%26entry.1313582257%3D0094008926%20%2F%20242510425%26entry.1578404635%3DHadir</t>
  </si>
  <si>
    <t>1Cy_sVEtSB8Fr6Ng5QGuAw5T0dLESu7qZ</t>
  </si>
  <si>
    <t>https://drive.google.com/file/d/1Cy_sVEtSB8Fr6Ng5QGuAw5T0dLESu7qZ/view?usp=drivesdk</t>
  </si>
  <si>
    <t>Document successfully created; Document successfully merged; PDF created; Manually run by skycircle.id@gmail.com; Timestamp: Feb 3 2026 4:34 AM</t>
  </si>
  <si>
    <t>0096998389 / 242510428</t>
  </si>
  <si>
    <t>Zhafira Fathin Ilmira</t>
  </si>
  <si>
    <t>https://quickchart.io/qr?size=250&amp;text=https%3A%2F%2Fdocs.google.com%2Fforms%2Fd%2Fe%2F1FAIpQLSeZ-R1GrWlAPkfaThGqxeTj0QTtrARw4rroxIIepf2kipn1nw%2FformResponse%3Fusp%3Dpp_url%26entry.1313582257%3D0096998389%20%2F%20242510428%26entry.1578404635%3DHadir</t>
  </si>
  <si>
    <t>1ICfecS9XO5WJoH8nmpNgSlqFwsf9QEw8</t>
  </si>
  <si>
    <t>https://drive.google.com/file/d/1ICfecS9XO5WJoH8nmpNgSlqFwsf9QEw8/view?usp=drivesdk</t>
  </si>
  <si>
    <t>0099205215 / 242510002</t>
  </si>
  <si>
    <t>Abhipraya Fahim Ghazal Adhiatma</t>
  </si>
  <si>
    <t>XI D-2</t>
  </si>
  <si>
    <t>https://quickchart.io/qr?size=250&amp;text=https%3A%2F%2Fdocs.google.com%2Fforms%2Fd%2Fe%2F1FAIpQLSeZ-R1GrWlAPkfaThGqxeTj0QTtrARw4rroxIIepf2kipn1nw%2FformResponse%3Fusp%3Dpp_url%26entry.1313582257%3D0099205215%20%2F%20242510002%26entry.1578404635%3DHadir</t>
  </si>
  <si>
    <t>1SxWtQsuewY_2jeQlIm_qESN7_PmAoTW_</t>
  </si>
  <si>
    <t>https://drive.google.com/file/d/1SxWtQsuewY_2jeQlIm_qESN7_PmAoTW_/view?usp=drivesdk</t>
  </si>
  <si>
    <t>0096176025 / 242510004</t>
  </si>
  <si>
    <t>Abimanyu Cakraningrat</t>
  </si>
  <si>
    <t>https://quickchart.io/qr?size=250&amp;text=https%3A%2F%2Fdocs.google.com%2Fforms%2Fd%2Fe%2F1FAIpQLSeZ-R1GrWlAPkfaThGqxeTj0QTtrARw4rroxIIepf2kipn1nw%2FformResponse%3Fusp%3Dpp_url%26entry.1313582257%3D0096176025%20%2F%20242510004%26entry.1578404635%3DHadir</t>
  </si>
  <si>
    <t>1qI0NKDzxWFnqnMP-CTyd8QXEcui2uTpc</t>
  </si>
  <si>
    <t>https://drive.google.com/file/d/1qI0NKDzxWFnqnMP-CTyd8QXEcui2uTpc/view?usp=drivesdk</t>
  </si>
  <si>
    <t>0083691625 / 242510013</t>
  </si>
  <si>
    <t>Aini Nur Fauziah Gunawan</t>
  </si>
  <si>
    <t>https://quickchart.io/qr?size=250&amp;text=https%3A%2F%2Fdocs.google.com%2Fforms%2Fd%2Fe%2F1FAIpQLSeZ-R1GrWlAPkfaThGqxeTj0QTtrARw4rroxIIepf2kipn1nw%2FformResponse%3Fusp%3Dpp_url%26entry.1313582257%3D0083691625%20%2F%20242510013%26entry.1578404635%3DHadir</t>
  </si>
  <si>
    <t>15r4Dd6Bj48qCr-ONa6yw1B-ZR4CYO5nA</t>
  </si>
  <si>
    <t>https://drive.google.com/file/d/15r4Dd6Bj48qCr-ONa6yw1B-ZR4CYO5nA/view?usp=drivesdk</t>
  </si>
  <si>
    <t>0093555544 / 242510030</t>
  </si>
  <si>
    <t>Almira Dian Pratiwi</t>
  </si>
  <si>
    <t>https://quickchart.io/qr?size=250&amp;text=https%3A%2F%2Fdocs.google.com%2Fforms%2Fd%2Fe%2F1FAIpQLSeZ-R1GrWlAPkfaThGqxeTj0QTtrARw4rroxIIepf2kipn1nw%2FformResponse%3Fusp%3Dpp_url%26entry.1313582257%3D0093555544%20%2F%20242510030%26entry.1578404635%3DHadir</t>
  </si>
  <si>
    <t>1Bs9T5mhIipg1hYp0FoJbjB47uh-OavUB</t>
  </si>
  <si>
    <t>https://drive.google.com/file/d/1Bs9T5mhIipg1hYp0FoJbjB47uh-OavUB/view?usp=drivesdk</t>
  </si>
  <si>
    <t>Document successfully created; Document successfully merged; PDF created; Manually run by skycircle.id@gmail.com; Timestamp: Feb 3 2026 4:35 AM</t>
  </si>
  <si>
    <t>0093240247 / 242510049</t>
  </si>
  <si>
    <t>Anjar Rauf Fahrizal</t>
  </si>
  <si>
    <t>https://quickchart.io/qr?size=250&amp;text=https%3A%2F%2Fdocs.google.com%2Fforms%2Fd%2Fe%2F1FAIpQLSeZ-R1GrWlAPkfaThGqxeTj0QTtrARw4rroxIIepf2kipn1nw%2FformResponse%3Fusp%3Dpp_url%26entry.1313582257%3D0093240247%20%2F%20242510049%26entry.1578404635%3DHadir</t>
  </si>
  <si>
    <t>1cG25y_LFUUXeZDJCaSqJfYnKY-_WwkZC</t>
  </si>
  <si>
    <t>https://drive.google.com/file/d/1cG25y_LFUUXeZDJCaSqJfYnKY-_WwkZC/view?usp=drivesdk</t>
  </si>
  <si>
    <t>0081177343 / 242510057</t>
  </si>
  <si>
    <t>Arsyila Kayyisah Biyanto</t>
  </si>
  <si>
    <t>https://quickchart.io/qr?size=250&amp;text=https%3A%2F%2Fdocs.google.com%2Fforms%2Fd%2Fe%2F1FAIpQLSeZ-R1GrWlAPkfaThGqxeTj0QTtrARw4rroxIIepf2kipn1nw%2FformResponse%3Fusp%3Dpp_url%26entry.1313582257%3D0081177343%20%2F%20242510057%26entry.1578404635%3DHadir</t>
  </si>
  <si>
    <t>1-u99eVwp8Y5ZiHIGu1wQ5tKnQyKrdEB9</t>
  </si>
  <si>
    <t>https://drive.google.com/file/d/1-u99eVwp8Y5ZiHIGu1wQ5tKnQyKrdEB9/view?usp=drivesdk</t>
  </si>
  <si>
    <t>0097044189 / 242510065</t>
  </si>
  <si>
    <t>Aufa Syafiq Disastra</t>
  </si>
  <si>
    <t>https://quickchart.io/qr?size=250&amp;text=https%3A%2F%2Fdocs.google.com%2Fforms%2Fd%2Fe%2F1FAIpQLSeZ-R1GrWlAPkfaThGqxeTj0QTtrARw4rroxIIepf2kipn1nw%2FformResponse%3Fusp%3Dpp_url%26entry.1313582257%3D0097044189%20%2F%20242510065%26entry.1578404635%3DHadir</t>
  </si>
  <si>
    <t>1mXbEa1H1b6TQ7xgNnLr5xpt4G4n4FHpM</t>
  </si>
  <si>
    <t>https://drive.google.com/file/d/1mXbEa1H1b6TQ7xgNnLr5xpt4G4n4FHpM/view?usp=drivesdk</t>
  </si>
  <si>
    <t>0094015905 / 242510074</t>
  </si>
  <si>
    <t>Aurellia Syifa Hafianti</t>
  </si>
  <si>
    <t>https://quickchart.io/qr?size=250&amp;text=https%3A%2F%2Fdocs.google.com%2Fforms%2Fd%2Fe%2F1FAIpQLSeZ-R1GrWlAPkfaThGqxeTj0QTtrARw4rroxIIepf2kipn1nw%2FformResponse%3Fusp%3Dpp_url%26entry.1313582257%3D0094015905%20%2F%20242510074%26entry.1578404635%3DHadir</t>
  </si>
  <si>
    <t>1E1vmPN80WEJrJfjd95wWxB9oa2AUdDWf</t>
  </si>
  <si>
    <t>https://drive.google.com/file/d/1E1vmPN80WEJrJfjd95wWxB9oa2AUdDWf/view?usp=drivesdk</t>
  </si>
  <si>
    <t>0099056940 / 242510077</t>
  </si>
  <si>
    <t>Ayuki Nirwasita Saputro</t>
  </si>
  <si>
    <t>https://quickchart.io/qr?size=250&amp;text=https%3A%2F%2Fdocs.google.com%2Fforms%2Fd%2Fe%2F1FAIpQLSeZ-R1GrWlAPkfaThGqxeTj0QTtrARw4rroxIIepf2kipn1nw%2FformResponse%3Fusp%3Dpp_url%26entry.1313582257%3D0099056940%20%2F%20242510077%26entry.1578404635%3DHadir</t>
  </si>
  <si>
    <t>1S0LK1fjSIdkiJSITRmNEu6YxFq9zkMYb</t>
  </si>
  <si>
    <t>https://drive.google.com/file/d/1S0LK1fjSIdkiJSITRmNEu6YxFq9zkMYb/view?usp=drivesdk</t>
  </si>
  <si>
    <t>0083503418 / 242510092</t>
  </si>
  <si>
    <t>Chelsy Ashyla Nafiza</t>
  </si>
  <si>
    <t>https://quickchart.io/qr?size=250&amp;text=https%3A%2F%2Fdocs.google.com%2Fforms%2Fd%2Fe%2F1FAIpQLSeZ-R1GrWlAPkfaThGqxeTj0QTtrARw4rroxIIepf2kipn1nw%2FformResponse%3Fusp%3Dpp_url%26entry.1313582257%3D0083503418%20%2F%20242510092%26entry.1578404635%3DHadir</t>
  </si>
  <si>
    <t>1W6hcvFFGE13b-w7PCuXpY2kzA8g662Be</t>
  </si>
  <si>
    <t>https://drive.google.com/file/d/1W6hcvFFGE13b-w7PCuXpY2kzA8g662Be/view?usp=drivesdk</t>
  </si>
  <si>
    <t>Document successfully created; Document successfully merged; PDF created; Manually run by skycircle.id@gmail.com; Timestamp: Feb 3 2026 4:36 AM</t>
  </si>
  <si>
    <t>0082910392 / 242510119</t>
  </si>
  <si>
    <t>Echa Putri Ramadhani</t>
  </si>
  <si>
    <t>https://quickchart.io/qr?size=250&amp;text=https%3A%2F%2Fdocs.google.com%2Fforms%2Fd%2Fe%2F1FAIpQLSeZ-R1GrWlAPkfaThGqxeTj0QTtrARw4rroxIIepf2kipn1nw%2FformResponse%3Fusp%3Dpp_url%26entry.1313582257%3D0082910392%20%2F%20242510119%26entry.1578404635%3DHadir</t>
  </si>
  <si>
    <t>1u0_ykYHQt21nBuEiinzHrUQ-l4eePorP</t>
  </si>
  <si>
    <t>https://drive.google.com/file/d/1u0_ykYHQt21nBuEiinzHrUQ-l4eePorP/view?usp=drivesdk</t>
  </si>
  <si>
    <t>0092889165 / 242510121</t>
  </si>
  <si>
    <t>Ello Sasmitha Jati</t>
  </si>
  <si>
    <t>https://quickchart.io/qr?size=250&amp;text=https%3A%2F%2Fdocs.google.com%2Fforms%2Fd%2Fe%2F1FAIpQLSeZ-R1GrWlAPkfaThGqxeTj0QTtrARw4rroxIIepf2kipn1nw%2FformResponse%3Fusp%3Dpp_url%26entry.1313582257%3D0092889165%20%2F%20242510121%26entry.1578404635%3DHadir</t>
  </si>
  <si>
    <t>1HwbNAk7Q_X7r4sPe3HONv6chF-gPHEYM</t>
  </si>
  <si>
    <t>https://drive.google.com/file/d/1HwbNAk7Q_X7r4sPe3HONv6chF-gPHEYM/view?usp=drivesdk</t>
  </si>
  <si>
    <t>0089925170 / 242510124</t>
  </si>
  <si>
    <t>Eskisan Oktri Femista</t>
  </si>
  <si>
    <t>https://quickchart.io/qr?size=250&amp;text=https%3A%2F%2Fdocs.google.com%2Fforms%2Fd%2Fe%2F1FAIpQLSeZ-R1GrWlAPkfaThGqxeTj0QTtrARw4rroxIIepf2kipn1nw%2FformResponse%3Fusp%3Dpp_url%26entry.1313582257%3D0089925170%20%2F%20242510124%26entry.1578404635%3DHadir</t>
  </si>
  <si>
    <t>1ckh6ZIChxPqmEM1LNxeu6TQ3BgFwqIAt</t>
  </si>
  <si>
    <t>https://drive.google.com/file/d/1ckh6ZIChxPqmEM1LNxeu6TQ3BgFwqIAt/view?usp=drivesdk</t>
  </si>
  <si>
    <t>Document successfully created; Document successfully merged; PDF created; Manually run by skycircle.id@gmail.com; Timestamp: Feb 3 2026 4:37 AM</t>
  </si>
  <si>
    <t>0097500016 / 242510138</t>
  </si>
  <si>
    <t>Fathan Mubina</t>
  </si>
  <si>
    <t>https://quickchart.io/qr?size=250&amp;text=https%3A%2F%2Fdocs.google.com%2Fforms%2Fd%2Fe%2F1FAIpQLSeZ-R1GrWlAPkfaThGqxeTj0QTtrARw4rroxIIepf2kipn1nw%2FformResponse%3Fusp%3Dpp_url%26entry.1313582257%3D0097500016%20%2F%20242510138%26entry.1578404635%3DHadir</t>
  </si>
  <si>
    <t>1kIFXBTVuaCSdzQETmEJxlZQlmQhJHxjT</t>
  </si>
  <si>
    <t>https://drive.google.com/file/d/1kIFXBTVuaCSdzQETmEJxlZQlmQhJHxjT/view?usp=drivesdk</t>
  </si>
  <si>
    <t>0091736459 / 242510143</t>
  </si>
  <si>
    <t>Fiona Wahidah Salsabila</t>
  </si>
  <si>
    <t>https://quickchart.io/qr?size=250&amp;text=https%3A%2F%2Fdocs.google.com%2Fforms%2Fd%2Fe%2F1FAIpQLSeZ-R1GrWlAPkfaThGqxeTj0QTtrARw4rroxIIepf2kipn1nw%2FformResponse%3Fusp%3Dpp_url%26entry.1313582257%3D0091736459%20%2F%20242510143%26entry.1578404635%3DHadir</t>
  </si>
  <si>
    <t>1iJBWJxdQG5loNXAv5fBY-lZLR_3hDukp</t>
  </si>
  <si>
    <t>https://drive.google.com/file/d/1iJBWJxdQG5loNXAv5fBY-lZLR_3hDukp/view?usp=drivesdk</t>
  </si>
  <si>
    <t>0083473619 / 242510151</t>
  </si>
  <si>
    <t>Gian Fabrizio</t>
  </si>
  <si>
    <t>https://quickchart.io/qr?size=250&amp;text=https%3A%2F%2Fdocs.google.com%2Fforms%2Fd%2Fe%2F1FAIpQLSeZ-R1GrWlAPkfaThGqxeTj0QTtrARw4rroxIIepf2kipn1nw%2FformResponse%3Fusp%3Dpp_url%26entry.1313582257%3D0083473619%20%2F%20242510151%26entry.1578404635%3DHadir</t>
  </si>
  <si>
    <t>1ImmkI7-Jxu0YC_gPuF_JpthcSI1JQAPo</t>
  </si>
  <si>
    <t>https://drive.google.com/file/d/1ImmkI7-Jxu0YC_gPuF_JpthcSI1JQAPo/view?usp=drivesdk</t>
  </si>
  <si>
    <t>0095965332 / 242510202</t>
  </si>
  <si>
    <t>Khansa Nabilah Fatin</t>
  </si>
  <si>
    <t>https://quickchart.io/qr?size=250&amp;text=https%3A%2F%2Fdocs.google.com%2Fforms%2Fd%2Fe%2F1FAIpQLSeZ-R1GrWlAPkfaThGqxeTj0QTtrARw4rroxIIepf2kipn1nw%2FformResponse%3Fusp%3Dpp_url%26entry.1313582257%3D0095965332%20%2F%20242510202%26entry.1578404635%3DHadir</t>
  </si>
  <si>
    <t>1LKU0xtGC6EEHCb4a_bgJmEFBNB11NRS2</t>
  </si>
  <si>
    <t>https://drive.google.com/file/d/1LKU0xtGC6EEHCb4a_bgJmEFBNB11NRS2/view?usp=drivesdk</t>
  </si>
  <si>
    <t>3089802088 / 242510204</t>
  </si>
  <si>
    <t>Khofifah Asrining Pangastuti</t>
  </si>
  <si>
    <t>https://quickchart.io/qr?size=250&amp;text=https%3A%2F%2Fdocs.google.com%2Fforms%2Fd%2Fe%2F1FAIpQLSeZ-R1GrWlAPkfaThGqxeTj0QTtrARw4rroxIIepf2kipn1nw%2FformResponse%3Fusp%3Dpp_url%26entry.1313582257%3D3089802088%20%2F%20242510204%26entry.1578404635%3DHadir</t>
  </si>
  <si>
    <t>1ZOuH1t-hnv-hLlJjPjJO5HrnfQKKykDK</t>
  </si>
  <si>
    <t>https://drive.google.com/file/d/1ZOuH1t-hnv-hLlJjPjJO5HrnfQKKykDK/view?usp=drivesdk</t>
  </si>
  <si>
    <t>0083558880 / 242510215</t>
  </si>
  <si>
    <t>Lukman Harun Aditya</t>
  </si>
  <si>
    <t>https://quickchart.io/qr?size=250&amp;text=https%3A%2F%2Fdocs.google.com%2Fforms%2Fd%2Fe%2F1FAIpQLSeZ-R1GrWlAPkfaThGqxeTj0QTtrARw4rroxIIepf2kipn1nw%2FformResponse%3Fusp%3Dpp_url%26entry.1313582257%3D0083558880%20%2F%20242510215%26entry.1578404635%3DHadir</t>
  </si>
  <si>
    <t>1Oq9-7ATig2Gkh9dA4VhKQ40Ucjj3Bzea</t>
  </si>
  <si>
    <t>https://drive.google.com/file/d/1Oq9-7ATig2Gkh9dA4VhKQ40Ucjj3Bzea/view?usp=drivesdk</t>
  </si>
  <si>
    <t>Document successfully created; Document successfully merged; PDF created; Manually run by skycircle.id@gmail.com; Timestamp: Feb 3 2026 4:38 AM</t>
  </si>
  <si>
    <t>0087939718 / 242510217</t>
  </si>
  <si>
    <t>M. Bintang Aliansyah Tukuboya</t>
  </si>
  <si>
    <t>https://quickchart.io/qr?size=250&amp;text=https%3A%2F%2Fdocs.google.com%2Fforms%2Fd%2Fe%2F1FAIpQLSeZ-R1GrWlAPkfaThGqxeTj0QTtrARw4rroxIIepf2kipn1nw%2FformResponse%3Fusp%3Dpp_url%26entry.1313582257%3D0087939718%20%2F%20242510217%26entry.1578404635%3DHadir</t>
  </si>
  <si>
    <t>1-lIQTd5Ic6QhWUFhzqRCRhRGcOhTIxQa</t>
  </si>
  <si>
    <t>https://drive.google.com/file/d/1-lIQTd5Ic6QhWUFhzqRCRhRGcOhTIxQa/view?usp=drivesdk</t>
  </si>
  <si>
    <t>3086429713 / 242510256</t>
  </si>
  <si>
    <t>Muhammad Dalfin Syawaldi Putra Setiawan</t>
  </si>
  <si>
    <t>https://quickchart.io/qr?size=250&amp;text=https%3A%2F%2Fdocs.google.com%2Fforms%2Fd%2Fe%2F1FAIpQLSeZ-R1GrWlAPkfaThGqxeTj0QTtrARw4rroxIIepf2kipn1nw%2FformResponse%3Fusp%3Dpp_url%26entry.1313582257%3D3086429713%20%2F%20242510256%26entry.1578404635%3DHadir</t>
  </si>
  <si>
    <t>1V-039OENs3Z-dcYDYyrY7kiIw3bBwUNB</t>
  </si>
  <si>
    <t>https://drive.google.com/file/d/1V-039OENs3Z-dcYDYyrY7kiIw3bBwUNB/view?usp=drivesdk</t>
  </si>
  <si>
    <t>0082222599 / 242510270</t>
  </si>
  <si>
    <t>Muhammad Naufal Suryadi</t>
  </si>
  <si>
    <t>https://quickchart.io/qr?size=250&amp;text=https%3A%2F%2Fdocs.google.com%2Fforms%2Fd%2Fe%2F1FAIpQLSeZ-R1GrWlAPkfaThGqxeTj0QTtrARw4rroxIIepf2kipn1nw%2FformResponse%3Fusp%3Dpp_url%26entry.1313582257%3D0082222599%20%2F%20242510270%26entry.1578404635%3DHadir</t>
  </si>
  <si>
    <t>1QS7tqQbc8BjM4zK-tWXq1KYMHdU_4sdu</t>
  </si>
  <si>
    <t>https://drive.google.com/file/d/1QS7tqQbc8BjM4zK-tWXq1KYMHdU_4sdu/view?usp=drivesdk</t>
  </si>
  <si>
    <t>0096947097 / 242510277</t>
  </si>
  <si>
    <t>Muhammad Salman Iriansar</t>
  </si>
  <si>
    <t>https://quickchart.io/qr?size=250&amp;text=https%3A%2F%2Fdocs.google.com%2Fforms%2Fd%2Fe%2F1FAIpQLSeZ-R1GrWlAPkfaThGqxeTj0QTtrARw4rroxIIepf2kipn1nw%2FformResponse%3Fusp%3Dpp_url%26entry.1313582257%3D0096947097%20%2F%20242510277%26entry.1578404635%3DHadir</t>
  </si>
  <si>
    <t>1rGaQDrPcE2P948lHsWG7VZAFlm3hMGhq</t>
  </si>
  <si>
    <t>https://drive.google.com/file/d/1rGaQDrPcE2P948lHsWG7VZAFlm3hMGhq/view?usp=drivesdk</t>
  </si>
  <si>
    <t>0088243290 / 242510285</t>
  </si>
  <si>
    <t>Nabilla Alya Rohhadi</t>
  </si>
  <si>
    <t>https://quickchart.io/qr?size=250&amp;text=https%3A%2F%2Fdocs.google.com%2Fforms%2Fd%2Fe%2F1FAIpQLSeZ-R1GrWlAPkfaThGqxeTj0QTtrARw4rroxIIepf2kipn1nw%2FformResponse%3Fusp%3Dpp_url%26entry.1313582257%3D0088243290%20%2F%20242510285%26entry.1578404635%3DHadir</t>
  </si>
  <si>
    <t>1ftG4ozsGQMjXHeA2Ne_L_NyVPKHTXJ8H</t>
  </si>
  <si>
    <t>https://drive.google.com/file/d/1ftG4ozsGQMjXHeA2Ne_L_NyVPKHTXJ8H/view?usp=drivesdk</t>
  </si>
  <si>
    <t>0083111399 / 242510305</t>
  </si>
  <si>
    <t>Ni Putu Nayaka Prakasayati Pasek</t>
  </si>
  <si>
    <t>https://quickchart.io/qr?size=250&amp;text=https%3A%2F%2Fdocs.google.com%2Fforms%2Fd%2Fe%2F1FAIpQLSeZ-R1GrWlAPkfaThGqxeTj0QTtrARw4rroxIIepf2kipn1nw%2FformResponse%3Fusp%3Dpp_url%26entry.1313582257%3D0083111399%20%2F%20242510305%26entry.1578404635%3DHadir</t>
  </si>
  <si>
    <t>1DoJiqPSgJyLjrl-7IvIljN_iNCghZwYi</t>
  </si>
  <si>
    <t>https://drive.google.com/file/d/1DoJiqPSgJyLjrl-7IvIljN_iNCghZwYi/view?usp=drivesdk</t>
  </si>
  <si>
    <t>0098495672 / 242510327</t>
  </si>
  <si>
    <t>Quinsha Naura Adity</t>
  </si>
  <si>
    <t>https://quickchart.io/qr?size=250&amp;text=https%3A%2F%2Fdocs.google.com%2Fforms%2Fd%2Fe%2F1FAIpQLSeZ-R1GrWlAPkfaThGqxeTj0QTtrARw4rroxIIepf2kipn1nw%2FformResponse%3Fusp%3Dpp_url%26entry.1313582257%3D0098495672%20%2F%20242510327%26entry.1578404635%3DHadir</t>
  </si>
  <si>
    <t>1tNInCKFA28EyLXwJ1TJX__jeCNb6dy30</t>
  </si>
  <si>
    <t>https://drive.google.com/file/d/1tNInCKFA28EyLXwJ1TJX__jeCNb6dy30/view?usp=drivesdk</t>
  </si>
  <si>
    <t>Document successfully created; Document successfully merged; PDF created; Manually run by skycircle.id@gmail.com; Timestamp: Feb 3 2026 4:39 AM</t>
  </si>
  <si>
    <t>0087033208 / 242510335</t>
  </si>
  <si>
    <t>Rahel Esra Ratua Manurung</t>
  </si>
  <si>
    <t>https://quickchart.io/qr?size=250&amp;text=https%3A%2F%2Fdocs.google.com%2Fforms%2Fd%2Fe%2F1FAIpQLSeZ-R1GrWlAPkfaThGqxeTj0QTtrARw4rroxIIepf2kipn1nw%2FformResponse%3Fusp%3Dpp_url%26entry.1313582257%3D0087033208%20%2F%20242510335%26entry.1578404635%3DHadir</t>
  </si>
  <si>
    <t>11wGde8qXGKRy3ip7YdMmxtuiYlYav_gS</t>
  </si>
  <si>
    <t>https://drive.google.com/file/d/11wGde8qXGKRy3ip7YdMmxtuiYlYav_gS/view?usp=drivesdk</t>
  </si>
  <si>
    <t>0087540462 / 242510365</t>
  </si>
  <si>
    <t>Salsabila Alfeeansyah Putri</t>
  </si>
  <si>
    <t>https://quickchart.io/qr?size=250&amp;text=https%3A%2F%2Fdocs.google.com%2Fforms%2Fd%2Fe%2F1FAIpQLSeZ-R1GrWlAPkfaThGqxeTj0QTtrARw4rroxIIepf2kipn1nw%2FformResponse%3Fusp%3Dpp_url%26entry.1313582257%3D0087540462%20%2F%20242510365%26entry.1578404635%3DHadir</t>
  </si>
  <si>
    <t>1cTN4piHnhvHPGl4NxVVnsxOvJFK-GaLa</t>
  </si>
  <si>
    <t>https://drive.google.com/file/d/1cTN4piHnhvHPGl4NxVVnsxOvJFK-GaLa/view?usp=drivesdk</t>
  </si>
  <si>
    <t>0098177122 / 242510370</t>
  </si>
  <si>
    <t>Samuel Sahat Vito Siregar</t>
  </si>
  <si>
    <t>https://quickchart.io/qr?size=250&amp;text=https%3A%2F%2Fdocs.google.com%2Fforms%2Fd%2Fe%2F1FAIpQLSeZ-R1GrWlAPkfaThGqxeTj0QTtrARw4rroxIIepf2kipn1nw%2FformResponse%3Fusp%3Dpp_url%26entry.1313582257%3D0098177122%20%2F%20242510370%26entry.1578404635%3DHadir</t>
  </si>
  <si>
    <t>1qBdkwbgjYm4Jh_clGsmGAIgxfQ_OLpVm</t>
  </si>
  <si>
    <t>https://drive.google.com/file/d/1qBdkwbgjYm4Jh_clGsmGAIgxfQ_OLpVm/view?usp=drivesdk</t>
  </si>
  <si>
    <t>0084182636 / 242510376</t>
  </si>
  <si>
    <t>Satria Andhika Raissa</t>
  </si>
  <si>
    <t>https://quickchart.io/qr?size=250&amp;text=https%3A%2F%2Fdocs.google.com%2Fforms%2Fd%2Fe%2F1FAIpQLSeZ-R1GrWlAPkfaThGqxeTj0QTtrARw4rroxIIepf2kipn1nw%2FformResponse%3Fusp%3Dpp_url%26entry.1313582257%3D0084182636%20%2F%20242510376%26entry.1578404635%3DHadir</t>
  </si>
  <si>
    <t>17mjNG1Ie1DIJcc5OlXfXeGvqUhmi-LuW</t>
  </si>
  <si>
    <t>https://drive.google.com/file/d/17mjNG1Ie1DIJcc5OlXfXeGvqUhmi-LuW/view?usp=drivesdk</t>
  </si>
  <si>
    <t>0092533632 / 242510397</t>
  </si>
  <si>
    <t>Talita Putria Cahyani</t>
  </si>
  <si>
    <t>https://quickchart.io/qr?size=250&amp;text=https%3A%2F%2Fdocs.google.com%2Fforms%2Fd%2Fe%2F1FAIpQLSeZ-R1GrWlAPkfaThGqxeTj0QTtrARw4rroxIIepf2kipn1nw%2FformResponse%3Fusp%3Dpp_url%26entry.1313582257%3D0092533632%20%2F%20242510397%26entry.1578404635%3DHadir</t>
  </si>
  <si>
    <t>1NaIXW-filH-JGCu5GVTwRgD1o4UP8l2U</t>
  </si>
  <si>
    <t>https://drive.google.com/file/d/1NaIXW-filH-JGCu5GVTwRgD1o4UP8l2U/view?usp=drivesdk</t>
  </si>
  <si>
    <t>0089659957 / 242510418</t>
  </si>
  <si>
    <t>Yasmin Sakura Armawan</t>
  </si>
  <si>
    <t>https://quickchart.io/qr?size=250&amp;text=https%3A%2F%2Fdocs.google.com%2Fforms%2Fd%2Fe%2F1FAIpQLSeZ-R1GrWlAPkfaThGqxeTj0QTtrARw4rroxIIepf2kipn1nw%2FformResponse%3Fusp%3Dpp_url%26entry.1313582257%3D0089659957%20%2F%20242510418%26entry.1578404635%3DHadir</t>
  </si>
  <si>
    <t>1Ji_90wlV5e5UkO1ZzfXBdtAYpxOcAs5q</t>
  </si>
  <si>
    <t>https://drive.google.com/file/d/1Ji_90wlV5e5UkO1ZzfXBdtAYpxOcAs5q/view?usp=drivesdk</t>
  </si>
  <si>
    <t>0094494926 / 242510419</t>
  </si>
  <si>
    <t>Zafarani Amalia Putri</t>
  </si>
  <si>
    <t>https://quickchart.io/qr?size=250&amp;text=https%3A%2F%2Fdocs.google.com%2Fforms%2Fd%2Fe%2F1FAIpQLSeZ-R1GrWlAPkfaThGqxeTj0QTtrARw4rroxIIepf2kipn1nw%2FformResponse%3Fusp%3Dpp_url%26entry.1313582257%3D0094494926%20%2F%20242510419%26entry.1578404635%3DHadir</t>
  </si>
  <si>
    <t>1-hXK5wj8QMgcetzwlwYmEfkOCnhiJjGT</t>
  </si>
  <si>
    <t>https://drive.google.com/file/d/1-hXK5wj8QMgcetzwlwYmEfkOCnhiJjGT/view?usp=drivesdk</t>
  </si>
  <si>
    <t>Document successfully created; Document successfully merged; PDF created; Manually run by skycircle.id@gmail.com; Timestamp: Feb 3 2026 4:40 AM</t>
  </si>
  <si>
    <t>0083550559 / 242510422</t>
  </si>
  <si>
    <t>Zahra Talita Dzakira</t>
  </si>
  <si>
    <t>https://quickchart.io/qr?size=250&amp;text=https%3A%2F%2Fdocs.google.com%2Fforms%2Fd%2Fe%2F1FAIpQLSeZ-R1GrWlAPkfaThGqxeTj0QTtrARw4rroxIIepf2kipn1nw%2FformResponse%3Fusp%3Dpp_url%26entry.1313582257%3D0083550559%20%2F%20242510422%26entry.1578404635%3DHadir</t>
  </si>
  <si>
    <t>1esrpLj-nF92JsWPpmIFLY1DaIU388cKB</t>
  </si>
  <si>
    <t>https://drive.google.com/file/d/1esrpLj-nF92JsWPpmIFLY1DaIU388cKB/view?usp=drivesdk</t>
  </si>
  <si>
    <t>0086771046 / 242510427</t>
  </si>
  <si>
    <t>Zaskya Risqita Andriani</t>
  </si>
  <si>
    <t>https://quickchart.io/qr?size=250&amp;text=https%3A%2F%2Fdocs.google.com%2Fforms%2Fd%2Fe%2F1FAIpQLSeZ-R1GrWlAPkfaThGqxeTj0QTtrARw4rroxIIepf2kipn1nw%2FformResponse%3Fusp%3Dpp_url%26entry.1313582257%3D0086771046%20%2F%20242510427%26entry.1578404635%3DHadir</t>
  </si>
  <si>
    <t>1aP7n2FBFFhACUkQzSaReQDFyENC7R0nW</t>
  </si>
  <si>
    <t>https://drive.google.com/file/d/1aP7n2FBFFhACUkQzSaReQDFyENC7R0nW/view?usp=drivesdk</t>
  </si>
  <si>
    <t>0098965422 / 242510431</t>
  </si>
  <si>
    <t>Zikra Arib Rozaan</t>
  </si>
  <si>
    <t>https://quickchart.io/qr?size=250&amp;text=https%3A%2F%2Fdocs.google.com%2Fforms%2Fd%2Fe%2F1FAIpQLSeZ-R1GrWlAPkfaThGqxeTj0QTtrARw4rroxIIepf2kipn1nw%2FformResponse%3Fusp%3Dpp_url%26entry.1313582257%3D0098965422%20%2F%20242510431%26entry.1578404635%3DHadir</t>
  </si>
  <si>
    <t>1WXCKFSpLUOa-i9DjKxhGTxdnKN4P0Tve</t>
  </si>
  <si>
    <t>https://drive.google.com/file/d/1WXCKFSpLUOa-i9DjKxhGTxdnKN4P0Tve/view?usp=drivesdk</t>
  </si>
  <si>
    <t>0091972857 / 242510003</t>
  </si>
  <si>
    <t>Abhista Anggoro Purnomo</t>
  </si>
  <si>
    <t>XI D-3</t>
  </si>
  <si>
    <t>https://quickchart.io/qr?size=250&amp;text=https%3A%2F%2Fdocs.google.com%2Fforms%2Fd%2Fe%2F1FAIpQLSeZ-R1GrWlAPkfaThGqxeTj0QTtrARw4rroxIIepf2kipn1nw%2FformResponse%3Fusp%3Dpp_url%26entry.1313582257%3D0091972857%20%2F%20242510003%26entry.1578404635%3DHadir</t>
  </si>
  <si>
    <t>1LJLVpe8mDX4a4twGZXm2PM7mYU-fgTgS</t>
  </si>
  <si>
    <t>https://drive.google.com/file/d/1LJLVpe8mDX4a4twGZXm2PM7mYU-fgTgS/view?usp=drivesdk</t>
  </si>
  <si>
    <t>0099463036 / 242510012</t>
  </si>
  <si>
    <t>Aina Nisa Asyifa</t>
  </si>
  <si>
    <t>https://quickchart.io/qr?size=250&amp;text=https%3A%2F%2Fdocs.google.com%2Fforms%2Fd%2Fe%2F1FAIpQLSeZ-R1GrWlAPkfaThGqxeTj0QTtrARw4rroxIIepf2kipn1nw%2FformResponse%3Fusp%3Dpp_url%26entry.1313582257%3D0099463036%20%2F%20242510012%26entry.1578404635%3DHadir</t>
  </si>
  <si>
    <t>1ENDbO1XIRsHprRLjCBZhWebf6QA_BXJ_</t>
  </si>
  <si>
    <t>https://drive.google.com/file/d/1ENDbO1XIRsHprRLjCBZhWebf6QA_BXJ_/view?usp=drivesdk</t>
  </si>
  <si>
    <t>0084373144 / 242510032</t>
  </si>
  <si>
    <t>Aloysius Arthur Sinurat</t>
  </si>
  <si>
    <t>https://quickchart.io/qr?size=250&amp;text=https%3A%2F%2Fdocs.google.com%2Fforms%2Fd%2Fe%2F1FAIpQLSeZ-R1GrWlAPkfaThGqxeTj0QTtrARw4rroxIIepf2kipn1nw%2FformResponse%3Fusp%3Dpp_url%26entry.1313582257%3D0084373144%20%2F%20242510032%26entry.1578404635%3DHadir</t>
  </si>
  <si>
    <t>1MN1D0D_n9nV4BM7ob_3pPapxIyPzOTAB</t>
  </si>
  <si>
    <t>https://drive.google.com/file/d/1MN1D0D_n9nV4BM7ob_3pPapxIyPzOTAB/view?usp=drivesdk</t>
  </si>
  <si>
    <t>0092027940 / 242510034</t>
  </si>
  <si>
    <t>Aluna Kalila Fauzan</t>
  </si>
  <si>
    <t>https://quickchart.io/qr?size=250&amp;text=https%3A%2F%2Fdocs.google.com%2Fforms%2Fd%2Fe%2F1FAIpQLSeZ-R1GrWlAPkfaThGqxeTj0QTtrARw4rroxIIepf2kipn1nw%2FformResponse%3Fusp%3Dpp_url%26entry.1313582257%3D0092027940%20%2F%20242510034%26entry.1578404635%3DHadir</t>
  </si>
  <si>
    <t>1Qm9gUxj2luHXzMBRpmIa-GwG5S7SCXrH</t>
  </si>
  <si>
    <t>https://drive.google.com/file/d/1Qm9gUxj2luHXzMBRpmIa-GwG5S7SCXrH/view?usp=drivesdk</t>
  </si>
  <si>
    <t>Document successfully created; Document successfully merged; PDF created; Manually run by skycircle.id@gmail.com; Timestamp: Feb 3 2026 4:41 AM</t>
  </si>
  <si>
    <t>0097798929 / 242510045</t>
  </si>
  <si>
    <t>Anida Dewi Anjani</t>
  </si>
  <si>
    <t>https://quickchart.io/qr?size=250&amp;text=https%3A%2F%2Fdocs.google.com%2Fforms%2Fd%2Fe%2F1FAIpQLSeZ-R1GrWlAPkfaThGqxeTj0QTtrARw4rroxIIepf2kipn1nw%2FformResponse%3Fusp%3Dpp_url%26entry.1313582257%3D0097798929%20%2F%20242510045%26entry.1578404635%3DHadir</t>
  </si>
  <si>
    <t>1iP-YI6mjKsVF4jqT2CO_GYMzG2GDzHLB</t>
  </si>
  <si>
    <t>https://drive.google.com/file/d/1iP-YI6mjKsVF4jqT2CO_GYMzG2GDzHLB/view?usp=drivesdk</t>
  </si>
  <si>
    <t>0092388902 / 242510053</t>
  </si>
  <si>
    <t>Aqila Khairunnisa Putri</t>
  </si>
  <si>
    <t>https://quickchart.io/qr?size=250&amp;text=https%3A%2F%2Fdocs.google.com%2Fforms%2Fd%2Fe%2F1FAIpQLSeZ-R1GrWlAPkfaThGqxeTj0QTtrARw4rroxIIepf2kipn1nw%2FformResponse%3Fusp%3Dpp_url%26entry.1313582257%3D0092388902%20%2F%20242510053%26entry.1578404635%3DHadir</t>
  </si>
  <si>
    <t>1_s-keKQW1Gpe2tJ9pdkeGA_ZczZYstXx</t>
  </si>
  <si>
    <t>https://drive.google.com/file/d/1_s-keKQW1Gpe2tJ9pdkeGA_ZczZYstXx/view?usp=drivesdk</t>
  </si>
  <si>
    <t>0092260536 / 242510063</t>
  </si>
  <si>
    <t>Athalia Mayrossa Kenzie</t>
  </si>
  <si>
    <t>https://quickchart.io/qr?size=250&amp;text=https%3A%2F%2Fdocs.google.com%2Fforms%2Fd%2Fe%2F1FAIpQLSeZ-R1GrWlAPkfaThGqxeTj0QTtrARw4rroxIIepf2kipn1nw%2FformResponse%3Fusp%3Dpp_url%26entry.1313582257%3D0092260536%20%2F%20242510063%26entry.1578404635%3DHadir</t>
  </si>
  <si>
    <t>16kGegplkVtzyFfbia0TjLx9T-Nd77L_D</t>
  </si>
  <si>
    <t>https://drive.google.com/file/d/16kGegplkVtzyFfbia0TjLx9T-Nd77L_D/view?usp=drivesdk</t>
  </si>
  <si>
    <t>0092404259 / 242510067</t>
  </si>
  <si>
    <t>Aulia Putri Syafira</t>
  </si>
  <si>
    <t>https://quickchart.io/qr?size=250&amp;text=https%3A%2F%2Fdocs.google.com%2Fforms%2Fd%2Fe%2F1FAIpQLSeZ-R1GrWlAPkfaThGqxeTj0QTtrARw4rroxIIepf2kipn1nw%2FformResponse%3Fusp%3Dpp_url%26entry.1313582257%3D0092404259%20%2F%20242510067%26entry.1578404635%3DHadir</t>
  </si>
  <si>
    <t>1Yp9sieX-2Rbb7YW33SNiNi3OZZJbPUUj</t>
  </si>
  <si>
    <t>https://drive.google.com/file/d/1Yp9sieX-2Rbb7YW33SNiNi3OZZJbPUUj/view?usp=drivesdk</t>
  </si>
  <si>
    <t>0086475767 / 242510068</t>
  </si>
  <si>
    <t>Aulia Rahmaditia Danang</t>
  </si>
  <si>
    <t>https://quickchart.io/qr?size=250&amp;text=https%3A%2F%2Fdocs.google.com%2Fforms%2Fd%2Fe%2F1FAIpQLSeZ-R1GrWlAPkfaThGqxeTj0QTtrARw4rroxIIepf2kipn1nw%2FformResponse%3Fusp%3Dpp_url%26entry.1313582257%3D0086475767%20%2F%20242510068%26entry.1578404635%3DHadir</t>
  </si>
  <si>
    <t>1ITCOzySFZoedbd7S4YJ8YD8XAfUdGZS3</t>
  </si>
  <si>
    <t>https://drive.google.com/file/d/1ITCOzySFZoedbd7S4YJ8YD8XAfUdGZS3/view?usp=drivesdk</t>
  </si>
  <si>
    <t>0099130384 / 242510073</t>
  </si>
  <si>
    <t>Aurellia Odelina Askanah Han</t>
  </si>
  <si>
    <t>https://quickchart.io/qr?size=250&amp;text=https%3A%2F%2Fdocs.google.com%2Fforms%2Fd%2Fe%2F1FAIpQLSeZ-R1GrWlAPkfaThGqxeTj0QTtrARw4rroxIIepf2kipn1nw%2FformResponse%3Fusp%3Dpp_url%26entry.1313582257%3D0099130384%20%2F%20242510073%26entry.1578404635%3DHadir</t>
  </si>
  <si>
    <t>1g7rTIp_QPxV9DydnNdVdYtNAnuP57pwC</t>
  </si>
  <si>
    <t>https://drive.google.com/file/d/1g7rTIp_QPxV9DydnNdVdYtNAnuP57pwC/view?usp=drivesdk</t>
  </si>
  <si>
    <t>0097660827 / 242510081</t>
  </si>
  <si>
    <t>Banuwarman</t>
  </si>
  <si>
    <t>https://quickchart.io/qr?size=250&amp;text=https%3A%2F%2Fdocs.google.com%2Fforms%2Fd%2Fe%2F1FAIpQLSeZ-R1GrWlAPkfaThGqxeTj0QTtrARw4rroxIIepf2kipn1nw%2FformResponse%3Fusp%3Dpp_url%26entry.1313582257%3D0097660827%20%2F%20242510081%26entry.1578404635%3DHadir</t>
  </si>
  <si>
    <t>1I_viMcs0yAqLGpsyLhQGbkcDyfg4cYJd</t>
  </si>
  <si>
    <t>https://drive.google.com/file/d/1I_viMcs0yAqLGpsyLhQGbkcDyfg4cYJd/view?usp=drivesdk</t>
  </si>
  <si>
    <t>Document successfully created; Document successfully merged; PDF created; Manually run by skycircle.id@gmail.com; Timestamp: Feb 3 2026 4:42 AM</t>
  </si>
  <si>
    <t>0096109567 / 242510084</t>
  </si>
  <si>
    <t>Bilqis Khumairah Putri</t>
  </si>
  <si>
    <t>https://quickchart.io/qr?size=250&amp;text=https%3A%2F%2Fdocs.google.com%2Fforms%2Fd%2Fe%2F1FAIpQLSeZ-R1GrWlAPkfaThGqxeTj0QTtrARw4rroxIIepf2kipn1nw%2FformResponse%3Fusp%3Dpp_url%26entry.1313582257%3D0096109567%20%2F%20242510084%26entry.1578404635%3DHadir</t>
  </si>
  <si>
    <t>1ahHF5mjs64IkRnF-8Eyp7JyInEhuCoBK</t>
  </si>
  <si>
    <t>https://drive.google.com/file/d/1ahHF5mjs64IkRnF-8Eyp7JyInEhuCoBK/view?usp=drivesdk</t>
  </si>
  <si>
    <t>0095745176 / 242510087</t>
  </si>
  <si>
    <t>Bumi Raffah Al Islahi</t>
  </si>
  <si>
    <t>https://quickchart.io/qr?size=250&amp;text=https%3A%2F%2Fdocs.google.com%2Fforms%2Fd%2Fe%2F1FAIpQLSeZ-R1GrWlAPkfaThGqxeTj0QTtrARw4rroxIIepf2kipn1nw%2FformResponse%3Fusp%3Dpp_url%26entry.1313582257%3D0095745176%20%2F%20242510087%26entry.1578404635%3DHadir</t>
  </si>
  <si>
    <t>1HNKb1ErK0ZNix29QShGW_SeiYSsWFidY</t>
  </si>
  <si>
    <t>https://drive.google.com/file/d/1HNKb1ErK0ZNix29QShGW_SeiYSsWFidY/view?usp=drivesdk</t>
  </si>
  <si>
    <t>0091234811 / 242510090</t>
  </si>
  <si>
    <t>Cemara Anggraeny</t>
  </si>
  <si>
    <t>https://quickchart.io/qr?size=250&amp;text=https%3A%2F%2Fdocs.google.com%2Fforms%2Fd%2Fe%2F1FAIpQLSeZ-R1GrWlAPkfaThGqxeTj0QTtrARw4rroxIIepf2kipn1nw%2FformResponse%3Fusp%3Dpp_url%26entry.1313582257%3D0091234811%20%2F%20242510090%26entry.1578404635%3DHadir</t>
  </si>
  <si>
    <t>1CNv9tDrZ8JZuKV3ybjnIDLUKTIxmMQhA</t>
  </si>
  <si>
    <t>https://drive.google.com/file/d/1CNv9tDrZ8JZuKV3ybjnIDLUKTIxmMQhA/view?usp=drivesdk</t>
  </si>
  <si>
    <t>0091342789 / 242510094</t>
  </si>
  <si>
    <t>Chiara Anggun Dameyanti Sirait</t>
  </si>
  <si>
    <t>https://quickchart.io/qr?size=250&amp;text=https%3A%2F%2Fdocs.google.com%2Fforms%2Fd%2Fe%2F1FAIpQLSeZ-R1GrWlAPkfaThGqxeTj0QTtrARw4rroxIIepf2kipn1nw%2FformResponse%3Fusp%3Dpp_url%26entry.1313582257%3D0091342789%20%2F%20242510094%26entry.1578404635%3DHadir</t>
  </si>
  <si>
    <t>1SMLNPS3uDwaPXutRdVxGengASnDU36TZ</t>
  </si>
  <si>
    <t>https://drive.google.com/file/d/1SMLNPS3uDwaPXutRdVxGengASnDU36TZ/view?usp=drivesdk</t>
  </si>
  <si>
    <t>Document successfully created; Document successfully merged; PDF created; Manually run by skycircle.id@gmail.com; Timestamp: Feb 3 2026 4:43 AM</t>
  </si>
  <si>
    <t>0082284975 / 242510115</t>
  </si>
  <si>
    <t>Disya Cahaya Carrisa</t>
  </si>
  <si>
    <t>https://quickchart.io/qr?size=250&amp;text=https%3A%2F%2Fdocs.google.com%2Fforms%2Fd%2Fe%2F1FAIpQLSeZ-R1GrWlAPkfaThGqxeTj0QTtrARw4rroxIIepf2kipn1nw%2FformResponse%3Fusp%3Dpp_url%26entry.1313582257%3D0082284975%20%2F%20242510115%26entry.1578404635%3DHadir</t>
  </si>
  <si>
    <t>1vBKquWgFkWRzRSdJF_nmdVop4nAj0Eym</t>
  </si>
  <si>
    <t>https://drive.google.com/file/d/1vBKquWgFkWRzRSdJF_nmdVop4nAj0Eym/view?usp=drivesdk</t>
  </si>
  <si>
    <t>0096026876 / 242510137</t>
  </si>
  <si>
    <t>Farrel Luthfi Arviansyah</t>
  </si>
  <si>
    <t>https://quickchart.io/qr?size=250&amp;text=https%3A%2F%2Fdocs.google.com%2Fforms%2Fd%2Fe%2F1FAIpQLSeZ-R1GrWlAPkfaThGqxeTj0QTtrARw4rroxIIepf2kipn1nw%2FformResponse%3Fusp%3Dpp_url%26entry.1313582257%3D0096026876%20%2F%20242510137%26entry.1578404635%3DHadir</t>
  </si>
  <si>
    <t>1epyEqbVQ3SC61nKh8L0vT7I4jRI5vQMH</t>
  </si>
  <si>
    <t>https://drive.google.com/file/d/1epyEqbVQ3SC61nKh8L0vT7I4jRI5vQMH/view?usp=drivesdk</t>
  </si>
  <si>
    <t>Ghina Yumna</t>
  </si>
  <si>
    <t>https://quickchart.io/qr?size=250&amp;text=https%3A%2F%2Fdocs.google.com%2Fforms%2Fd%2Fe%2F1FAIpQLSeZ-R1GrWlAPkfaThGqxeTj0QTtrARw4rroxIIepf2kipn1nw%2FformResponse%3Fusp%3Dpp_url%26entry.1313582257%3D0097494303%20%2F%20242510150%26entry.1578404635%3DHadir</t>
  </si>
  <si>
    <t>1Z5rl4OR4dlIn7-SD8zdTqMkxfeV91qAF</t>
  </si>
  <si>
    <t>https://drive.google.com/file/d/1Z5rl4OR4dlIn7-SD8zdTqMkxfeV91qAF/view?usp=drivesdk</t>
  </si>
  <si>
    <t>0091325828 / 242510155</t>
  </si>
  <si>
    <t>Grasela Riyanti</t>
  </si>
  <si>
    <t>https://quickchart.io/qr?size=250&amp;text=https%3A%2F%2Fdocs.google.com%2Fforms%2Fd%2Fe%2F1FAIpQLSeZ-R1GrWlAPkfaThGqxeTj0QTtrARw4rroxIIepf2kipn1nw%2FformResponse%3Fusp%3Dpp_url%26entry.1313582257%3D0091325828%20%2F%20242510155%26entry.1578404635%3DHadir</t>
  </si>
  <si>
    <t>1t8bQ04lHAsPZQ16Qfn_g3JA1aklOGc5f</t>
  </si>
  <si>
    <t>https://drive.google.com/file/d/1t8bQ04lHAsPZQ16Qfn_g3JA1aklOGc5f/view?usp=drivesdk</t>
  </si>
  <si>
    <t>Document successfully created; Document successfully merged; PDF created; Manually run by skycircle.id@gmail.com; Timestamp: Feb 6 2026 1:10 AM</t>
  </si>
  <si>
    <t>0099418331 / 242510190</t>
  </si>
  <si>
    <t>Keisya Nurmaulida</t>
  </si>
  <si>
    <t>https://quickchart.io/qr?size=250&amp;text=https%3A%2F%2Fdocs.google.com%2Fforms%2Fd%2Fe%2F1FAIpQLSeZ-R1GrWlAPkfaThGqxeTj0QTtrARw4rroxIIepf2kipn1nw%2FformResponse%3Fusp%3Dpp_url%26entry.1313582257%3D0099418331%20%2F%20242510190%26entry.1578404635%3DHadir</t>
  </si>
  <si>
    <t>1sRD3hyY29YxMge2o50X5kP2XEoF-H9MI</t>
  </si>
  <si>
    <t>https://drive.google.com/file/d/1sRD3hyY29YxMge2o50X5kP2XEoF-H9MI/view?usp=drivesdk</t>
  </si>
  <si>
    <t>Document successfully created; Document successfully merged; PDF created; Manually run by skycircle.id@gmail.com; Timestamp: Feb 6 2026 1:11 AM</t>
  </si>
  <si>
    <t>0098415432 / 242510196</t>
  </si>
  <si>
    <t>Kezia Aulia Hattalaibessij</t>
  </si>
  <si>
    <t>https://quickchart.io/qr?size=250&amp;text=https%3A%2F%2Fdocs.google.com%2Fforms%2Fd%2Fe%2F1FAIpQLSeZ-R1GrWlAPkfaThGqxeTj0QTtrARw4rroxIIepf2kipn1nw%2FformResponse%3Fusp%3Dpp_url%26entry.1313582257%3D0098415432%20%2F%20242510196%26entry.1578404635%3DHadir</t>
  </si>
  <si>
    <t>1zRGq6WggIwDm8iRDQ8Oc98JwMrvi4W27</t>
  </si>
  <si>
    <t>https://drive.google.com/file/d/1zRGq6WggIwDm8iRDQ8Oc98JwMrvi4W27/view?usp=drivesdk</t>
  </si>
  <si>
    <t>3082881499 / 242510243</t>
  </si>
  <si>
    <t>Muhamad Ikmal</t>
  </si>
  <si>
    <t>https://quickchart.io/qr?size=250&amp;text=https%3A%2F%2Fdocs.google.com%2Fforms%2Fd%2Fe%2F1FAIpQLSeZ-R1GrWlAPkfaThGqxeTj0QTtrARw4rroxIIepf2kipn1nw%2FformResponse%3Fusp%3Dpp_url%26entry.1313582257%3D3082881499%20%2F%20242510243%26entry.1578404635%3DHadir</t>
  </si>
  <si>
    <t>1FI7FR_jrumwFu2opnG5azwQyDNVi069a</t>
  </si>
  <si>
    <t>https://drive.google.com/file/d/1FI7FR_jrumwFu2opnG5azwQyDNVi069a/view?usp=drivesdk</t>
  </si>
  <si>
    <t>0084468197 / 242510246</t>
  </si>
  <si>
    <t>Muhamad Zahran Ramadhan</t>
  </si>
  <si>
    <t>https://quickchart.io/qr?size=250&amp;text=https%3A%2F%2Fdocs.google.com%2Fforms%2Fd%2Fe%2F1FAIpQLSeZ-R1GrWlAPkfaThGqxeTj0QTtrARw4rroxIIepf2kipn1nw%2FformResponse%3Fusp%3Dpp_url%26entry.1313582257%3D0084468197%20%2F%20242510246%26entry.1578404635%3DHadir</t>
  </si>
  <si>
    <t>1DkFmOsD9Lxl-t558gXODVEetcMCMh7Cm</t>
  </si>
  <si>
    <t>https://drive.google.com/file/d/1DkFmOsD9Lxl-t558gXODVEetcMCMh7Cm/view?usp=drivesdk</t>
  </si>
  <si>
    <t>0095554126 / 242510253</t>
  </si>
  <si>
    <t>Muhammad Bagus Haryo Pratama</t>
  </si>
  <si>
    <t>https://quickchart.io/qr?size=250&amp;text=https%3A%2F%2Fdocs.google.com%2Fforms%2Fd%2Fe%2F1FAIpQLSeZ-R1GrWlAPkfaThGqxeTj0QTtrARw4rroxIIepf2kipn1nw%2FformResponse%3Fusp%3Dpp_url%26entry.1313582257%3D0095554126%20%2F%20242510253%26entry.1578404635%3DHadir</t>
  </si>
  <si>
    <t>1HExyKuarnuPNUDbWibDl1iGiY_pWtG2b</t>
  </si>
  <si>
    <t>https://drive.google.com/file/d/1HExyKuarnuPNUDbWibDl1iGiY_pWtG2b/view?usp=drivesdk</t>
  </si>
  <si>
    <t>0095029451 / 242510255</t>
  </si>
  <si>
    <t>Muhammad Daffa Rifai</t>
  </si>
  <si>
    <t>https://quickchart.io/qr?size=250&amp;text=https%3A%2F%2Fdocs.google.com%2Fforms%2Fd%2Fe%2F1FAIpQLSeZ-R1GrWlAPkfaThGqxeTj0QTtrARw4rroxIIepf2kipn1nw%2FformResponse%3Fusp%3Dpp_url%26entry.1313582257%3D0095029451%20%2F%20242510255%26entry.1578404635%3DHadir</t>
  </si>
  <si>
    <t>1WxUS_bs0tkeeLIvPR0fL1R0uJSN4jZiq</t>
  </si>
  <si>
    <t>https://drive.google.com/file/d/1WxUS_bs0tkeeLIvPR0fL1R0uJSN4jZiq/view?usp=drivesdk</t>
  </si>
  <si>
    <t>0084998907 / 242510273</t>
  </si>
  <si>
    <t>Muhammad Rifqi Hadzami</t>
  </si>
  <si>
    <t>https://quickchart.io/qr?size=250&amp;text=https%3A%2F%2Fdocs.google.com%2Fforms%2Fd%2Fe%2F1FAIpQLSeZ-R1GrWlAPkfaThGqxeTj0QTtrARw4rroxIIepf2kipn1nw%2FformResponse%3Fusp%3Dpp_url%26entry.1313582257%3D0084998907%20%2F%20242510273%26entry.1578404635%3DHadir</t>
  </si>
  <si>
    <t>1-dFVH8a_wcLxbZxnAEXEzSsXMzxp-WoC</t>
  </si>
  <si>
    <t>https://drive.google.com/file/d/1-dFVH8a_wcLxbZxnAEXEzSsXMzxp-WoC/view?usp=drivesdk</t>
  </si>
  <si>
    <t>3097947979 / 242510280</t>
  </si>
  <si>
    <t>Muhammad Yusril Ihza Bustomi</t>
  </si>
  <si>
    <t>https://quickchart.io/qr?size=250&amp;text=https%3A%2F%2Fdocs.google.com%2Fforms%2Fd%2Fe%2F1FAIpQLSeZ-R1GrWlAPkfaThGqxeTj0QTtrARw4rroxIIepf2kipn1nw%2FformResponse%3Fusp%3Dpp_url%26entry.1313582257%3D3097947979%20%2F%20242510280%26entry.1578404635%3DHadir</t>
  </si>
  <si>
    <t>1crtXZvWP0eUswdnbfjAWlGXNq8seBqO1</t>
  </si>
  <si>
    <t>https://drive.google.com/file/d/1crtXZvWP0eUswdnbfjAWlGXNq8seBqO1/view?usp=drivesdk</t>
  </si>
  <si>
    <t>Document successfully created; Document successfully merged; PDF created; Manually run by skycircle.id@gmail.com; Timestamp: Feb 6 2026 1:12 AM</t>
  </si>
  <si>
    <t>0091225757 / 242510288</t>
  </si>
  <si>
    <t>Nadya Fayza Aulia</t>
  </si>
  <si>
    <t>https://quickchart.io/qr?size=250&amp;text=https%3A%2F%2Fdocs.google.com%2Fforms%2Fd%2Fe%2F1FAIpQLSeZ-R1GrWlAPkfaThGqxeTj0QTtrARw4rroxIIepf2kipn1nw%2FformResponse%3Fusp%3Dpp_url%26entry.1313582257%3D0091225757%20%2F%20242510288%26entry.1578404635%3DHadir</t>
  </si>
  <si>
    <t>1d4ocLBpS9KnYHsKyVD-xKYK_DRBugj7B</t>
  </si>
  <si>
    <t>https://drive.google.com/file/d/1d4ocLBpS9KnYHsKyVD-xKYK_DRBugj7B/view?usp=drivesdk</t>
  </si>
  <si>
    <t>Naurah Khansa Wibawa</t>
  </si>
  <si>
    <t>https://quickchart.io/qr?size=250&amp;text=https%3A%2F%2Fdocs.google.com%2Fforms%2Fd%2Fe%2F1FAIpQLSeZ-R1GrWlAPkfaThGqxeTj0QTtrARw4rroxIIepf2kipn1nw%2FformResponse%3Fusp%3Dpp_url%26entry.1313582257%3D0099551790%20%2F%20242510296%26entry.1578404635%3DHadir</t>
  </si>
  <si>
    <t>1l5mgOkwZJ2qZC-nI7Lmgn6AK6IBG1BIM</t>
  </si>
  <si>
    <t>https://drive.google.com/file/d/1l5mgOkwZJ2qZC-nI7Lmgn6AK6IBG1BIM/view?usp=drivesdk</t>
  </si>
  <si>
    <t>0089608543 / 242510309</t>
  </si>
  <si>
    <t>Nuri Sabilatul Aspiya</t>
  </si>
  <si>
    <t>https://quickchart.io/qr?size=250&amp;text=https%3A%2F%2Fdocs.google.com%2Fforms%2Fd%2Fe%2F1FAIpQLSeZ-R1GrWlAPkfaThGqxeTj0QTtrARw4rroxIIepf2kipn1nw%2FformResponse%3Fusp%3Dpp_url%26entry.1313582257%3D0089608543%20%2F%20242510309%26entry.1578404635%3DHadir</t>
  </si>
  <si>
    <t>1UR-nI4a40ZwIDafBL9wIBmpdxLurdYQa</t>
  </si>
  <si>
    <t>https://drive.google.com/file/d/1UR-nI4a40ZwIDafBL9wIBmpdxLurdYQa/view?usp=drivesdk</t>
  </si>
  <si>
    <t>0098835028 / 242510334</t>
  </si>
  <si>
    <t>Raffa Meyzaidan</t>
  </si>
  <si>
    <t>https://quickchart.io/qr?size=250&amp;text=https%3A%2F%2Fdocs.google.com%2Fforms%2Fd%2Fe%2F1FAIpQLSeZ-R1GrWlAPkfaThGqxeTj0QTtrARw4rroxIIepf2kipn1nw%2FformResponse%3Fusp%3Dpp_url%26entry.1313582257%3D0098835028%20%2F%20242510334%26entry.1578404635%3DHadir</t>
  </si>
  <si>
    <t>1LFlsqvixm1u9wl2ALvJLCw9xHoFehlJz</t>
  </si>
  <si>
    <t>https://drive.google.com/file/d/1LFlsqvixm1u9wl2ALvJLCw9xHoFehlJz/view?usp=drivesdk</t>
  </si>
  <si>
    <t>3097356141 / 242510353</t>
  </si>
  <si>
    <t>Rifzki Yusrin</t>
  </si>
  <si>
    <t>https://quickchart.io/qr?size=250&amp;text=https%3A%2F%2Fdocs.google.com%2Fforms%2Fd%2Fe%2F1FAIpQLSeZ-R1GrWlAPkfaThGqxeTj0QTtrARw4rroxIIepf2kipn1nw%2FformResponse%3Fusp%3Dpp_url%26entry.1313582257%3D3097356141%20%2F%20242510353%26entry.1578404635%3DHadir</t>
  </si>
  <si>
    <t>1aIz0EXB7qwWVlSC-AOzdfKQY8SmE3Opy</t>
  </si>
  <si>
    <t>https://drive.google.com/file/d/1aIz0EXB7qwWVlSC-AOzdfKQY8SmE3Opy/view?usp=drivesdk</t>
  </si>
  <si>
    <t>0097311898 / 242510379</t>
  </si>
  <si>
    <t>Shafira Ghassani</t>
  </si>
  <si>
    <t>https://quickchart.io/qr?size=250&amp;text=https%3A%2F%2Fdocs.google.com%2Fforms%2Fd%2Fe%2F1FAIpQLSeZ-R1GrWlAPkfaThGqxeTj0QTtrARw4rroxIIepf2kipn1nw%2FformResponse%3Fusp%3Dpp_url%26entry.1313582257%3D0097311898%20%2F%20242510379%26entry.1578404635%3DHadir</t>
  </si>
  <si>
    <t>1GWGAdvoGdhMCEYLs3dki4zc1EDsDDCL3</t>
  </si>
  <si>
    <t>https://drive.google.com/file/d/1GWGAdvoGdhMCEYLs3dki4zc1EDsDDCL3/view?usp=drivesdk</t>
  </si>
  <si>
    <t>0099130256 / 242510385</t>
  </si>
  <si>
    <t>Sulaim Apenino Abdulhaq</t>
  </si>
  <si>
    <t>https://quickchart.io/qr?size=250&amp;text=https%3A%2F%2Fdocs.google.com%2Fforms%2Fd%2Fe%2F1FAIpQLSeZ-R1GrWlAPkfaThGqxeTj0QTtrARw4rroxIIepf2kipn1nw%2FformResponse%3Fusp%3Dpp_url%26entry.1313582257%3D0099130256%20%2F%20242510385%26entry.1578404635%3DHadir</t>
  </si>
  <si>
    <t>1j-In6ItO29isKGN2xsctXJ7rjxQRe7-M</t>
  </si>
  <si>
    <t>https://drive.google.com/file/d/1j-In6ItO29isKGN2xsctXJ7rjxQRe7-M/view?usp=drivesdk</t>
  </si>
  <si>
    <t>Document successfully created; Document successfully merged; PDF created; Manually run by skycircle.id@gmail.com; Timestamp: Feb 6 2026 1:13 AM</t>
  </si>
  <si>
    <t>0082646713 / 242510398</t>
  </si>
  <si>
    <t>Talita Shaki Aulia</t>
  </si>
  <si>
    <t>https://quickchart.io/qr?size=250&amp;text=https%3A%2F%2Fdocs.google.com%2Fforms%2Fd%2Fe%2F1FAIpQLSeZ-R1GrWlAPkfaThGqxeTj0QTtrARw4rroxIIepf2kipn1nw%2FformResponse%3Fusp%3Dpp_url%26entry.1313582257%3D0082646713%20%2F%20242510398%26entry.1578404635%3DHadir</t>
  </si>
  <si>
    <t>145EPwHP7BFRH4oe7Bdd8lYVHEo0agQm_</t>
  </si>
  <si>
    <t>https://drive.google.com/file/d/145EPwHP7BFRH4oe7Bdd8lYVHEo0agQm_/view?usp=drivesdk</t>
  </si>
  <si>
    <t>0091537746 / 242510407</t>
  </si>
  <si>
    <t>Vindy Aprilia Khanaya</t>
  </si>
  <si>
    <t>https://quickchart.io/qr?size=250&amp;text=https%3A%2F%2Fdocs.google.com%2Fforms%2Fd%2Fe%2F1FAIpQLSeZ-R1GrWlAPkfaThGqxeTj0QTtrARw4rroxIIepf2kipn1nw%2FformResponse%3Fusp%3Dpp_url%26entry.1313582257%3D0091537746%20%2F%20242510407%26entry.1578404635%3DHadir</t>
  </si>
  <si>
    <t>1IQnif8xRb2yq_cKzVIR2TGMnJ_b2-_KK</t>
  </si>
  <si>
    <t>https://drive.google.com/file/d/1IQnif8xRb2yq_cKzVIR2TGMnJ_b2-_KK/view?usp=drivesdk</t>
  </si>
  <si>
    <t>0093390743 / 242510006</t>
  </si>
  <si>
    <t>Adinda Queena Maheswari</t>
  </si>
  <si>
    <t>XI E-1</t>
  </si>
  <si>
    <t>https://quickchart.io/qr?size=250&amp;text=https%3A%2F%2Fdocs.google.com%2Fforms%2Fd%2Fe%2F1FAIpQLSeZ-R1GrWlAPkfaThGqxeTj0QTtrARw4rroxIIepf2kipn1nw%2FformResponse%3Fusp%3Dpp_url%26entry.1313582257%3D0093390743%20%2F%20242510006%26entry.1578404635%3DHadir</t>
  </si>
  <si>
    <t>1zlqu4C5uqa6M3crypLVPYMnhQo4uW4Na</t>
  </si>
  <si>
    <t>https://drive.google.com/file/d/1zlqu4C5uqa6M3crypLVPYMnhQo4uW4Na/view?usp=drivesdk</t>
  </si>
  <si>
    <t>0099505768 / 242510022</t>
  </si>
  <si>
    <t>Alex Saputra Suranta Tarigan</t>
  </si>
  <si>
    <t>https://quickchart.io/qr?size=250&amp;text=https%3A%2F%2Fdocs.google.com%2Fforms%2Fd%2Fe%2F1FAIpQLSeZ-R1GrWlAPkfaThGqxeTj0QTtrARw4rroxIIepf2kipn1nw%2FformResponse%3Fusp%3Dpp_url%26entry.1313582257%3D0099505768%20%2F%20242510022%26entry.1578404635%3DHadir</t>
  </si>
  <si>
    <t>1KaS08j72BJ3-DQOmrrxRTMrFeztzNhwA</t>
  </si>
  <si>
    <t>https://drive.google.com/file/d/1KaS08j72BJ3-DQOmrrxRTMrFeztzNhwA/view?usp=drivesdk</t>
  </si>
  <si>
    <t>0093801090 / 242510035</t>
  </si>
  <si>
    <t>Alwinsa Sugiharto</t>
  </si>
  <si>
    <t>https://quickchart.io/qr?size=250&amp;text=https%3A%2F%2Fdocs.google.com%2Fforms%2Fd%2Fe%2F1FAIpQLSeZ-R1GrWlAPkfaThGqxeTj0QTtrARw4rroxIIepf2kipn1nw%2FformResponse%3Fusp%3Dpp_url%26entry.1313582257%3D0093801090%20%2F%20242510035%26entry.1578404635%3DHadir</t>
  </si>
  <si>
    <t>1CK5cgwW1EtS7k7PsteYRubNGaCI3YYB8</t>
  </si>
  <si>
    <t>https://drive.google.com/file/d/1CK5cgwW1EtS7k7PsteYRubNGaCI3YYB8/view?usp=drivesdk</t>
  </si>
  <si>
    <t>0097959305 / 242510047</t>
  </si>
  <si>
    <t>Anindito Pandu Fahrinugroho</t>
  </si>
  <si>
    <t>https://quickchart.io/qr?size=250&amp;text=https%3A%2F%2Fdocs.google.com%2Fforms%2Fd%2Fe%2F1FAIpQLSeZ-R1GrWlAPkfaThGqxeTj0QTtrARw4rroxIIepf2kipn1nw%2FformResponse%3Fusp%3Dpp_url%26entry.1313582257%3D0097959305%20%2F%20242510047%26entry.1578404635%3DHadir</t>
  </si>
  <si>
    <t>1k-NHegkAEC1Hq81R6gE4j9j9n9bKFYFi</t>
  </si>
  <si>
    <t>https://drive.google.com/file/d/1k-NHegkAEC1Hq81R6gE4j9j9n9bKFYFi/view?usp=drivesdk</t>
  </si>
  <si>
    <t>0084789093 / 242510051</t>
  </si>
  <si>
    <t>Annida Khairunnisa</t>
  </si>
  <si>
    <t>https://quickchart.io/qr?size=250&amp;text=https%3A%2F%2Fdocs.google.com%2Fforms%2Fd%2Fe%2F1FAIpQLSeZ-R1GrWlAPkfaThGqxeTj0QTtrARw4rroxIIepf2kipn1nw%2FformResponse%3Fusp%3Dpp_url%26entry.1313582257%3D0084789093%20%2F%20242510051%26entry.1578404635%3DHadir</t>
  </si>
  <si>
    <t>1_8ii_NFhtnI1nfhIgCSU9WR2_49KsiwD</t>
  </si>
  <si>
    <t>https://drive.google.com/file/d/1_8ii_NFhtnI1nfhIgCSU9WR2_49KsiwD/view?usp=drivesdk</t>
  </si>
  <si>
    <t>2081404817 / 242510059</t>
  </si>
  <si>
    <t>Aryasatya Tridaya Alam</t>
  </si>
  <si>
    <t>https://quickchart.io/qr?size=250&amp;text=https%3A%2F%2Fdocs.google.com%2Fforms%2Fd%2Fe%2F1FAIpQLSeZ-R1GrWlAPkfaThGqxeTj0QTtrARw4rroxIIepf2kipn1nw%2FformResponse%3Fusp%3Dpp_url%26entry.1313582257%3D2081404817%20%2F%20242510059%26entry.1578404635%3DHadir</t>
  </si>
  <si>
    <t>117ap1oiLjN3P27aUufArkLNtb08kgMYU</t>
  </si>
  <si>
    <t>https://drive.google.com/file/d/117ap1oiLjN3P27aUufArkLNtb08kgMYU/view?usp=drivesdk</t>
  </si>
  <si>
    <t>Document successfully created; Document successfully merged; PDF created; Manually run by skycircle.id@gmail.com; Timestamp: Feb 6 2026 1:14 AM</t>
  </si>
  <si>
    <t>0098812831 / 242510083</t>
  </si>
  <si>
    <t>Bilal Kaka Pratama Hartoyo</t>
  </si>
  <si>
    <t>https://quickchart.io/qr?size=250&amp;text=https%3A%2F%2Fdocs.google.com%2Fforms%2Fd%2Fe%2F1FAIpQLSeZ-R1GrWlAPkfaThGqxeTj0QTtrARw4rroxIIepf2kipn1nw%2FformResponse%3Fusp%3Dpp_url%26entry.1313582257%3D0098812831%20%2F%20242510083%26entry.1578404635%3DHadir</t>
  </si>
  <si>
    <t>1JPG1jmoWfTdWcJwweF_ahsEpgcD0V8mA</t>
  </si>
  <si>
    <t>https://drive.google.com/file/d/1JPG1jmoWfTdWcJwweF_ahsEpgcD0V8mA/view?usp=drivesdk</t>
  </si>
  <si>
    <t>0083352872 / 242510098</t>
  </si>
  <si>
    <t>Daffa Iqram Al Fachreza</t>
  </si>
  <si>
    <t>https://quickchart.io/qr?size=250&amp;text=https%3A%2F%2Fdocs.google.com%2Fforms%2Fd%2Fe%2F1FAIpQLSeZ-R1GrWlAPkfaThGqxeTj0QTtrARw4rroxIIepf2kipn1nw%2FformResponse%3Fusp%3Dpp_url%26entry.1313582257%3D0083352872%20%2F%20242510098%26entry.1578404635%3DHadir</t>
  </si>
  <si>
    <t>1GgLGkTgIb4bV_r0CR4tuXVOsyGrDdO1n</t>
  </si>
  <si>
    <t>https://drive.google.com/file/d/1GgLGkTgIb4bV_r0CR4tuXVOsyGrDdO1n/view?usp=drivesdk</t>
  </si>
  <si>
    <t>0086078004 / 242510103</t>
  </si>
  <si>
    <t>Deandra Nashwan Danish</t>
  </si>
  <si>
    <t>https://quickchart.io/qr?size=250&amp;text=https%3A%2F%2Fdocs.google.com%2Fforms%2Fd%2Fe%2F1FAIpQLSeZ-R1GrWlAPkfaThGqxeTj0QTtrARw4rroxIIepf2kipn1nw%2FformResponse%3Fusp%3Dpp_url%26entry.1313582257%3D0086078004%20%2F%20242510103%26entry.1578404635%3DHadir</t>
  </si>
  <si>
    <t>1YC6XYt7FNhpwEhcsvjsKQWGFVb5nxT3b</t>
  </si>
  <si>
    <t>https://drive.google.com/file/d/1YC6XYt7FNhpwEhcsvjsKQWGFVb5nxT3b/view?usp=drivesdk</t>
  </si>
  <si>
    <t>0098775856 / 242510123</t>
  </si>
  <si>
    <t>Erzan Fauzy Zulkarnaen</t>
  </si>
  <si>
    <t>https://quickchart.io/qr?size=250&amp;text=https%3A%2F%2Fdocs.google.com%2Fforms%2Fd%2Fe%2F1FAIpQLSeZ-R1GrWlAPkfaThGqxeTj0QTtrARw4rroxIIepf2kipn1nw%2FformResponse%3Fusp%3Dpp_url%26entry.1313582257%3D0098775856%20%2F%20242510123%26entry.1578404635%3DHadir</t>
  </si>
  <si>
    <t>1QHdQOaSUn8t2Oc42KKb_TAHYO0RumHeI</t>
  </si>
  <si>
    <t>https://drive.google.com/file/d/1QHdQOaSUn8t2Oc42KKb_TAHYO0RumHeI/view?usp=drivesdk</t>
  </si>
  <si>
    <t>0093969715 / 242510128</t>
  </si>
  <si>
    <t>Fadel Maliq Fathani</t>
  </si>
  <si>
    <t>https://quickchart.io/qr?size=250&amp;text=https%3A%2F%2Fdocs.google.com%2Fforms%2Fd%2Fe%2F1FAIpQLSeZ-R1GrWlAPkfaThGqxeTj0QTtrARw4rroxIIepf2kipn1nw%2FformResponse%3Fusp%3Dpp_url%26entry.1313582257%3D0093969715%20%2F%20242510128%26entry.1578404635%3DHadir</t>
  </si>
  <si>
    <t>1nptwo0mEA84_TKU60uv4hnnGDczeS1Zk</t>
  </si>
  <si>
    <t>https://drive.google.com/file/d/1nptwo0mEA84_TKU60uv4hnnGDczeS1Zk/view?usp=drivesdk</t>
  </si>
  <si>
    <t>0097062478 / 242510175</t>
  </si>
  <si>
    <t>Islamian Ikhsa Firmawan</t>
  </si>
  <si>
    <t>https://quickchart.io/qr?size=250&amp;text=https%3A%2F%2Fdocs.google.com%2Fforms%2Fd%2Fe%2F1FAIpQLSeZ-R1GrWlAPkfaThGqxeTj0QTtrARw4rroxIIepf2kipn1nw%2FformResponse%3Fusp%3Dpp_url%26entry.1313582257%3D0097062478%20%2F%20242510175%26entry.1578404635%3DHadir</t>
  </si>
  <si>
    <t>1eJJuBlBC6iK8oSeyAzz_w1rbpr-zOc1m</t>
  </si>
  <si>
    <t>https://drive.google.com/file/d/1eJJuBlBC6iK8oSeyAzz_w1rbpr-zOc1m/view?usp=drivesdk</t>
  </si>
  <si>
    <t>0082185766 / 242510181</t>
  </si>
  <si>
    <t>Juwinsyah Dwi Arga</t>
  </si>
  <si>
    <t>https://quickchart.io/qr?size=250&amp;text=https%3A%2F%2Fdocs.google.com%2Fforms%2Fd%2Fe%2F1FAIpQLSeZ-R1GrWlAPkfaThGqxeTj0QTtrARw4rroxIIepf2kipn1nw%2FformResponse%3Fusp%3Dpp_url%26entry.1313582257%3D0082185766%20%2F%20242510181%26entry.1578404635%3DHadir</t>
  </si>
  <si>
    <t>1oW43k7HS20eBIEU83NUpd-zEmYW54ss3</t>
  </si>
  <si>
    <t>https://drive.google.com/file/d/1oW43k7HS20eBIEU83NUpd-zEmYW54ss3/view?usp=drivesdk</t>
  </si>
  <si>
    <t>Document successfully created; Document successfully merged; PDF created; Manually run by skycircle.id@gmail.com; Timestamp: Feb 6 2026 1:15 AM</t>
  </si>
  <si>
    <t>0087551275 / 242510211</t>
  </si>
  <si>
    <t>Langlang Syahadat Pulung Jati</t>
  </si>
  <si>
    <t>https://quickchart.io/qr?size=250&amp;text=https%3A%2F%2Fdocs.google.com%2Fforms%2Fd%2Fe%2F1FAIpQLSeZ-R1GrWlAPkfaThGqxeTj0QTtrARw4rroxIIepf2kipn1nw%2FformResponse%3Fusp%3Dpp_url%26entry.1313582257%3D0087551275%20%2F%20242510211%26entry.1578404635%3DHadir</t>
  </si>
  <si>
    <t>1HgXpNlAxobakjSsB9EJdFa21vRRrBh12</t>
  </si>
  <si>
    <t>https://drive.google.com/file/d/1HgXpNlAxobakjSsB9EJdFa21vRRrBh12/view?usp=drivesdk</t>
  </si>
  <si>
    <t>0093479168 / 242510225</t>
  </si>
  <si>
    <t>Maritza Alisha Fathi</t>
  </si>
  <si>
    <t>https://quickchart.io/qr?size=250&amp;text=https%3A%2F%2Fdocs.google.com%2Fforms%2Fd%2Fe%2F1FAIpQLSeZ-R1GrWlAPkfaThGqxeTj0QTtrARw4rroxIIepf2kipn1nw%2FformResponse%3Fusp%3Dpp_url%26entry.1313582257%3D0093479168%20%2F%20242510225%26entry.1578404635%3DHadir</t>
  </si>
  <si>
    <t>1Uiu5n0FoIcXAb3dRg00_2KU2cO3zYE1Y</t>
  </si>
  <si>
    <t>https://drive.google.com/file/d/1Uiu5n0FoIcXAb3dRg00_2KU2cO3zYE1Y/view?usp=drivesdk</t>
  </si>
  <si>
    <t>0092786372 / 242510234</t>
  </si>
  <si>
    <t>Mirza Faiz Al Razak</t>
  </si>
  <si>
    <t>https://quickchart.io/qr?size=250&amp;text=https%3A%2F%2Fdocs.google.com%2Fforms%2Fd%2Fe%2F1FAIpQLSeZ-R1GrWlAPkfaThGqxeTj0QTtrARw4rroxIIepf2kipn1nw%2FformResponse%3Fusp%3Dpp_url%26entry.1313582257%3D0092786372%20%2F%20242510234%26entry.1578404635%3DHadir</t>
  </si>
  <si>
    <t>1Jxh-iJbpoGgAsQMsnR19jwww6-BpMLmv</t>
  </si>
  <si>
    <t>https://drive.google.com/file/d/1Jxh-iJbpoGgAsQMsnR19jwww6-BpMLmv/view?usp=drivesdk</t>
  </si>
  <si>
    <t>0091530728 / 242510235</t>
  </si>
  <si>
    <t>Mirza Muhammad Rafi Hanifaldin</t>
  </si>
  <si>
    <t>https://quickchart.io/qr?size=250&amp;text=https%3A%2F%2Fdocs.google.com%2Fforms%2Fd%2Fe%2F1FAIpQLSeZ-R1GrWlAPkfaThGqxeTj0QTtrARw4rroxIIepf2kipn1nw%2FformResponse%3Fusp%3Dpp_url%26entry.1313582257%3D0091530728%20%2F%20242510235%26entry.1578404635%3DHadir</t>
  </si>
  <si>
    <t>1G-dkgXMpvLOxy5PJtmsYc1iY89IiASDQ</t>
  </si>
  <si>
    <t>https://drive.google.com/file/d/1G-dkgXMpvLOxy5PJtmsYc1iY89IiASDQ/view?usp=drivesdk</t>
  </si>
  <si>
    <t>0085378932 / 242510240</t>
  </si>
  <si>
    <t>Muhamad Akbar</t>
  </si>
  <si>
    <t>https://quickchart.io/qr?size=250&amp;text=https%3A%2F%2Fdocs.google.com%2Fforms%2Fd%2Fe%2F1FAIpQLSeZ-R1GrWlAPkfaThGqxeTj0QTtrARw4rroxIIepf2kipn1nw%2FformResponse%3Fusp%3Dpp_url%26entry.1313582257%3D0085378932%20%2F%20242510240%26entry.1578404635%3DHadir</t>
  </si>
  <si>
    <t>1-IdIF3Q0cXW2iuaDQTP9ZIQGBWoXDeic</t>
  </si>
  <si>
    <t>https://drive.google.com/file/d/1-IdIF3Q0cXW2iuaDQTP9ZIQGBWoXDeic/view?usp=drivesdk</t>
  </si>
  <si>
    <t>0086404055 / 242510242</t>
  </si>
  <si>
    <t>Muhamad Gatfan Suryabakti</t>
  </si>
  <si>
    <t>https://quickchart.io/qr?size=250&amp;text=https%3A%2F%2Fdocs.google.com%2Fforms%2Fd%2Fe%2F1FAIpQLSeZ-R1GrWlAPkfaThGqxeTj0QTtrARw4rroxIIepf2kipn1nw%2FformResponse%3Fusp%3Dpp_url%26entry.1313582257%3D0086404055%20%2F%20242510242%26entry.1578404635%3DHadir</t>
  </si>
  <si>
    <t>1lVckxmJpLwHeYbT51I2471ZMvX7-8fk_</t>
  </si>
  <si>
    <t>https://drive.google.com/file/d/1lVckxmJpLwHeYbT51I2471ZMvX7-8fk_/view?usp=drivesdk</t>
  </si>
  <si>
    <t>0086360763 / 242510252</t>
  </si>
  <si>
    <t>Muhammad Atha Fauzansyah</t>
  </si>
  <si>
    <t>https://quickchart.io/qr?size=250&amp;text=https%3A%2F%2Fdocs.google.com%2Fforms%2Fd%2Fe%2F1FAIpQLSeZ-R1GrWlAPkfaThGqxeTj0QTtrARw4rroxIIepf2kipn1nw%2FformResponse%3Fusp%3Dpp_url%26entry.1313582257%3D0086360763%20%2F%20242510252%26entry.1578404635%3DHadir</t>
  </si>
  <si>
    <t>1IZAQ5X8aCSoGn79XR1lz9aohoX_6r_PE</t>
  </si>
  <si>
    <t>https://drive.google.com/file/d/1IZAQ5X8aCSoGn79XR1lz9aohoX_6r_PE/view?usp=drivesdk</t>
  </si>
  <si>
    <t>0088924007 / 242510259</t>
  </si>
  <si>
    <t>Muhammad Fairuz Pratama</t>
  </si>
  <si>
    <t>https://quickchart.io/qr?size=250&amp;text=https%3A%2F%2Fdocs.google.com%2Fforms%2Fd%2Fe%2F1FAIpQLSeZ-R1GrWlAPkfaThGqxeTj0QTtrARw4rroxIIepf2kipn1nw%2FformResponse%3Fusp%3Dpp_url%26entry.1313582257%3D0088924007%20%2F%20242510259%26entry.1578404635%3DHadir</t>
  </si>
  <si>
    <t>1n1w759UJ0EChcarGPaIR9W6voyU1mNrp</t>
  </si>
  <si>
    <t>https://drive.google.com/file/d/1n1w759UJ0EChcarGPaIR9W6voyU1mNrp/view?usp=drivesdk</t>
  </si>
  <si>
    <t>Document successfully created; Document successfully merged; PDF created; Manually run by skycircle.id@gmail.com; Timestamp: Feb 6 2026 1:16 AM</t>
  </si>
  <si>
    <t>0091944011 / 242510260</t>
  </si>
  <si>
    <t>Muhammad Faisal Ghani</t>
  </si>
  <si>
    <t>https://quickchart.io/qr?size=250&amp;text=https%3A%2F%2Fdocs.google.com%2Fforms%2Fd%2Fe%2F1FAIpQLSeZ-R1GrWlAPkfaThGqxeTj0QTtrARw4rroxIIepf2kipn1nw%2FformResponse%3Fusp%3Dpp_url%26entry.1313582257%3D0091944011%20%2F%20242510260%26entry.1578404635%3DHadir</t>
  </si>
  <si>
    <t>1NYNbiCP3uoVCCBV3Q3agIxh8Ni6Sf-9x</t>
  </si>
  <si>
    <t>https://drive.google.com/file/d/1NYNbiCP3uoVCCBV3Q3agIxh8Ni6Sf-9x/view?usp=drivesdk</t>
  </si>
  <si>
    <t>0094596470 / 242510262</t>
  </si>
  <si>
    <t>Muhammad Fatih Rayyan Niago</t>
  </si>
  <si>
    <t>https://quickchart.io/qr?size=250&amp;text=https%3A%2F%2Fdocs.google.com%2Fforms%2Fd%2Fe%2F1FAIpQLSeZ-R1GrWlAPkfaThGqxeTj0QTtrARw4rroxIIepf2kipn1nw%2FformResponse%3Fusp%3Dpp_url%26entry.1313582257%3D0094596470%20%2F%20242510262%26entry.1578404635%3DHadir</t>
  </si>
  <si>
    <t>15fOrAyfRHazxzzd1q7SelrX5y8jU6vlc</t>
  </si>
  <si>
    <t>https://drive.google.com/file/d/15fOrAyfRHazxzzd1q7SelrX5y8jU6vlc/view?usp=drivesdk</t>
  </si>
  <si>
    <t>0092404318 / 242510265</t>
  </si>
  <si>
    <t>Muhammad Ghifaraidosata Suwondo</t>
  </si>
  <si>
    <t>https://quickchart.io/qr?size=250&amp;text=https%3A%2F%2Fdocs.google.com%2Fforms%2Fd%2Fe%2F1FAIpQLSeZ-R1GrWlAPkfaThGqxeTj0QTtrARw4rroxIIepf2kipn1nw%2FformResponse%3Fusp%3Dpp_url%26entry.1313582257%3D0092404318%20%2F%20242510265%26entry.1578404635%3DHadir</t>
  </si>
  <si>
    <t>10surubyoUJhZ2jqBjceqBydsHQ7tf45n</t>
  </si>
  <si>
    <t>https://drive.google.com/file/d/10surubyoUJhZ2jqBjceqBydsHQ7tf45n/view?usp=drivesdk</t>
  </si>
  <si>
    <t>0095059901 / 242510266</t>
  </si>
  <si>
    <t>Muhammad Habil Mulyana</t>
  </si>
  <si>
    <t>https://quickchart.io/qr?size=250&amp;text=https%3A%2F%2Fdocs.google.com%2Fforms%2Fd%2Fe%2F1FAIpQLSeZ-R1GrWlAPkfaThGqxeTj0QTtrARw4rroxIIepf2kipn1nw%2FformResponse%3Fusp%3Dpp_url%26entry.1313582257%3D0095059901%20%2F%20242510266%26entry.1578404635%3DHadir</t>
  </si>
  <si>
    <t>1gm9-diKlL_z7Lct9EcEtKRn6pblVRHsB</t>
  </si>
  <si>
    <t>https://drive.google.com/file/d/1gm9-diKlL_z7Lct9EcEtKRn6pblVRHsB/view?usp=drivesdk</t>
  </si>
  <si>
    <t>0098122055 / 242510275</t>
  </si>
  <si>
    <t>Muhammad Rizqullah Salim Wibowo</t>
  </si>
  <si>
    <t>https://quickchart.io/qr?size=250&amp;text=https%3A%2F%2Fdocs.google.com%2Fforms%2Fd%2Fe%2F1FAIpQLSeZ-R1GrWlAPkfaThGqxeTj0QTtrARw4rroxIIepf2kipn1nw%2FformResponse%3Fusp%3Dpp_url%26entry.1313582257%3D0098122055%20%2F%20242510275%26entry.1578404635%3DHadir</t>
  </si>
  <si>
    <t>16FpK_Dd2qEcjipLWG0nfznbAhWYxYxMf</t>
  </si>
  <si>
    <t>https://drive.google.com/file/d/16FpK_Dd2qEcjipLWG0nfznbAhWYxYxMf/view?usp=drivesdk</t>
  </si>
  <si>
    <t>0086863385 / 242510300</t>
  </si>
  <si>
    <t>Nazua Ristiyana Viragupti</t>
  </si>
  <si>
    <t>https://quickchart.io/qr?size=250&amp;text=https%3A%2F%2Fdocs.google.com%2Fforms%2Fd%2Fe%2F1FAIpQLSeZ-R1GrWlAPkfaThGqxeTj0QTtrARw4rroxIIepf2kipn1nw%2FformResponse%3Fusp%3Dpp_url%26entry.1313582257%3D0086863385%20%2F%20242510300%26entry.1578404635%3DHadir</t>
  </si>
  <si>
    <t>1kh9__IMtcUNME4QI6lRKnZgL7M_UYLQY</t>
  </si>
  <si>
    <t>https://drive.google.com/file/d/1kh9__IMtcUNME4QI6lRKnZgL7M_UYLQY/view?usp=drivesdk</t>
  </si>
  <si>
    <t>Document successfully created; Document successfully merged; PDF created; Manually run by skycircle.id@gmail.com; Timestamp: Feb 6 2026 1:17 AM</t>
  </si>
  <si>
    <t>0085675402 / 242510302</t>
  </si>
  <si>
    <t>Neisha Arinta Putri Sarjana</t>
  </si>
  <si>
    <t>https://quickchart.io/qr?size=250&amp;text=https%3A%2F%2Fdocs.google.com%2Fforms%2Fd%2Fe%2F1FAIpQLSeZ-R1GrWlAPkfaThGqxeTj0QTtrARw4rroxIIepf2kipn1nw%2FformResponse%3Fusp%3Dpp_url%26entry.1313582257%3D0085675402%20%2F%20242510302%26entry.1578404635%3DHadir</t>
  </si>
  <si>
    <t>1WH8SsUrYNdm9tTHnh28EYYLmsZ5iLO5v</t>
  </si>
  <si>
    <t>https://drive.google.com/file/d/1WH8SsUrYNdm9tTHnh28EYYLmsZ5iLO5v/view?usp=drivesdk</t>
  </si>
  <si>
    <t>0096488875 / 242510333</t>
  </si>
  <si>
    <t>Rafa Ibnu Kanaka</t>
  </si>
  <si>
    <t>https://quickchart.io/qr?size=250&amp;text=https%3A%2F%2Fdocs.google.com%2Fforms%2Fd%2Fe%2F1FAIpQLSeZ-R1GrWlAPkfaThGqxeTj0QTtrARw4rroxIIepf2kipn1nw%2FformResponse%3Fusp%3Dpp_url%26entry.1313582257%3D0096488875%20%2F%20242510333%26entry.1578404635%3DHadir</t>
  </si>
  <si>
    <t>1ggkzVz76iCtK1L8WDULUe03vDOY_CS-i</t>
  </si>
  <si>
    <t>https://drive.google.com/file/d/1ggkzVz76iCtK1L8WDULUe03vDOY_CS-i/view?usp=drivesdk</t>
  </si>
  <si>
    <t>0091126559 / 242510337</t>
  </si>
  <si>
    <t>Rais Aliyan</t>
  </si>
  <si>
    <t>https://quickchart.io/qr?size=250&amp;text=https%3A%2F%2Fdocs.google.com%2Fforms%2Fd%2Fe%2F1FAIpQLSeZ-R1GrWlAPkfaThGqxeTj0QTtrARw4rroxIIepf2kipn1nw%2FformResponse%3Fusp%3Dpp_url%26entry.1313582257%3D0091126559%20%2F%20242510337%26entry.1578404635%3DHadir</t>
  </si>
  <si>
    <t>1Mtajdy3Caw8fqFZH893bc-zKtbH-EQGC</t>
  </si>
  <si>
    <t>https://drive.google.com/file/d/1Mtajdy3Caw8fqFZH893bc-zKtbH-EQGC/view?usp=drivesdk</t>
  </si>
  <si>
    <t>0094232336 / 242510347</t>
  </si>
  <si>
    <t>Razan Muhammad Ihsan Solihin</t>
  </si>
  <si>
    <t>https://quickchart.io/qr?size=250&amp;text=https%3A%2F%2Fdocs.google.com%2Fforms%2Fd%2Fe%2F1FAIpQLSeZ-R1GrWlAPkfaThGqxeTj0QTtrARw4rroxIIepf2kipn1nw%2FformResponse%3Fusp%3Dpp_url%26entry.1313582257%3D0094232336%20%2F%20242510347%26entry.1578404635%3DHadir</t>
  </si>
  <si>
    <t>1ovZtpX5nXcH0fiST6_vsZIVtGIHW5VGA</t>
  </si>
  <si>
    <t>https://drive.google.com/file/d/1ovZtpX5nXcH0fiST6_vsZIVtGIHW5VGA/view?usp=drivesdk</t>
  </si>
  <si>
    <t>0099920490 / 242510352</t>
  </si>
  <si>
    <t>Rifqi Anindya Putra</t>
  </si>
  <si>
    <t>https://quickchart.io/qr?size=250&amp;text=https%3A%2F%2Fdocs.google.com%2Fforms%2Fd%2Fe%2F1FAIpQLSeZ-R1GrWlAPkfaThGqxeTj0QTtrARw4rroxIIepf2kipn1nw%2FformResponse%3Fusp%3Dpp_url%26entry.1313582257%3D0099920490%20%2F%20242510352%26entry.1578404635%3DHadir</t>
  </si>
  <si>
    <t>1cZHYkvOARKkdAjNzleWpB2At6mawGY5A</t>
  </si>
  <si>
    <t>https://drive.google.com/file/d/1cZHYkvOARKkdAjNzleWpB2At6mawGY5A/view?usp=drivesdk</t>
  </si>
  <si>
    <t>0094865307 / 242510360</t>
  </si>
  <si>
    <t>Sabika Zaura Khumairo</t>
  </si>
  <si>
    <t>https://quickchart.io/qr?size=250&amp;text=https%3A%2F%2Fdocs.google.com%2Fforms%2Fd%2Fe%2F1FAIpQLSeZ-R1GrWlAPkfaThGqxeTj0QTtrARw4rroxIIepf2kipn1nw%2FformResponse%3Fusp%3Dpp_url%26entry.1313582257%3D0094865307%20%2F%20242510360%26entry.1578404635%3DHadir</t>
  </si>
  <si>
    <t>1O76srXVMJSdqsw7C_QNEob8FIiTSj0cU</t>
  </si>
  <si>
    <t>https://drive.google.com/file/d/1O76srXVMJSdqsw7C_QNEob8FIiTSj0cU/view?usp=drivesdk</t>
  </si>
  <si>
    <t>0093523017 / 242510378</t>
  </si>
  <si>
    <t>Savrya Alwi Amani</t>
  </si>
  <si>
    <t>https://quickchart.io/qr?size=250&amp;text=https%3A%2F%2Fdocs.google.com%2Fforms%2Fd%2Fe%2F1FAIpQLSeZ-R1GrWlAPkfaThGqxeTj0QTtrARw4rroxIIepf2kipn1nw%2FformResponse%3Fusp%3Dpp_url%26entry.1313582257%3D0093523017%20%2F%20242510378%26entry.1578404635%3DHadir</t>
  </si>
  <si>
    <t>1aVhX0IgTPRQnddFGS5jvYEZoxiZJRkod</t>
  </si>
  <si>
    <t>https://drive.google.com/file/d/1aVhX0IgTPRQnddFGS5jvYEZoxiZJRkod/view?usp=drivesdk</t>
  </si>
  <si>
    <t>Document successfully created; Document successfully merged; PDF created; Manually run by skycircle.id@gmail.com; Timestamp: Feb 6 2026 1:18 AM</t>
  </si>
  <si>
    <t>Zaina Husniyati Hamdani</t>
  </si>
  <si>
    <t>https://quickchart.io/qr?size=250&amp;text=https%3A%2F%2Fdocs.google.com%2Fforms%2Fd%2Fe%2F1FAIpQLSeZ-R1GrWlAPkfaThGqxeTj0QTtrARw4rroxIIepf2kipn1nw%2FformResponse%3Fusp%3Dpp_url%26entry.1313582257%3D0094426892%20%2F%20242510424%26entry.1578404635%3DHadir</t>
  </si>
  <si>
    <t>12iRdDLuey0AT8hGCbmjbGwismRy1YS7H</t>
  </si>
  <si>
    <t>https://drive.google.com/file/d/12iRdDLuey0AT8hGCbmjbGwismRy1YS7H/view?usp=drivesdk</t>
  </si>
  <si>
    <t>0082670071 / 242510429</t>
  </si>
  <si>
    <t>Zhafran Ramadhan Drajat Sukma</t>
  </si>
  <si>
    <t>https://quickchart.io/qr?size=250&amp;text=https%3A%2F%2Fdocs.google.com%2Fforms%2Fd%2Fe%2F1FAIpQLSeZ-R1GrWlAPkfaThGqxeTj0QTtrARw4rroxIIepf2kipn1nw%2FformResponse%3Fusp%3Dpp_url%26entry.1313582257%3D0082670071%20%2F%20242510429%26entry.1578404635%3DHadir</t>
  </si>
  <si>
    <t>13BycR4r7YOfLAH0RG3K0x6kQOMoQ0kXG</t>
  </si>
  <si>
    <t>https://drive.google.com/file/d/13BycR4r7YOfLAH0RG3K0x6kQOMoQ0kXG/view?usp=drivesdk</t>
  </si>
  <si>
    <t>0098441334 / 242510029</t>
  </si>
  <si>
    <t>Almira Chairunnisa Imawan</t>
  </si>
  <si>
    <t>XI E-2</t>
  </si>
  <si>
    <t>https://quickchart.io/qr?size=250&amp;text=https%3A%2F%2Fdocs.google.com%2Fforms%2Fd%2Fe%2F1FAIpQLSeZ-R1GrWlAPkfaThGqxeTj0QTtrARw4rroxIIepf2kipn1nw%2FformResponse%3Fusp%3Dpp_url%26entry.1313582257%3D0098441334%20%2F%20242510029%26entry.1578404635%3DHadir</t>
  </si>
  <si>
    <t>1Xt_rW_n81kCMfMmc_Gs7Xilslp4vxer-</t>
  </si>
  <si>
    <t>https://drive.google.com/file/d/1Xt_rW_n81kCMfMmc_Gs7Xilslp4vxer-/view?usp=drivesdk</t>
  </si>
  <si>
    <t>0095916190 / 242510033</t>
  </si>
  <si>
    <t>Althafunisa Radisty Samiadji</t>
  </si>
  <si>
    <t>https://quickchart.io/qr?size=250&amp;text=https%3A%2F%2Fdocs.google.com%2Fforms%2Fd%2Fe%2F1FAIpQLSeZ-R1GrWlAPkfaThGqxeTj0QTtrARw4rroxIIepf2kipn1nw%2FformResponse%3Fusp%3Dpp_url%26entry.1313582257%3D0095916190%20%2F%20242510033%26entry.1578404635%3DHadir</t>
  </si>
  <si>
    <t>1EbaA-kSfz5VI7Qc2LVkufID815mSKMBD</t>
  </si>
  <si>
    <t>https://drive.google.com/file/d/1EbaA-kSfz5VI7Qc2LVkufID815mSKMBD/view?usp=drivesdk</t>
  </si>
  <si>
    <t>0093270004 / 242510040</t>
  </si>
  <si>
    <t>Amora Romadearni Sinaga</t>
  </si>
  <si>
    <t>https://quickchart.io/qr?size=250&amp;text=https%3A%2F%2Fdocs.google.com%2Fforms%2Fd%2Fe%2F1FAIpQLSeZ-R1GrWlAPkfaThGqxeTj0QTtrARw4rroxIIepf2kipn1nw%2FformResponse%3Fusp%3Dpp_url%26entry.1313582257%3D0093270004%20%2F%20242510040%26entry.1578404635%3DHadir</t>
  </si>
  <si>
    <t>1DO2pdbAWWgshqwnwG9Dws5wjlY6SzvtR</t>
  </si>
  <si>
    <t>https://drive.google.com/file/d/1DO2pdbAWWgshqwnwG9Dws5wjlY6SzvtR/view?usp=drivesdk</t>
  </si>
  <si>
    <t>0081317101 / 242510043</t>
  </si>
  <si>
    <t>Andika Artha Kusuma</t>
  </si>
  <si>
    <t>https://quickchart.io/qr?size=250&amp;text=https%3A%2F%2Fdocs.google.com%2Fforms%2Fd%2Fe%2F1FAIpQLSeZ-R1GrWlAPkfaThGqxeTj0QTtrARw4rroxIIepf2kipn1nw%2FformResponse%3Fusp%3Dpp_url%26entry.1313582257%3D0081317101%20%2F%20242510043%26entry.1578404635%3DHadir</t>
  </si>
  <si>
    <t>1fQFAIhvobiZZ4oPQ6RVhVBjAb26M_Hm1</t>
  </si>
  <si>
    <t>https://drive.google.com/file/d/1fQFAIhvobiZZ4oPQ6RVhVBjAb26M_Hm1/view?usp=drivesdk</t>
  </si>
  <si>
    <t>Document successfully created; Document successfully merged; PDF created; Manually run by skycircle.id@gmail.com; Timestamp: Feb 6 2026 1:19 AM</t>
  </si>
  <si>
    <t>0088625335 / 242510062</t>
  </si>
  <si>
    <t>Atha Rezky Riyansyah</t>
  </si>
  <si>
    <t>https://quickchart.io/qr?size=250&amp;text=https%3A%2F%2Fdocs.google.com%2Fforms%2Fd%2Fe%2F1FAIpQLSeZ-R1GrWlAPkfaThGqxeTj0QTtrARw4rroxIIepf2kipn1nw%2FformResponse%3Fusp%3Dpp_url%26entry.1313582257%3D0088625335%20%2F%20242510062%26entry.1578404635%3DHadir</t>
  </si>
  <si>
    <t>1httiINK5dzCL9mNbKnHRuDM5VlGaB5xD</t>
  </si>
  <si>
    <t>https://drive.google.com/file/d/1httiINK5dzCL9mNbKnHRuDM5VlGaB5xD/view?usp=drivesdk</t>
  </si>
  <si>
    <t>0084865750 / 242510075</t>
  </si>
  <si>
    <t>Ayu Widyaningsih</t>
  </si>
  <si>
    <t>https://quickchart.io/qr?size=250&amp;text=https%3A%2F%2Fdocs.google.com%2Fforms%2Fd%2Fe%2F1FAIpQLSeZ-R1GrWlAPkfaThGqxeTj0QTtrARw4rroxIIepf2kipn1nw%2FformResponse%3Fusp%3Dpp_url%26entry.1313582257%3D0084865750%20%2F%20242510075%26entry.1578404635%3DHadir</t>
  </si>
  <si>
    <t>1xb50nhCspslf9akIQb2lrsQ3hTh74N-6</t>
  </si>
  <si>
    <t>https://drive.google.com/file/d/1xb50nhCspslf9akIQb2lrsQ3hTh74N-6/view?usp=drivesdk</t>
  </si>
  <si>
    <t>0089373986 / 242510076</t>
  </si>
  <si>
    <t>Ayudias Raina Zara</t>
  </si>
  <si>
    <t>https://quickchart.io/qr?size=250&amp;text=https%3A%2F%2Fdocs.google.com%2Fforms%2Fd%2Fe%2F1FAIpQLSeZ-R1GrWlAPkfaThGqxeTj0QTtrARw4rroxIIepf2kipn1nw%2FformResponse%3Fusp%3Dpp_url%26entry.1313582257%3D0089373986%20%2F%20242510076%26entry.1578404635%3DHadir</t>
  </si>
  <si>
    <t>1iFxPF4N0XlMvOeGj9t9uDE-yBhSjAENQ</t>
  </si>
  <si>
    <t>https://drive.google.com/file/d/1iFxPF4N0XlMvOeGj9t9uDE-yBhSjAENQ/view?usp=drivesdk</t>
  </si>
  <si>
    <t>0094394514 / 242510082</t>
  </si>
  <si>
    <t>Barep Agha Rioyo</t>
  </si>
  <si>
    <t>https://quickchart.io/qr?size=250&amp;text=https%3A%2F%2Fdocs.google.com%2Fforms%2Fd%2Fe%2F1FAIpQLSeZ-R1GrWlAPkfaThGqxeTj0QTtrARw4rroxIIepf2kipn1nw%2FformResponse%3Fusp%3Dpp_url%26entry.1313582257%3D0094394514%20%2F%20242510082%26entry.1578404635%3DHadir</t>
  </si>
  <si>
    <t>19Dr09uD3xETFgc14JAHReeX2x6F1hmsv</t>
  </si>
  <si>
    <t>https://drive.google.com/file/d/19Dr09uD3xETFgc14JAHReeX2x6F1hmsv/view?usp=drivesdk</t>
  </si>
  <si>
    <t>0093616890 / 242510097</t>
  </si>
  <si>
    <t>Daffa Diaz Arsya Bashari</t>
  </si>
  <si>
    <t>https://quickchart.io/qr?size=250&amp;text=https%3A%2F%2Fdocs.google.com%2Fforms%2Fd%2Fe%2F1FAIpQLSeZ-R1GrWlAPkfaThGqxeTj0QTtrARw4rroxIIepf2kipn1nw%2FformResponse%3Fusp%3Dpp_url%26entry.1313582257%3D0093616890%20%2F%20242510097%26entry.1578404635%3DHadir</t>
  </si>
  <si>
    <t>1NFQBlu1hsjHvHqDKeeHNLI_oZ8L0zBJd</t>
  </si>
  <si>
    <t>https://drive.google.com/file/d/1NFQBlu1hsjHvHqDKeeHNLI_oZ8L0zBJd/view?usp=drivesdk</t>
  </si>
  <si>
    <t>0092463348 / 242510100</t>
  </si>
  <si>
    <t>Danish Alghifari</t>
  </si>
  <si>
    <t>https://quickchart.io/qr?size=250&amp;text=https%3A%2F%2Fdocs.google.com%2Fforms%2Fd%2Fe%2F1FAIpQLSeZ-R1GrWlAPkfaThGqxeTj0QTtrARw4rroxIIepf2kipn1nw%2FformResponse%3Fusp%3Dpp_url%26entry.1313582257%3D0092463348%20%2F%20242510100%26entry.1578404635%3DHadir</t>
  </si>
  <si>
    <t>1slsHehc1AtOGnPip_MOUVki-zDbuk9hm</t>
  </si>
  <si>
    <t>https://drive.google.com/file/d/1slsHehc1AtOGnPip_MOUVki-zDbuk9hm/view?usp=drivesdk</t>
  </si>
  <si>
    <t>Document successfully created; Document successfully merged; PDF created; Manually run by skycircle.id@gmail.com; Timestamp: Feb 6 2026 1:20 AM</t>
  </si>
  <si>
    <t>0087035501 / 242510131</t>
  </si>
  <si>
    <t>Faiz Alfariz</t>
  </si>
  <si>
    <t>https://quickchart.io/qr?size=250&amp;text=https%3A%2F%2Fdocs.google.com%2Fforms%2Fd%2Fe%2F1FAIpQLSeZ-R1GrWlAPkfaThGqxeTj0QTtrARw4rroxIIepf2kipn1nw%2FformResponse%3Fusp%3Dpp_url%26entry.1313582257%3D0087035501%20%2F%20242510131%26entry.1578404635%3DHadir</t>
  </si>
  <si>
    <t>1suNvSmntCf1cn2mwNPDxHih3jLk3WwO1</t>
  </si>
  <si>
    <t>https://drive.google.com/file/d/1suNvSmntCf1cn2mwNPDxHih3jLk3WwO1/view?usp=drivesdk</t>
  </si>
  <si>
    <t>0097179421 / 242510163</t>
  </si>
  <si>
    <t>Heru Kurnia</t>
  </si>
  <si>
    <t>https://quickchart.io/qr?size=250&amp;text=https%3A%2F%2Fdocs.google.com%2Fforms%2Fd%2Fe%2F1FAIpQLSeZ-R1GrWlAPkfaThGqxeTj0QTtrARw4rroxIIepf2kipn1nw%2FformResponse%3Fusp%3Dpp_url%26entry.1313582257%3D0097179421%20%2F%20242510163%26entry.1578404635%3DHadir</t>
  </si>
  <si>
    <t>19JHA6QX7qffNkn8MV9A16UtxQmQL4Zit</t>
  </si>
  <si>
    <t>https://drive.google.com/file/d/19JHA6QX7qffNkn8MV9A16UtxQmQL4Zit/view?usp=drivesdk</t>
  </si>
  <si>
    <t>0084853605 / 242510164</t>
  </si>
  <si>
    <t>Hibban Abdurrahman</t>
  </si>
  <si>
    <t>https://quickchart.io/qr?size=250&amp;text=https%3A%2F%2Fdocs.google.com%2Fforms%2Fd%2Fe%2F1FAIpQLSeZ-R1GrWlAPkfaThGqxeTj0QTtrARw4rroxIIepf2kipn1nw%2FformResponse%3Fusp%3Dpp_url%26entry.1313582257%3D0084853605%20%2F%20242510164%26entry.1578404635%3DHadir</t>
  </si>
  <si>
    <t>1gj5Ou5rmG9u2AnOb9SreD_Z4mDzTkcqi</t>
  </si>
  <si>
    <t>https://drive.google.com/file/d/1gj5Ou5rmG9u2AnOb9SreD_Z4mDzTkcqi/view?usp=drivesdk</t>
  </si>
  <si>
    <t>3092618789 / 242510170</t>
  </si>
  <si>
    <t>Imam Al Ashfia Prastomo</t>
  </si>
  <si>
    <t>https://quickchart.io/qr?size=250&amp;text=https%3A%2F%2Fdocs.google.com%2Fforms%2Fd%2Fe%2F1FAIpQLSeZ-R1GrWlAPkfaThGqxeTj0QTtrARw4rroxIIepf2kipn1nw%2FformResponse%3Fusp%3Dpp_url%26entry.1313582257%3D3092618789%20%2F%20242510170%26entry.1578404635%3DHadir</t>
  </si>
  <si>
    <t>1_G0NVeX-81LyLSeJeDGWzmBNrWnkZW6_</t>
  </si>
  <si>
    <t>https://drive.google.com/file/d/1_G0NVeX-81LyLSeJeDGWzmBNrWnkZW6_/view?usp=drivesdk</t>
  </si>
  <si>
    <t>0092821103 / 242510174</t>
  </si>
  <si>
    <t>Irsyad Nabihan</t>
  </si>
  <si>
    <t>https://quickchart.io/qr?size=250&amp;text=https%3A%2F%2Fdocs.google.com%2Fforms%2Fd%2Fe%2F1FAIpQLSeZ-R1GrWlAPkfaThGqxeTj0QTtrARw4rroxIIepf2kipn1nw%2FformResponse%3Fusp%3Dpp_url%26entry.1313582257%3D0092821103%20%2F%20242510174%26entry.1578404635%3DHadir</t>
  </si>
  <si>
    <t>1YXE0sBoiCHsAruKoiaVcQW758kg14-IO</t>
  </si>
  <si>
    <t>https://drive.google.com/file/d/1YXE0sBoiCHsAruKoiaVcQW758kg14-IO/view?usp=drivesdk</t>
  </si>
  <si>
    <t>0082472809 / 242510177</t>
  </si>
  <si>
    <t>Javasanda Putra Perdana</t>
  </si>
  <si>
    <t>https://quickchart.io/qr?size=250&amp;text=https%3A%2F%2Fdocs.google.com%2Fforms%2Fd%2Fe%2F1FAIpQLSeZ-R1GrWlAPkfaThGqxeTj0QTtrARw4rroxIIepf2kipn1nw%2FformResponse%3Fusp%3Dpp_url%26entry.1313582257%3D0082472809%20%2F%20242510177%26entry.1578404635%3DHadir</t>
  </si>
  <si>
    <t>1v52BknQIUMfd-C1IXKdorUGl1gtEfjxx</t>
  </si>
  <si>
    <t>https://drive.google.com/file/d/1v52BknQIUMfd-C1IXKdorUGl1gtEfjxx/view?usp=drivesdk</t>
  </si>
  <si>
    <t>Document successfully created; Document successfully merged; PDF created; Manually run by skycircle.id@gmail.com; Timestamp: Feb 6 2026 1:21 AM</t>
  </si>
  <si>
    <t>3091944997 / 242510210</t>
  </si>
  <si>
    <t>Lais Yusuf Ghazali</t>
  </si>
  <si>
    <t>https://quickchart.io/qr?size=250&amp;text=https%3A%2F%2Fdocs.google.com%2Fforms%2Fd%2Fe%2F1FAIpQLSeZ-R1GrWlAPkfaThGqxeTj0QTtrARw4rroxIIepf2kipn1nw%2FformResponse%3Fusp%3Dpp_url%26entry.1313582257%3D3091944997%20%2F%20242510210%26entry.1578404635%3DHadir</t>
  </si>
  <si>
    <t>1_RjmwM49b1I8Wgd0p-gAYHYXfVOsbhPr</t>
  </si>
  <si>
    <t>https://drive.google.com/file/d/1_RjmwM49b1I8Wgd0p-gAYHYXfVOsbhPr/view?usp=drivesdk</t>
  </si>
  <si>
    <t>0081087411 / 242510224</t>
  </si>
  <si>
    <t>Marcel Tri Hermawan</t>
  </si>
  <si>
    <t>https://quickchart.io/qr?size=250&amp;text=https%3A%2F%2Fdocs.google.com%2Fforms%2Fd%2Fe%2F1FAIpQLSeZ-R1GrWlAPkfaThGqxeTj0QTtrARw4rroxIIepf2kipn1nw%2FformResponse%3Fusp%3Dpp_url%26entry.1313582257%3D0081087411%20%2F%20242510224%26entry.1578404635%3DHadir</t>
  </si>
  <si>
    <t>1dcMYDVU35FZUYC5QqWa84DE3YlZQdWeq</t>
  </si>
  <si>
    <t>https://drive.google.com/file/d/1dcMYDVU35FZUYC5QqWa84DE3YlZQdWeq/view?usp=drivesdk</t>
  </si>
  <si>
    <t>0094864081 / 242510250</t>
  </si>
  <si>
    <t>Muhammad Ammar Firdaus Putra</t>
  </si>
  <si>
    <t>https://quickchart.io/qr?size=250&amp;text=https%3A%2F%2Fdocs.google.com%2Fforms%2Fd%2Fe%2F1FAIpQLSeZ-R1GrWlAPkfaThGqxeTj0QTtrARw4rroxIIepf2kipn1nw%2FformResponse%3Fusp%3Dpp_url%26entry.1313582257%3D0094864081%20%2F%20242510250%26entry.1578404635%3DHadir</t>
  </si>
  <si>
    <t>11fJaCyKoT92bLn8Hsw4HU6_ATDywfHfB</t>
  </si>
  <si>
    <t>https://drive.google.com/file/d/11fJaCyKoT92bLn8Hsw4HU6_ATDywfHfB/view?usp=drivesdk</t>
  </si>
  <si>
    <t>0095937371 / 242510263</t>
  </si>
  <si>
    <t>Muhammad Fikra Burhamzah</t>
  </si>
  <si>
    <t>https://quickchart.io/qr?size=250&amp;text=https%3A%2F%2Fdocs.google.com%2Fforms%2Fd%2Fe%2F1FAIpQLSeZ-R1GrWlAPkfaThGqxeTj0QTtrARw4rroxIIepf2kipn1nw%2FformResponse%3Fusp%3Dpp_url%26entry.1313582257%3D0095937371%20%2F%20242510263%26entry.1578404635%3DHadir</t>
  </si>
  <si>
    <t>1UWGy8XtR7Gtxu1vF2C9jPJU-6u4q_K3z</t>
  </si>
  <si>
    <t>https://drive.google.com/file/d/1UWGy8XtR7Gtxu1vF2C9jPJU-6u4q_K3z/view?usp=drivesdk</t>
  </si>
  <si>
    <t>0088807404 / 242510264</t>
  </si>
  <si>
    <t>Muhammad Ghaizyan Athar</t>
  </si>
  <si>
    <t>https://quickchart.io/qr?size=250&amp;text=https%3A%2F%2Fdocs.google.com%2Fforms%2Fd%2Fe%2F1FAIpQLSeZ-R1GrWlAPkfaThGqxeTj0QTtrARw4rroxIIepf2kipn1nw%2FformResponse%3Fusp%3Dpp_url%26entry.1313582257%3D0088807404%20%2F%20242510264%26entry.1578404635%3DHadir</t>
  </si>
  <si>
    <t>1J8ElwmR0sSGhIs2MI1Sc3zu7aDK40Glw</t>
  </si>
  <si>
    <t>https://drive.google.com/file/d/1J8ElwmR0sSGhIs2MI1Sc3zu7aDK40Glw/view?usp=drivesdk</t>
  </si>
  <si>
    <t>0085810407 / 242510279</t>
  </si>
  <si>
    <t>Muhammad Syawal</t>
  </si>
  <si>
    <t>https://quickchart.io/qr?size=250&amp;text=https%3A%2F%2Fdocs.google.com%2Fforms%2Fd%2Fe%2F1FAIpQLSeZ-R1GrWlAPkfaThGqxeTj0QTtrARw4rroxIIepf2kipn1nw%2FformResponse%3Fusp%3Dpp_url%26entry.1313582257%3D0085810407%20%2F%20242510279%26entry.1578404635%3DHadir</t>
  </si>
  <si>
    <t>1fH8pWsusPtnnr6KZU6QlKYLox3zPZab3</t>
  </si>
  <si>
    <t>https://drive.google.com/file/d/1fH8pWsusPtnnr6KZU6QlKYLox3zPZab3/view?usp=drivesdk</t>
  </si>
  <si>
    <t>Document successfully created; Document successfully merged; PDF created; Manually run by skycircle.id@gmail.com; Timestamp: Feb 6 2026 1:22 AM</t>
  </si>
  <si>
    <t>0082898817 / 242510293</t>
  </si>
  <si>
    <t>Natanael Nadapdap</t>
  </si>
  <si>
    <t>https://quickchart.io/qr?size=250&amp;text=https%3A%2F%2Fdocs.google.com%2Fforms%2Fd%2Fe%2F1FAIpQLSeZ-R1GrWlAPkfaThGqxeTj0QTtrARw4rroxIIepf2kipn1nw%2FformResponse%3Fusp%3Dpp_url%26entry.1313582257%3D0082898817%20%2F%20242510293%26entry.1578404635%3DHadir</t>
  </si>
  <si>
    <t>1PB4EhM7e3lhepxJaA1qBNiNctXbp_tcO</t>
  </si>
  <si>
    <t>https://drive.google.com/file/d/1PB4EhM7e3lhepxJaA1qBNiNctXbp_tcO/view?usp=drivesdk</t>
  </si>
  <si>
    <t>0094465097 / 242510294</t>
  </si>
  <si>
    <t>Naufal Alghifary Zulya</t>
  </si>
  <si>
    <t>https://quickchart.io/qr?size=250&amp;text=https%3A%2F%2Fdocs.google.com%2Fforms%2Fd%2Fe%2F1FAIpQLSeZ-R1GrWlAPkfaThGqxeTj0QTtrARw4rroxIIepf2kipn1nw%2FformResponse%3Fusp%3Dpp_url%26entry.1313582257%3D0094465097%20%2F%20242510294%26entry.1578404635%3DHadir</t>
  </si>
  <si>
    <t>1kWRebkIfa_XLd2X_WElvLSfO3bWoggfn</t>
  </si>
  <si>
    <t>https://drive.google.com/file/d/1kWRebkIfa_XLd2X_WElvLSfO3bWoggfn/view?usp=drivesdk</t>
  </si>
  <si>
    <t>0084114869 / 242510322</t>
  </si>
  <si>
    <t>Putri Wida Az-Zahra</t>
  </si>
  <si>
    <t>https://quickchart.io/qr?size=250&amp;text=https%3A%2F%2Fdocs.google.com%2Fforms%2Fd%2Fe%2F1FAIpQLSeZ-R1GrWlAPkfaThGqxeTj0QTtrARw4rroxIIepf2kipn1nw%2FformResponse%3Fusp%3Dpp_url%26entry.1313582257%3D0084114869%20%2F%20242510322%26entry.1578404635%3DHadir</t>
  </si>
  <si>
    <t>1gP0tDzvIJiYDb19RUwAs8W7rZZv3qZGm</t>
  </si>
  <si>
    <t>https://drive.google.com/file/d/1gP0tDzvIJiYDb19RUwAs8W7rZZv3qZGm/view?usp=drivesdk</t>
  </si>
  <si>
    <t>0092577014 / 242510330</t>
  </si>
  <si>
    <t>Raden Devan Alanzulfian</t>
  </si>
  <si>
    <t>https://quickchart.io/qr?size=250&amp;text=https%3A%2F%2Fdocs.google.com%2Fforms%2Fd%2Fe%2F1FAIpQLSeZ-R1GrWlAPkfaThGqxeTj0QTtrARw4rroxIIepf2kipn1nw%2FformResponse%3Fusp%3Dpp_url%26entry.1313582257%3D0092577014%20%2F%20242510330%26entry.1578404635%3DHadir</t>
  </si>
  <si>
    <t>1LuaaoKW34wuhyt4TJI7r9vM8znUlpzRD</t>
  </si>
  <si>
    <t>https://drive.google.com/file/d/1LuaaoKW34wuhyt4TJI7r9vM8znUlpzRD/view?usp=drivesdk</t>
  </si>
  <si>
    <t>3083166460 / 242510344</t>
  </si>
  <si>
    <t>Raufan Nabih Firmansyah</t>
  </si>
  <si>
    <t>https://quickchart.io/qr?size=250&amp;text=https%3A%2F%2Fdocs.google.com%2Fforms%2Fd%2Fe%2F1FAIpQLSeZ-R1GrWlAPkfaThGqxeTj0QTtrARw4rroxIIepf2kipn1nw%2FformResponse%3Fusp%3Dpp_url%26entry.1313582257%3D3083166460%20%2F%20242510344%26entry.1578404635%3DHadir</t>
  </si>
  <si>
    <t>1npozqZkas4twhQfNIa2C6NR5mRZnUnKF</t>
  </si>
  <si>
    <t>https://drive.google.com/file/d/1npozqZkas4twhQfNIa2C6NR5mRZnUnKF/view?usp=drivesdk</t>
  </si>
  <si>
    <t>3094789704 / 242510357</t>
  </si>
  <si>
    <t>Rizky Abdul Bashir Tuharea</t>
  </si>
  <si>
    <t>https://quickchart.io/qr?size=250&amp;text=https%3A%2F%2Fdocs.google.com%2Fforms%2Fd%2Fe%2F1FAIpQLSeZ-R1GrWlAPkfaThGqxeTj0QTtrARw4rroxIIepf2kipn1nw%2FformResponse%3Fusp%3Dpp_url%26entry.1313582257%3D3094789704%20%2F%20242510357%26entry.1578404635%3DHadir</t>
  </si>
  <si>
    <t>1_ceCSLbSU8ZOprbi9XAUfkzru4GQ-18-</t>
  </si>
  <si>
    <t>https://drive.google.com/file/d/1_ceCSLbSU8ZOprbi9XAUfkzru4GQ-18-/view?usp=drivesdk</t>
  </si>
  <si>
    <t>0089336981 / 242510361</t>
  </si>
  <si>
    <t>Sabrina Firdaus Zahratus Zakaria</t>
  </si>
  <si>
    <t>https://quickchart.io/qr?size=250&amp;text=https%3A%2F%2Fdocs.google.com%2Fforms%2Fd%2Fe%2F1FAIpQLSeZ-R1GrWlAPkfaThGqxeTj0QTtrARw4rroxIIepf2kipn1nw%2FformResponse%3Fusp%3Dpp_url%26entry.1313582257%3D0089336981%20%2F%20242510361%26entry.1578404635%3DHadir</t>
  </si>
  <si>
    <t>1XwdfFRso5Fy3Rk1FZthGCZt9PT8IM8r3</t>
  </si>
  <si>
    <t>https://drive.google.com/file/d/1XwdfFRso5Fy3Rk1FZthGCZt9PT8IM8r3/view?usp=drivesdk</t>
  </si>
  <si>
    <t>Document successfully created; Document successfully merged; PDF created; Manually run by skycircle.id@gmail.com; Timestamp: Feb 6 2026 1:23 AM</t>
  </si>
  <si>
    <t>0093441573 / 242510381</t>
  </si>
  <si>
    <t>Shayang Camila Ahsanie</t>
  </si>
  <si>
    <t>https://quickchart.io/qr?size=250&amp;text=https%3A%2F%2Fdocs.google.com%2Fforms%2Fd%2Fe%2F1FAIpQLSeZ-R1GrWlAPkfaThGqxeTj0QTtrARw4rroxIIepf2kipn1nw%2FformResponse%3Fusp%3Dpp_url%26entry.1313582257%3D0093441573%20%2F%20242510381%26entry.1578404635%3DHadir</t>
  </si>
  <si>
    <t>1mmIyJ9hVHxnv6kgcafA6neBiN9mMMSDe</t>
  </si>
  <si>
    <t>https://drive.google.com/file/d/1mmIyJ9hVHxnv6kgcafA6neBiN9mMMSDe/view?usp=drivesdk</t>
  </si>
  <si>
    <t>0089493881 / 242510384</t>
  </si>
  <si>
    <t>Sila Nur Fauziah</t>
  </si>
  <si>
    <t>https://quickchart.io/qr?size=250&amp;text=https%3A%2F%2Fdocs.google.com%2Fforms%2Fd%2Fe%2F1FAIpQLSeZ-R1GrWlAPkfaThGqxeTj0QTtrARw4rroxIIepf2kipn1nw%2FformResponse%3Fusp%3Dpp_url%26entry.1313582257%3D0089493881%20%2F%20242510384%26entry.1578404635%3DHadir</t>
  </si>
  <si>
    <t>1O8XZch5De-dcFUu4hblGqQc98VTWtpjC</t>
  </si>
  <si>
    <t>https://drive.google.com/file/d/1O8XZch5De-dcFUu4hblGqQc98VTWtpjC/view?usp=drivesdk</t>
  </si>
  <si>
    <t>0086778655 / 242510386</t>
  </si>
  <si>
    <t>Surya Rangga Wisuta</t>
  </si>
  <si>
    <t>https://quickchart.io/qr?size=250&amp;text=https%3A%2F%2Fdocs.google.com%2Fforms%2Fd%2Fe%2F1FAIpQLSeZ-R1GrWlAPkfaThGqxeTj0QTtrARw4rroxIIepf2kipn1nw%2FformResponse%3Fusp%3Dpp_url%26entry.1313582257%3D0086778655%20%2F%20242510386%26entry.1578404635%3DHadir</t>
  </si>
  <si>
    <t>11wHT5va58wnVSIZ2dR8EpVacfC_i-NhV</t>
  </si>
  <si>
    <t>https://drive.google.com/file/d/11wHT5va58wnVSIZ2dR8EpVacfC_i-NhV/view?usp=drivesdk</t>
  </si>
  <si>
    <t>0085904748 / 242510401</t>
  </si>
  <si>
    <t>Tri Andika</t>
  </si>
  <si>
    <t>https://quickchart.io/qr?size=250&amp;text=https%3A%2F%2Fdocs.google.com%2Fforms%2Fd%2Fe%2F1FAIpQLSeZ-R1GrWlAPkfaThGqxeTj0QTtrARw4rroxIIepf2kipn1nw%2FformResponse%3Fusp%3Dpp_url%26entry.1313582257%3D0085904748%20%2F%20242510401%26entry.1578404635%3DHadir</t>
  </si>
  <si>
    <t>1o7QVKAbXVp6shq89ucCgnqNgJk6MP2FK</t>
  </si>
  <si>
    <t>https://drive.google.com/file/d/1o7QVKAbXVp6shq89ucCgnqNgJk6MP2FK/view?usp=drivesdk</t>
  </si>
  <si>
    <t>0084316906 / 242510413</t>
  </si>
  <si>
    <t>Win Mahara Kuswanto</t>
  </si>
  <si>
    <t>https://quickchart.io/qr?size=250&amp;text=https%3A%2F%2Fdocs.google.com%2Fforms%2Fd%2Fe%2F1FAIpQLSeZ-R1GrWlAPkfaThGqxeTj0QTtrARw4rroxIIepf2kipn1nw%2FformResponse%3Fusp%3Dpp_url%26entry.1313582257%3D0084316906%20%2F%20242510413%26entry.1578404635%3DHadir</t>
  </si>
  <si>
    <t>1L9nq1UOV7Zt-g-00eE9oxFpOWvD0pV7u</t>
  </si>
  <si>
    <t>https://drive.google.com/file/d/1L9nq1UOV7Zt-g-00eE9oxFpOWvD0pV7u/view?usp=drivesdk</t>
  </si>
  <si>
    <t>0095848946 / 242510423</t>
  </si>
  <si>
    <t>Zaidan Alifahridho Koeswanto</t>
  </si>
  <si>
    <t>https://quickchart.io/qr?size=250&amp;text=https%3A%2F%2Fdocs.google.com%2Fforms%2Fd%2Fe%2F1FAIpQLSeZ-R1GrWlAPkfaThGqxeTj0QTtrARw4rroxIIepf2kipn1nw%2FformResponse%3Fusp%3Dpp_url%26entry.1313582257%3D0095848946%20%2F%20242510423%26entry.1578404635%3DHadir</t>
  </si>
  <si>
    <t>1dAoDEqzaZfExYaDOV7V5ymsZIcFnJhP0</t>
  </si>
  <si>
    <t>https://drive.google.com/file/d/1dAoDEqzaZfExYaDOV7V5ymsZIcFnJhP0/view?usp=drivesdk</t>
  </si>
  <si>
    <t>0099880719 / 242510027</t>
  </si>
  <si>
    <t>Zihni Falih Safaras</t>
  </si>
  <si>
    <t>https://quickchart.io/qr?size=250&amp;text=https%3A%2F%2Fdocs.google.com%2Fforms%2Fd%2Fe%2F1FAIpQLSeZ-R1GrWlAPkfaThGqxeTj0QTtrARw4rroxIIepf2kipn1nw%2FformResponse%3Fusp%3Dpp_url%26entry.1313582257%3D0099880719%20%2F%20242510027%26entry.1578404635%3DHadir</t>
  </si>
  <si>
    <t>1AzY6deimO49fOpQ30FLInDq_H624TJ0k</t>
  </si>
  <si>
    <t>https://drive.google.com/file/d/1AzY6deimO49fOpQ30FLInDq_H624TJ0k/view?usp=drivesdk</t>
  </si>
  <si>
    <t>Document successfully created; Document successfully merged; PDF created; Manually run by skycircle.id@gmail.com; Timestamp: Feb 6 2026 1:24 AM</t>
  </si>
  <si>
    <t>0099988861 / 242510021</t>
  </si>
  <si>
    <t>Aldy Pratama</t>
  </si>
  <si>
    <t>XI F-1</t>
  </si>
  <si>
    <t>https://quickchart.io/qr?size=250&amp;text=https%3A%2F%2Fdocs.google.com%2Fforms%2Fd%2Fe%2F1FAIpQLSeZ-R1GrWlAPkfaThGqxeTj0QTtrARw4rroxIIepf2kipn1nw%2FformResponse%3Fusp%3Dpp_url%26entry.1313582257%3D0099988861%20%2F%20242510021%26entry.1578404635%3DHadir</t>
  </si>
  <si>
    <t>1agzcuFCnNvSano4V6Qrt2LurBPyxCz36</t>
  </si>
  <si>
    <t>https://drive.google.com/file/d/1agzcuFCnNvSano4V6Qrt2LurBPyxCz36/view?usp=drivesdk</t>
  </si>
  <si>
    <t>0082151570 / 242510026</t>
  </si>
  <si>
    <t>Alifia Radya Pramesti</t>
  </si>
  <si>
    <t>https://quickchart.io/qr?size=250&amp;text=https%3A%2F%2Fdocs.google.com%2Fforms%2Fd%2Fe%2F1FAIpQLSeZ-R1GrWlAPkfaThGqxeTj0QTtrARw4rroxIIepf2kipn1nw%2FformResponse%3Fusp%3Dpp_url%26entry.1313582257%3D0082151570%20%2F%20242510026%26entry.1578404635%3DHadir</t>
  </si>
  <si>
    <t>11ARIZilfHrpcHe2efPojTD92-cins_fq</t>
  </si>
  <si>
    <t>https://drive.google.com/file/d/11ARIZilfHrpcHe2efPojTD92-cins_fq/view?usp=drivesdk</t>
  </si>
  <si>
    <t>0087588818 / 242510050</t>
  </si>
  <si>
    <t>Anneira Hendryto</t>
  </si>
  <si>
    <t>https://quickchart.io/qr?size=250&amp;text=https%3A%2F%2Fdocs.google.com%2Fforms%2Fd%2Fe%2F1FAIpQLSeZ-R1GrWlAPkfaThGqxeTj0QTtrARw4rroxIIepf2kipn1nw%2FformResponse%3Fusp%3Dpp_url%26entry.1313582257%3D0087588818%20%2F%20242510050%26entry.1578404635%3DHadir</t>
  </si>
  <si>
    <t>1jLOvXkvOYCrnd5d9pa803NW9D0ffoaxR</t>
  </si>
  <si>
    <t>https://drive.google.com/file/d/1jLOvXkvOYCrnd5d9pa803NW9D0ffoaxR/view?usp=drivesdk</t>
  </si>
  <si>
    <t>2093857917 / 242510061</t>
  </si>
  <si>
    <t>Asri Fatima Azzahra</t>
  </si>
  <si>
    <t>https://quickchart.io/qr?size=250&amp;text=https%3A%2F%2Fdocs.google.com%2Fforms%2Fd%2Fe%2F1FAIpQLSeZ-R1GrWlAPkfaThGqxeTj0QTtrARw4rroxIIepf2kipn1nw%2FformResponse%3Fusp%3Dpp_url%26entry.1313582257%3D2093857917%20%2F%20242510061%26entry.1578404635%3DHadir</t>
  </si>
  <si>
    <t>1c-YPr45pVmjMK-wP-hYzfd2NswXTSXmD</t>
  </si>
  <si>
    <t>https://drive.google.com/file/d/1c-YPr45pVmjMK-wP-hYzfd2NswXTSXmD/view?usp=drivesdk</t>
  </si>
  <si>
    <t>0087522984 / 252611569</t>
  </si>
  <si>
    <t>Audi Nur Chantika Putri</t>
  </si>
  <si>
    <t>https://quickchart.io/qr?size=250&amp;text=https%3A%2F%2Fdocs.google.com%2Fforms%2Fd%2Fe%2F1FAIpQLSeZ-R1GrWlAPkfaThGqxeTj0QTtrARw4rroxIIepf2kipn1nw%2FformResponse%3Fusp%3Dpp_url%26entry.1313582257%3D0087522984%20%2F%20252611569%26entry.1578404635%3DHadir</t>
  </si>
  <si>
    <t>1vvcoZ6kqmNqEO5_K7oe0QBg0SBxz5TAI</t>
  </si>
  <si>
    <t>https://drive.google.com/file/d/1vvcoZ6kqmNqEO5_K7oe0QBg0SBxz5TAI/view?usp=drivesdk</t>
  </si>
  <si>
    <t>0091072005 / 242510080</t>
  </si>
  <si>
    <t>Bagus Sugiharto</t>
  </si>
  <si>
    <t>https://quickchart.io/qr?size=250&amp;text=https%3A%2F%2Fdocs.google.com%2Fforms%2Fd%2Fe%2F1FAIpQLSeZ-R1GrWlAPkfaThGqxeTj0QTtrARw4rroxIIepf2kipn1nw%2FformResponse%3Fusp%3Dpp_url%26entry.1313582257%3D0091072005%20%2F%20242510080%26entry.1578404635%3DHadir</t>
  </si>
  <si>
    <t>1_1mI_RAKWed27wY008oyqlhXFVUqlGaN</t>
  </si>
  <si>
    <t>https://drive.google.com/file/d/1_1mI_RAKWed27wY008oyqlhXFVUqlGaN/view?usp=drivesdk</t>
  </si>
  <si>
    <t>0093123066 / 242510105</t>
  </si>
  <si>
    <t>Della Widya Wati</t>
  </si>
  <si>
    <t>https://quickchart.io/qr?size=250&amp;text=https%3A%2F%2Fdocs.google.com%2Fforms%2Fd%2Fe%2F1FAIpQLSeZ-R1GrWlAPkfaThGqxeTj0QTtrARw4rroxIIepf2kipn1nw%2FformResponse%3Fusp%3Dpp_url%26entry.1313582257%3D0093123066%20%2F%20242510105%26entry.1578404635%3DHadir</t>
  </si>
  <si>
    <t>1QXiG45vR5FJ2817lQ4GNlifb7cTG7yof</t>
  </si>
  <si>
    <t>https://drive.google.com/file/d/1QXiG45vR5FJ2817lQ4GNlifb7cTG7yof/view?usp=drivesdk</t>
  </si>
  <si>
    <t>0097482971 / 242510118</t>
  </si>
  <si>
    <t>Dzakira Aftani Herdianto</t>
  </si>
  <si>
    <t>https://quickchart.io/qr?size=250&amp;text=https%3A%2F%2Fdocs.google.com%2Fforms%2Fd%2Fe%2F1FAIpQLSeZ-R1GrWlAPkfaThGqxeTj0QTtrARw4rroxIIepf2kipn1nw%2FformResponse%3Fusp%3Dpp_url%26entry.1313582257%3D0097482971%20%2F%20242510118%26entry.1578404635%3DHadir</t>
  </si>
  <si>
    <t>1Rw9VqDaaLMpJbb-jBtKwtOmK_3UzFpjn</t>
  </si>
  <si>
    <t>https://drive.google.com/file/d/1Rw9VqDaaLMpJbb-jBtKwtOmK_3UzFpjn/view?usp=drivesdk</t>
  </si>
  <si>
    <t>Document successfully created; Document successfully merged; PDF created; Manually run by skycircle.id@gmail.com; Timestamp: Feb 6 2026 1:25 AM</t>
  </si>
  <si>
    <t>0087551985 / 242510122</t>
  </si>
  <si>
    <t>Elsamonic</t>
  </si>
  <si>
    <t>https://quickchart.io/qr?size=250&amp;text=https%3A%2F%2Fdocs.google.com%2Fforms%2Fd%2Fe%2F1FAIpQLSeZ-R1GrWlAPkfaThGqxeTj0QTtrARw4rroxIIepf2kipn1nw%2FformResponse%3Fusp%3Dpp_url%26entry.1313582257%3D0087551985%20%2F%20242510122%26entry.1578404635%3DHadir</t>
  </si>
  <si>
    <t>1BmvNqYhZXOkO0LRIYN_gnYUVhw4ACC1v</t>
  </si>
  <si>
    <t>https://drive.google.com/file/d/1BmvNqYhZXOkO0LRIYN_gnYUVhw4ACC1v/view?usp=drivesdk</t>
  </si>
  <si>
    <t>0095657957 / 242510132</t>
  </si>
  <si>
    <t>Faiza Ramadhani</t>
  </si>
  <si>
    <t>https://quickchart.io/qr?size=250&amp;text=https%3A%2F%2Fdocs.google.com%2Fforms%2Fd%2Fe%2F1FAIpQLSeZ-R1GrWlAPkfaThGqxeTj0QTtrARw4rroxIIepf2kipn1nw%2FformResponse%3Fusp%3Dpp_url%26entry.1313582257%3D0095657957%20%2F%20242510132%26entry.1578404635%3DHadir</t>
  </si>
  <si>
    <t>1_8scni_Wrvao_HTdOJaFTyTTqokr-2Ty</t>
  </si>
  <si>
    <t>https://drive.google.com/file/d/1_8scni_Wrvao_HTdOJaFTyTTqokr-2Ty/view?usp=drivesdk</t>
  </si>
  <si>
    <t>0083924202 / 242510139</t>
  </si>
  <si>
    <t>Fauzan Nur Haidar</t>
  </si>
  <si>
    <t>https://quickchart.io/qr?size=250&amp;text=https%3A%2F%2Fdocs.google.com%2Fforms%2Fd%2Fe%2F1FAIpQLSeZ-R1GrWlAPkfaThGqxeTj0QTtrARw4rroxIIepf2kipn1nw%2FformResponse%3Fusp%3Dpp_url%26entry.1313582257%3D0083924202%20%2F%20242510139%26entry.1578404635%3DHadir</t>
  </si>
  <si>
    <t>1Bc9JXbImC-ruNCzsEnu4GZ5NWWlkLS9g</t>
  </si>
  <si>
    <t>https://drive.google.com/file/d/1Bc9JXbImC-ruNCzsEnu4GZ5NWWlkLS9g/view?usp=drivesdk</t>
  </si>
  <si>
    <t>0082690807 / 242510140</t>
  </si>
  <si>
    <t>Faza Azima Waalidaen</t>
  </si>
  <si>
    <t>https://quickchart.io/qr?size=250&amp;text=https%3A%2F%2Fdocs.google.com%2Fforms%2Fd%2Fe%2F1FAIpQLSeZ-R1GrWlAPkfaThGqxeTj0QTtrARw4rroxIIepf2kipn1nw%2FformResponse%3Fusp%3Dpp_url%26entry.1313582257%3D0082690807%20%2F%20242510140%26entry.1578404635%3DHadir</t>
  </si>
  <si>
    <t>1c4eMZaOvETAjm8HkOCu2MB-B8zBuJ7mR</t>
  </si>
  <si>
    <t>https://drive.google.com/file/d/1c4eMZaOvETAjm8HkOCu2MB-B8zBuJ7mR/view?usp=drivesdk</t>
  </si>
  <si>
    <t>0082256467 / 242510145</t>
  </si>
  <si>
    <t>Firas Rizqy Wicaksono</t>
  </si>
  <si>
    <t>https://quickchart.io/qr?size=250&amp;text=https%3A%2F%2Fdocs.google.com%2Fforms%2Fd%2Fe%2F1FAIpQLSeZ-R1GrWlAPkfaThGqxeTj0QTtrARw4rroxIIepf2kipn1nw%2FformResponse%3Fusp%3Dpp_url%26entry.1313582257%3D0082256467%20%2F%20242510145%26entry.1578404635%3DHadir</t>
  </si>
  <si>
    <t>1LQeaF3isc4ctz26A9GhmyDnFmwgNRENr</t>
  </si>
  <si>
    <t>https://drive.google.com/file/d/1LQeaF3isc4ctz26A9GhmyDnFmwgNRENr/view?usp=drivesdk</t>
  </si>
  <si>
    <t>0087408326 / 242510149</t>
  </si>
  <si>
    <t>Gede Aira Sagita Putri Ksy</t>
  </si>
  <si>
    <t>https://quickchart.io/qr?size=250&amp;text=https%3A%2F%2Fdocs.google.com%2Fforms%2Fd%2Fe%2F1FAIpQLSeZ-R1GrWlAPkfaThGqxeTj0QTtrARw4rroxIIepf2kipn1nw%2FformResponse%3Fusp%3Dpp_url%26entry.1313582257%3D0087408326%20%2F%20242510149%26entry.1578404635%3DHadir</t>
  </si>
  <si>
    <t>1Igca4fHv4A-hUmH7qQryTTZn906MUYkp</t>
  </si>
  <si>
    <t>https://drive.google.com/file/d/1Igca4fHv4A-hUmH7qQryTTZn906MUYkp/view?usp=drivesdk</t>
  </si>
  <si>
    <t>0096589760 / 242510152</t>
  </si>
  <si>
    <t>Gizella Anggrietta</t>
  </si>
  <si>
    <t>https://quickchart.io/qr?size=250&amp;text=https%3A%2F%2Fdocs.google.com%2Fforms%2Fd%2Fe%2F1FAIpQLSeZ-R1GrWlAPkfaThGqxeTj0QTtrARw4rroxIIepf2kipn1nw%2FformResponse%3Fusp%3Dpp_url%26entry.1313582257%3D0096589760%20%2F%20242510152%26entry.1578404635%3DHadir</t>
  </si>
  <si>
    <t>1Yx3ohQoMgQ262WurtE7im7OrdbUFV3Qy</t>
  </si>
  <si>
    <t>https://drive.google.com/file/d/1Yx3ohQoMgQ262WurtE7im7OrdbUFV3Qy/view?usp=drivesdk</t>
  </si>
  <si>
    <t>Document successfully created; Document successfully merged; PDF created; Manually run by skycircle.id@gmail.com; Timestamp: Feb 6 2026 1:26 AM</t>
  </si>
  <si>
    <t>3094653721 / 242510157</t>
  </si>
  <si>
    <t>Hafizhoh Maryam Az-Zuhaely</t>
  </si>
  <si>
    <t>https://quickchart.io/qr?size=250&amp;text=https%3A%2F%2Fdocs.google.com%2Fforms%2Fd%2Fe%2F1FAIpQLSeZ-R1GrWlAPkfaThGqxeTj0QTtrARw4rroxIIepf2kipn1nw%2FformResponse%3Fusp%3Dpp_url%26entry.1313582257%3D3094653721%20%2F%20242510157%26entry.1578404635%3DHadir</t>
  </si>
  <si>
    <t>1y1y9wD_yjhImZI5NzHfPpBtw8endz4r3</t>
  </si>
  <si>
    <t>https://drive.google.com/file/d/1y1y9wD_yjhImZI5NzHfPpBtw8endz4r3/view?usp=drivesdk</t>
  </si>
  <si>
    <t>0091633107 / 242510168</t>
  </si>
  <si>
    <t>Husnaila Kamil</t>
  </si>
  <si>
    <t>https://quickchart.io/qr?size=250&amp;text=https%3A%2F%2Fdocs.google.com%2Fforms%2Fd%2Fe%2F1FAIpQLSeZ-R1GrWlAPkfaThGqxeTj0QTtrARw4rroxIIepf2kipn1nw%2FformResponse%3Fusp%3Dpp_url%26entry.1313582257%3D0091633107%20%2F%20242510168%26entry.1578404635%3DHadir</t>
  </si>
  <si>
    <t>11RrstCQLmZkSagkHWX6t7H1qMz8Wa3FR</t>
  </si>
  <si>
    <t>https://drive.google.com/file/d/11RrstCQLmZkSagkHWX6t7H1qMz8Wa3FR/view?usp=drivesdk</t>
  </si>
  <si>
    <t>0092593035 / 242510178</t>
  </si>
  <si>
    <t>Jesika Nain Cahaya Siringo Ringo</t>
  </si>
  <si>
    <t>https://quickchart.io/qr?size=250&amp;text=https%3A%2F%2Fdocs.google.com%2Fforms%2Fd%2Fe%2F1FAIpQLSeZ-R1GrWlAPkfaThGqxeTj0QTtrARw4rroxIIepf2kipn1nw%2FformResponse%3Fusp%3Dpp_url%26entry.1313582257%3D0092593035%20%2F%20242510178%26entry.1578404635%3DHadir</t>
  </si>
  <si>
    <t>1kIv8T4jSJ6KNrXC5Pe2aH81nGecaruI_</t>
  </si>
  <si>
    <t>https://drive.google.com/file/d/1kIv8T4jSJ6KNrXC5Pe2aH81nGecaruI_/view?usp=drivesdk</t>
  </si>
  <si>
    <t>3084804073 / 252611570</t>
  </si>
  <si>
    <t>Keizya Zahra Permana</t>
  </si>
  <si>
    <t>https://quickchart.io/qr?size=250&amp;text=https%3A%2F%2Fdocs.google.com%2Fforms%2Fd%2Fe%2F1FAIpQLSeZ-R1GrWlAPkfaThGqxeTj0QTtrARw4rroxIIepf2kipn1nw%2FformResponse%3Fusp%3Dpp_url%26entry.1313582257%3D3084804073%20%2F%20252611570%26entry.1578404635%3DHadir</t>
  </si>
  <si>
    <t>1bAoVbggrIotkkGHkMBDbBtOEdz8sUUL6</t>
  </si>
  <si>
    <t>https://drive.google.com/file/d/1bAoVbggrIotkkGHkMBDbBtOEdz8sUUL6/view?usp=drivesdk</t>
  </si>
  <si>
    <t>0085208150 / 242510192</t>
  </si>
  <si>
    <t>Kesya Larasati</t>
  </si>
  <si>
    <t>https://quickchart.io/qr?size=250&amp;text=https%3A%2F%2Fdocs.google.com%2Fforms%2Fd%2Fe%2F1FAIpQLSeZ-R1GrWlAPkfaThGqxeTj0QTtrARw4rroxIIepf2kipn1nw%2FformResponse%3Fusp%3Dpp_url%26entry.1313582257%3D0085208150%20%2F%20242510192%26entry.1578404635%3DHadir</t>
  </si>
  <si>
    <t>1yjg170F6rpCVpPnpVh6IylXSqYUAkWBT</t>
  </si>
  <si>
    <t>https://drive.google.com/file/d/1yjg170F6rpCVpPnpVh6IylXSqYUAkWBT/view?usp=drivesdk</t>
  </si>
  <si>
    <t>0089115919 / 242510194</t>
  </si>
  <si>
    <t>Kevin Sitanggang</t>
  </si>
  <si>
    <t>https://quickchart.io/qr?size=250&amp;text=https%3A%2F%2Fdocs.google.com%2Fforms%2Fd%2Fe%2F1FAIpQLSeZ-R1GrWlAPkfaThGqxeTj0QTtrARw4rroxIIepf2kipn1nw%2FformResponse%3Fusp%3Dpp_url%26entry.1313582257%3D0089115919%20%2F%20242510194%26entry.1578404635%3DHadir</t>
  </si>
  <si>
    <t>1Yo_JEV7lrshHlrhfZA4RLMsl4Ey6BWLe</t>
  </si>
  <si>
    <t>https://drive.google.com/file/d/1Yo_JEV7lrshHlrhfZA4RLMsl4Ey6BWLe/view?usp=drivesdk</t>
  </si>
  <si>
    <t>0092834368 / 242510198</t>
  </si>
  <si>
    <t>Khaira Rabbani Tsalasa</t>
  </si>
  <si>
    <t>https://quickchart.io/qr?size=250&amp;text=https%3A%2F%2Fdocs.google.com%2Fforms%2Fd%2Fe%2F1FAIpQLSeZ-R1GrWlAPkfaThGqxeTj0QTtrARw4rroxIIepf2kipn1nw%2FformResponse%3Fusp%3Dpp_url%26entry.1313582257%3D0092834368%20%2F%20242510198%26entry.1578404635%3DHadir</t>
  </si>
  <si>
    <t>13SaxBMoBbN8DBwWPGj-3Ixj-fMVIXdLR</t>
  </si>
  <si>
    <t>https://drive.google.com/file/d/13SaxBMoBbN8DBwWPGj-3Ixj-fMVIXdLR/view?usp=drivesdk</t>
  </si>
  <si>
    <t>Document successfully created; Document successfully merged; PDF created; Manually run by skycircle.id@gmail.com; Timestamp: Feb 6 2026 1:27 AM</t>
  </si>
  <si>
    <t>3099484913 / 242510237</t>
  </si>
  <si>
    <t>Mochamad Lewis Batmomolin</t>
  </si>
  <si>
    <t>https://quickchart.io/qr?size=250&amp;text=https%3A%2F%2Fdocs.google.com%2Fforms%2Fd%2Fe%2F1FAIpQLSeZ-R1GrWlAPkfaThGqxeTj0QTtrARw4rroxIIepf2kipn1nw%2FformResponse%3Fusp%3Dpp_url%26entry.1313582257%3D3099484913%20%2F%20242510237%26entry.1578404635%3DHadir</t>
  </si>
  <si>
    <t>1q_91fMGcBoxLVjJyvZWmyzIf2GhG7WBL</t>
  </si>
  <si>
    <t>https://drive.google.com/file/d/1q_91fMGcBoxLVjJyvZWmyzIf2GhG7WBL/view?usp=drivesdk</t>
  </si>
  <si>
    <t>0087176231 / 242510218</t>
  </si>
  <si>
    <t>MUHAMAD FADLY FADILLAH</t>
  </si>
  <si>
    <t>https://quickchart.io/qr?size=250&amp;text=https%3A%2F%2Fdocs.google.com%2Fforms%2Fd%2Fe%2F1FAIpQLSeZ-R1GrWlAPkfaThGqxeTj0QTtrARw4rroxIIepf2kipn1nw%2FformResponse%3Fusp%3Dpp_url%26entry.1313582257%3D0087176231%20%2F%20242510218%26entry.1578404635%3DHadir</t>
  </si>
  <si>
    <t>1zybf2F34n9AlCeAjQmnPmbYAiHbZiSJP</t>
  </si>
  <si>
    <t>https://drive.google.com/file/d/1zybf2F34n9AlCeAjQmnPmbYAiHbZiSJP/view?usp=drivesdk</t>
  </si>
  <si>
    <t>3097549496 / 242510258</t>
  </si>
  <si>
    <t>Muhammad Faiq Abdurrahman</t>
  </si>
  <si>
    <t>https://quickchart.io/qr?size=250&amp;text=https%3A%2F%2Fdocs.google.com%2Fforms%2Fd%2Fe%2F1FAIpQLSeZ-R1GrWlAPkfaThGqxeTj0QTtrARw4rroxIIepf2kipn1nw%2FformResponse%3Fusp%3Dpp_url%26entry.1313582257%3D3097549496%20%2F%20242510258%26entry.1578404635%3DHadir</t>
  </si>
  <si>
    <t>1jyaLgM8e35xD9Wko63h6vpSE70s0NED9</t>
  </si>
  <si>
    <t>https://drive.google.com/file/d/1jyaLgM8e35xD9Wko63h6vpSE70s0NED9/view?usp=drivesdk</t>
  </si>
  <si>
    <t>0096931224 / 242510290</t>
  </si>
  <si>
    <t>Nafis Syahri Ramadhan</t>
  </si>
  <si>
    <t>https://quickchart.io/qr?size=250&amp;text=https%3A%2F%2Fdocs.google.com%2Fforms%2Fd%2Fe%2F1FAIpQLSeZ-R1GrWlAPkfaThGqxeTj0QTtrARw4rroxIIepf2kipn1nw%2FformResponse%3Fusp%3Dpp_url%26entry.1313582257%3D0096931224%20%2F%20242510290%26entry.1578404635%3DHadir</t>
  </si>
  <si>
    <t>1zivLEbTifc6YSoy6HHBuEp5H106HmqH-</t>
  </si>
  <si>
    <t>https://drive.google.com/file/d/1zivLEbTifc6YSoy6HHBuEp5H106HmqH-/view?usp=drivesdk</t>
  </si>
  <si>
    <t>0107494938 / 242510311</t>
  </si>
  <si>
    <t>Nurry Qurata'Ayun Mastiar</t>
  </si>
  <si>
    <t>https://quickchart.io/qr?size=250&amp;text=https%3A%2F%2Fdocs.google.com%2Fforms%2Fd%2Fe%2F1FAIpQLSeZ-R1GrWlAPkfaThGqxeTj0QTtrARw4rroxIIepf2kipn1nw%2FformResponse%3Fusp%3Dpp_url%26entry.1313582257%3D0107494938%20%2F%20242510311%26entry.1578404635%3DHadir</t>
  </si>
  <si>
    <t>1uobxd8SgyHMBP2VXy3Q_vC-IuSXsVbF8</t>
  </si>
  <si>
    <t>https://drive.google.com/file/d/1uobxd8SgyHMBP2VXy3Q_vC-IuSXsVbF8/view?usp=drivesdk</t>
  </si>
  <si>
    <t>0095386380 / 242510314</t>
  </si>
  <si>
    <t>Pratamayoga Danishwara Lestiyo</t>
  </si>
  <si>
    <t>https://quickchart.io/qr?size=250&amp;text=https%3A%2F%2Fdocs.google.com%2Fforms%2Fd%2Fe%2F1FAIpQLSeZ-R1GrWlAPkfaThGqxeTj0QTtrARw4rroxIIepf2kipn1nw%2FformResponse%3Fusp%3Dpp_url%26entry.1313582257%3D0095386380%20%2F%20242510314%26entry.1578404635%3DHadir</t>
  </si>
  <si>
    <t>1WUmW5UqmCN_ZSuSib46St3Yrd-Qoq8VG</t>
  </si>
  <si>
    <t>https://drive.google.com/file/d/1WUmW5UqmCN_ZSuSib46St3Yrd-Qoq8VG/view?usp=drivesdk</t>
  </si>
  <si>
    <t>0094807008 / 242510331</t>
  </si>
  <si>
    <t>Radhwa Kadzia Salsabila</t>
  </si>
  <si>
    <t>https://quickchart.io/qr?size=250&amp;text=https%3A%2F%2Fdocs.google.com%2Fforms%2Fd%2Fe%2F1FAIpQLSeZ-R1GrWlAPkfaThGqxeTj0QTtrARw4rroxIIepf2kipn1nw%2FformResponse%3Fusp%3Dpp_url%26entry.1313582257%3D0094807008%20%2F%20242510331%26entry.1578404635%3DHadir</t>
  </si>
  <si>
    <t>1PV7p4doGQxYO6YTbjfBMTYb_-WBANwpv</t>
  </si>
  <si>
    <t>https://drive.google.com/file/d/1PV7p4doGQxYO6YTbjfBMTYb_-WBANwpv/view?usp=drivesdk</t>
  </si>
  <si>
    <t>0099423367 / 242510332</t>
  </si>
  <si>
    <t>Radif Ziyan Maryono</t>
  </si>
  <si>
    <t>https://quickchart.io/qr?size=250&amp;text=https%3A%2F%2Fdocs.google.com%2Fforms%2Fd%2Fe%2F1FAIpQLSeZ-R1GrWlAPkfaThGqxeTj0QTtrARw4rroxIIepf2kipn1nw%2FformResponse%3Fusp%3Dpp_url%26entry.1313582257%3D0099423367%20%2F%20242510332%26entry.1578404635%3DHadir</t>
  </si>
  <si>
    <t>1C5pV2TvvUQWKRCgFFEnm1DO3UeVBqZEX</t>
  </si>
  <si>
    <t>https://drive.google.com/file/d/1C5pV2TvvUQWKRCgFFEnm1DO3UeVBqZEX/view?usp=drivesdk</t>
  </si>
  <si>
    <t>Document successfully created; Document successfully merged; PDF created; Manually run by skycircle.id@gmail.com; Timestamp: Feb 6 2026 1:28 AM</t>
  </si>
  <si>
    <t>0094095735 / 242510339</t>
  </si>
  <si>
    <t>Raisya Maulidhina</t>
  </si>
  <si>
    <t>https://quickchart.io/qr?size=250&amp;text=https%3A%2F%2Fdocs.google.com%2Fforms%2Fd%2Fe%2F1FAIpQLSeZ-R1GrWlAPkfaThGqxeTj0QTtrARw4rroxIIepf2kipn1nw%2FformResponse%3Fusp%3Dpp_url%26entry.1313582257%3D0094095735%20%2F%20242510339%26entry.1578404635%3DHadir</t>
  </si>
  <si>
    <t>1y-rKA6Xw1exP-2hKQWcSlMHiqkiSXKx1</t>
  </si>
  <si>
    <t>https://drive.google.com/file/d/1y-rKA6Xw1exP-2hKQWcSlMHiqkiSXKx1/view?usp=drivesdk</t>
  </si>
  <si>
    <t>3087304976 / 242510389</t>
  </si>
  <si>
    <t>Syahrul Ramadhan</t>
  </si>
  <si>
    <t>https://quickchart.io/qr?size=250&amp;text=https%3A%2F%2Fdocs.google.com%2Fforms%2Fd%2Fe%2F1FAIpQLSeZ-R1GrWlAPkfaThGqxeTj0QTtrARw4rroxIIepf2kipn1nw%2FformResponse%3Fusp%3Dpp_url%26entry.1313582257%3D3087304976%20%2F%20242510389%26entry.1578404635%3DHadir</t>
  </si>
  <si>
    <t>1SEZYBhl2P8BECJapQtEmNHGJ2o3vESo_</t>
  </si>
  <si>
    <t>https://drive.google.com/file/d/1SEZYBhl2P8BECJapQtEmNHGJ2o3vESo_/view?usp=drivesdk</t>
  </si>
  <si>
    <t>0097734463 / 242510394</t>
  </si>
  <si>
    <t>Syavira Dinar Handayani</t>
  </si>
  <si>
    <t>https://quickchart.io/qr?size=250&amp;text=https%3A%2F%2Fdocs.google.com%2Fforms%2Fd%2Fe%2F1FAIpQLSeZ-R1GrWlAPkfaThGqxeTj0QTtrARw4rroxIIepf2kipn1nw%2FformResponse%3Fusp%3Dpp_url%26entry.1313582257%3D0097734463%20%2F%20242510394%26entry.1578404635%3DHadir</t>
  </si>
  <si>
    <t>1yoB72kb29oIbyZeYDK4Aa9jbl01jNeI7</t>
  </si>
  <si>
    <t>https://drive.google.com/file/d/1yoB72kb29oIbyZeYDK4Aa9jbl01jNeI7/view?usp=drivesdk</t>
  </si>
  <si>
    <t>0094647744 / 242510396</t>
  </si>
  <si>
    <t>Syifa Septia Putri</t>
  </si>
  <si>
    <t>https://quickchart.io/qr?size=250&amp;text=https%3A%2F%2Fdocs.google.com%2Fforms%2Fd%2Fe%2F1FAIpQLSeZ-R1GrWlAPkfaThGqxeTj0QTtrARw4rroxIIepf2kipn1nw%2FformResponse%3Fusp%3Dpp_url%26entry.1313582257%3D0094647744%20%2F%20242510396%26entry.1578404635%3DHadir</t>
  </si>
  <si>
    <t>1KqH-9mlaydoYQJlbfMhb_14rrlc_Nl5U</t>
  </si>
  <si>
    <t>https://drive.google.com/file/d/1KqH-9mlaydoYQJlbfMhb_14rrlc_Nl5U/view?usp=drivesdk</t>
  </si>
  <si>
    <t>0084357788 / 242510411</t>
  </si>
  <si>
    <t>Waddia Fazila Permana</t>
  </si>
  <si>
    <t>https://quickchart.io/qr?size=250&amp;text=https%3A%2F%2Fdocs.google.com%2Fforms%2Fd%2Fe%2F1FAIpQLSeZ-R1GrWlAPkfaThGqxeTj0QTtrARw4rroxIIepf2kipn1nw%2FformResponse%3Fusp%3Dpp_url%26entry.1313582257%3D0084357788%20%2F%20242510411%26entry.1578404635%3DHadir</t>
  </si>
  <si>
    <t>1Yh31o3NSd0ReVvul-1yanBNJOXrzg7qp</t>
  </si>
  <si>
    <t>https://drive.google.com/file/d/1Yh31o3NSd0ReVvul-1yanBNJOXrzg7qp/view?usp=drivesdk</t>
  </si>
  <si>
    <t>0097253280 / 242510415</t>
  </si>
  <si>
    <t>Windy Kenez Ayu Pramesty</t>
  </si>
  <si>
    <t>https://quickchart.io/qr?size=250&amp;text=https%3A%2F%2Fdocs.google.com%2Fforms%2Fd%2Fe%2F1FAIpQLSeZ-R1GrWlAPkfaThGqxeTj0QTtrARw4rroxIIepf2kipn1nw%2FformResponse%3Fusp%3Dpp_url%26entry.1313582257%3D0097253280%20%2F%20242510415%26entry.1578404635%3DHadir</t>
  </si>
  <si>
    <t>12FaQOb635nJWHM1NM7FnFCgAfIDMn-9h</t>
  </si>
  <si>
    <t>https://drive.google.com/file/d/12FaQOb635nJWHM1NM7FnFCgAfIDMn-9h/view?usp=drivesdk</t>
  </si>
  <si>
    <t>0083949375 / 242510009</t>
  </si>
  <si>
    <t>Agisha Melandri</t>
  </si>
  <si>
    <t>XI F-2</t>
  </si>
  <si>
    <t>https://quickchart.io/qr?size=250&amp;text=https%3A%2F%2Fdocs.google.com%2Fforms%2Fd%2Fe%2F1FAIpQLSeZ-R1GrWlAPkfaThGqxeTj0QTtrARw4rroxIIepf2kipn1nw%2FformResponse%3Fusp%3Dpp_url%26entry.1313582257%3D0083949375%20%2F%20242510009%26entry.1578404635%3DHadir</t>
  </si>
  <si>
    <t>1BpzIVTgtlWPVeqSJgY_6_IwbgR74mjUk</t>
  </si>
  <si>
    <t>https://drive.google.com/file/d/1BpzIVTgtlWPVeqSJgY_6_IwbgR74mjUk/view?usp=drivesdk</t>
  </si>
  <si>
    <t>Document successfully created; Document successfully merged; PDF created; Manually run by skycircle.id@gmail.com; Timestamp: Feb 6 2026 1:29 AM</t>
  </si>
  <si>
    <t>3091238165 / 242510015</t>
  </si>
  <si>
    <t>Aisha Syakira Putri</t>
  </si>
  <si>
    <t>https://quickchart.io/qr?size=250&amp;text=https%3A%2F%2Fdocs.google.com%2Fforms%2Fd%2Fe%2F1FAIpQLSeZ-R1GrWlAPkfaThGqxeTj0QTtrARw4rroxIIepf2kipn1nw%2FformResponse%3Fusp%3Dpp_url%26entry.1313582257%3D3091238165%20%2F%20242510015%26entry.1578404635%3DHadir</t>
  </si>
  <si>
    <t>1vOP4aqgN2byLYvg7oJEOOQrx4itjfhbL</t>
  </si>
  <si>
    <t>https://drive.google.com/file/d/1vOP4aqgN2byLYvg7oJEOOQrx4itjfhbL/view?usp=drivesdk</t>
  </si>
  <si>
    <t>0084218795 / 242510016</t>
  </si>
  <si>
    <t>Aisyah Nara Purusa Ningsa</t>
  </si>
  <si>
    <t>https://quickchart.io/qr?size=250&amp;text=https%3A%2F%2Fdocs.google.com%2Fforms%2Fd%2Fe%2F1FAIpQLSeZ-R1GrWlAPkfaThGqxeTj0QTtrARw4rroxIIepf2kipn1nw%2FformResponse%3Fusp%3Dpp_url%26entry.1313582257%3D0084218795%20%2F%20242510016%26entry.1578404635%3DHadir</t>
  </si>
  <si>
    <t>1cuoRmibrQBLplWtY4Z9MD1TrDsqbCHpR</t>
  </si>
  <si>
    <t>https://drive.google.com/file/d/1cuoRmibrQBLplWtY4Z9MD1TrDsqbCHpR/view?usp=drivesdk</t>
  </si>
  <si>
    <t>0098551657 / 242510020</t>
  </si>
  <si>
    <t>Al Gofi Patra</t>
  </si>
  <si>
    <t>https://quickchart.io/qr?size=250&amp;text=https%3A%2F%2Fdocs.google.com%2Fforms%2Fd%2Fe%2F1FAIpQLSeZ-R1GrWlAPkfaThGqxeTj0QTtrARw4rroxIIepf2kipn1nw%2FformResponse%3Fusp%3Dpp_url%26entry.1313582257%3D0098551657%20%2F%20242510020%26entry.1578404635%3DHadir</t>
  </si>
  <si>
    <t>1Iqi9aZkX_PhfcZ8OvVeo0uUmhCMYaZ30</t>
  </si>
  <si>
    <t>https://drive.google.com/file/d/1Iqi9aZkX_PhfcZ8OvVeo0uUmhCMYaZ30/view?usp=drivesdk</t>
  </si>
  <si>
    <t>0087718590 / 242510060</t>
  </si>
  <si>
    <t>Ashya Navisha</t>
  </si>
  <si>
    <t>https://quickchart.io/qr?size=250&amp;text=https%3A%2F%2Fdocs.google.com%2Fforms%2Fd%2Fe%2F1FAIpQLSeZ-R1GrWlAPkfaThGqxeTj0QTtrARw4rroxIIepf2kipn1nw%2FformResponse%3Fusp%3Dpp_url%26entry.1313582257%3D0087718590%20%2F%20242510060%26entry.1578404635%3DHadir</t>
  </si>
  <si>
    <t>1c43TTQ_HsZyYDSmxKJLBh5-9pzckXRHN</t>
  </si>
  <si>
    <t>https://drive.google.com/file/d/1c43TTQ_HsZyYDSmxKJLBh5-9pzckXRHN/view?usp=drivesdk</t>
  </si>
  <si>
    <t>0096418415 / 242510078</t>
  </si>
  <si>
    <t>Azka  Abidah Sukma Cahyani</t>
  </si>
  <si>
    <t>https://quickchart.io/qr?size=250&amp;text=https%3A%2F%2Fdocs.google.com%2Fforms%2Fd%2Fe%2F1FAIpQLSeZ-R1GrWlAPkfaThGqxeTj0QTtrARw4rroxIIepf2kipn1nw%2FformResponse%3Fusp%3Dpp_url%26entry.1313582257%3D0096418415%20%2F%20242510078%26entry.1578404635%3DHadir</t>
  </si>
  <si>
    <t>1SySXcNnBSI5c6azARl88-QUClOgpbKlG</t>
  </si>
  <si>
    <t>https://drive.google.com/file/d/1SySXcNnBSI5c6azARl88-QUClOgpbKlG/view?usp=drivesdk</t>
  </si>
  <si>
    <t>Callysta Sadira Rizqullah Khaniza</t>
  </si>
  <si>
    <t>https://quickchart.io/qr?size=250&amp;text=https%3A%2F%2Fdocs.google.com%2Fforms%2Fd%2Fe%2F1FAIpQLSeZ-R1GrWlAPkfaThGqxeTj0QTtrARw4rroxIIepf2kipn1nw%2FformResponse%3Fusp%3Dpp_url%26entry.1313582257%3D0096383417%20%2F%20242510089%26entry.1578404635%3DHadir</t>
  </si>
  <si>
    <t>1fxwM1SZg2LdNNk91UMpQKuckqLzPfGd8</t>
  </si>
  <si>
    <t>https://drive.google.com/file/d/1fxwM1SZg2LdNNk91UMpQKuckqLzPfGd8/view?usp=drivesdk</t>
  </si>
  <si>
    <t>0093167605 / 242510093</t>
  </si>
  <si>
    <t>Cheysa Dara Maharani</t>
  </si>
  <si>
    <t>https://quickchart.io/qr?size=250&amp;text=https%3A%2F%2Fdocs.google.com%2Fforms%2Fd%2Fe%2F1FAIpQLSeZ-R1GrWlAPkfaThGqxeTj0QTtrARw4rroxIIepf2kipn1nw%2FformResponse%3Fusp%3Dpp_url%26entry.1313582257%3D0093167605%20%2F%20242510093%26entry.1578404635%3DHadir</t>
  </si>
  <si>
    <t>1HFSxXS06YxsfuS_eQU_nzbHc-pmFpUGs</t>
  </si>
  <si>
    <t>https://drive.google.com/file/d/1HFSxXS06YxsfuS_eQU_nzbHc-pmFpUGs/view?usp=drivesdk</t>
  </si>
  <si>
    <t>0096872219 / 242510106</t>
  </si>
  <si>
    <t>Desya Maulida</t>
  </si>
  <si>
    <t>https://quickchart.io/qr?size=250&amp;text=https%3A%2F%2Fdocs.google.com%2Fforms%2Fd%2Fe%2F1FAIpQLSeZ-R1GrWlAPkfaThGqxeTj0QTtrARw4rroxIIepf2kipn1nw%2FformResponse%3Fusp%3Dpp_url%26entry.1313582257%3D0096872219%20%2F%20242510106%26entry.1578404635%3DHadir</t>
  </si>
  <si>
    <t>1vkGgoJrhn_fvN20K9qUtLwc8qFgyAiW7</t>
  </si>
  <si>
    <t>https://drive.google.com/file/d/1vkGgoJrhn_fvN20K9qUtLwc8qFgyAiW7/view?usp=drivesdk</t>
  </si>
  <si>
    <t>Document successfully created; Document successfully merged; PDF created; Manually run by skycircle.id@gmail.com; Timestamp: Feb 6 2026 1:30 AM</t>
  </si>
  <si>
    <t>0093311941 / 242510107</t>
  </si>
  <si>
    <t>Devi Nuraini</t>
  </si>
  <si>
    <t>https://quickchart.io/qr?size=250&amp;text=https%3A%2F%2Fdocs.google.com%2Fforms%2Fd%2Fe%2F1FAIpQLSeZ-R1GrWlAPkfaThGqxeTj0QTtrARw4rroxIIepf2kipn1nw%2FformResponse%3Fusp%3Dpp_url%26entry.1313582257%3D0093311941%20%2F%20242510107%26entry.1578404635%3DHadir</t>
  </si>
  <si>
    <t>1q-Bsjux7oE1xeMzCdXlTz11Jq8XzyJnE</t>
  </si>
  <si>
    <t>https://drive.google.com/file/d/1q-Bsjux7oE1xeMzCdXlTz11Jq8XzyJnE/view?usp=drivesdk</t>
  </si>
  <si>
    <t>0091519291 / 242510109</t>
  </si>
  <si>
    <t>Dhiyaul Aqlan Abqory</t>
  </si>
  <si>
    <t>https://quickchart.io/qr?size=250&amp;text=https%3A%2F%2Fdocs.google.com%2Fforms%2Fd%2Fe%2F1FAIpQLSeZ-R1GrWlAPkfaThGqxeTj0QTtrARw4rroxIIepf2kipn1nw%2FformResponse%3Fusp%3Dpp_url%26entry.1313582257%3D0091519291%20%2F%20242510109%26entry.1578404635%3DHadir</t>
  </si>
  <si>
    <t>1ZGPxaZdywJjuaLDHbq7ojU3ZQncYRW2l</t>
  </si>
  <si>
    <t>https://drive.google.com/file/d/1ZGPxaZdywJjuaLDHbq7ojU3ZQncYRW2l/view?usp=drivesdk</t>
  </si>
  <si>
    <t>0093772011 / 242510125</t>
  </si>
  <si>
    <t>Evandika Juliandi</t>
  </si>
  <si>
    <t>https://quickchart.io/qr?size=250&amp;text=https%3A%2F%2Fdocs.google.com%2Fforms%2Fd%2Fe%2F1FAIpQLSeZ-R1GrWlAPkfaThGqxeTj0QTtrARw4rroxIIepf2kipn1nw%2FformResponse%3Fusp%3Dpp_url%26entry.1313582257%3D0093772011%20%2F%20242510125%26entry.1578404635%3DHadir</t>
  </si>
  <si>
    <t>11xwY4f1vozZuLsy15c1-NhrryMzScPNR</t>
  </si>
  <si>
    <t>https://drive.google.com/file/d/11xwY4f1vozZuLsy15c1-NhrryMzScPNR/view?usp=drivesdk</t>
  </si>
  <si>
    <t>0083597126 / 242510127</t>
  </si>
  <si>
    <t>Excellita Mayda Nurussyfa</t>
  </si>
  <si>
    <t>https://quickchart.io/qr?size=250&amp;text=https%3A%2F%2Fdocs.google.com%2Fforms%2Fd%2Fe%2F1FAIpQLSeZ-R1GrWlAPkfaThGqxeTj0QTtrARw4rroxIIepf2kipn1nw%2FformResponse%3Fusp%3Dpp_url%26entry.1313582257%3D0083597126%20%2F%20242510127%26entry.1578404635%3DHadir</t>
  </si>
  <si>
    <t>1x_UyXWiqgzpj3xKyo43sQruyXMr_Hvxr</t>
  </si>
  <si>
    <t>https://drive.google.com/file/d/1x_UyXWiqgzpj3xKyo43sQruyXMr_Hvxr/view?usp=drivesdk</t>
  </si>
  <si>
    <t>0081527579 / 242510147</t>
  </si>
  <si>
    <t>Fx Arya Bima Saputra</t>
  </si>
  <si>
    <t>https://quickchart.io/qr?size=250&amp;text=https%3A%2F%2Fdocs.google.com%2Fforms%2Fd%2Fe%2F1FAIpQLSeZ-R1GrWlAPkfaThGqxeTj0QTtrARw4rroxIIepf2kipn1nw%2FformResponse%3Fusp%3Dpp_url%26entry.1313582257%3D0081527579%20%2F%20242510147%26entry.1578404635%3DHadir</t>
  </si>
  <si>
    <t>1SFlmtBY0wTLkvSwSshsSM-bmv1Eoeeos</t>
  </si>
  <si>
    <t>https://drive.google.com/file/d/1SFlmtBY0wTLkvSwSshsSM-bmv1Eoeeos/view?usp=drivesdk</t>
  </si>
  <si>
    <t>3088903236 / 242510154</t>
  </si>
  <si>
    <t>Graceya Felisya Sinurat</t>
  </si>
  <si>
    <t>https://quickchart.io/qr?size=250&amp;text=https%3A%2F%2Fdocs.google.com%2Fforms%2Fd%2Fe%2F1FAIpQLSeZ-R1GrWlAPkfaThGqxeTj0QTtrARw4rroxIIepf2kipn1nw%2FformResponse%3Fusp%3Dpp_url%26entry.1313582257%3D3088903236%20%2F%20242510154%26entry.1578404635%3DHadir</t>
  </si>
  <si>
    <t>1eM9PIHqE7EOB3LYr7_LAaNbE4jWvwor1</t>
  </si>
  <si>
    <t>https://drive.google.com/file/d/1eM9PIHqE7EOB3LYr7_LAaNbE4jWvwor1/view?usp=drivesdk</t>
  </si>
  <si>
    <t>0098700438 / 242510156</t>
  </si>
  <si>
    <t>Hadaya Bassam Faris Sawaftah</t>
  </si>
  <si>
    <t>https://quickchart.io/qr?size=250&amp;text=https%3A%2F%2Fdocs.google.com%2Fforms%2Fd%2Fe%2F1FAIpQLSeZ-R1GrWlAPkfaThGqxeTj0QTtrARw4rroxIIepf2kipn1nw%2FformResponse%3Fusp%3Dpp_url%26entry.1313582257%3D0098700438%20%2F%20242510156%26entry.1578404635%3DHadir</t>
  </si>
  <si>
    <t>1PRkkpOq7dWlmRmFlpUK0OSJdN56xW_qn</t>
  </si>
  <si>
    <t>https://drive.google.com/file/d/1PRkkpOq7dWlmRmFlpUK0OSJdN56xW_qn/view?usp=drivesdk</t>
  </si>
  <si>
    <t>0095159012 / 242510166</t>
  </si>
  <si>
    <t>Hilwa Zakiyyah</t>
  </si>
  <si>
    <t>https://quickchart.io/qr?size=250&amp;text=https%3A%2F%2Fdocs.google.com%2Fforms%2Fd%2Fe%2F1FAIpQLSeZ-R1GrWlAPkfaThGqxeTj0QTtrARw4rroxIIepf2kipn1nw%2FformResponse%3Fusp%3Dpp_url%26entry.1313582257%3D0095159012%20%2F%20242510166%26entry.1578404635%3DHadir</t>
  </si>
  <si>
    <t>1ERSWW78wegy_ZFXCbUGxb1LhZHadoysw</t>
  </si>
  <si>
    <t>https://drive.google.com/file/d/1ERSWW78wegy_ZFXCbUGxb1LhZHadoysw/view?usp=drivesdk</t>
  </si>
  <si>
    <t>Document successfully created; Document successfully merged; PDF created; Manually run by skycircle.id@gmail.com; Timestamp: Feb 6 2026 1:31 AM</t>
  </si>
  <si>
    <t>0098994125 / 252611567</t>
  </si>
  <si>
    <t>Akhmad Kevin Ahdiansyah Lesmanu</t>
  </si>
  <si>
    <t>https://quickchart.io/qr?size=250&amp;text=https%3A%2F%2Fdocs.google.com%2Fforms%2Fd%2Fe%2F1FAIpQLSeZ-R1GrWlAPkfaThGqxeTj0QTtrARw4rroxIIepf2kipn1nw%2FformResponse%3Fusp%3Dpp_url%26entry.1313582257%3D0098994125%20%2F%20252611567%26entry.1578404635%3DHadir</t>
  </si>
  <si>
    <t>1ynw9xhhNmMPt-kSloI-lrNvNAKyYsp_a</t>
  </si>
  <si>
    <t>https://drive.google.com/file/d/1ynw9xhhNmMPt-kSloI-lrNvNAKyYsp_a/view?usp=drivesdk</t>
  </si>
  <si>
    <t>0087336074 / 242510195</t>
  </si>
  <si>
    <t>Keysa Novasari</t>
  </si>
  <si>
    <t>https://quickchart.io/qr?size=250&amp;text=https%3A%2F%2Fdocs.google.com%2Fforms%2Fd%2Fe%2F1FAIpQLSeZ-R1GrWlAPkfaThGqxeTj0QTtrARw4rroxIIepf2kipn1nw%2FformResponse%3Fusp%3Dpp_url%26entry.1313582257%3D0087336074%20%2F%20242510195%26entry.1578404635%3DHadir</t>
  </si>
  <si>
    <t>1JdL55ZEh6gyO13o_UqRzeOgwDiAZk7QC</t>
  </si>
  <si>
    <t>https://drive.google.com/file/d/1JdL55ZEh6gyO13o_UqRzeOgwDiAZk7QC/view?usp=drivesdk</t>
  </si>
  <si>
    <t>0083317171 / 242510203</t>
  </si>
  <si>
    <t>Khansaa Dhiyaa Aqiilaa</t>
  </si>
  <si>
    <t>https://quickchart.io/qr?size=250&amp;text=https%3A%2F%2Fdocs.google.com%2Fforms%2Fd%2Fe%2F1FAIpQLSeZ-R1GrWlAPkfaThGqxeTj0QTtrARw4rroxIIepf2kipn1nw%2FformResponse%3Fusp%3Dpp_url%26entry.1313582257%3D0083317171%20%2F%20242510203%26entry.1578404635%3DHadir</t>
  </si>
  <si>
    <t>1pOmbTLDejd4qyswmHWJ_4Anmre-FPtTE</t>
  </si>
  <si>
    <t>https://drive.google.com/file/d/1pOmbTLDejd4qyswmHWJ_4Anmre-FPtTE/view?usp=drivesdk</t>
  </si>
  <si>
    <t>3081754398 / 242510219</t>
  </si>
  <si>
    <t>M. Fauzan Aifa Hafizh</t>
  </si>
  <si>
    <t>https://quickchart.io/qr?size=250&amp;text=https%3A%2F%2Fdocs.google.com%2Fforms%2Fd%2Fe%2F1FAIpQLSeZ-R1GrWlAPkfaThGqxeTj0QTtrARw4rroxIIepf2kipn1nw%2FformResponse%3Fusp%3Dpp_url%26entry.1313582257%3D3081754398%20%2F%20242510219%26entry.1578404635%3DHadir</t>
  </si>
  <si>
    <t>1KWDa0H-QvIm9ECrIuqOOmoSVJs0CPY7C</t>
  </si>
  <si>
    <t>https://drive.google.com/file/d/1KWDa0H-QvIm9ECrIuqOOmoSVJs0CPY7C/view?usp=drivesdk</t>
  </si>
  <si>
    <t>0098773886 / 242510223</t>
  </si>
  <si>
    <t>Malikah Putri Rafan</t>
  </si>
  <si>
    <t>https://quickchart.io/qr?size=250&amp;text=https%3A%2F%2Fdocs.google.com%2Fforms%2Fd%2Fe%2F1FAIpQLSeZ-R1GrWlAPkfaThGqxeTj0QTtrARw4rroxIIepf2kipn1nw%2FformResponse%3Fusp%3Dpp_url%26entry.1313582257%3D0098773886%20%2F%20242510223%26entry.1578404635%3DHadir</t>
  </si>
  <si>
    <t>14ihsXSYq0Q5gqzrAVPAsKbeI2uHo4SlY</t>
  </si>
  <si>
    <t>https://drive.google.com/file/d/14ihsXSYq0Q5gqzrAVPAsKbeI2uHo4SlY/view?usp=drivesdk</t>
  </si>
  <si>
    <t>Maulida Maftuhah</t>
  </si>
  <si>
    <t>https://quickchart.io/qr?size=250&amp;text=https%3A%2F%2Fdocs.google.com%2Fforms%2Fd%2Fe%2F1FAIpQLSeZ-R1GrWlAPkfaThGqxeTj0QTtrARw4rroxIIepf2kipn1nw%2FformResponse%3Fusp%3Dpp_url%26entry.1313582257%3D0098848130%20%2F%20242510228%26entry.1578404635%3DHadir</t>
  </si>
  <si>
    <t>1GsL1HoAf_J8xjcHIBFSXntQ2N5qLYhEA</t>
  </si>
  <si>
    <t>https://drive.google.com/file/d/1GsL1HoAf_J8xjcHIBFSXntQ2N5qLYhEA/view?usp=drivesdk</t>
  </si>
  <si>
    <t>0086293694 / 242510229</t>
  </si>
  <si>
    <t>Maykaila Aini Suryaningtyas Tamin</t>
  </si>
  <si>
    <t>https://quickchart.io/qr?size=250&amp;text=https%3A%2F%2Fdocs.google.com%2Fforms%2Fd%2Fe%2F1FAIpQLSeZ-R1GrWlAPkfaThGqxeTj0QTtrARw4rroxIIepf2kipn1nw%2FformResponse%3Fusp%3Dpp_url%26entry.1313582257%3D0086293694%20%2F%20242510229%26entry.1578404635%3DHadir</t>
  </si>
  <si>
    <t>1xRJ2B1UNYgq95L_VpL_X_PJh9RP-ZL37</t>
  </si>
  <si>
    <t>https://drive.google.com/file/d/1xRJ2B1UNYgq95L_VpL_X_PJh9RP-ZL37/view?usp=drivesdk</t>
  </si>
  <si>
    <t>Document successfully created; Document successfully merged; PDF created; Manually run by skycircle.id@gmail.com; Timestamp: Feb 6 2026 1:32 AM</t>
  </si>
  <si>
    <t>0088667313 / 242510236</t>
  </si>
  <si>
    <t>Mochamad Farid Reza</t>
  </si>
  <si>
    <t>https://quickchart.io/qr?size=250&amp;text=https%3A%2F%2Fdocs.google.com%2Fforms%2Fd%2Fe%2F1FAIpQLSeZ-R1GrWlAPkfaThGqxeTj0QTtrARw4rroxIIepf2kipn1nw%2FformResponse%3Fusp%3Dpp_url%26entry.1313582257%3D0088667313%20%2F%20242510236%26entry.1578404635%3DHadir</t>
  </si>
  <si>
    <t>12lH-KTphbWkYlEjwh6UeCoZtsscl_IdP</t>
  </si>
  <si>
    <t>https://drive.google.com/file/d/12lH-KTphbWkYlEjwh6UeCoZtsscl_IdP/view?usp=drivesdk</t>
  </si>
  <si>
    <t>0093423349 / 242510245</t>
  </si>
  <si>
    <t>Muhamad Rizki Saputra</t>
  </si>
  <si>
    <t>https://quickchart.io/qr?size=250&amp;text=https%3A%2F%2Fdocs.google.com%2Fforms%2Fd%2Fe%2F1FAIpQLSeZ-R1GrWlAPkfaThGqxeTj0QTtrARw4rroxIIepf2kipn1nw%2FformResponse%3Fusp%3Dpp_url%26entry.1313582257%3D0093423349%20%2F%20242510245%26entry.1578404635%3DHadir</t>
  </si>
  <si>
    <t>196bX9sZASKWlIGi7dOz1uKn9omditKfB</t>
  </si>
  <si>
    <t>https://drive.google.com/file/d/196bX9sZASKWlIGi7dOz1uKn9omditKfB/view?usp=drivesdk</t>
  </si>
  <si>
    <t>0089737965 / 242510247</t>
  </si>
  <si>
    <t>Muhamad Zidan</t>
  </si>
  <si>
    <t>https://quickchart.io/qr?size=250&amp;text=https%3A%2F%2Fdocs.google.com%2Fforms%2Fd%2Fe%2F1FAIpQLSeZ-R1GrWlAPkfaThGqxeTj0QTtrARw4rroxIIepf2kipn1nw%2FformResponse%3Fusp%3Dpp_url%26entry.1313582257%3D0089737965%20%2F%20242510247%26entry.1578404635%3DHadir</t>
  </si>
  <si>
    <t>1-zvc8oz8sN8m1qhF11UAMwzR95l7Mj5N</t>
  </si>
  <si>
    <t>https://drive.google.com/file/d/1-zvc8oz8sN8m1qhF11UAMwzR95l7Mj5N/view?usp=drivesdk</t>
  </si>
  <si>
    <t>0091624427 / 242510249</t>
  </si>
  <si>
    <t>Muhammad Alfiansyah</t>
  </si>
  <si>
    <t>https://quickchart.io/qr?size=250&amp;text=https%3A%2F%2Fdocs.google.com%2Fforms%2Fd%2Fe%2F1FAIpQLSeZ-R1GrWlAPkfaThGqxeTj0QTtrARw4rroxIIepf2kipn1nw%2FformResponse%3Fusp%3Dpp_url%26entry.1313582257%3D0091624427%20%2F%20242510249%26entry.1578404635%3DHadir</t>
  </si>
  <si>
    <t>1QbhvdLb9tXkHcCzJ8eCSG8vY7e3yZbPT</t>
  </si>
  <si>
    <t>https://drive.google.com/file/d/1QbhvdLb9tXkHcCzJ8eCSG8vY7e3yZbPT/view?usp=drivesdk</t>
  </si>
  <si>
    <t>0083876462 / 242510267</t>
  </si>
  <si>
    <t>Muhammad Hiroshi Ali Muzaffar</t>
  </si>
  <si>
    <t>https://quickchart.io/qr?size=250&amp;text=https%3A%2F%2Fdocs.google.com%2Fforms%2Fd%2Fe%2F1FAIpQLSeZ-R1GrWlAPkfaThGqxeTj0QTtrARw4rroxIIepf2kipn1nw%2FformResponse%3Fusp%3Dpp_url%26entry.1313582257%3D0083876462%20%2F%20242510267%26entry.1578404635%3DHadir</t>
  </si>
  <si>
    <t>17mjLhrEmeoQu__pI0HfLkQPvX7wWnGWB</t>
  </si>
  <si>
    <t>https://drive.google.com/file/d/17mjLhrEmeoQu__pI0HfLkQPvX7wWnGWB/view?usp=drivesdk</t>
  </si>
  <si>
    <t>0082604990 / 242510276</t>
  </si>
  <si>
    <t>Muhammad Royyan</t>
  </si>
  <si>
    <t>https://quickchart.io/qr?size=250&amp;text=https%3A%2F%2Fdocs.google.com%2Fforms%2Fd%2Fe%2F1FAIpQLSeZ-R1GrWlAPkfaThGqxeTj0QTtrARw4rroxIIepf2kipn1nw%2FformResponse%3Fusp%3Dpp_url%26entry.1313582257%3D0082604990%20%2F%20242510276%26entry.1578404635%3DHadir</t>
  </si>
  <si>
    <t>18_A2hAwzqx2eGVR8HGIKAahNutfA394b</t>
  </si>
  <si>
    <t>https://drive.google.com/file/d/18_A2hAwzqx2eGVR8HGIKAahNutfA394b/view?usp=drivesdk</t>
  </si>
  <si>
    <t>0087043705 / 242510307</t>
  </si>
  <si>
    <t>Nur Syifa Az Zahra</t>
  </si>
  <si>
    <t>https://quickchart.io/qr?size=250&amp;text=https%3A%2F%2Fdocs.google.com%2Fforms%2Fd%2Fe%2F1FAIpQLSeZ-R1GrWlAPkfaThGqxeTj0QTtrARw4rroxIIepf2kipn1nw%2FformResponse%3Fusp%3Dpp_url%26entry.1313582257%3D0087043705%20%2F%20242510307%26entry.1578404635%3DHadir</t>
  </si>
  <si>
    <t>1ycMGb6LaVrGmir_K7veL7ibaQrzG6PY-</t>
  </si>
  <si>
    <t>https://drive.google.com/file/d/1ycMGb6LaVrGmir_K7veL7ibaQrzG6PY-/view?usp=drivesdk</t>
  </si>
  <si>
    <t>Document successfully created; Document successfully merged; PDF created; Manually run by skycircle.id@gmail.com; Timestamp: Feb 6 2026 1:33 AM</t>
  </si>
  <si>
    <t>0081683598 / 242510316</t>
  </si>
  <si>
    <t>Puteri Kinnayya Saepudin</t>
  </si>
  <si>
    <t>https://quickchart.io/qr?size=250&amp;text=https%3A%2F%2Fdocs.google.com%2Fforms%2Fd%2Fe%2F1FAIpQLSeZ-R1GrWlAPkfaThGqxeTj0QTtrARw4rroxIIepf2kipn1nw%2FformResponse%3Fusp%3Dpp_url%26entry.1313582257%3D0081683598%20%2F%20242510316%26entry.1578404635%3DHadir</t>
  </si>
  <si>
    <t>1_t-Yk_ZzGk_avRLv1o2bVEUj_dnkRwwO</t>
  </si>
  <si>
    <t>https://drive.google.com/file/d/1_t-Yk_ZzGk_avRLv1o2bVEUj_dnkRwwO/view?usp=drivesdk</t>
  </si>
  <si>
    <t>0094092301 / 252611572</t>
  </si>
  <si>
    <t>Raja Gilang Faizin</t>
  </si>
  <si>
    <t>https://quickchart.io/qr?size=250&amp;text=https%3A%2F%2Fdocs.google.com%2Fforms%2Fd%2Fe%2F1FAIpQLSeZ-R1GrWlAPkfaThGqxeTj0QTtrARw4rroxIIepf2kipn1nw%2FformResponse%3Fusp%3Dpp_url%26entry.1313582257%3D0094092301%20%2F%20252611572%26entry.1578404635%3DHadir</t>
  </si>
  <si>
    <t>1Cax-EwnM33g8DFrB5nBN7jyANTbgK3Ul</t>
  </si>
  <si>
    <t>https://drive.google.com/file/d/1Cax-EwnM33g8DFrB5nBN7jyANTbgK3Ul/view?usp=drivesdk</t>
  </si>
  <si>
    <t>0092685479 / 252611573</t>
  </si>
  <si>
    <t>Randacaya Hada Sangadji</t>
  </si>
  <si>
    <t>https://quickchart.io/qr?size=250&amp;text=https%3A%2F%2Fdocs.google.com%2Fforms%2Fd%2Fe%2F1FAIpQLSeZ-R1GrWlAPkfaThGqxeTj0QTtrARw4rroxIIepf2kipn1nw%2FformResponse%3Fusp%3Dpp_url%26entry.1313582257%3D0092685479%20%2F%20252611573%26entry.1578404635%3DHadir</t>
  </si>
  <si>
    <t>1Nma27W39-7O2HkNUR0TxmreAT0MoDd5-</t>
  </si>
  <si>
    <t>https://drive.google.com/file/d/1Nma27W39-7O2HkNUR0TxmreAT0MoDd5-/view?usp=drivesdk</t>
  </si>
  <si>
    <t>0095319720 / 242510364</t>
  </si>
  <si>
    <t>Sakinah Nasution</t>
  </si>
  <si>
    <t>https://quickchart.io/qr?size=250&amp;text=https%3A%2F%2Fdocs.google.com%2Fforms%2Fd%2Fe%2F1FAIpQLSeZ-R1GrWlAPkfaThGqxeTj0QTtrARw4rroxIIepf2kipn1nw%2FformResponse%3Fusp%3Dpp_url%26entry.1313582257%3D0095319720%20%2F%20242510364%26entry.1578404635%3DHadir</t>
  </si>
  <si>
    <t>1miPAL_yPRK6BbLnc2MLrLAddMTUHu8Ss</t>
  </si>
  <si>
    <t>https://drive.google.com/file/d/1miPAL_yPRK6BbLnc2MLrLAddMTUHu8Ss/view?usp=drivesdk</t>
  </si>
  <si>
    <t>0084006956 / 242510400</t>
  </si>
  <si>
    <t>Tiara Thalita Dzaky</t>
  </si>
  <si>
    <t>https://quickchart.io/qr?size=250&amp;text=https%3A%2F%2Fdocs.google.com%2Fforms%2Fd%2Fe%2F1FAIpQLSeZ-R1GrWlAPkfaThGqxeTj0QTtrARw4rroxIIepf2kipn1nw%2FformResponse%3Fusp%3Dpp_url%26entry.1313582257%3D0084006956%20%2F%20242510400%26entry.1578404635%3DHadir</t>
  </si>
  <si>
    <t>1XutWAJV2EODR2OeXMHgARHH-IxMxQkD6</t>
  </si>
  <si>
    <t>https://drive.google.com/file/d/1XutWAJV2EODR2OeXMHgARHH-IxMxQkD6/view?usp=drivesdk</t>
  </si>
  <si>
    <t/>
  </si>
  <si>
    <t>autocratn</t>
  </si>
  <si>
    <t>autocratp</t>
  </si>
  <si>
    <t>updateTime</t>
  </si>
  <si>
    <t>"1.770120073809E12"</t>
  </si>
  <si>
    <t>dataSheetId</t>
  </si>
  <si>
    <t>"1.3051252E9"</t>
  </si>
  <si>
    <t>dataSheetName</t>
  </si>
  <si>
    <t>"Database Presensi SCC"</t>
  </si>
  <si>
    <t>v</t>
  </si>
  <si>
    <t>"5.1"</t>
  </si>
  <si>
    <t>Column 10</t>
  </si>
  <si>
    <t>NIS</t>
  </si>
  <si>
    <t>Kelas TA</t>
  </si>
  <si>
    <t>Adhie Bramantyo Faqih</t>
  </si>
  <si>
    <t>X-1</t>
  </si>
  <si>
    <t>33 - BC X-1</t>
  </si>
  <si>
    <t>3103201253</t>
  </si>
  <si>
    <t>Almira Dwi Safira</t>
  </si>
  <si>
    <t>33 - GC1 X-1</t>
  </si>
  <si>
    <t>https://quickchart.io/qr?size=250&amp;text=https%3A%2F%2Fdocs.google.com%2Fforms%2Fd%2Fe%2F1FAIpQLSeZ-R1GrWlAPkfaThGqxeTj0QTtrARw4rroxIIepf2kipn1nw%2FformResponse%3Fusp%3Dpp_url%26entry.1313582257%3D3103201253%26entry.1578404635%3DHadir</t>
  </si>
  <si>
    <t>0102149444</t>
  </si>
  <si>
    <t>Alzena Juneeta Talisha Theo</t>
  </si>
  <si>
    <t>https://quickchart.io/qr?size=250&amp;text=https%3A%2F%2Fdocs.google.com%2Fforms%2Fd%2Fe%2F1FAIpQLSeZ-R1GrWlAPkfaThGqxeTj0QTtrARw4rroxIIepf2kipn1nw%2FformResponse%3Fusp%3Dpp_url%26entry.1313582257%3D0102149444%26entry.1578404635%3DHadir</t>
  </si>
  <si>
    <t>Arya Aditya Gunawan</t>
  </si>
  <si>
    <t>https://quickchart.io/qr?size=250&amp;text=https%3A%2F%2Fdocs.google.com%2Fforms%2Fd%2Fe%2F1FAIpQLSeZ-R1GrWlAPkfaThGqxeTj0QTtrARw4rroxIIepf2kipn1nw%2FformResponse%3Fusp%3Dpp_url%26entry.1313582257%3D0095992391%26entry.1578404635%3DHadir</t>
  </si>
  <si>
    <t>0106142601</t>
  </si>
  <si>
    <t>Aryasatia Pradipta</t>
  </si>
  <si>
    <t>https://quickchart.io/qr?size=250&amp;text=https%3A%2F%2Fdocs.google.com%2Fforms%2Fd%2Fe%2F1FAIpQLSeZ-R1GrWlAPkfaThGqxeTj0QTtrARw4rroxIIepf2kipn1nw%2FformResponse%3Fusp%3Dpp_url%26entry.1313582257%3D0106142601%26entry.1578404635%3DHadir</t>
  </si>
  <si>
    <t>0108104548</t>
  </si>
  <si>
    <t>Asyifa Diandra Bayu</t>
  </si>
  <si>
    <t>https://quickchart.io/qr?size=250&amp;text=https%3A%2F%2Fdocs.google.com%2Fforms%2Fd%2Fe%2F1FAIpQLSeZ-R1GrWlAPkfaThGqxeTj0QTtrARw4rroxIIepf2kipn1nw%2FformResponse%3Fusp%3Dpp_url%26entry.1313582257%3D0108104548%26entry.1578404635%3DHadir</t>
  </si>
  <si>
    <t>0103045473</t>
  </si>
  <si>
    <t>Asyifa Maulidia Salsabila</t>
  </si>
  <si>
    <t>https://quickchart.io/qr?size=250&amp;text=https%3A%2F%2Fdocs.google.com%2Fforms%2Fd%2Fe%2F1FAIpQLSeZ-R1GrWlAPkfaThGqxeTj0QTtrARw4rroxIIepf2kipn1nw%2FformResponse%3Fusp%3Dpp_url%26entry.1313582257%3D0103045473%26entry.1578404635%3DHadir</t>
  </si>
  <si>
    <t>0109105725</t>
  </si>
  <si>
    <t>Aurelia Langit Callysta</t>
  </si>
  <si>
    <t>https://quickchart.io/qr?size=250&amp;text=https%3A%2F%2Fdocs.google.com%2Fforms%2Fd%2Fe%2F1FAIpQLSeZ-R1GrWlAPkfaThGqxeTj0QTtrARw4rroxIIepf2kipn1nw%2FformResponse%3Fusp%3Dpp_url%26entry.1313582257%3D0109105725%26entry.1578404635%3DHadir</t>
  </si>
  <si>
    <t>0096394871</t>
  </si>
  <si>
    <t>Aurelia Septiani Putri</t>
  </si>
  <si>
    <t>https://quickchart.io/qr?size=250&amp;text=https%3A%2F%2Fdocs.google.com%2Fforms%2Fd%2Fe%2F1FAIpQLSeZ-R1GrWlAPkfaThGqxeTj0QTtrARw4rroxIIepf2kipn1nw%2FformResponse%3Fusp%3Dpp_url%26entry.1313582257%3D0096394871%26entry.1578404635%3DHadir</t>
  </si>
  <si>
    <t>0096477713</t>
  </si>
  <si>
    <t>Bilqis Anwar Thebe</t>
  </si>
  <si>
    <t>33 - XSUMEN1 GC</t>
  </si>
  <si>
    <t>https://quickchart.io/qr?size=250&amp;text=https%3A%2F%2Fdocs.google.com%2Fforms%2Fd%2Fe%2F1FAIpQLSeZ-R1GrWlAPkfaThGqxeTj0QTtrARw4rroxIIepf2kipn1nw%2FformResponse%3Fusp%3Dpp_url%26entry.1313582257%3D0096477713%26entry.1578404635%3DHadir</t>
  </si>
  <si>
    <t>Bimo Armani Aulia Putra</t>
  </si>
  <si>
    <t>https://quickchart.io/qr?size=250&amp;text=https%3A%2F%2Fdocs.google.com%2Fforms%2Fd%2Fe%2F1FAIpQLSeZ-R1GrWlAPkfaThGqxeTj0QTtrARw4rroxIIepf2kipn1nw%2FformResponse%3Fusp%3Dpp_url%26entry.1313582257%3D0106995291%26entry.1578404635%3DHadir</t>
  </si>
  <si>
    <t>0094126705</t>
  </si>
  <si>
    <t>Callysta Tuchi Solin</t>
  </si>
  <si>
    <t>https://quickchart.io/qr?size=250&amp;text=https%3A%2F%2Fdocs.google.com%2Fforms%2Fd%2Fe%2F1FAIpQLSeZ-R1GrWlAPkfaThGqxeTj0QTtrARw4rroxIIepf2kipn1nw%2FformResponse%3Fusp%3Dpp_url%26entry.1313582257%3D0094126705%26entry.1578404635%3DHadir</t>
  </si>
  <si>
    <t>Diwangkara Rizki Rabbani</t>
  </si>
  <si>
    <t>https://quickchart.io/qr?size=250&amp;text=https%3A%2F%2Fdocs.google.com%2Fforms%2Fd%2Fe%2F1FAIpQLSeZ-R1GrWlAPkfaThGqxeTj0QTtrARw4rroxIIepf2kipn1nw%2FformResponse%3Fusp%3Dpp_url%26entry.1313582257%3D0105914504%26entry.1578404635%3DHadir</t>
  </si>
  <si>
    <t>0092097491</t>
  </si>
  <si>
    <t>Dzahra Miftahuljanah</t>
  </si>
  <si>
    <t>https://quickchart.io/qr?size=250&amp;text=https%3A%2F%2Fdocs.google.com%2Fforms%2Fd%2Fe%2F1FAIpQLSeZ-R1GrWlAPkfaThGqxeTj0QTtrARw4rroxIIepf2kipn1nw%2FformResponse%3Fusp%3Dpp_url%26entry.1313582257%3D0092097491%26entry.1578404635%3DHadir</t>
  </si>
  <si>
    <t>0102644442</t>
  </si>
  <si>
    <t>Fakhri Haikal Alvito Rachmat</t>
  </si>
  <si>
    <t>https://quickchart.io/qr?size=250&amp;text=https%3A%2F%2Fdocs.google.com%2Fforms%2Fd%2Fe%2F1FAIpQLSeZ-R1GrWlAPkfaThGqxeTj0QTtrARw4rroxIIepf2kipn1nw%2FformResponse%3Fusp%3Dpp_url%26entry.1313582257%3D0102644442%26entry.1578404635%3DHadir</t>
  </si>
  <si>
    <t>0107657965</t>
  </si>
  <si>
    <t>Fathi Azzam Hawwari</t>
  </si>
  <si>
    <t>https://quickchart.io/qr?size=250&amp;text=https%3A%2F%2Fdocs.google.com%2Fforms%2Fd%2Fe%2F1FAIpQLSeZ-R1GrWlAPkfaThGqxeTj0QTtrARw4rroxIIepf2kipn1nw%2FformResponse%3Fusp%3Dpp_url%26entry.1313582257%3D0107657965%26entry.1578404635%3DHadir</t>
  </si>
  <si>
    <t>0095023834</t>
  </si>
  <si>
    <t>Fatimah Aszahra</t>
  </si>
  <si>
    <t>https://quickchart.io/qr?size=250&amp;text=https%3A%2F%2Fdocs.google.com%2Fforms%2Fd%2Fe%2F1FAIpQLSeZ-R1GrWlAPkfaThGqxeTj0QTtrARw4rroxIIepf2kipn1nw%2FformResponse%3Fusp%3Dpp_url%26entry.1313582257%3D0095023834%26entry.1578404635%3DHadir</t>
  </si>
  <si>
    <t>0094631117</t>
  </si>
  <si>
    <t>Gwenna Irene Winata</t>
  </si>
  <si>
    <t>https://quickchart.io/qr?size=250&amp;text=https%3A%2F%2Fdocs.google.com%2Fforms%2Fd%2Fe%2F1FAIpQLSeZ-R1GrWlAPkfaThGqxeTj0QTtrARw4rroxIIepf2kipn1nw%2FformResponse%3Fusp%3Dpp_url%26entry.1313582257%3D0094631117%26entry.1578404635%3DHadir</t>
  </si>
  <si>
    <t>0092679798</t>
  </si>
  <si>
    <t>Jasmine Zahira Ramadhani</t>
  </si>
  <si>
    <t>33 - GC2 X-1</t>
  </si>
  <si>
    <t>https://quickchart.io/qr?size=250&amp;text=https%3A%2F%2Fdocs.google.com%2Fforms%2Fd%2Fe%2F1FAIpQLSeZ-R1GrWlAPkfaThGqxeTj0QTtrARw4rroxIIepf2kipn1nw%2FformResponse%3Fusp%3Dpp_url%26entry.1313582257%3D0092679798%26entry.1578404635%3DHadir</t>
  </si>
  <si>
    <t>0103648473</t>
  </si>
  <si>
    <t>Jihan Al Hasya</t>
  </si>
  <si>
    <t>https://quickchart.io/qr?size=250&amp;text=https%3A%2F%2Fdocs.google.com%2Fforms%2Fd%2Fe%2F1FAIpQLSeZ-R1GrWlAPkfaThGqxeTj0QTtrARw4rroxIIepf2kipn1nw%2FformResponse%3Fusp%3Dpp_url%26entry.1313582257%3D0103648473%26entry.1578404635%3DHadir</t>
  </si>
  <si>
    <t>0092985486</t>
  </si>
  <si>
    <t>Melani Putri Triana</t>
  </si>
  <si>
    <t>https://quickchart.io/qr?size=250&amp;text=https%3A%2F%2Fdocs.google.com%2Fforms%2Fd%2Fe%2F1FAIpQLSeZ-R1GrWlAPkfaThGqxeTj0QTtrARw4rroxIIepf2kipn1nw%2FformResponse%3Fusp%3Dpp_url%26entry.1313582257%3D0092985486%26entry.1578404635%3DHadir</t>
  </si>
  <si>
    <t>0107959828</t>
  </si>
  <si>
    <t>Mochamad Nayaka Tuharea</t>
  </si>
  <si>
    <t>https://quickchart.io/qr?size=250&amp;text=https%3A%2F%2Fdocs.google.com%2Fforms%2Fd%2Fe%2F1FAIpQLSeZ-R1GrWlAPkfaThGqxeTj0QTtrARw4rroxIIepf2kipn1nw%2FformResponse%3Fusp%3Dpp_url%26entry.1313582257%3D0107959828%26entry.1578404635%3DHadir</t>
  </si>
  <si>
    <t>0092600602</t>
  </si>
  <si>
    <t>Muhamad Septian Romadhon</t>
  </si>
  <si>
    <t>https://quickchart.io/qr?size=250&amp;text=https%3A%2F%2Fdocs.google.com%2Fforms%2Fd%2Fe%2F1FAIpQLSeZ-R1GrWlAPkfaThGqxeTj0QTtrARw4rroxIIepf2kipn1nw%2FformResponse%3Fusp%3Dpp_url%26entry.1313582257%3D0092600602%26entry.1578404635%3DHadir</t>
  </si>
  <si>
    <t>0108695912</t>
  </si>
  <si>
    <t>Muhammad Adrian Gianni Adam</t>
  </si>
  <si>
    <t>https://quickchart.io/qr?size=250&amp;text=https%3A%2F%2Fdocs.google.com%2Fforms%2Fd%2Fe%2F1FAIpQLSeZ-R1GrWlAPkfaThGqxeTj0QTtrARw4rroxIIepf2kipn1nw%2FformResponse%3Fusp%3Dpp_url%26entry.1313582257%3D0108695912%26entry.1578404635%3DHadir</t>
  </si>
  <si>
    <t>Muhammad Chaerudin Ramdhani</t>
  </si>
  <si>
    <t>https://quickchart.io/qr?size=250&amp;text=https%3A%2F%2Fdocs.google.com%2Fforms%2Fd%2Fe%2F1FAIpQLSeZ-R1GrWlAPkfaThGqxeTj0QTtrARw4rroxIIepf2kipn1nw%2FformResponse%3Fusp%3Dpp_url%26entry.1313582257%3D0093126257%26entry.1578404635%3DHadir</t>
  </si>
  <si>
    <t>3104497802</t>
  </si>
  <si>
    <t>Muhammad Fathan Assidiq</t>
  </si>
  <si>
    <t>https://quickchart.io/qr?size=250&amp;text=https%3A%2F%2Fdocs.google.com%2Fforms%2Fd%2Fe%2F1FAIpQLSeZ-R1GrWlAPkfaThGqxeTj0QTtrARw4rroxIIepf2kipn1nw%2FformResponse%3Fusp%3Dpp_url%26entry.1313582257%3D3104497802%26entry.1578404635%3DHadir</t>
  </si>
  <si>
    <t>Muhammad Rizky Aditya Putra Sukmawijayaguna</t>
  </si>
  <si>
    <t>https://quickchart.io/qr?size=250&amp;text=https%3A%2F%2Fdocs.google.com%2Fforms%2Fd%2Fe%2F1FAIpQLSeZ-R1GrWlAPkfaThGqxeTj0QTtrARw4rroxIIepf2kipn1nw%2FformResponse%3Fusp%3Dpp_url%26entry.1313582257%3D0108107461%26entry.1578404635%3DHadir</t>
  </si>
  <si>
    <t>0092807405</t>
  </si>
  <si>
    <t>Muhammad Rodzul Amrullah</t>
  </si>
  <si>
    <t>https://quickchart.io/qr?size=250&amp;text=https%3A%2F%2Fdocs.google.com%2Fforms%2Fd%2Fe%2F1FAIpQLSeZ-R1GrWlAPkfaThGqxeTj0QTtrARw4rroxIIepf2kipn1nw%2FformResponse%3Fusp%3Dpp_url%26entry.1313582257%3D0092807405%26entry.1578404635%3DHadir</t>
  </si>
  <si>
    <t>0102300207</t>
  </si>
  <si>
    <t>Nadya Salwa Altiara</t>
  </si>
  <si>
    <t>https://quickchart.io/qr?size=250&amp;text=https%3A%2F%2Fdocs.google.com%2Fforms%2Fd%2Fe%2F1FAIpQLSeZ-R1GrWlAPkfaThGqxeTj0QTtrARw4rroxIIepf2kipn1nw%2FformResponse%3Fusp%3Dpp_url%26entry.1313582257%3D0102300207%26entry.1578404635%3DHadir</t>
  </si>
  <si>
    <t>0097892166</t>
  </si>
  <si>
    <t>Nailah Khoirunisa Arsanti</t>
  </si>
  <si>
    <t>https://quickchart.io/qr?size=250&amp;text=https%3A%2F%2Fdocs.google.com%2Fforms%2Fd%2Fe%2F1FAIpQLSeZ-R1GrWlAPkfaThGqxeTj0QTtrARw4rroxIIepf2kipn1nw%2FformResponse%3Fusp%3Dpp_url%26entry.1313582257%3D0097892166%26entry.1578404635%3DHadir</t>
  </si>
  <si>
    <t>0097858274</t>
  </si>
  <si>
    <t>Novyola Safitri</t>
  </si>
  <si>
    <t>https://quickchart.io/qr?size=250&amp;text=https%3A%2F%2Fdocs.google.com%2Fforms%2Fd%2Fe%2F1FAIpQLSeZ-R1GrWlAPkfaThGqxeTj0QTtrARw4rroxIIepf2kipn1nw%2FformResponse%3Fusp%3Dpp_url%26entry.1313582257%3D0097858274%26entry.1578404635%3DHadir</t>
  </si>
  <si>
    <t>0093105045</t>
  </si>
  <si>
    <t>Nur Alifah Silvia</t>
  </si>
  <si>
    <t>https://quickchart.io/qr?size=250&amp;text=https%3A%2F%2Fdocs.google.com%2Fforms%2Fd%2Fe%2F1FAIpQLSeZ-R1GrWlAPkfaThGqxeTj0QTtrARw4rroxIIepf2kipn1nw%2FformResponse%3Fusp%3Dpp_url%26entry.1313582257%3D0093105045%26entry.1578404635%3DHadir</t>
  </si>
  <si>
    <t>0095438030</t>
  </si>
  <si>
    <t>Pungki Yustisia Pertiwi</t>
  </si>
  <si>
    <t>https://quickchart.io/qr?size=250&amp;text=https%3A%2F%2Fdocs.google.com%2Fforms%2Fd%2Fe%2F1FAIpQLSeZ-R1GrWlAPkfaThGqxeTj0QTtrARw4rroxIIepf2kipn1nw%2FformResponse%3Fusp%3Dpp_url%26entry.1313582257%3D0095438030%26entry.1578404635%3DHadir</t>
  </si>
  <si>
    <t>0107914534</t>
  </si>
  <si>
    <t>Raden Gathan Azaki Soesilo</t>
  </si>
  <si>
    <t>https://quickchart.io/qr?size=250&amp;text=https%3A%2F%2Fdocs.google.com%2Fforms%2Fd%2Fe%2F1FAIpQLSeZ-R1GrWlAPkfaThGqxeTj0QTtrARw4rroxIIepf2kipn1nw%2FformResponse%3Fusp%3Dpp_url%26entry.1313582257%3D0107914534%26entry.1578404635%3DHadir</t>
  </si>
  <si>
    <t>0097963483</t>
  </si>
  <si>
    <t>Raden Muhammad Rafi Wiranata</t>
  </si>
  <si>
    <t>https://quickchart.io/qr?size=250&amp;text=https%3A%2F%2Fdocs.google.com%2Fforms%2Fd%2Fe%2F1FAIpQLSeZ-R1GrWlAPkfaThGqxeTj0QTtrARw4rroxIIepf2kipn1nw%2FformResponse%3Fusp%3Dpp_url%26entry.1313582257%3D0097963483%26entry.1578404635%3DHadir</t>
  </si>
  <si>
    <t>Rayhan Ashabi</t>
  </si>
  <si>
    <t>https://quickchart.io/qr?size=250&amp;text=https%3A%2F%2Fdocs.google.com%2Fforms%2Fd%2Fe%2F1FAIpQLSeZ-R1GrWlAPkfaThGqxeTj0QTtrARw4rroxIIepf2kipn1nw%2FformResponse%3Fusp%3Dpp_url%26entry.1313582257%3D0092135851%26entry.1578404635%3DHadir</t>
  </si>
  <si>
    <t>0092605198</t>
  </si>
  <si>
    <t>Rayhana Rizkya Al-Multazam</t>
  </si>
  <si>
    <t>https://quickchart.io/qr?size=250&amp;text=https%3A%2F%2Fdocs.google.com%2Fforms%2Fd%2Fe%2F1FAIpQLSeZ-R1GrWlAPkfaThGqxeTj0QTtrARw4rroxIIepf2kipn1nw%2FformResponse%3Fusp%3Dpp_url%26entry.1313582257%3D0092605198%26entry.1578404635%3DHadir</t>
  </si>
  <si>
    <t>Riffa Nugraha</t>
  </si>
  <si>
    <t>https://quickchart.io/qr?size=250&amp;text=https%3A%2F%2Fdocs.google.com%2Fforms%2Fd%2Fe%2F1FAIpQLSeZ-R1GrWlAPkfaThGqxeTj0QTtrARw4rroxIIepf2kipn1nw%2FformResponse%3Fusp%3Dpp_url%26entry.1313582257%3D0103151970%26entry.1578404635%3DHadir</t>
  </si>
  <si>
    <t>0097644165</t>
  </si>
  <si>
    <t>Salsabila Zahwa Mulana</t>
  </si>
  <si>
    <t>https://quickchart.io/qr?size=250&amp;text=https%3A%2F%2Fdocs.google.com%2Fforms%2Fd%2Fe%2F1FAIpQLSeZ-R1GrWlAPkfaThGqxeTj0QTtrARw4rroxIIepf2kipn1nw%2FformResponse%3Fusp%3Dpp_url%26entry.1313582257%3D0097644165%26entry.1578404635%3DHadir</t>
  </si>
  <si>
    <t>0102657659</t>
  </si>
  <si>
    <t>Shabira Ayatul Husna</t>
  </si>
  <si>
    <t>https://quickchart.io/qr?size=250&amp;text=https%3A%2F%2Fdocs.google.com%2Fforms%2Fd%2Fe%2F1FAIpQLSeZ-R1GrWlAPkfaThGqxeTj0QTtrARw4rroxIIepf2kipn1nw%2FformResponse%3Fusp%3Dpp_url%26entry.1313582257%3D0102657659%26entry.1578404635%3DHadir</t>
  </si>
  <si>
    <t>0111428850</t>
  </si>
  <si>
    <t>Zavier Lamya Arkanominatha</t>
  </si>
  <si>
    <t>https://quickchart.io/qr?size=250&amp;text=https%3A%2F%2Fdocs.google.com%2Fforms%2Fd%2Fe%2F1FAIpQLSeZ-R1GrWlAPkfaThGqxeTj0QTtrARw4rroxIIepf2kipn1nw%2FformResponse%3Fusp%3Dpp_url%26entry.1313582257%3D0111428850%26entry.1578404635%3DHadir</t>
  </si>
  <si>
    <t>0108505453</t>
  </si>
  <si>
    <t>Zhafirah Dwi Fauziah</t>
  </si>
  <si>
    <t>https://quickchart.io/qr?size=250&amp;text=https%3A%2F%2Fdocs.google.com%2Fforms%2Fd%2Fe%2F1FAIpQLSeZ-R1GrWlAPkfaThGqxeTj0QTtrARw4rroxIIepf2kipn1nw%2FformResponse%3Fusp%3Dpp_url%26entry.1313582257%3D0108505453%26entry.1578404635%3DHadir</t>
  </si>
  <si>
    <t>0094216870</t>
  </si>
  <si>
    <t>Adinda Syahira Hariyadi</t>
  </si>
  <si>
    <t>X-2</t>
  </si>
  <si>
    <t>33 - GC1 X-2</t>
  </si>
  <si>
    <t>https://quickchart.io/qr?size=250&amp;text=https%3A%2F%2Fdocs.google.com%2Fforms%2Fd%2Fe%2F1FAIpQLSeZ-R1GrWlAPkfaThGqxeTj0QTtrARw4rroxIIepf2kipn1nw%2FformResponse%3Fusp%3Dpp_url%26entry.1313582257%3D0094216870%26entry.1578404635%3DHadir</t>
  </si>
  <si>
    <t>0107760733</t>
  </si>
  <si>
    <t>Aira Aulia Putri</t>
  </si>
  <si>
    <t>33 - XSUMEN2 GC</t>
  </si>
  <si>
    <t>https://quickchart.io/qr?size=250&amp;text=https%3A%2F%2Fdocs.google.com%2Fforms%2Fd%2Fe%2F1FAIpQLSeZ-R1GrWlAPkfaThGqxeTj0QTtrARw4rroxIIepf2kipn1nw%2FformResponse%3Fusp%3Dpp_url%26entry.1313582257%3D0107760733%26entry.1578404635%3DHadir</t>
  </si>
  <si>
    <t>0105130233</t>
  </si>
  <si>
    <t>Aisha Faiha Dzakiyah</t>
  </si>
  <si>
    <t>https://quickchart.io/qr?size=250&amp;text=https%3A%2F%2Fdocs.google.com%2Fforms%2Fd%2Fe%2F1FAIpQLSeZ-R1GrWlAPkfaThGqxeTj0QTtrARw4rroxIIepf2kipn1nw%2FformResponse%3Fusp%3Dpp_url%26entry.1313582257%3D0105130233%26entry.1578404635%3DHadir</t>
  </si>
  <si>
    <t>0104550133</t>
  </si>
  <si>
    <t>Alifa Safa Salsabila</t>
  </si>
  <si>
    <t>https://quickchart.io/qr?size=250&amp;text=https%3A%2F%2Fdocs.google.com%2Fforms%2Fd%2Fe%2F1FAIpQLSeZ-R1GrWlAPkfaThGqxeTj0QTtrARw4rroxIIepf2kipn1nw%2FformResponse%3Fusp%3Dpp_url%26entry.1313582257%3D0104550133%26entry.1578404635%3DHadir</t>
  </si>
  <si>
    <t>0095372504</t>
  </si>
  <si>
    <t>Alviana Dwie Putery</t>
  </si>
  <si>
    <t>https://quickchart.io/qr?size=250&amp;text=https%3A%2F%2Fdocs.google.com%2Fforms%2Fd%2Fe%2F1FAIpQLSeZ-R1GrWlAPkfaThGqxeTj0QTtrARw4rroxIIepf2kipn1nw%2FformResponse%3Fusp%3Dpp_url%26entry.1313582257%3D0095372504%26entry.1578404635%3DHadir</t>
  </si>
  <si>
    <t>0105813396</t>
  </si>
  <si>
    <t>Alyya Zahra Kusumadewi</t>
  </si>
  <si>
    <t>https://quickchart.io/qr?size=250&amp;text=https%3A%2F%2Fdocs.google.com%2Fforms%2Fd%2Fe%2F1FAIpQLSeZ-R1GrWlAPkfaThGqxeTj0QTtrARw4rroxIIepf2kipn1nw%2FformResponse%3Fusp%3Dpp_url%26entry.1313582257%3D0105813396%26entry.1578404635%3DHadir</t>
  </si>
  <si>
    <t>0109006152</t>
  </si>
  <si>
    <t>Ammar Raziq Mahdiya</t>
  </si>
  <si>
    <t>33 - BC X-2</t>
  </si>
  <si>
    <t>https://quickchart.io/qr?size=250&amp;text=https%3A%2F%2Fdocs.google.com%2Fforms%2Fd%2Fe%2F1FAIpQLSeZ-R1GrWlAPkfaThGqxeTj0QTtrARw4rroxIIepf2kipn1nw%2FformResponse%3Fusp%3Dpp_url%26entry.1313582257%3D0109006152%26entry.1578404635%3DHadir</t>
  </si>
  <si>
    <t>0097211030</t>
  </si>
  <si>
    <t>Andini Qoriyati Khaerani</t>
  </si>
  <si>
    <t>https://quickchart.io/qr?size=250&amp;text=https%3A%2F%2Fdocs.google.com%2Fforms%2Fd%2Fe%2F1FAIpQLSeZ-R1GrWlAPkfaThGqxeTj0QTtrARw4rroxIIepf2kipn1nw%2FformResponse%3Fusp%3Dpp_url%26entry.1313582257%3D0097211030%26entry.1578404635%3DHadir</t>
  </si>
  <si>
    <t>3108667209</t>
  </si>
  <si>
    <t>Aqeela Az Zahra</t>
  </si>
  <si>
    <t>https://quickchart.io/qr?size=250&amp;text=https%3A%2F%2Fdocs.google.com%2Fforms%2Fd%2Fe%2F1FAIpQLSeZ-R1GrWlAPkfaThGqxeTj0QTtrARw4rroxIIepf2kipn1nw%2FformResponse%3Fusp%3Dpp_url%26entry.1313582257%3D3108667209%26entry.1578404635%3DHadir</t>
  </si>
  <si>
    <t>0098513542</t>
  </si>
  <si>
    <t>Ashiila Rindu Dwi Laufli</t>
  </si>
  <si>
    <t>https://quickchart.io/qr?size=250&amp;text=https%3A%2F%2Fdocs.google.com%2Fforms%2Fd%2Fe%2F1FAIpQLSeZ-R1GrWlAPkfaThGqxeTj0QTtrARw4rroxIIepf2kipn1nw%2FformResponse%3Fusp%3Dpp_url%26entry.1313582257%3D0098513542%26entry.1578404635%3DHadir</t>
  </si>
  <si>
    <t>0106376916</t>
  </si>
  <si>
    <t>Atharrayhan Abimanyu Pratama</t>
  </si>
  <si>
    <t>https://quickchart.io/qr?size=250&amp;text=https%3A%2F%2Fdocs.google.com%2Fforms%2Fd%2Fe%2F1FAIpQLSeZ-R1GrWlAPkfaThGqxeTj0QTtrARw4rroxIIepf2kipn1nw%2FformResponse%3Fusp%3Dpp_url%26entry.1313582257%3D0106376916%26entry.1578404635%3DHadir</t>
  </si>
  <si>
    <t>0105797314</t>
  </si>
  <si>
    <t>Aurelly Diana Zulkarnaen</t>
  </si>
  <si>
    <t>https://quickchart.io/qr?size=250&amp;text=https%3A%2F%2Fdocs.google.com%2Fforms%2Fd%2Fe%2F1FAIpQLSeZ-R1GrWlAPkfaThGqxeTj0QTtrARw4rroxIIepf2kipn1nw%2FformResponse%3Fusp%3Dpp_url%26entry.1313582257%3D0105797314%26entry.1578404635%3DHadir</t>
  </si>
  <si>
    <t>0102731314</t>
  </si>
  <si>
    <t>Bima Adyatma Ilmiawan</t>
  </si>
  <si>
    <t>https://quickchart.io/qr?size=250&amp;text=https%3A%2F%2Fdocs.google.com%2Fforms%2Fd%2Fe%2F1FAIpQLSeZ-R1GrWlAPkfaThGqxeTj0QTtrARw4rroxIIepf2kipn1nw%2FformResponse%3Fusp%3Dpp_url%26entry.1313582257%3D0102731314%26entry.1578404635%3DHadir</t>
  </si>
  <si>
    <t>0092794157</t>
  </si>
  <si>
    <t>Cinta Cludia Putri</t>
  </si>
  <si>
    <t>https://quickchart.io/qr?size=250&amp;text=https%3A%2F%2Fdocs.google.com%2Fforms%2Fd%2Fe%2F1FAIpQLSeZ-R1GrWlAPkfaThGqxeTj0QTtrARw4rroxIIepf2kipn1nw%2FformResponse%3Fusp%3Dpp_url%26entry.1313582257%3D0092794157%26entry.1578404635%3DHadir</t>
  </si>
  <si>
    <t>0106384221</t>
  </si>
  <si>
    <t>Dafsyah Arifa Putra</t>
  </si>
  <si>
    <t>https://quickchart.io/qr?size=250&amp;text=https%3A%2F%2Fdocs.google.com%2Fforms%2Fd%2Fe%2F1FAIpQLSeZ-R1GrWlAPkfaThGqxeTj0QTtrARw4rroxIIepf2kipn1nw%2FformResponse%3Fusp%3Dpp_url%26entry.1313582257%3D0106384221%26entry.1578404635%3DHadir</t>
  </si>
  <si>
    <t>3104617391</t>
  </si>
  <si>
    <t>Denisa Azka Putri</t>
  </si>
  <si>
    <t>https://quickchart.io/qr?size=250&amp;text=https%3A%2F%2Fdocs.google.com%2Fforms%2Fd%2Fe%2F1FAIpQLSeZ-R1GrWlAPkfaThGqxeTj0QTtrARw4rroxIIepf2kipn1nw%2FformResponse%3Fusp%3Dpp_url%26entry.1313582257%3D3104617391%26entry.1578404635%3DHadir</t>
  </si>
  <si>
    <t>0098157268</t>
  </si>
  <si>
    <t>Devani Keyla Noris</t>
  </si>
  <si>
    <t>https://quickchart.io/qr?size=250&amp;text=https%3A%2F%2Fdocs.google.com%2Fforms%2Fd%2Fe%2F1FAIpQLSeZ-R1GrWlAPkfaThGqxeTj0QTtrARw4rroxIIepf2kipn1nw%2FformResponse%3Fusp%3Dpp_url%26entry.1313582257%3D0098157268%26entry.1578404635%3DHadir</t>
  </si>
  <si>
    <t>0099675945</t>
  </si>
  <si>
    <t>Dimas Putra Pribadi</t>
  </si>
  <si>
    <t>https://quickchart.io/qr?size=250&amp;text=https%3A%2F%2Fdocs.google.com%2Fforms%2Fd%2Fe%2F1FAIpQLSeZ-R1GrWlAPkfaThGqxeTj0QTtrARw4rroxIIepf2kipn1nw%2FformResponse%3Fusp%3Dpp_url%26entry.1313582257%3D0099675945%26entry.1578404635%3DHadir</t>
  </si>
  <si>
    <t>0104532267</t>
  </si>
  <si>
    <t>Elvio Dyahyu Yusanto</t>
  </si>
  <si>
    <t>https://quickchart.io/qr?size=250&amp;text=https%3A%2F%2Fdocs.google.com%2Fforms%2Fd%2Fe%2F1FAIpQLSeZ-R1GrWlAPkfaThGqxeTj0QTtrARw4rroxIIepf2kipn1nw%2FformResponse%3Fusp%3Dpp_url%26entry.1313582257%3D0104532267%26entry.1578404635%3DHadir</t>
  </si>
  <si>
    <t>0097593921</t>
  </si>
  <si>
    <t>Enisye Putri Zeliawati Limpong</t>
  </si>
  <si>
    <t>33 - GC2 X-2</t>
  </si>
  <si>
    <t>https://quickchart.io/qr?size=250&amp;text=https%3A%2F%2Fdocs.google.com%2Fforms%2Fd%2Fe%2F1FAIpQLSeZ-R1GrWlAPkfaThGqxeTj0QTtrARw4rroxIIepf2kipn1nw%2FformResponse%3Fusp%3Dpp_url%26entry.1313582257%3D0097593921%26entry.1578404635%3DHadir</t>
  </si>
  <si>
    <t>0106157075</t>
  </si>
  <si>
    <t>Fabian Ahza Hidayat</t>
  </si>
  <si>
    <t>https://quickchart.io/qr?size=250&amp;text=https%3A%2F%2Fdocs.google.com%2Fforms%2Fd%2Fe%2F1FAIpQLSeZ-R1GrWlAPkfaThGqxeTj0QTtrARw4rroxIIepf2kipn1nw%2FformResponse%3Fusp%3Dpp_url%26entry.1313582257%3D0106157075%26entry.1578404635%3DHadir</t>
  </si>
  <si>
    <t>0104141415</t>
  </si>
  <si>
    <t>Fadhilah Raisa Kamilati</t>
  </si>
  <si>
    <t>https://quickchart.io/qr?size=250&amp;text=https%3A%2F%2Fdocs.google.com%2Fforms%2Fd%2Fe%2F1FAIpQLSeZ-R1GrWlAPkfaThGqxeTj0QTtrARw4rroxIIepf2kipn1nw%2FformResponse%3Fusp%3Dpp_url%26entry.1313582257%3D0104141415%26entry.1578404635%3DHadir</t>
  </si>
  <si>
    <t>0105606050</t>
  </si>
  <si>
    <t>Jasmine Makayla Putri Arvani</t>
  </si>
  <si>
    <t>https://quickchart.io/qr?size=250&amp;text=https%3A%2F%2Fdocs.google.com%2Fforms%2Fd%2Fe%2F1FAIpQLSeZ-R1GrWlAPkfaThGqxeTj0QTtrARw4rroxIIepf2kipn1nw%2FformResponse%3Fusp%3Dpp_url%26entry.1313582257%3D0105606050%26entry.1578404635%3DHadir</t>
  </si>
  <si>
    <t>0094564578</t>
  </si>
  <si>
    <t>Khalid Ahmad Ghazali</t>
  </si>
  <si>
    <t>https://quickchart.io/qr?size=250&amp;text=https%3A%2F%2Fdocs.google.com%2Fforms%2Fd%2Fe%2F1FAIpQLSeZ-R1GrWlAPkfaThGqxeTj0QTtrARw4rroxIIepf2kipn1nw%2FformResponse%3Fusp%3Dpp_url%26entry.1313582257%3D0094564578%26entry.1578404635%3DHadir</t>
  </si>
  <si>
    <t>0103261879</t>
  </si>
  <si>
    <t>Khansa Aulia Damtsa Hylmi</t>
  </si>
  <si>
    <t>https://quickchart.io/qr?size=250&amp;text=https%3A%2F%2Fdocs.google.com%2Fforms%2Fd%2Fe%2F1FAIpQLSeZ-R1GrWlAPkfaThGqxeTj0QTtrARw4rroxIIepf2kipn1nw%2FformResponse%3Fusp%3Dpp_url%26entry.1313582257%3D0103261879%26entry.1578404635%3DHadir</t>
  </si>
  <si>
    <t>0092576905</t>
  </si>
  <si>
    <t>Mardiansyah Isman</t>
  </si>
  <si>
    <t>https://quickchart.io/qr?size=250&amp;text=https%3A%2F%2Fdocs.google.com%2Fforms%2Fd%2Fe%2F1FAIpQLSeZ-R1GrWlAPkfaThGqxeTj0QTtrARw4rroxIIepf2kipn1nw%2FformResponse%3Fusp%3Dpp_url%26entry.1313582257%3D0092576905%26entry.1578404635%3DHadir</t>
  </si>
  <si>
    <t>0099605205</t>
  </si>
  <si>
    <t>Mohammad Haikal</t>
  </si>
  <si>
    <t>https://quickchart.io/qr?size=250&amp;text=https%3A%2F%2Fdocs.google.com%2Fforms%2Fd%2Fe%2F1FAIpQLSeZ-R1GrWlAPkfaThGqxeTj0QTtrARw4rroxIIepf2kipn1nw%2FformResponse%3Fusp%3Dpp_url%26entry.1313582257%3D0099605205%26entry.1578404635%3DHadir</t>
  </si>
  <si>
    <t>0108384400</t>
  </si>
  <si>
    <t>Mohammad Irshad Faizanshah</t>
  </si>
  <si>
    <t>https://quickchart.io/qr?size=250&amp;text=https%3A%2F%2Fdocs.google.com%2Fforms%2Fd%2Fe%2F1FAIpQLSeZ-R1GrWlAPkfaThGqxeTj0QTtrARw4rroxIIepf2kipn1nw%2FformResponse%3Fusp%3Dpp_url%26entry.1313582257%3D0108384400%26entry.1578404635%3DHadir</t>
  </si>
  <si>
    <t>0098087445</t>
  </si>
  <si>
    <t>Muhamad Thoriq Al Rasyad</t>
  </si>
  <si>
    <t>https://quickchart.io/qr?size=250&amp;text=https%3A%2F%2Fdocs.google.com%2Fforms%2Fd%2Fe%2F1FAIpQLSeZ-R1GrWlAPkfaThGqxeTj0QTtrARw4rroxIIepf2kipn1nw%2FformResponse%3Fusp%3Dpp_url%26entry.1313582257%3D0098087445%26entry.1578404635%3DHadir</t>
  </si>
  <si>
    <t>0108518402</t>
  </si>
  <si>
    <t>Muhammad Akmaluddin</t>
  </si>
  <si>
    <t>https://quickchart.io/qr?size=250&amp;text=https%3A%2F%2Fdocs.google.com%2Fforms%2Fd%2Fe%2F1FAIpQLSeZ-R1GrWlAPkfaThGqxeTj0QTtrARw4rroxIIepf2kipn1nw%2FformResponse%3Fusp%3Dpp_url%26entry.1313582257%3D0108518402%26entry.1578404635%3DHadir</t>
  </si>
  <si>
    <t>0098345742</t>
  </si>
  <si>
    <t>Muhammad Ariza Rizkya Irvan</t>
  </si>
  <si>
    <t>https://quickchart.io/qr?size=250&amp;text=https%3A%2F%2Fdocs.google.com%2Fforms%2Fd%2Fe%2F1FAIpQLSeZ-R1GrWlAPkfaThGqxeTj0QTtrARw4rroxIIepf2kipn1nw%2FformResponse%3Fusp%3Dpp_url%26entry.1313582257%3D0098345742%26entry.1578404635%3DHadir</t>
  </si>
  <si>
    <t>0104535464</t>
  </si>
  <si>
    <t>Muhammad Nazam Rizal</t>
  </si>
  <si>
    <t>https://quickchart.io/qr?size=250&amp;text=https%3A%2F%2Fdocs.google.com%2Fforms%2Fd%2Fe%2F1FAIpQLSeZ-R1GrWlAPkfaThGqxeTj0QTtrARw4rroxIIepf2kipn1nw%2FformResponse%3Fusp%3Dpp_url%26entry.1313582257%3D0104535464%26entry.1578404635%3DHadir</t>
  </si>
  <si>
    <t>3107410887</t>
  </si>
  <si>
    <t>Muhammad Rasyad Mahdawi</t>
  </si>
  <si>
    <t>https://quickchart.io/qr?size=250&amp;text=https%3A%2F%2Fdocs.google.com%2Fforms%2Fd%2Fe%2F1FAIpQLSeZ-R1GrWlAPkfaThGqxeTj0QTtrARw4rroxIIepf2kipn1nw%2FformResponse%3Fusp%3Dpp_url%26entry.1313582257%3D3107410887%26entry.1578404635%3DHadir</t>
  </si>
  <si>
    <t>0093768427</t>
  </si>
  <si>
    <t>Neng Rahmi Novianti</t>
  </si>
  <si>
    <t>https://quickchart.io/qr?size=250&amp;text=https%3A%2F%2Fdocs.google.com%2Fforms%2Fd%2Fe%2F1FAIpQLSeZ-R1GrWlAPkfaThGqxeTj0QTtrARw4rroxIIepf2kipn1nw%2FformResponse%3Fusp%3Dpp_url%26entry.1313582257%3D0093768427%26entry.1578404635%3DHadir</t>
  </si>
  <si>
    <t>0103404970</t>
  </si>
  <si>
    <t>Niesha Anindya Firstsaly</t>
  </si>
  <si>
    <t>https://quickchart.io/qr?size=250&amp;text=https%3A%2F%2Fdocs.google.com%2Fforms%2Fd%2Fe%2F1FAIpQLSeZ-R1GrWlAPkfaThGqxeTj0QTtrARw4rroxIIepf2kipn1nw%2FformResponse%3Fusp%3Dpp_url%26entry.1313582257%3D0103404970%26entry.1578404635%3DHadir</t>
  </si>
  <si>
    <t>0106276801</t>
  </si>
  <si>
    <t>Priscillia Putri Viona</t>
  </si>
  <si>
    <t>https://quickchart.io/qr?size=250&amp;text=https%3A%2F%2Fdocs.google.com%2Fforms%2Fd%2Fe%2F1FAIpQLSeZ-R1GrWlAPkfaThGqxeTj0QTtrARw4rroxIIepf2kipn1nw%2FformResponse%3Fusp%3Dpp_url%26entry.1313582257%3D0106276801%26entry.1578404635%3DHadir</t>
  </si>
  <si>
    <t>0098833541</t>
  </si>
  <si>
    <t>Qaniah Mardiyah Salsabila</t>
  </si>
  <si>
    <t>https://quickchart.io/qr?size=250&amp;text=https%3A%2F%2Fdocs.google.com%2Fforms%2Fd%2Fe%2F1FAIpQLSeZ-R1GrWlAPkfaThGqxeTj0QTtrARw4rroxIIepf2kipn1nw%2FformResponse%3Fusp%3Dpp_url%26entry.1313582257%3D0098833541%26entry.1578404635%3DHadir</t>
  </si>
  <si>
    <t>0095492963</t>
  </si>
  <si>
    <t>Raisha Puri Lianti</t>
  </si>
  <si>
    <t>https://quickchart.io/qr?size=250&amp;text=https%3A%2F%2Fdocs.google.com%2Fforms%2Fd%2Fe%2F1FAIpQLSeZ-R1GrWlAPkfaThGqxeTj0QTtrARw4rroxIIepf2kipn1nw%2FformResponse%3Fusp%3Dpp_url%26entry.1313582257%3D0095492963%26entry.1578404635%3DHadir</t>
  </si>
  <si>
    <t>0091964566</t>
  </si>
  <si>
    <t>Rasya Arkananta Mulya</t>
  </si>
  <si>
    <t>https://quickchart.io/qr?size=250&amp;text=https%3A%2F%2Fdocs.google.com%2Fforms%2Fd%2Fe%2F1FAIpQLSeZ-R1GrWlAPkfaThGqxeTj0QTtrARw4rroxIIepf2kipn1nw%2FformResponse%3Fusp%3Dpp_url%26entry.1313582257%3D0091964566%26entry.1578404635%3DHadir</t>
  </si>
  <si>
    <t>0092731928</t>
  </si>
  <si>
    <t>Rusvi Putri Ingguan</t>
  </si>
  <si>
    <t>https://quickchart.io/qr?size=250&amp;text=https%3A%2F%2Fdocs.google.com%2Fforms%2Fd%2Fe%2F1FAIpQLSeZ-R1GrWlAPkfaThGqxeTj0QTtrARw4rroxIIepf2kipn1nw%2FformResponse%3Fusp%3Dpp_url%26entry.1313582257%3D0092731928%26entry.1578404635%3DHadir</t>
  </si>
  <si>
    <t>0102751293</t>
  </si>
  <si>
    <t>Titania Dwizita Shahla</t>
  </si>
  <si>
    <t>https://quickchart.io/qr?size=250&amp;text=https%3A%2F%2Fdocs.google.com%2Fforms%2Fd%2Fe%2F1FAIpQLSeZ-R1GrWlAPkfaThGqxeTj0QTtrARw4rroxIIepf2kipn1nw%2FformResponse%3Fusp%3Dpp_url%26entry.1313582257%3D0102751293%26entry.1578404635%3DHadir</t>
  </si>
  <si>
    <t>0104292767</t>
  </si>
  <si>
    <t>Zaidan Riziq Sakha</t>
  </si>
  <si>
    <t>https://quickchart.io/qr?size=250&amp;text=https%3A%2F%2Fdocs.google.com%2Fforms%2Fd%2Fe%2F1FAIpQLSeZ-R1GrWlAPkfaThGqxeTj0QTtrARw4rroxIIepf2kipn1nw%2FformResponse%3Fusp%3Dpp_url%26entry.1313582257%3D0104292767%26entry.1578404635%3DHadir</t>
  </si>
  <si>
    <t>0096087965</t>
  </si>
  <si>
    <t>Zalikhah Rasikhah Putri</t>
  </si>
  <si>
    <t>https://quickchart.io/qr?size=250&amp;text=https%3A%2F%2Fdocs.google.com%2Fforms%2Fd%2Fe%2F1FAIpQLSeZ-R1GrWlAPkfaThGqxeTj0QTtrARw4rroxIIepf2kipn1nw%2FformResponse%3Fusp%3Dpp_url%26entry.1313582257%3D0096087965%26entry.1578404635%3DHadir</t>
  </si>
  <si>
    <t>0094703204</t>
  </si>
  <si>
    <t>Abhinaya Zaidan Akbar</t>
  </si>
  <si>
    <t>X-3</t>
  </si>
  <si>
    <t>33 - BC X-3</t>
  </si>
  <si>
    <t>https://quickchart.io/qr?size=250&amp;text=https%3A%2F%2Fdocs.google.com%2Fforms%2Fd%2Fe%2F1FAIpQLSeZ-R1GrWlAPkfaThGqxeTj0QTtrARw4rroxIIepf2kipn1nw%2FformResponse%3Fusp%3Dpp_url%26entry.1313582257%3D0094703204%26entry.1578404635%3DHadir</t>
  </si>
  <si>
    <t>0106941990</t>
  </si>
  <si>
    <t>Andra Rakadityono</t>
  </si>
  <si>
    <t>https://quickchart.io/qr?size=250&amp;text=https%3A%2F%2Fdocs.google.com%2Fforms%2Fd%2Fe%2F1FAIpQLSeZ-R1GrWlAPkfaThGqxeTj0QTtrARw4rroxIIepf2kipn1nw%2FformResponse%3Fusp%3Dpp_url%26entry.1313582257%3D0106941990%26entry.1578404635%3DHadir</t>
  </si>
  <si>
    <t>0109964803</t>
  </si>
  <si>
    <t>Anjani Safira Salma</t>
  </si>
  <si>
    <t>33 - GC1 X-3</t>
  </si>
  <si>
    <t>https://quickchart.io/qr?size=250&amp;text=https%3A%2F%2Fdocs.google.com%2Fforms%2Fd%2Fe%2F1FAIpQLSeZ-R1GrWlAPkfaThGqxeTj0QTtrARw4rroxIIepf2kipn1nw%2FformResponse%3Fusp%3Dpp_url%26entry.1313582257%3D0109964803%26entry.1578404635%3DHadir</t>
  </si>
  <si>
    <t>0104084075</t>
  </si>
  <si>
    <t>Ario Bimo Wicaksono</t>
  </si>
  <si>
    <t>https://quickchart.io/qr?size=250&amp;text=https%3A%2F%2Fdocs.google.com%2Fforms%2Fd%2Fe%2F1FAIpQLSeZ-R1GrWlAPkfaThGqxeTj0QTtrARw4rroxIIepf2kipn1nw%2FformResponse%3Fusp%3Dpp_url%26entry.1313582257%3D0104084075%26entry.1578404635%3DHadir</t>
  </si>
  <si>
    <t>0098221239</t>
  </si>
  <si>
    <t>Arman Firmansyah</t>
  </si>
  <si>
    <t>https://quickchart.io/qr?size=250&amp;text=https%3A%2F%2Fdocs.google.com%2Fforms%2Fd%2Fe%2F1FAIpQLSeZ-R1GrWlAPkfaThGqxeTj0QTtrARw4rroxIIepf2kipn1nw%2FformResponse%3Fusp%3Dpp_url%26entry.1313582257%3D0098221239%26entry.1578404635%3DHadir</t>
  </si>
  <si>
    <t>0104751597</t>
  </si>
  <si>
    <t>Attaya Putri Faslahi</t>
  </si>
  <si>
    <t>https://quickchart.io/qr?size=250&amp;text=https%3A%2F%2Fdocs.google.com%2Fforms%2Fd%2Fe%2F1FAIpQLSeZ-R1GrWlAPkfaThGqxeTj0QTtrARw4rroxIIepf2kipn1nw%2FformResponse%3Fusp%3Dpp_url%26entry.1313582257%3D0104751597%26entry.1578404635%3DHadir</t>
  </si>
  <si>
    <t>0104406841</t>
  </si>
  <si>
    <t>Attiyah Naila Adza Alifah</t>
  </si>
  <si>
    <t>https://quickchart.io/qr?size=250&amp;text=https%3A%2F%2Fdocs.google.com%2Fforms%2Fd%2Fe%2F1FAIpQLSeZ-R1GrWlAPkfaThGqxeTj0QTtrARw4rroxIIepf2kipn1nw%2FformResponse%3Fusp%3Dpp_url%26entry.1313582257%3D0104406841%26entry.1578404635%3DHadir</t>
  </si>
  <si>
    <t>0102122161</t>
  </si>
  <si>
    <t>Aulia Azahra</t>
  </si>
  <si>
    <t>https://quickchart.io/qr?size=250&amp;text=https%3A%2F%2Fdocs.google.com%2Fforms%2Fd%2Fe%2F1FAIpQLSeZ-R1GrWlAPkfaThGqxeTj0QTtrARw4rroxIIepf2kipn1nw%2FformResponse%3Fusp%3Dpp_url%26entry.1313582257%3D0102122161%26entry.1578404635%3DHadir</t>
  </si>
  <si>
    <t>0108329102</t>
  </si>
  <si>
    <t>Bianca Aurelia Putri Asari</t>
  </si>
  <si>
    <t>https://quickchart.io/qr?size=250&amp;text=https%3A%2F%2Fdocs.google.com%2Fforms%2Fd%2Fe%2F1FAIpQLSeZ-R1GrWlAPkfaThGqxeTj0QTtrARw4rroxIIepf2kipn1nw%2FformResponse%3Fusp%3Dpp_url%26entry.1313582257%3D0108329102%26entry.1578404635%3DHadir</t>
  </si>
  <si>
    <t>0103047499</t>
  </si>
  <si>
    <t>Bumi Byakta Alfian</t>
  </si>
  <si>
    <t>https://quickchart.io/qr?size=250&amp;text=https%3A%2F%2Fdocs.google.com%2Fforms%2Fd%2Fe%2F1FAIpQLSeZ-R1GrWlAPkfaThGqxeTj0QTtrARw4rroxIIepf2kipn1nw%2FformResponse%3Fusp%3Dpp_url%26entry.1313582257%3D0103047499%26entry.1578404635%3DHadir</t>
  </si>
  <si>
    <t>0102794623</t>
  </si>
  <si>
    <t>Cheryl Faiha Al-Tair</t>
  </si>
  <si>
    <t>https://quickchart.io/qr?size=250&amp;text=https%3A%2F%2Fdocs.google.com%2Fforms%2Fd%2Fe%2F1FAIpQLSeZ-R1GrWlAPkfaThGqxeTj0QTtrARw4rroxIIepf2kipn1nw%2FformResponse%3Fusp%3Dpp_url%26entry.1313582257%3D0102794623%26entry.1578404635%3DHadir</t>
  </si>
  <si>
    <t>0096103714</t>
  </si>
  <si>
    <t>Cindy Ramadhani Sinulingga</t>
  </si>
  <si>
    <t>https://quickchart.io/qr?size=250&amp;text=https%3A%2F%2Fdocs.google.com%2Fforms%2Fd%2Fe%2F1FAIpQLSeZ-R1GrWlAPkfaThGqxeTj0QTtrARw4rroxIIepf2kipn1nw%2FformResponse%3Fusp%3Dpp_url%26entry.1313582257%3D0096103714%26entry.1578404635%3DHadir</t>
  </si>
  <si>
    <t>0103966590</t>
  </si>
  <si>
    <t>Danesh Arrayan Syahreen</t>
  </si>
  <si>
    <t>https://quickchart.io/qr?size=250&amp;text=https%3A%2F%2Fdocs.google.com%2Fforms%2Fd%2Fe%2F1FAIpQLSeZ-R1GrWlAPkfaThGqxeTj0QTtrARw4rroxIIepf2kipn1nw%2FformResponse%3Fusp%3Dpp_url%26entry.1313582257%3D0103966590%26entry.1578404635%3DHadir</t>
  </si>
  <si>
    <t>0097493642</t>
  </si>
  <si>
    <t>Dhyra Putra Pratama</t>
  </si>
  <si>
    <t>https://quickchart.io/qr?size=250&amp;text=https%3A%2F%2Fdocs.google.com%2Fforms%2Fd%2Fe%2F1FAIpQLSeZ-R1GrWlAPkfaThGqxeTj0QTtrARw4rroxIIepf2kipn1nw%2FformResponse%3Fusp%3Dpp_url%26entry.1313582257%3D0097493642%26entry.1578404635%3DHadir</t>
  </si>
  <si>
    <t>0096662016</t>
  </si>
  <si>
    <t>Fadya Malikha</t>
  </si>
  <si>
    <t>https://quickchart.io/qr?size=250&amp;text=https%3A%2F%2Fdocs.google.com%2Fforms%2Fd%2Fe%2F1FAIpQLSeZ-R1GrWlAPkfaThGqxeTj0QTtrARw4rroxIIepf2kipn1nw%2FformResponse%3Fusp%3Dpp_url%26entry.1313582257%3D0096662016%26entry.1578404635%3DHadir</t>
  </si>
  <si>
    <t>0096892367</t>
  </si>
  <si>
    <t>Fajri Pardomuan Pohan</t>
  </si>
  <si>
    <t>https://quickchart.io/qr?size=250&amp;text=https%3A%2F%2Fdocs.google.com%2Fforms%2Fd%2Fe%2F1FAIpQLSeZ-R1GrWlAPkfaThGqxeTj0QTtrARw4rroxIIepf2kipn1nw%2FformResponse%3Fusp%3Dpp_url%26entry.1313582257%3D0096892367%26entry.1578404635%3DHadir</t>
  </si>
  <si>
    <t>0094686377</t>
  </si>
  <si>
    <t>Farras Putra Zema</t>
  </si>
  <si>
    <t>https://quickchart.io/qr?size=250&amp;text=https%3A%2F%2Fdocs.google.com%2Fforms%2Fd%2Fe%2F1FAIpQLSeZ-R1GrWlAPkfaThGqxeTj0QTtrARw4rroxIIepf2kipn1nw%2FformResponse%3Fusp%3Dpp_url%26entry.1313582257%3D0094686377%26entry.1578404635%3DHadir</t>
  </si>
  <si>
    <t>0109768822</t>
  </si>
  <si>
    <t>Fathia Amia Rizqi</t>
  </si>
  <si>
    <t>https://quickchart.io/qr?size=250&amp;text=https%3A%2F%2Fdocs.google.com%2Fforms%2Fd%2Fe%2F1FAIpQLSeZ-R1GrWlAPkfaThGqxeTj0QTtrARw4rroxIIepf2kipn1nw%2FformResponse%3Fusp%3Dpp_url%26entry.1313582257%3D0109768822%26entry.1578404635%3DHadir</t>
  </si>
  <si>
    <t>0104767807</t>
  </si>
  <si>
    <t>Jaenal Ikhwan</t>
  </si>
  <si>
    <t>https://quickchart.io/qr?size=250&amp;text=https%3A%2F%2Fdocs.google.com%2Fforms%2Fd%2Fe%2F1FAIpQLSeZ-R1GrWlAPkfaThGqxeTj0QTtrARw4rroxIIepf2kipn1nw%2FformResponse%3Fusp%3Dpp_url%26entry.1313582257%3D0104767807%26entry.1578404635%3DHadir</t>
  </si>
  <si>
    <t>0104211640</t>
  </si>
  <si>
    <t>Kartika Larasati</t>
  </si>
  <si>
    <t>https://quickchart.io/qr?size=250&amp;text=https%3A%2F%2Fdocs.google.com%2Fforms%2Fd%2Fe%2F1FAIpQLSeZ-R1GrWlAPkfaThGqxeTj0QTtrARw4rroxIIepf2kipn1nw%2FformResponse%3Fusp%3Dpp_url%26entry.1313582257%3D0104211640%26entry.1578404635%3DHadir</t>
  </si>
  <si>
    <t>0107095977</t>
  </si>
  <si>
    <t>Khairani Asri Utami</t>
  </si>
  <si>
    <t>https://quickchart.io/qr?size=250&amp;text=https%3A%2F%2Fdocs.google.com%2Fforms%2Fd%2Fe%2F1FAIpQLSeZ-R1GrWlAPkfaThGqxeTj0QTtrARw4rroxIIepf2kipn1nw%2FformResponse%3Fusp%3Dpp_url%26entry.1313582257%3D0107095977%26entry.1578404635%3DHadir</t>
  </si>
  <si>
    <t>0092150853</t>
  </si>
  <si>
    <t>Khalifi Ramadhan Darmawan Anda</t>
  </si>
  <si>
    <t>https://quickchart.io/qr?size=250&amp;text=https%3A%2F%2Fdocs.google.com%2Fforms%2Fd%2Fe%2F1FAIpQLSeZ-R1GrWlAPkfaThGqxeTj0QTtrARw4rroxIIepf2kipn1nw%2FformResponse%3Fusp%3Dpp_url%26entry.1313582257%3D0092150853%26entry.1578404635%3DHadir</t>
  </si>
  <si>
    <t>0091769169</t>
  </si>
  <si>
    <t>Lathika Aulia Althafunnisa</t>
  </si>
  <si>
    <t>33 - GC2 X-3</t>
  </si>
  <si>
    <t>https://quickchart.io/qr?size=250&amp;text=https%3A%2F%2Fdocs.google.com%2Fforms%2Fd%2Fe%2F1FAIpQLSeZ-R1GrWlAPkfaThGqxeTj0QTtrARw4rroxIIepf2kipn1nw%2FformResponse%3Fusp%3Dpp_url%26entry.1313582257%3D0091769169%26entry.1578404635%3DHadir</t>
  </si>
  <si>
    <t>0103190164</t>
  </si>
  <si>
    <t>Mandariza Arya Pranata Wijaya</t>
  </si>
  <si>
    <t>https://quickchart.io/qr?size=250&amp;text=https%3A%2F%2Fdocs.google.com%2Fforms%2Fd%2Fe%2F1FAIpQLSeZ-R1GrWlAPkfaThGqxeTj0QTtrARw4rroxIIepf2kipn1nw%2FformResponse%3Fusp%3Dpp_url%26entry.1313582257%3D0103190164%26entry.1578404635%3DHadir</t>
  </si>
  <si>
    <t>3096846304</t>
  </si>
  <si>
    <t>Muhammad Zuhear Alfan</t>
  </si>
  <si>
    <t>https://quickchart.io/qr?size=250&amp;text=https%3A%2F%2Fdocs.google.com%2Fforms%2Fd%2Fe%2F1FAIpQLSeZ-R1GrWlAPkfaThGqxeTj0QTtrARw4rroxIIepf2kipn1nw%2FformResponse%3Fusp%3Dpp_url%26entry.1313582257%3D3096846304%26entry.1578404635%3DHadir</t>
  </si>
  <si>
    <t>0104716348</t>
  </si>
  <si>
    <t>Nadhifa Farah Falihah</t>
  </si>
  <si>
    <t>https://quickchart.io/qr?size=250&amp;text=https%3A%2F%2Fdocs.google.com%2Fforms%2Fd%2Fe%2F1FAIpQLSeZ-R1GrWlAPkfaThGqxeTj0QTtrARw4rroxIIepf2kipn1nw%2FformResponse%3Fusp%3Dpp_url%26entry.1313582257%3D0104716348%26entry.1578404635%3DHadir</t>
  </si>
  <si>
    <t>0102174126</t>
  </si>
  <si>
    <t>Nazwa Savira</t>
  </si>
  <si>
    <t>https://quickchart.io/qr?size=250&amp;text=https%3A%2F%2Fdocs.google.com%2Fforms%2Fd%2Fe%2F1FAIpQLSeZ-R1GrWlAPkfaThGqxeTj0QTtrARw4rroxIIepf2kipn1nw%2FformResponse%3Fusp%3Dpp_url%26entry.1313582257%3D0102174126%26entry.1578404635%3DHadir</t>
  </si>
  <si>
    <t>0097540821</t>
  </si>
  <si>
    <t>Nourman Raditia Putra</t>
  </si>
  <si>
    <t>https://quickchart.io/qr?size=250&amp;text=https%3A%2F%2Fdocs.google.com%2Fforms%2Fd%2Fe%2F1FAIpQLSeZ-R1GrWlAPkfaThGqxeTj0QTtrARw4rroxIIepf2kipn1nw%2FformResponse%3Fusp%3Dpp_url%26entry.1313582257%3D0097540821%26entry.1578404635%3DHadir</t>
  </si>
  <si>
    <t>0102114748</t>
  </si>
  <si>
    <t>Nursifa Maulidah</t>
  </si>
  <si>
    <t>https://quickchart.io/qr?size=250&amp;text=https%3A%2F%2Fdocs.google.com%2Fforms%2Fd%2Fe%2F1FAIpQLSeZ-R1GrWlAPkfaThGqxeTj0QTtrARw4rroxIIepf2kipn1nw%2FformResponse%3Fusp%3Dpp_url%26entry.1313582257%3D0102114748%26entry.1578404635%3DHadir</t>
  </si>
  <si>
    <t>0097603092</t>
  </si>
  <si>
    <t>Pramudhio Sawerigading Ihsan</t>
  </si>
  <si>
    <t>https://quickchart.io/qr?size=250&amp;text=https%3A%2F%2Fdocs.google.com%2Fforms%2Fd%2Fe%2F1FAIpQLSeZ-R1GrWlAPkfaThGqxeTj0QTtrARw4rroxIIepf2kipn1nw%2FformResponse%3Fusp%3Dpp_url%26entry.1313582257%3D0097603092%26entry.1578404635%3DHadir</t>
  </si>
  <si>
    <t>0106292164</t>
  </si>
  <si>
    <t>Putri Eisya</t>
  </si>
  <si>
    <t>https://quickchart.io/qr?size=250&amp;text=https%3A%2F%2Fdocs.google.com%2Fforms%2Fd%2Fe%2F1FAIpQLSeZ-R1GrWlAPkfaThGqxeTj0QTtrARw4rroxIIepf2kipn1nw%2FformResponse%3Fusp%3Dpp_url%26entry.1313582257%3D0106292164%26entry.1578404635%3DHadir</t>
  </si>
  <si>
    <t>3104085681</t>
  </si>
  <si>
    <t>Putri Zaqiyah</t>
  </si>
  <si>
    <t>https://quickchart.io/qr?size=250&amp;text=https%3A%2F%2Fdocs.google.com%2Fforms%2Fd%2Fe%2F1FAIpQLSeZ-R1GrWlAPkfaThGqxeTj0QTtrARw4rroxIIepf2kipn1nw%2FformResponse%3Fusp%3Dpp_url%26entry.1313582257%3D3104085681%26entry.1578404635%3DHadir</t>
  </si>
  <si>
    <t>0105055522</t>
  </si>
  <si>
    <t>Rahma Marissa</t>
  </si>
  <si>
    <t>https://quickchart.io/qr?size=250&amp;text=https%3A%2F%2Fdocs.google.com%2Fforms%2Fd%2Fe%2F1FAIpQLSeZ-R1GrWlAPkfaThGqxeTj0QTtrARw4rroxIIepf2kipn1nw%2FformResponse%3Fusp%3Dpp_url%26entry.1313582257%3D0105055522%26entry.1578404635%3DHadir</t>
  </si>
  <si>
    <t>0092263541</t>
  </si>
  <si>
    <t>Revan</t>
  </si>
  <si>
    <t>https://quickchart.io/qr?size=250&amp;text=https%3A%2F%2Fdocs.google.com%2Fforms%2Fd%2Fe%2F1FAIpQLSeZ-R1GrWlAPkfaThGqxeTj0QTtrARw4rroxIIepf2kipn1nw%2FformResponse%3Fusp%3Dpp_url%26entry.1313582257%3D0092263541%26entry.1578404635%3DHadir</t>
  </si>
  <si>
    <t>0091178036</t>
  </si>
  <si>
    <t>Safa Naya Adristi</t>
  </si>
  <si>
    <t>https://quickchart.io/qr?size=250&amp;text=https%3A%2F%2Fdocs.google.com%2Fforms%2Fd%2Fe%2F1FAIpQLSeZ-R1GrWlAPkfaThGqxeTj0QTtrARw4rroxIIepf2kipn1nw%2FformResponse%3Fusp%3Dpp_url%26entry.1313582257%3D0091178036%26entry.1578404635%3DHadir</t>
  </si>
  <si>
    <t>0106930882</t>
  </si>
  <si>
    <t>Shirane Ghaniyya Ramadhani</t>
  </si>
  <si>
    <t>https://quickchart.io/qr?size=250&amp;text=https%3A%2F%2Fdocs.google.com%2Fforms%2Fd%2Fe%2F1FAIpQLSeZ-R1GrWlAPkfaThGqxeTj0QTtrARw4rroxIIepf2kipn1nw%2FformResponse%3Fusp%3Dpp_url%26entry.1313582257%3D0106930882%26entry.1578404635%3DHadir</t>
  </si>
  <si>
    <t>0109721617</t>
  </si>
  <si>
    <t>Yasmin Kirani Affifah</t>
  </si>
  <si>
    <t>https://quickchart.io/qr?size=250&amp;text=https%3A%2F%2Fdocs.google.com%2Fforms%2Fd%2Fe%2F1FAIpQLSeZ-R1GrWlAPkfaThGqxeTj0QTtrARw4rroxIIepf2kipn1nw%2FformResponse%3Fusp%3Dpp_url%26entry.1313582257%3D0109721617%26entry.1578404635%3DHadir</t>
  </si>
  <si>
    <t>0101188685</t>
  </si>
  <si>
    <t>Yasmine Almira Queen</t>
  </si>
  <si>
    <t>https://quickchart.io/qr?size=250&amp;text=https%3A%2F%2Fdocs.google.com%2Fforms%2Fd%2Fe%2F1FAIpQLSeZ-R1GrWlAPkfaThGqxeTj0QTtrARw4rroxIIepf2kipn1nw%2FformResponse%3Fusp%3Dpp_url%26entry.1313582257%3D0101188685%26entry.1578404635%3DHadir</t>
  </si>
  <si>
    <t>0106443881</t>
  </si>
  <si>
    <t>Jihan Fauziyyah Latifah</t>
  </si>
  <si>
    <t>https://quickchart.io/qr?size=250&amp;text=https%3A%2F%2Fdocs.google.com%2Fforms%2Fd%2Fe%2F1FAIpQLSeZ-R1GrWlAPkfaThGqxeTj0QTtrARw4rroxIIepf2kipn1nw%2FformResponse%3Fusp%3Dpp_url%26entry.1313582257%3D0106443881%26entry.1578404635%3DHadir</t>
  </si>
  <si>
    <t>0106136353</t>
  </si>
  <si>
    <t>Ahmad Azmi Mutaarrofi</t>
  </si>
  <si>
    <t>X-4</t>
  </si>
  <si>
    <t>33 - BC X-4</t>
  </si>
  <si>
    <t>https://quickchart.io/qr?size=250&amp;text=https%3A%2F%2Fdocs.google.com%2Fforms%2Fd%2Fe%2F1FAIpQLSeZ-R1GrWlAPkfaThGqxeTj0QTtrARw4rroxIIepf2kipn1nw%2FformResponse%3Fusp%3Dpp_url%26entry.1313582257%3D0106136353%26entry.1578404635%3DHadir</t>
  </si>
  <si>
    <t>0095491750</t>
  </si>
  <si>
    <t>Ahmad Farely Azriel</t>
  </si>
  <si>
    <t>https://quickchart.io/qr?size=250&amp;text=https%3A%2F%2Fdocs.google.com%2Fforms%2Fd%2Fe%2F1FAIpQLSeZ-R1GrWlAPkfaThGqxeTj0QTtrARw4rroxIIepf2kipn1nw%2FformResponse%3Fusp%3Dpp_url%26entry.1313582257%3D0095491750%26entry.1578404635%3DHadir</t>
  </si>
  <si>
    <t>0087811342</t>
  </si>
  <si>
    <t>Alfian Chaniago</t>
  </si>
  <si>
    <t>https://quickchart.io/qr?size=250&amp;text=https%3A%2F%2Fdocs.google.com%2Fforms%2Fd%2Fe%2F1FAIpQLSeZ-R1GrWlAPkfaThGqxeTj0QTtrARw4rroxIIepf2kipn1nw%2FformResponse%3Fusp%3Dpp_url%26entry.1313582257%3D0087811342%26entry.1578404635%3DHadir</t>
  </si>
  <si>
    <t>0094160993</t>
  </si>
  <si>
    <t>Alleandra Kaif Finandita</t>
  </si>
  <si>
    <t>33 - GC1 X-4</t>
  </si>
  <si>
    <t>https://quickchart.io/qr?size=250&amp;text=https%3A%2F%2Fdocs.google.com%2Fforms%2Fd%2Fe%2F1FAIpQLSeZ-R1GrWlAPkfaThGqxeTj0QTtrARw4rroxIIepf2kipn1nw%2FformResponse%3Fusp%3Dpp_url%26entry.1313582257%3D0094160993%26entry.1578404635%3DHadir</t>
  </si>
  <si>
    <t>0103659705</t>
  </si>
  <si>
    <t>Altaira Aqila Myesha Ario</t>
  </si>
  <si>
    <t>https://quickchart.io/qr?size=250&amp;text=https%3A%2F%2Fdocs.google.com%2Fforms%2Fd%2Fe%2F1FAIpQLSeZ-R1GrWlAPkfaThGqxeTj0QTtrARw4rroxIIepf2kipn1nw%2FformResponse%3Fusp%3Dpp_url%26entry.1313582257%3D0103659705%26entry.1578404635%3DHadir</t>
  </si>
  <si>
    <t>0107838813</t>
  </si>
  <si>
    <t>Amira Najwa Fauziyah</t>
  </si>
  <si>
    <t>https://quickchart.io/qr?size=250&amp;text=https%3A%2F%2Fdocs.google.com%2Fforms%2Fd%2Fe%2F1FAIpQLSeZ-R1GrWlAPkfaThGqxeTj0QTtrARw4rroxIIepf2kipn1nw%2FformResponse%3Fusp%3Dpp_url%26entry.1313582257%3D0107838813%26entry.1578404635%3DHadir</t>
  </si>
  <si>
    <t>0108144208</t>
  </si>
  <si>
    <t>Aphrodyta Aurelia Avrilla</t>
  </si>
  <si>
    <t>https://quickchart.io/qr?size=250&amp;text=https%3A%2F%2Fdocs.google.com%2Fforms%2Fd%2Fe%2F1FAIpQLSeZ-R1GrWlAPkfaThGqxeTj0QTtrARw4rroxIIepf2kipn1nw%2FformResponse%3Fusp%3Dpp_url%26entry.1313582257%3D0108144208%26entry.1578404635%3DHadir</t>
  </si>
  <si>
    <t>0096853688</t>
  </si>
  <si>
    <t>Aqueena Putri Salimah</t>
  </si>
  <si>
    <t>https://quickchart.io/qr?size=250&amp;text=https%3A%2F%2Fdocs.google.com%2Fforms%2Fd%2Fe%2F1FAIpQLSeZ-R1GrWlAPkfaThGqxeTj0QTtrARw4rroxIIepf2kipn1nw%2FformResponse%3Fusp%3Dpp_url%26entry.1313582257%3D0096853688%26entry.1578404635%3DHadir</t>
  </si>
  <si>
    <t>0092637367</t>
  </si>
  <si>
    <t>Chairani Kanza Wulandaputri</t>
  </si>
  <si>
    <t>https://quickchart.io/qr?size=250&amp;text=https%3A%2F%2Fdocs.google.com%2Fforms%2Fd%2Fe%2F1FAIpQLSeZ-R1GrWlAPkfaThGqxeTj0QTtrARw4rroxIIepf2kipn1nw%2FformResponse%3Fusp%3Dpp_url%26entry.1313582257%3D0092637367%26entry.1578404635%3DHadir</t>
  </si>
  <si>
    <t>0095522157</t>
  </si>
  <si>
    <t>Dhefa Raditya Putra</t>
  </si>
  <si>
    <t>https://quickchart.io/qr?size=250&amp;text=https%3A%2F%2Fdocs.google.com%2Fforms%2Fd%2Fe%2F1FAIpQLSeZ-R1GrWlAPkfaThGqxeTj0QTtrARw4rroxIIepf2kipn1nw%2FformResponse%3Fusp%3Dpp_url%26entry.1313582257%3D0095522157%26entry.1578404635%3DHadir</t>
  </si>
  <si>
    <t>0098223677</t>
  </si>
  <si>
    <t>Diaz Syeza Zivanna</t>
  </si>
  <si>
    <t>https://quickchart.io/qr?size=250&amp;text=https%3A%2F%2Fdocs.google.com%2Fforms%2Fd%2Fe%2F1FAIpQLSeZ-R1GrWlAPkfaThGqxeTj0QTtrARw4rroxIIepf2kipn1nw%2FformResponse%3Fusp%3Dpp_url%26entry.1313582257%3D0098223677%26entry.1578404635%3DHadir</t>
  </si>
  <si>
    <t>0106545857</t>
  </si>
  <si>
    <t>Dwi Nailah Azhara</t>
  </si>
  <si>
    <t>https://quickchart.io/qr?size=250&amp;text=https%3A%2F%2Fdocs.google.com%2Fforms%2Fd%2Fe%2F1FAIpQLSeZ-R1GrWlAPkfaThGqxeTj0QTtrARw4rroxIIepf2kipn1nw%2FformResponse%3Fusp%3Dpp_url%26entry.1313582257%3D0106545857%26entry.1578404635%3DHadir</t>
  </si>
  <si>
    <t>0108696681</t>
  </si>
  <si>
    <t>Erlangga Ardiyanto</t>
  </si>
  <si>
    <t>https://quickchart.io/qr?size=250&amp;text=https%3A%2F%2Fdocs.google.com%2Fforms%2Fd%2Fe%2F1FAIpQLSeZ-R1GrWlAPkfaThGqxeTj0QTtrARw4rroxIIepf2kipn1nw%2FformResponse%3Fusp%3Dpp_url%26entry.1313582257%3D0108696681%26entry.1578404635%3DHadir</t>
  </si>
  <si>
    <t>0102866245</t>
  </si>
  <si>
    <t>Fahmi Adilla Pasha</t>
  </si>
  <si>
    <t>https://quickchart.io/qr?size=250&amp;text=https%3A%2F%2Fdocs.google.com%2Fforms%2Fd%2Fe%2F1FAIpQLSeZ-R1GrWlAPkfaThGqxeTj0QTtrARw4rroxIIepf2kipn1nw%2FformResponse%3Fusp%3Dpp_url%26entry.1313582257%3D0102866245%26entry.1578404635%3DHadir</t>
  </si>
  <si>
    <t>0107425878</t>
  </si>
  <si>
    <t>Fakhi Zulfia Bilqis Nasyifa</t>
  </si>
  <si>
    <t>https://quickchart.io/qr?size=250&amp;text=https%3A%2F%2Fdocs.google.com%2Fforms%2Fd%2Fe%2F1FAIpQLSeZ-R1GrWlAPkfaThGqxeTj0QTtrARw4rroxIIepf2kipn1nw%2FformResponse%3Fusp%3Dpp_url%26entry.1313582257%3D0107425878%26entry.1578404635%3DHadir</t>
  </si>
  <si>
    <t>0104987304</t>
  </si>
  <si>
    <t>Friska Feby Aulia</t>
  </si>
  <si>
    <t>https://quickchart.io/qr?size=250&amp;text=https%3A%2F%2Fdocs.google.com%2Fforms%2Fd%2Fe%2F1FAIpQLSeZ-R1GrWlAPkfaThGqxeTj0QTtrARw4rroxIIepf2kipn1nw%2FformResponse%3Fusp%3Dpp_url%26entry.1313582257%3D0104987304%26entry.1578404635%3DHadir</t>
  </si>
  <si>
    <t>0104595564</t>
  </si>
  <si>
    <t>Inaya Janeeta</t>
  </si>
  <si>
    <t>https://quickchart.io/qr?size=250&amp;text=https%3A%2F%2Fdocs.google.com%2Fforms%2Fd%2Fe%2F1FAIpQLSeZ-R1GrWlAPkfaThGqxeTj0QTtrARw4rroxIIepf2kipn1nw%2FformResponse%3Fusp%3Dpp_url%26entry.1313582257%3D0104595564%26entry.1578404635%3DHadir</t>
  </si>
  <si>
    <t>0107286739</t>
  </si>
  <si>
    <t>Karnizara Ringga Rabbani</t>
  </si>
  <si>
    <t>https://quickchart.io/qr?size=250&amp;text=https%3A%2F%2Fdocs.google.com%2Fforms%2Fd%2Fe%2F1FAIpQLSeZ-R1GrWlAPkfaThGqxeTj0QTtrARw4rroxIIepf2kipn1nw%2FformResponse%3Fusp%3Dpp_url%26entry.1313582257%3D0107286739%26entry.1578404635%3DHadir</t>
  </si>
  <si>
    <t>0109267722</t>
  </si>
  <si>
    <t>Karunia Dwi Rahmawati</t>
  </si>
  <si>
    <t>https://quickchart.io/qr?size=250&amp;text=https%3A%2F%2Fdocs.google.com%2Fforms%2Fd%2Fe%2F1FAIpQLSeZ-R1GrWlAPkfaThGqxeTj0QTtrARw4rroxIIepf2kipn1nw%2FformResponse%3Fusp%3Dpp_url%26entry.1313582257%3D0109267722%26entry.1578404635%3DHadir</t>
  </si>
  <si>
    <t>0093634061</t>
  </si>
  <si>
    <t>Keisa Wanda Setiawan</t>
  </si>
  <si>
    <t>https://quickchart.io/qr?size=250&amp;text=https%3A%2F%2Fdocs.google.com%2Fforms%2Fd%2Fe%2F1FAIpQLSeZ-R1GrWlAPkfaThGqxeTj0QTtrARw4rroxIIepf2kipn1nw%2FformResponse%3Fusp%3Dpp_url%26entry.1313582257%3D0093634061%26entry.1578404635%3DHadir</t>
  </si>
  <si>
    <t>3091547533</t>
  </si>
  <si>
    <t>Keyno Nazmi Afham</t>
  </si>
  <si>
    <t>https://quickchart.io/qr?size=250&amp;text=https%3A%2F%2Fdocs.google.com%2Fforms%2Fd%2Fe%2F1FAIpQLSeZ-R1GrWlAPkfaThGqxeTj0QTtrARw4rroxIIepf2kipn1nw%2FformResponse%3Fusp%3Dpp_url%26entry.1313582257%3D3091547533%26entry.1578404635%3DHadir</t>
  </si>
  <si>
    <t>0097951249</t>
  </si>
  <si>
    <t>Khansa Vanya Laudya Putri</t>
  </si>
  <si>
    <t>33 - GC2 X-4</t>
  </si>
  <si>
    <t>https://quickchart.io/qr?size=250&amp;text=https%3A%2F%2Fdocs.google.com%2Fforms%2Fd%2Fe%2F1FAIpQLSeZ-R1GrWlAPkfaThGqxeTj0QTtrARw4rroxIIepf2kipn1nw%2FformResponse%3Fusp%3Dpp_url%26entry.1313582257%3D0097951249%26entry.1578404635%3DHadir</t>
  </si>
  <si>
    <t>0102015407</t>
  </si>
  <si>
    <t>Lutfi Dwi Melati</t>
  </si>
  <si>
    <t>https://quickchart.io/qr?size=250&amp;text=https%3A%2F%2Fdocs.google.com%2Fforms%2Fd%2Fe%2F1FAIpQLSeZ-R1GrWlAPkfaThGqxeTj0QTtrARw4rroxIIepf2kipn1nw%2FformResponse%3Fusp%3Dpp_url%26entry.1313582257%3D0102015407%26entry.1578404635%3DHadir</t>
  </si>
  <si>
    <t>0106908655</t>
  </si>
  <si>
    <t>Masayu Ganisha Pembayun Putri</t>
  </si>
  <si>
    <t>https://quickchart.io/qr?size=250&amp;text=https%3A%2F%2Fdocs.google.com%2Fforms%2Fd%2Fe%2F1FAIpQLSeZ-R1GrWlAPkfaThGqxeTj0QTtrARw4rroxIIepf2kipn1nw%2FformResponse%3Fusp%3Dpp_url%26entry.1313582257%3D0106908655%26entry.1578404635%3DHadir</t>
  </si>
  <si>
    <t>0092608342</t>
  </si>
  <si>
    <t>Mazaya Aqila Betha Diladena</t>
  </si>
  <si>
    <t>https://quickchart.io/qr?size=250&amp;text=https%3A%2F%2Fdocs.google.com%2Fforms%2Fd%2Fe%2F1FAIpQLSeZ-R1GrWlAPkfaThGqxeTj0QTtrARw4rroxIIepf2kipn1nw%2FformResponse%3Fusp%3Dpp_url%26entry.1313582257%3D0092608342%26entry.1578404635%3DHadir</t>
  </si>
  <si>
    <t>0098979111</t>
  </si>
  <si>
    <t>Muhamad Rizqi Darmawan</t>
  </si>
  <si>
    <t>https://quickchart.io/qr?size=250&amp;text=https%3A%2F%2Fdocs.google.com%2Fforms%2Fd%2Fe%2F1FAIpQLSeZ-R1GrWlAPkfaThGqxeTj0QTtrARw4rroxIIepf2kipn1nw%2FformResponse%3Fusp%3Dpp_url%26entry.1313582257%3D0098979111%26entry.1578404635%3DHadir</t>
  </si>
  <si>
    <t>0105497173</t>
  </si>
  <si>
    <t>Muhammad Ihsan Putra Pamungkas</t>
  </si>
  <si>
    <t>https://quickchart.io/qr?size=250&amp;text=https%3A%2F%2Fdocs.google.com%2Fforms%2Fd%2Fe%2F1FAIpQLSeZ-R1GrWlAPkfaThGqxeTj0QTtrARw4rroxIIepf2kipn1nw%2FformResponse%3Fusp%3Dpp_url%26entry.1313582257%3D0105497173%26entry.1578404635%3DHadir</t>
  </si>
  <si>
    <t>0092028941</t>
  </si>
  <si>
    <t>Muhammad Rafi Kurniawan</t>
  </si>
  <si>
    <t>https://quickchart.io/qr?size=250&amp;text=https%3A%2F%2Fdocs.google.com%2Fforms%2Fd%2Fe%2F1FAIpQLSeZ-R1GrWlAPkfaThGqxeTj0QTtrARw4rroxIIepf2kipn1nw%2FformResponse%3Fusp%3Dpp_url%26entry.1313582257%3D0092028941%26entry.1578404635%3DHadir</t>
  </si>
  <si>
    <t>0097410697</t>
  </si>
  <si>
    <t>Muhammad Sulthon Najib</t>
  </si>
  <si>
    <t>https://quickchart.io/qr?size=250&amp;text=https%3A%2F%2Fdocs.google.com%2Fforms%2Fd%2Fe%2F1FAIpQLSeZ-R1GrWlAPkfaThGqxeTj0QTtrARw4rroxIIepf2kipn1nw%2FformResponse%3Fusp%3Dpp_url%26entry.1313582257%3D0097410697%26entry.1578404635%3DHadir</t>
  </si>
  <si>
    <t>3105173369</t>
  </si>
  <si>
    <t>Muhammad Zaidan Aqil</t>
  </si>
  <si>
    <t>https://quickchart.io/qr?size=250&amp;text=https%3A%2F%2Fdocs.google.com%2Fforms%2Fd%2Fe%2F1FAIpQLSeZ-R1GrWlAPkfaThGqxeTj0QTtrARw4rroxIIepf2kipn1nw%2FformResponse%3Fusp%3Dpp_url%26entry.1313582257%3D3105173369%26entry.1578404635%3DHadir</t>
  </si>
  <si>
    <t>3107700954</t>
  </si>
  <si>
    <t>Mutiara Geisya Nuraini</t>
  </si>
  <si>
    <t>https://quickchart.io/qr?size=250&amp;text=https%3A%2F%2Fdocs.google.com%2Fforms%2Fd%2Fe%2F1FAIpQLSeZ-R1GrWlAPkfaThGqxeTj0QTtrARw4rroxIIepf2kipn1nw%2FformResponse%3Fusp%3Dpp_url%26entry.1313582257%3D3107700954%26entry.1578404635%3DHadir</t>
  </si>
  <si>
    <t>0109782055</t>
  </si>
  <si>
    <t>Puffin Rohis Jusup Manurung</t>
  </si>
  <si>
    <t>https://quickchart.io/qr?size=250&amp;text=https%3A%2F%2Fdocs.google.com%2Fforms%2Fd%2Fe%2F1FAIpQLSeZ-R1GrWlAPkfaThGqxeTj0QTtrARw4rroxIIepf2kipn1nw%2FformResponse%3Fusp%3Dpp_url%26entry.1313582257%3D0109782055%26entry.1578404635%3DHadir</t>
  </si>
  <si>
    <t>0108699884</t>
  </si>
  <si>
    <t>Quizal Razky Ahmad</t>
  </si>
  <si>
    <t>https://quickchart.io/qr?size=250&amp;text=https%3A%2F%2Fdocs.google.com%2Fforms%2Fd%2Fe%2F1FAIpQLSeZ-R1GrWlAPkfaThGqxeTj0QTtrARw4rroxIIepf2kipn1nw%2FformResponse%3Fusp%3Dpp_url%26entry.1313582257%3D0108699884%26entry.1578404635%3DHadir</t>
  </si>
  <si>
    <t>0108390462</t>
  </si>
  <si>
    <t>Randy Adiya Pratama Kouw</t>
  </si>
  <si>
    <t>https://quickchart.io/qr?size=250&amp;text=https%3A%2F%2Fdocs.google.com%2Fforms%2Fd%2Fe%2F1FAIpQLSeZ-R1GrWlAPkfaThGqxeTj0QTtrARw4rroxIIepf2kipn1nw%2FformResponse%3Fusp%3Dpp_url%26entry.1313582257%3D0108390462%26entry.1578404635%3DHadir</t>
  </si>
  <si>
    <t>0107960365</t>
  </si>
  <si>
    <t>Ravino Abbas Subaga</t>
  </si>
  <si>
    <t>https://quickchart.io/qr?size=250&amp;text=https%3A%2F%2Fdocs.google.com%2Fforms%2Fd%2Fe%2F1FAIpQLSeZ-R1GrWlAPkfaThGqxeTj0QTtrARw4rroxIIepf2kipn1nw%2FformResponse%3Fusp%3Dpp_url%26entry.1313582257%3D0107960365%26entry.1578404635%3DHadir</t>
  </si>
  <si>
    <t>0104838010</t>
  </si>
  <si>
    <t>Rei Dillan Hartedi</t>
  </si>
  <si>
    <t>https://quickchart.io/qr?size=250&amp;text=https%3A%2F%2Fdocs.google.com%2Fforms%2Fd%2Fe%2F1FAIpQLSeZ-R1GrWlAPkfaThGqxeTj0QTtrARw4rroxIIepf2kipn1nw%2FformResponse%3Fusp%3Dpp_url%26entry.1313582257%3D0104838010%26entry.1578404635%3DHadir</t>
  </si>
  <si>
    <t>0108451246</t>
  </si>
  <si>
    <t>Reni Apriliani</t>
  </si>
  <si>
    <t>https://quickchart.io/qr?size=250&amp;text=https%3A%2F%2Fdocs.google.com%2Fforms%2Fd%2Fe%2F1FAIpQLSeZ-R1GrWlAPkfaThGqxeTj0QTtrARw4rroxIIepf2kipn1nw%2FformResponse%3Fusp%3Dpp_url%26entry.1313582257%3D0108451246%26entry.1578404635%3DHadir</t>
  </si>
  <si>
    <t>3104089400</t>
  </si>
  <si>
    <t>Rizky Putra Kunta Ajie</t>
  </si>
  <si>
    <t>https://quickchart.io/qr?size=250&amp;text=https%3A%2F%2Fdocs.google.com%2Fforms%2Fd%2Fe%2F1FAIpQLSeZ-R1GrWlAPkfaThGqxeTj0QTtrARw4rroxIIepf2kipn1nw%2FformResponse%3Fusp%3Dpp_url%26entry.1313582257%3D3104089400%26entry.1578404635%3DHadir</t>
  </si>
  <si>
    <t>0107731505</t>
  </si>
  <si>
    <t>Shabira Andiani</t>
  </si>
  <si>
    <t>https://quickchart.io/qr?size=250&amp;text=https%3A%2F%2Fdocs.google.com%2Fforms%2Fd%2Fe%2F1FAIpQLSeZ-R1GrWlAPkfaThGqxeTj0QTtrARw4rroxIIepf2kipn1nw%2FformResponse%3Fusp%3Dpp_url%26entry.1313582257%3D0107731505%26entry.1578404635%3DHadir</t>
  </si>
  <si>
    <t>0105775007</t>
  </si>
  <si>
    <t>Shafa Talitha Budiarto</t>
  </si>
  <si>
    <t>https://quickchart.io/qr?size=250&amp;text=https%3A%2F%2Fdocs.google.com%2Fforms%2Fd%2Fe%2F1FAIpQLSeZ-R1GrWlAPkfaThGqxeTj0QTtrARw4rroxIIepf2kipn1nw%2FformResponse%3Fusp%3Dpp_url%26entry.1313582257%3D0105775007%26entry.1578404635%3DHadir</t>
  </si>
  <si>
    <t>0106588309</t>
  </si>
  <si>
    <t>Shahira Hafiza Putri</t>
  </si>
  <si>
    <t>https://quickchart.io/qr?size=250&amp;text=https%3A%2F%2Fdocs.google.com%2Fforms%2Fd%2Fe%2F1FAIpQLSeZ-R1GrWlAPkfaThGqxeTj0QTtrARw4rroxIIepf2kipn1nw%2FformResponse%3Fusp%3Dpp_url%26entry.1313582257%3D0106588309%26entry.1578404635%3DHadir</t>
  </si>
  <si>
    <t>0106219079</t>
  </si>
  <si>
    <t>Sheika Rizki Ramadanti Aurelia</t>
  </si>
  <si>
    <t>https://quickchart.io/qr?size=250&amp;text=https%3A%2F%2Fdocs.google.com%2Fforms%2Fd%2Fe%2F1FAIpQLSeZ-R1GrWlAPkfaThGqxeTj0QTtrARw4rroxIIepf2kipn1nw%2FformResponse%3Fusp%3Dpp_url%26entry.1313582257%3D0106219079%26entry.1578404635%3DHadir</t>
  </si>
  <si>
    <t>0094714082</t>
  </si>
  <si>
    <t>Syahwa Fatmah</t>
  </si>
  <si>
    <t>https://quickchart.io/qr?size=250&amp;text=https%3A%2F%2Fdocs.google.com%2Fforms%2Fd%2Fe%2F1FAIpQLSeZ-R1GrWlAPkfaThGqxeTj0QTtrARw4rroxIIepf2kipn1nw%2FformResponse%3Fusp%3Dpp_url%26entry.1313582257%3D0094714082%26entry.1578404635%3DHadir</t>
  </si>
  <si>
    <t>0102630183</t>
  </si>
  <si>
    <t>Syakira Alma Annisa</t>
  </si>
  <si>
    <t>https://quickchart.io/qr?size=250&amp;text=https%3A%2F%2Fdocs.google.com%2Fforms%2Fd%2Fe%2F1FAIpQLSeZ-R1GrWlAPkfaThGqxeTj0QTtrARw4rroxIIepf2kipn1nw%2FformResponse%3Fusp%3Dpp_url%26entry.1313582257%3D0102630183%26entry.1578404635%3DHadir</t>
  </si>
  <si>
    <t>0106490661</t>
  </si>
  <si>
    <t>Tiara Winni Melia</t>
  </si>
  <si>
    <t>https://quickchart.io/qr?size=250&amp;text=https%3A%2F%2Fdocs.google.com%2Fforms%2Fd%2Fe%2F1FAIpQLSeZ-R1GrWlAPkfaThGqxeTj0QTtrARw4rroxIIepf2kipn1nw%2FformResponse%3Fusp%3Dpp_url%26entry.1313582257%3D0106490661%26entry.1578404635%3DHadir</t>
  </si>
  <si>
    <t>0092194625</t>
  </si>
  <si>
    <t>Achmad Ardiansyah</t>
  </si>
  <si>
    <t>X-5</t>
  </si>
  <si>
    <t>https://quickchart.io/qr?size=250&amp;text=https%3A%2F%2Fdocs.google.com%2Fforms%2Fd%2Fe%2F1FAIpQLSeZ-R1GrWlAPkfaThGqxeTj0QTtrARw4rroxIIepf2kipn1nw%2FformResponse%3Fusp%3Dpp_url%26entry.1313582257%3D0092194625%26entry.1578404635%3DHadir</t>
  </si>
  <si>
    <t>3108509756</t>
  </si>
  <si>
    <t>Adrian</t>
  </si>
  <si>
    <t>33 - BC X-5</t>
  </si>
  <si>
    <t>https://quickchart.io/qr?size=250&amp;text=https%3A%2F%2Fdocs.google.com%2Fforms%2Fd%2Fe%2F1FAIpQLSeZ-R1GrWlAPkfaThGqxeTj0QTtrARw4rroxIIepf2kipn1nw%2FformResponse%3Fusp%3Dpp_url%26entry.1313582257%3D3108509756%26entry.1578404635%3DHadir</t>
  </si>
  <si>
    <t>0099540724</t>
  </si>
  <si>
    <t>Aira Alessia Adha</t>
  </si>
  <si>
    <t>https://quickchart.io/qr?size=250&amp;text=https%3A%2F%2Fdocs.google.com%2Fforms%2Fd%2Fe%2F1FAIpQLSeZ-R1GrWlAPkfaThGqxeTj0QTtrARw4rroxIIepf2kipn1nw%2FformResponse%3Fusp%3Dpp_url%26entry.1313582257%3D0099540724%26entry.1578404635%3DHadir</t>
  </si>
  <si>
    <t>0107934430</t>
  </si>
  <si>
    <t>Aira Febria Sari</t>
  </si>
  <si>
    <t>33 - GC1 X-5</t>
  </si>
  <si>
    <t>https://quickchart.io/qr?size=250&amp;text=https%3A%2F%2Fdocs.google.com%2Fforms%2Fd%2Fe%2F1FAIpQLSeZ-R1GrWlAPkfaThGqxeTj0QTtrARw4rroxIIepf2kipn1nw%2FformResponse%3Fusp%3Dpp_url%26entry.1313582257%3D0107934430%26entry.1578404635%3DHadir</t>
  </si>
  <si>
    <t>0099668827</t>
  </si>
  <si>
    <t>Al Jadid Syafruddin Lubis</t>
  </si>
  <si>
    <t>https://quickchart.io/qr?size=250&amp;text=https%3A%2F%2Fdocs.google.com%2Fforms%2Fd%2Fe%2F1FAIpQLSeZ-R1GrWlAPkfaThGqxeTj0QTtrARw4rroxIIepf2kipn1nw%2FformResponse%3Fusp%3Dpp_url%26entry.1313582257%3D0099668827%26entry.1578404635%3DHadir</t>
  </si>
  <si>
    <t>0102993208</t>
  </si>
  <si>
    <t>Alisya Belva Dhio</t>
  </si>
  <si>
    <t>https://quickchart.io/qr?size=250&amp;text=https%3A%2F%2Fdocs.google.com%2Fforms%2Fd%2Fe%2F1FAIpQLSeZ-R1GrWlAPkfaThGqxeTj0QTtrARw4rroxIIepf2kipn1nw%2FformResponse%3Fusp%3Dpp_url%26entry.1313582257%3D0102993208%26entry.1578404635%3DHadir</t>
  </si>
  <si>
    <t>0104459637</t>
  </si>
  <si>
    <t>Amira Agni Kayla Raisya</t>
  </si>
  <si>
    <t>https://quickchart.io/qr?size=250&amp;text=https%3A%2F%2Fdocs.google.com%2Fforms%2Fd%2Fe%2F1FAIpQLSeZ-R1GrWlAPkfaThGqxeTj0QTtrARw4rroxIIepf2kipn1nw%2FformResponse%3Fusp%3Dpp_url%26entry.1313582257%3D0104459637%26entry.1578404635%3DHadir</t>
  </si>
  <si>
    <t>0104825356</t>
  </si>
  <si>
    <t>Amirah Khalishah Somoal</t>
  </si>
  <si>
    <t>https://quickchart.io/qr?size=250&amp;text=https%3A%2F%2Fdocs.google.com%2Fforms%2Fd%2Fe%2F1FAIpQLSeZ-R1GrWlAPkfaThGqxeTj0QTtrARw4rroxIIepf2kipn1nw%2FformResponse%3Fusp%3Dpp_url%26entry.1313582257%3D0104825356%26entry.1578404635%3DHadir</t>
  </si>
  <si>
    <t>Anas Legawa Riyadi</t>
  </si>
  <si>
    <t>https://quickchart.io/qr?size=250&amp;text=https%3A%2F%2Fdocs.google.com%2Fforms%2Fd%2Fe%2F1FAIpQLSeZ-R1GrWlAPkfaThGqxeTj0QTtrARw4rroxIIepf2kipn1nw%2FformResponse%3Fusp%3Dpp_url%26entry.1313582257%3D0099339799%26entry.1578404635%3DHadir</t>
  </si>
  <si>
    <t>0098197227</t>
  </si>
  <si>
    <t>Annisa Fitriyani</t>
  </si>
  <si>
    <t>https://quickchart.io/qr?size=250&amp;text=https%3A%2F%2Fdocs.google.com%2Fforms%2Fd%2Fe%2F1FAIpQLSeZ-R1GrWlAPkfaThGqxeTj0QTtrARw4rroxIIepf2kipn1nw%2FformResponse%3Fusp%3Dpp_url%26entry.1313582257%3D0098197227%26entry.1578404635%3DHadir</t>
  </si>
  <si>
    <t>0093274791</t>
  </si>
  <si>
    <t>Bagaskara Bisma Anoka</t>
  </si>
  <si>
    <t>https://quickchart.io/qr?size=250&amp;text=https%3A%2F%2Fdocs.google.com%2Fforms%2Fd%2Fe%2F1FAIpQLSeZ-R1GrWlAPkfaThGqxeTj0QTtrARw4rroxIIepf2kipn1nw%2FformResponse%3Fusp%3Dpp_url%26entry.1313582257%3D0093274791%26entry.1578404635%3DHadir</t>
  </si>
  <si>
    <t>0099900563</t>
  </si>
  <si>
    <t>Bilqis Nikita Aylani</t>
  </si>
  <si>
    <t>https://quickchart.io/qr?size=250&amp;text=https%3A%2F%2Fdocs.google.com%2Fforms%2Fd%2Fe%2F1FAIpQLSeZ-R1GrWlAPkfaThGqxeTj0QTtrARw4rroxIIepf2kipn1nw%2FformResponse%3Fusp%3Dpp_url%26entry.1313582257%3D0099900563%26entry.1578404635%3DHadir</t>
  </si>
  <si>
    <t>0092597384</t>
  </si>
  <si>
    <t>Dilla Novianti Putri</t>
  </si>
  <si>
    <t>https://quickchart.io/qr?size=250&amp;text=https%3A%2F%2Fdocs.google.com%2Fforms%2Fd%2Fe%2F1FAIpQLSeZ-R1GrWlAPkfaThGqxeTj0QTtrARw4rroxIIepf2kipn1nw%2FformResponse%3Fusp%3Dpp_url%26entry.1313582257%3D0092597384%26entry.1578404635%3DHadir</t>
  </si>
  <si>
    <t>3105062394</t>
  </si>
  <si>
    <t>Dinda Aulia</t>
  </si>
  <si>
    <t>https://quickchart.io/qr?size=250&amp;text=https%3A%2F%2Fdocs.google.com%2Fforms%2Fd%2Fe%2F1FAIpQLSeZ-R1GrWlAPkfaThGqxeTj0QTtrARw4rroxIIepf2kipn1nw%2FformResponse%3Fusp%3Dpp_url%26entry.1313582257%3D3105062394%26entry.1578404635%3DHadir</t>
  </si>
  <si>
    <t>0103139137</t>
  </si>
  <si>
    <t>Fathimah Septiani Azahra</t>
  </si>
  <si>
    <t>https://quickchart.io/qr?size=250&amp;text=https%3A%2F%2Fdocs.google.com%2Fforms%2Fd%2Fe%2F1FAIpQLSeZ-R1GrWlAPkfaThGqxeTj0QTtrARw4rroxIIepf2kipn1nw%2FformResponse%3Fusp%3Dpp_url%26entry.1313582257%3D0103139137%26entry.1578404635%3DHadir</t>
  </si>
  <si>
    <t>0091763745</t>
  </si>
  <si>
    <t>Hikmah Septiya</t>
  </si>
  <si>
    <t>https://quickchart.io/qr?size=250&amp;text=https%3A%2F%2Fdocs.google.com%2Fforms%2Fd%2Fe%2F1FAIpQLSeZ-R1GrWlAPkfaThGqxeTj0QTtrARw4rroxIIepf2kipn1nw%2FformResponse%3Fusp%3Dpp_url%26entry.1313582257%3D0091763745%26entry.1578404635%3DHadir</t>
  </si>
  <si>
    <t>0095064549</t>
  </si>
  <si>
    <t>Hilmi Ardhana Fuady</t>
  </si>
  <si>
    <t>https://quickchart.io/qr?size=250&amp;text=https%3A%2F%2Fdocs.google.com%2Fforms%2Fd%2Fe%2F1FAIpQLSeZ-R1GrWlAPkfaThGqxeTj0QTtrARw4rroxIIepf2kipn1nw%2FformResponse%3Fusp%3Dpp_url%26entry.1313582257%3D0095064549%26entry.1578404635%3DHadir</t>
  </si>
  <si>
    <t>3098845163</t>
  </si>
  <si>
    <t>Jevelin Ambarep Putri</t>
  </si>
  <si>
    <t>https://quickchart.io/qr?size=250&amp;text=https%3A%2F%2Fdocs.google.com%2Fforms%2Fd%2Fe%2F1FAIpQLSeZ-R1GrWlAPkfaThGqxeTj0QTtrARw4rroxIIepf2kipn1nw%2FformResponse%3Fusp%3Dpp_url%26entry.1313582257%3D3098845163%26entry.1578404635%3DHadir</t>
  </si>
  <si>
    <t>0104630358</t>
  </si>
  <si>
    <t>Khansa Tabita Aura Sakhi</t>
  </si>
  <si>
    <t>https://quickchart.io/qr?size=250&amp;text=https%3A%2F%2Fdocs.google.com%2Fforms%2Fd%2Fe%2F1FAIpQLSeZ-R1GrWlAPkfaThGqxeTj0QTtrARw4rroxIIepf2kipn1nw%2FformResponse%3Fusp%3Dpp_url%26entry.1313582257%3D0104630358%26entry.1578404635%3DHadir</t>
  </si>
  <si>
    <t>0097535113</t>
  </si>
  <si>
    <t>Lalitya Namu Wangundahina</t>
  </si>
  <si>
    <t>https://quickchart.io/qr?size=250&amp;text=https%3A%2F%2Fdocs.google.com%2Fforms%2Fd%2Fe%2F1FAIpQLSeZ-R1GrWlAPkfaThGqxeTj0QTtrARw4rroxIIepf2kipn1nw%2FformResponse%3Fusp%3Dpp_url%26entry.1313582257%3D0097535113%26entry.1578404635%3DHadir</t>
  </si>
  <si>
    <t>0094686372</t>
  </si>
  <si>
    <t>Mahira Aqila Azra</t>
  </si>
  <si>
    <t>https://quickchart.io/qr?size=250&amp;text=https%3A%2F%2Fdocs.google.com%2Fforms%2Fd%2Fe%2F1FAIpQLSeZ-R1GrWlAPkfaThGqxeTj0QTtrARw4rroxIIepf2kipn1nw%2FformResponse%3Fusp%3Dpp_url%26entry.1313582257%3D0094686372%26entry.1578404635%3DHadir</t>
  </si>
  <si>
    <t>0108578906</t>
  </si>
  <si>
    <t>Muhamad Adri Fachry</t>
  </si>
  <si>
    <t>https://quickchart.io/qr?size=250&amp;text=https%3A%2F%2Fdocs.google.com%2Fforms%2Fd%2Fe%2F1FAIpQLSeZ-R1GrWlAPkfaThGqxeTj0QTtrARw4rroxIIepf2kipn1nw%2FformResponse%3Fusp%3Dpp_url%26entry.1313582257%3D0108578906%26entry.1578404635%3DHadir</t>
  </si>
  <si>
    <t>3107979922</t>
  </si>
  <si>
    <t>Muhamad Gaza Al-Mahdi</t>
  </si>
  <si>
    <t>https://quickchart.io/qr?size=250&amp;text=https%3A%2F%2Fdocs.google.com%2Fforms%2Fd%2Fe%2F1FAIpQLSeZ-R1GrWlAPkfaThGqxeTj0QTtrARw4rroxIIepf2kipn1nw%2FformResponse%3Fusp%3Dpp_url%26entry.1313582257%3D3107979922%26entry.1578404635%3DHadir</t>
  </si>
  <si>
    <t>0105902624</t>
  </si>
  <si>
    <t>Muhammad Naufal Rhesa Fernando</t>
  </si>
  <si>
    <t>https://quickchart.io/qr?size=250&amp;text=https%3A%2F%2Fdocs.google.com%2Fforms%2Fd%2Fe%2F1FAIpQLSeZ-R1GrWlAPkfaThGqxeTj0QTtrARw4rroxIIepf2kipn1nw%2FformResponse%3Fusp%3Dpp_url%26entry.1313582257%3D0105902624%26entry.1578404635%3DHadir</t>
  </si>
  <si>
    <t>0095937017</t>
  </si>
  <si>
    <t>Muhammad Raya Al Maghfirah</t>
  </si>
  <si>
    <t>https://quickchart.io/qr?size=250&amp;text=https%3A%2F%2Fdocs.google.com%2Fforms%2Fd%2Fe%2F1FAIpQLSeZ-R1GrWlAPkfaThGqxeTj0QTtrARw4rroxIIepf2kipn1nw%2FformResponse%3Fusp%3Dpp_url%26entry.1313582257%3D0095937017%26entry.1578404635%3DHadir</t>
  </si>
  <si>
    <t>3094594523</t>
  </si>
  <si>
    <t>Muhammad Tristan Sanjaya</t>
  </si>
  <si>
    <t>https://quickchart.io/qr?size=250&amp;text=https%3A%2F%2Fdocs.google.com%2Fforms%2Fd%2Fe%2F1FAIpQLSeZ-R1GrWlAPkfaThGqxeTj0QTtrARw4rroxIIepf2kipn1nw%2FformResponse%3Fusp%3Dpp_url%26entry.1313582257%3D3094594523%26entry.1578404635%3DHadir</t>
  </si>
  <si>
    <t>0092479207</t>
  </si>
  <si>
    <t>Muhammad Zaidan Wibowo</t>
  </si>
  <si>
    <t>https://quickchart.io/qr?size=250&amp;text=https%3A%2F%2Fdocs.google.com%2Fforms%2Fd%2Fe%2F1FAIpQLSeZ-R1GrWlAPkfaThGqxeTj0QTtrARw4rroxIIepf2kipn1nw%2FformResponse%3Fusp%3Dpp_url%26entry.1313582257%3D0092479207%26entry.1578404635%3DHadir</t>
  </si>
  <si>
    <t>0092223990</t>
  </si>
  <si>
    <t>Nabilah Shakeela Kusuma</t>
  </si>
  <si>
    <t>33 - GC2 X-5</t>
  </si>
  <si>
    <t>https://quickchart.io/qr?size=250&amp;text=https%3A%2F%2Fdocs.google.com%2Fforms%2Fd%2Fe%2F1FAIpQLSeZ-R1GrWlAPkfaThGqxeTj0QTtrARw4rroxIIepf2kipn1nw%2FformResponse%3Fusp%3Dpp_url%26entry.1313582257%3D0092223990%26entry.1578404635%3DHadir</t>
  </si>
  <si>
    <t>0104434944</t>
  </si>
  <si>
    <t>Naufal Aditama</t>
  </si>
  <si>
    <t>https://quickchart.io/qr?size=250&amp;text=https%3A%2F%2Fdocs.google.com%2Fforms%2Fd%2Fe%2F1FAIpQLSeZ-R1GrWlAPkfaThGqxeTj0QTtrARw4rroxIIepf2kipn1nw%2FformResponse%3Fusp%3Dpp_url%26entry.1313582257%3D0104434944%26entry.1578404635%3DHadir</t>
  </si>
  <si>
    <t>0108770789</t>
  </si>
  <si>
    <t>Nayyira Ghania Mehnaz</t>
  </si>
  <si>
    <t>https://quickchart.io/qr?size=250&amp;text=https%3A%2F%2Fdocs.google.com%2Fforms%2Fd%2Fe%2F1FAIpQLSeZ-R1GrWlAPkfaThGqxeTj0QTtrARw4rroxIIepf2kipn1nw%2FformResponse%3Fusp%3Dpp_url%26entry.1313582257%3D0108770789%26entry.1578404635%3DHadir</t>
  </si>
  <si>
    <t>0101523916</t>
  </si>
  <si>
    <t>Nazwa Nur Rahmah</t>
  </si>
  <si>
    <t>https://quickchart.io/qr?size=250&amp;text=https%3A%2F%2Fdocs.google.com%2Fforms%2Fd%2Fe%2F1FAIpQLSeZ-R1GrWlAPkfaThGqxeTj0QTtrARw4rroxIIepf2kipn1nw%2FformResponse%3Fusp%3Dpp_url%26entry.1313582257%3D0101523916%26entry.1578404635%3DHadir</t>
  </si>
  <si>
    <t>3099045754</t>
  </si>
  <si>
    <t>Nurul Aulia Ramadhani</t>
  </si>
  <si>
    <t>https://quickchart.io/qr?size=250&amp;text=https%3A%2F%2Fdocs.google.com%2Fforms%2Fd%2Fe%2F1FAIpQLSeZ-R1GrWlAPkfaThGqxeTj0QTtrARw4rroxIIepf2kipn1nw%2FformResponse%3Fusp%3Dpp_url%26entry.1313582257%3D3099045754%26entry.1578404635%3DHadir</t>
  </si>
  <si>
    <t>0104883711</t>
  </si>
  <si>
    <t>Ohan Marhadi Haryono</t>
  </si>
  <si>
    <t>https://quickchart.io/qr?size=250&amp;text=https%3A%2F%2Fdocs.google.com%2Fforms%2Fd%2Fe%2F1FAIpQLSeZ-R1GrWlAPkfaThGqxeTj0QTtrARw4rroxIIepf2kipn1nw%2FformResponse%3Fusp%3Dpp_url%26entry.1313582257%3D0104883711%26entry.1578404635%3DHadir</t>
  </si>
  <si>
    <t>3099055467</t>
  </si>
  <si>
    <t>Puthik Ramadani</t>
  </si>
  <si>
    <t>https://quickchart.io/qr?size=250&amp;text=https%3A%2F%2Fdocs.google.com%2Fforms%2Fd%2Fe%2F1FAIpQLSeZ-R1GrWlAPkfaThGqxeTj0QTtrARw4rroxIIepf2kipn1nw%2FformResponse%3Fusp%3Dpp_url%26entry.1313582257%3D3099055467%26entry.1578404635%3DHadir</t>
  </si>
  <si>
    <t>0092103124</t>
  </si>
  <si>
    <t>Raden Chintya Dewi Maharani</t>
  </si>
  <si>
    <t>https://quickchart.io/qr?size=250&amp;text=https%3A%2F%2Fdocs.google.com%2Fforms%2Fd%2Fe%2F1FAIpQLSeZ-R1GrWlAPkfaThGqxeTj0QTtrARw4rroxIIepf2kipn1nw%2FformResponse%3Fusp%3Dpp_url%26entry.1313582257%3D0092103124%26entry.1578404635%3DHadir</t>
  </si>
  <si>
    <t>0102081772</t>
  </si>
  <si>
    <t>Raden Ciara Za Syahluna</t>
  </si>
  <si>
    <t>https://quickchart.io/qr?size=250&amp;text=https%3A%2F%2Fdocs.google.com%2Fforms%2Fd%2Fe%2F1FAIpQLSeZ-R1GrWlAPkfaThGqxeTj0QTtrARw4rroxIIepf2kipn1nw%2FformResponse%3Fusp%3Dpp_url%26entry.1313582257%3D0102081772%26entry.1578404635%3DHadir</t>
  </si>
  <si>
    <t>Rama Andhika</t>
  </si>
  <si>
    <t>https://quickchart.io/qr?size=250&amp;text=https%3A%2F%2Fdocs.google.com%2Fforms%2Fd%2Fe%2F1FAIpQLSeZ-R1GrWlAPkfaThGqxeTj0QTtrARw4rroxIIepf2kipn1nw%2FformResponse%3Fusp%3Dpp_url%26entry.1313582257%3D0097864614%26entry.1578404635%3DHadir</t>
  </si>
  <si>
    <t>0093090773</t>
  </si>
  <si>
    <t>Reisha Azzahra Pramesti</t>
  </si>
  <si>
    <t>https://quickchart.io/qr?size=250&amp;text=https%3A%2F%2Fdocs.google.com%2Fforms%2Fd%2Fe%2F1FAIpQLSeZ-R1GrWlAPkfaThGqxeTj0QTtrARw4rroxIIepf2kipn1nw%2FformResponse%3Fusp%3Dpp_url%26entry.1313582257%3D0093090773%26entry.1578404635%3DHadir</t>
  </si>
  <si>
    <t>0095160472</t>
  </si>
  <si>
    <t>Rheiska Amelia</t>
  </si>
  <si>
    <t>https://quickchart.io/qr?size=250&amp;text=https%3A%2F%2Fdocs.google.com%2Fforms%2Fd%2Fe%2F1FAIpQLSeZ-R1GrWlAPkfaThGqxeTj0QTtrARw4rroxIIepf2kipn1nw%2FformResponse%3Fusp%3Dpp_url%26entry.1313582257%3D0095160472%26entry.1578404635%3DHadir</t>
  </si>
  <si>
    <t>0092402487</t>
  </si>
  <si>
    <t>Salsabila Kinaya</t>
  </si>
  <si>
    <t>https://quickchart.io/qr?size=250&amp;text=https%3A%2F%2Fdocs.google.com%2Fforms%2Fd%2Fe%2F1FAIpQLSeZ-R1GrWlAPkfaThGqxeTj0QTtrARw4rroxIIepf2kipn1nw%2FformResponse%3Fusp%3Dpp_url%26entry.1313582257%3D0092402487%26entry.1578404635%3DHadir</t>
  </si>
  <si>
    <t>0092706472</t>
  </si>
  <si>
    <t>Syarafina Nur Alifatuzahro</t>
  </si>
  <si>
    <t>https://quickchart.io/qr?size=250&amp;text=https%3A%2F%2Fdocs.google.com%2Fforms%2Fd%2Fe%2F1FAIpQLSeZ-R1GrWlAPkfaThGqxeTj0QTtrARw4rroxIIepf2kipn1nw%2FformResponse%3Fusp%3Dpp_url%26entry.1313582257%3D0092706472%26entry.1578404635%3DHadir</t>
  </si>
  <si>
    <t>0105183684</t>
  </si>
  <si>
    <t>Tanty Amelia Al Rasyid</t>
  </si>
  <si>
    <t>https://quickchart.io/qr?size=250&amp;text=https%3A%2F%2Fdocs.google.com%2Fforms%2Fd%2Fe%2F1FAIpQLSeZ-R1GrWlAPkfaThGqxeTj0QTtrARw4rroxIIepf2kipn1nw%2FformResponse%3Fusp%3Dpp_url%26entry.1313582257%3D0105183684%26entry.1578404635%3DHadir</t>
  </si>
  <si>
    <t>0098052333</t>
  </si>
  <si>
    <t>Teduh Mutiara Hapsari</t>
  </si>
  <si>
    <t>https://quickchart.io/qr?size=250&amp;text=https%3A%2F%2Fdocs.google.com%2Fforms%2Fd%2Fe%2F1FAIpQLSeZ-R1GrWlAPkfaThGqxeTj0QTtrARw4rroxIIepf2kipn1nw%2FformResponse%3Fusp%3Dpp_url%26entry.1313582257%3D0098052333%26entry.1578404635%3DHadir</t>
  </si>
  <si>
    <t>3094664028</t>
  </si>
  <si>
    <t>Tubagus Mochamad Rizki Fauzan Faris</t>
  </si>
  <si>
    <t>https://quickchart.io/qr?size=250&amp;text=https%3A%2F%2Fdocs.google.com%2Fforms%2Fd%2Fe%2F1FAIpQLSeZ-R1GrWlAPkfaThGqxeTj0QTtrARw4rroxIIepf2kipn1nw%2FformResponse%3Fusp%3Dpp_url%26entry.1313582257%3D3094664028%26entry.1578404635%3DHadir</t>
  </si>
  <si>
    <t>0099429653</t>
  </si>
  <si>
    <t>Yanza Rizkia Salsabillah</t>
  </si>
  <si>
    <t>https://quickchart.io/qr?size=250&amp;text=https%3A%2F%2Fdocs.google.com%2Fforms%2Fd%2Fe%2F1FAIpQLSeZ-R1GrWlAPkfaThGqxeTj0QTtrARw4rroxIIepf2kipn1nw%2FformResponse%3Fusp%3Dpp_url%26entry.1313582257%3D0099429653%26entry.1578404635%3DHadir</t>
  </si>
  <si>
    <t>0094216872</t>
  </si>
  <si>
    <t>Alfany Himma Roudina</t>
  </si>
  <si>
    <t>X-6</t>
  </si>
  <si>
    <t>33 - GC1 X-6</t>
  </si>
  <si>
    <t>https://quickchart.io/qr?size=250&amp;text=https%3A%2F%2Fdocs.google.com%2Fforms%2Fd%2Fe%2F1FAIpQLSeZ-R1GrWlAPkfaThGqxeTj0QTtrARw4rroxIIepf2kipn1nw%2FformResponse%3Fusp%3Dpp_url%26entry.1313582257%3D0094216872%26entry.1578404635%3DHadir</t>
  </si>
  <si>
    <t>3093210071</t>
  </si>
  <si>
    <t>Alisa Putri</t>
  </si>
  <si>
    <t>https://quickchart.io/qr?size=250&amp;text=https%3A%2F%2Fdocs.google.com%2Fforms%2Fd%2Fe%2F1FAIpQLSeZ-R1GrWlAPkfaThGqxeTj0QTtrARw4rroxIIepf2kipn1nw%2FformResponse%3Fusp%3Dpp_url%26entry.1313582257%3D3093210071%26entry.1578404635%3DHadir</t>
  </si>
  <si>
    <t>0099344894</t>
  </si>
  <si>
    <t>Aqila Noya Faiza</t>
  </si>
  <si>
    <t>https://quickchart.io/qr?size=250&amp;text=https%3A%2F%2Fdocs.google.com%2Fforms%2Fd%2Fe%2F1FAIpQLSeZ-R1GrWlAPkfaThGqxeTj0QTtrARw4rroxIIepf2kipn1nw%2FformResponse%3Fusp%3Dpp_url%26entry.1313582257%3D0099344894%26entry.1578404635%3DHadir</t>
  </si>
  <si>
    <t>0104799326</t>
  </si>
  <si>
    <t>Chempaka Balqist Zavira Mentary Misman</t>
  </si>
  <si>
    <t>https://quickchart.io/qr?size=250&amp;text=https%3A%2F%2Fdocs.google.com%2Fforms%2Fd%2Fe%2F1FAIpQLSeZ-R1GrWlAPkfaThGqxeTj0QTtrARw4rroxIIepf2kipn1nw%2FformResponse%3Fusp%3Dpp_url%26entry.1313582257%3D0104799326%26entry.1578404635%3DHadir</t>
  </si>
  <si>
    <t>0099286083</t>
  </si>
  <si>
    <t>Dhia Salsabila</t>
  </si>
  <si>
    <t>https://quickchart.io/qr?size=250&amp;text=https%3A%2F%2Fdocs.google.com%2Fforms%2Fd%2Fe%2F1FAIpQLSeZ-R1GrWlAPkfaThGqxeTj0QTtrARw4rroxIIepf2kipn1nw%2FformResponse%3Fusp%3Dpp_url%26entry.1313582257%3D0099286083%26entry.1578404635%3DHadir</t>
  </si>
  <si>
    <t>0093451857</t>
  </si>
  <si>
    <t>Dinda Dyah Pitaloka</t>
  </si>
  <si>
    <t>https://quickchart.io/qr?size=250&amp;text=https%3A%2F%2Fdocs.google.com%2Fforms%2Fd%2Fe%2F1FAIpQLSeZ-R1GrWlAPkfaThGqxeTj0QTtrARw4rroxIIepf2kipn1nw%2FformResponse%3Fusp%3Dpp_url%26entry.1313582257%3D0093451857%26entry.1578404635%3DHadir</t>
  </si>
  <si>
    <t>0074430959</t>
  </si>
  <si>
    <t>Dwi Irmawati</t>
  </si>
  <si>
    <t>https://quickchart.io/qr?size=250&amp;text=https%3A%2F%2Fdocs.google.com%2Fforms%2Fd%2Fe%2F1FAIpQLSeZ-R1GrWlAPkfaThGqxeTj0QTtrARw4rroxIIepf2kipn1nw%2FformResponse%3Fusp%3Dpp_url%26entry.1313582257%3D0074430959%26entry.1578404635%3DHadir</t>
  </si>
  <si>
    <t>0096744611</t>
  </si>
  <si>
    <t>Egi Surjana</t>
  </si>
  <si>
    <t>33 - BC X-6</t>
  </si>
  <si>
    <t>https://quickchart.io/qr?size=250&amp;text=https%3A%2F%2Fdocs.google.com%2Fforms%2Fd%2Fe%2F1FAIpQLSeZ-R1GrWlAPkfaThGqxeTj0QTtrARw4rroxIIepf2kipn1nw%2FformResponse%3Fusp%3Dpp_url%26entry.1313582257%3D0096744611%26entry.1578404635%3DHadir</t>
  </si>
  <si>
    <t>0093286261</t>
  </si>
  <si>
    <t>Fanesya Agfrisfidia</t>
  </si>
  <si>
    <t>https://quickchart.io/qr?size=250&amp;text=https%3A%2F%2Fdocs.google.com%2Fforms%2Fd%2Fe%2F1FAIpQLSeZ-R1GrWlAPkfaThGqxeTj0QTtrARw4rroxIIepf2kipn1nw%2FformResponse%3Fusp%3Dpp_url%26entry.1313582257%3D0093286261%26entry.1578404635%3DHadir</t>
  </si>
  <si>
    <t>0092383688</t>
  </si>
  <si>
    <t>Fanisa Nurkamila Hamdani</t>
  </si>
  <si>
    <t>https://quickchart.io/qr?size=250&amp;text=https%3A%2F%2Fdocs.google.com%2Fforms%2Fd%2Fe%2F1FAIpQLSeZ-R1GrWlAPkfaThGqxeTj0QTtrARw4rroxIIepf2kipn1nw%2FformResponse%3Fusp%3Dpp_url%26entry.1313582257%3D0092383688%26entry.1578404635%3DHadir</t>
  </si>
  <si>
    <t>0094160236</t>
  </si>
  <si>
    <t>Fauzi Castle Satara</t>
  </si>
  <si>
    <t>https://quickchart.io/qr?size=250&amp;text=https%3A%2F%2Fdocs.google.com%2Fforms%2Fd%2Fe%2F1FAIpQLSeZ-R1GrWlAPkfaThGqxeTj0QTtrARw4rroxIIepf2kipn1nw%2FformResponse%3Fusp%3Dpp_url%26entry.1313582257%3D0094160236%26entry.1578404635%3DHadir</t>
  </si>
  <si>
    <t>0101705316</t>
  </si>
  <si>
    <t>Febri Afriani</t>
  </si>
  <si>
    <t>https://quickchart.io/qr?size=250&amp;text=https%3A%2F%2Fdocs.google.com%2Fforms%2Fd%2Fe%2F1FAIpQLSeZ-R1GrWlAPkfaThGqxeTj0QTtrARw4rroxIIepf2kipn1nw%2FformResponse%3Fusp%3Dpp_url%26entry.1313582257%3D0101705316%26entry.1578404635%3DHadir</t>
  </si>
  <si>
    <t>3090346201</t>
  </si>
  <si>
    <t>Freja Aira Anindhita</t>
  </si>
  <si>
    <t>https://quickchart.io/qr?size=250&amp;text=https%3A%2F%2Fdocs.google.com%2Fforms%2Fd%2Fe%2F1FAIpQLSeZ-R1GrWlAPkfaThGqxeTj0QTtrARw4rroxIIepf2kipn1nw%2FformResponse%3Fusp%3Dpp_url%26entry.1313582257%3D3090346201%26entry.1578404635%3DHadir</t>
  </si>
  <si>
    <t>0107948623</t>
  </si>
  <si>
    <t>Hasfa Zulfana Nahdah</t>
  </si>
  <si>
    <t>https://quickchart.io/qr?size=250&amp;text=https%3A%2F%2Fdocs.google.com%2Fforms%2Fd%2Fe%2F1FAIpQLSeZ-R1GrWlAPkfaThGqxeTj0QTtrARw4rroxIIepf2kipn1nw%2FformResponse%3Fusp%3Dpp_url%26entry.1313582257%3D0107948623%26entry.1578404635%3DHadir</t>
  </si>
  <si>
    <t>0099375007</t>
  </si>
  <si>
    <t>Keyla Putri Saksono</t>
  </si>
  <si>
    <t>https://quickchart.io/qr?size=250&amp;text=https%3A%2F%2Fdocs.google.com%2Fforms%2Fd%2Fe%2F1FAIpQLSeZ-R1GrWlAPkfaThGqxeTj0QTtrARw4rroxIIepf2kipn1nw%2FformResponse%3Fusp%3Dpp_url%26entry.1313582257%3D0099375007%26entry.1578404635%3DHadir</t>
  </si>
  <si>
    <t>0109221606</t>
  </si>
  <si>
    <t>Khalisa Silmi Jovita Warsito</t>
  </si>
  <si>
    <t>33 - GC2 X-6</t>
  </si>
  <si>
    <t>https://quickchart.io/qr?size=250&amp;text=https%3A%2F%2Fdocs.google.com%2Fforms%2Fd%2Fe%2F1FAIpQLSeZ-R1GrWlAPkfaThGqxeTj0QTtrARw4rroxIIepf2kipn1nw%2FformResponse%3Fusp%3Dpp_url%26entry.1313582257%3D0109221606%26entry.1578404635%3DHadir</t>
  </si>
  <si>
    <t>0109522386</t>
  </si>
  <si>
    <t>Mawar Aprilliana</t>
  </si>
  <si>
    <t>https://quickchart.io/qr?size=250&amp;text=https%3A%2F%2Fdocs.google.com%2Fforms%2Fd%2Fe%2F1FAIpQLSeZ-R1GrWlAPkfaThGqxeTj0QTtrARw4rroxIIepf2kipn1nw%2FformResponse%3Fusp%3Dpp_url%26entry.1313582257%3D0109522386%26entry.1578404635%3DHadir</t>
  </si>
  <si>
    <t>0098849299</t>
  </si>
  <si>
    <t>Muhammad Azzam Ananda Fatahilah</t>
  </si>
  <si>
    <t>https://quickchart.io/qr?size=250&amp;text=https%3A%2F%2Fdocs.google.com%2Fforms%2Fd%2Fe%2F1FAIpQLSeZ-R1GrWlAPkfaThGqxeTj0QTtrARw4rroxIIepf2kipn1nw%2FformResponse%3Fusp%3Dpp_url%26entry.1313582257%3D0098849299%26entry.1578404635%3DHadir</t>
  </si>
  <si>
    <t>0095549480</t>
  </si>
  <si>
    <t>Najwa Citra Lestari</t>
  </si>
  <si>
    <t>https://quickchart.io/qr?size=250&amp;text=https%3A%2F%2Fdocs.google.com%2Fforms%2Fd%2Fe%2F1FAIpQLSeZ-R1GrWlAPkfaThGqxeTj0QTtrARw4rroxIIepf2kipn1nw%2FformResponse%3Fusp%3Dpp_url%26entry.1313582257%3D0095549480%26entry.1578404635%3DHadir</t>
  </si>
  <si>
    <t>0108065698</t>
  </si>
  <si>
    <t>Nayra Putri Sagita</t>
  </si>
  <si>
    <t>https://quickchart.io/qr?size=250&amp;text=https%3A%2F%2Fdocs.google.com%2Fforms%2Fd%2Fe%2F1FAIpQLSeZ-R1GrWlAPkfaThGqxeTj0QTtrARw4rroxIIepf2kipn1nw%2FformResponse%3Fusp%3Dpp_url%26entry.1313582257%3D0108065698%26entry.1578404635%3DHadir</t>
  </si>
  <si>
    <t>0106380486</t>
  </si>
  <si>
    <t>Queensha Amiradana Putri Hamka</t>
  </si>
  <si>
    <t>https://quickchart.io/qr?size=250&amp;text=https%3A%2F%2Fdocs.google.com%2Fforms%2Fd%2Fe%2F1FAIpQLSeZ-R1GrWlAPkfaThGqxeTj0QTtrARw4rroxIIepf2kipn1nw%2FformResponse%3Fusp%3Dpp_url%26entry.1313582257%3D0106380486%26entry.1578404635%3DHadir</t>
  </si>
  <si>
    <t>0092020564</t>
  </si>
  <si>
    <t>Raasyid Zhariif Santoso</t>
  </si>
  <si>
    <t>https://quickchart.io/qr?size=250&amp;text=https%3A%2F%2Fdocs.google.com%2Fforms%2Fd%2Fe%2F1FAIpQLSeZ-R1GrWlAPkfaThGqxeTj0QTtrARw4rroxIIepf2kipn1nw%2FformResponse%3Fusp%3Dpp_url%26entry.1313582257%3D0092020564%26entry.1578404635%3DHadir</t>
  </si>
  <si>
    <t>0105446689</t>
  </si>
  <si>
    <t>Raden Muhamad Zaki</t>
  </si>
  <si>
    <t>https://quickchart.io/qr?size=250&amp;text=https%3A%2F%2Fdocs.google.com%2Fforms%2Fd%2Fe%2F1FAIpQLSeZ-R1GrWlAPkfaThGqxeTj0QTtrARw4rroxIIepf2kipn1nw%2FformResponse%3Fusp%3Dpp_url%26entry.1313582257%3D0105446689%26entry.1578404635%3DHadir</t>
  </si>
  <si>
    <t>0093623051</t>
  </si>
  <si>
    <t>Rayyan Wahyu Ramadhan</t>
  </si>
  <si>
    <t>https://quickchart.io/qr?size=250&amp;text=https%3A%2F%2Fdocs.google.com%2Fforms%2Fd%2Fe%2F1FAIpQLSeZ-R1GrWlAPkfaThGqxeTj0QTtrARw4rroxIIepf2kipn1nw%2FformResponse%3Fusp%3Dpp_url%26entry.1313582257%3D0093623051%26entry.1578404635%3DHadir</t>
  </si>
  <si>
    <t>0108406931</t>
  </si>
  <si>
    <t>Reva Aulia Putri</t>
  </si>
  <si>
    <t>https://quickchart.io/qr?size=250&amp;text=https%3A%2F%2Fdocs.google.com%2Fforms%2Fd%2Fe%2F1FAIpQLSeZ-R1GrWlAPkfaThGqxeTj0QTtrARw4rroxIIepf2kipn1nw%2FformResponse%3Fusp%3Dpp_url%26entry.1313582257%3D0108406931%26entry.1578404635%3DHadir</t>
  </si>
  <si>
    <t>0104171202</t>
  </si>
  <si>
    <t>Revina Apriza</t>
  </si>
  <si>
    <t>https://quickchart.io/qr?size=250&amp;text=https%3A%2F%2Fdocs.google.com%2Fforms%2Fd%2Fe%2F1FAIpQLSeZ-R1GrWlAPkfaThGqxeTj0QTtrARw4rroxIIepf2kipn1nw%2FformResponse%3Fusp%3Dpp_url%26entry.1313582257%3D0104171202%26entry.1578404635%3DHadir</t>
  </si>
  <si>
    <t>3096816288</t>
  </si>
  <si>
    <t>Rossy Indriyati</t>
  </si>
  <si>
    <t>https://quickchart.io/qr?size=250&amp;text=https%3A%2F%2Fdocs.google.com%2Fforms%2Fd%2Fe%2F1FAIpQLSeZ-R1GrWlAPkfaThGqxeTj0QTtrARw4rroxIIepf2kipn1nw%2FformResponse%3Fusp%3Dpp_url%26entry.1313582257%3D3096816288%26entry.1578404635%3DHadir</t>
  </si>
  <si>
    <t>0102698949</t>
  </si>
  <si>
    <t>Salsa Kirana Putri</t>
  </si>
  <si>
    <t>https://quickchart.io/qr?size=250&amp;text=https%3A%2F%2Fdocs.google.com%2Fforms%2Fd%2Fe%2F1FAIpQLSeZ-R1GrWlAPkfaThGqxeTj0QTtrARw4rroxIIepf2kipn1nw%2FformResponse%3Fusp%3Dpp_url%26entry.1313582257%3D0102698949%26entry.1578404635%3DHadir</t>
  </si>
  <si>
    <t>3096600612</t>
  </si>
  <si>
    <t>Shalomieta Aira Kinaya</t>
  </si>
  <si>
    <t>https://quickchart.io/qr?size=250&amp;text=https%3A%2F%2Fdocs.google.com%2Fforms%2Fd%2Fe%2F1FAIpQLSeZ-R1GrWlAPkfaThGqxeTj0QTtrARw4rroxIIepf2kipn1nw%2FformResponse%3Fusp%3Dpp_url%26entry.1313582257%3D3096600612%26entry.1578404635%3DHadir</t>
  </si>
  <si>
    <t>0106462308</t>
  </si>
  <si>
    <t>Syahdan Akbar Mara Putra</t>
  </si>
  <si>
    <t>https://quickchart.io/qr?size=250&amp;text=https%3A%2F%2Fdocs.google.com%2Fforms%2Fd%2Fe%2F1FAIpQLSeZ-R1GrWlAPkfaThGqxeTj0QTtrARw4rroxIIepf2kipn1nw%2FformResponse%3Fusp%3Dpp_url%26entry.1313582257%3D0106462308%26entry.1578404635%3DHadir</t>
  </si>
  <si>
    <t>0101383149</t>
  </si>
  <si>
    <t>Syahla Adzkannisa Vuzela</t>
  </si>
  <si>
    <t>https://quickchart.io/qr?size=250&amp;text=https%3A%2F%2Fdocs.google.com%2Fforms%2Fd%2Fe%2F1FAIpQLSeZ-R1GrWlAPkfaThGqxeTj0QTtrARw4rroxIIepf2kipn1nw%2FformResponse%3Fusp%3Dpp_url%26entry.1313582257%3D0101383149%26entry.1578404635%3DHadir</t>
  </si>
  <si>
    <t>0101303057</t>
  </si>
  <si>
    <t>Adara Luthfia Putri</t>
  </si>
  <si>
    <t>X-7</t>
  </si>
  <si>
    <t>33 - GC1 X-7</t>
  </si>
  <si>
    <t>https://quickchart.io/qr?size=250&amp;text=https%3A%2F%2Fdocs.google.com%2Fforms%2Fd%2Fe%2F1FAIpQLSeZ-R1GrWlAPkfaThGqxeTj0QTtrARw4rroxIIepf2kipn1nw%2FformResponse%3Fusp%3Dpp_url%26entry.1313582257%3D0101303057%26entry.1578404635%3DHadir</t>
  </si>
  <si>
    <t>0109597144</t>
  </si>
  <si>
    <t>Ahmad Fahri Hidayat</t>
  </si>
  <si>
    <t>33 - BC X-7</t>
  </si>
  <si>
    <t>https://quickchart.io/qr?size=250&amp;text=https%3A%2F%2Fdocs.google.com%2Fforms%2Fd%2Fe%2F1FAIpQLSeZ-R1GrWlAPkfaThGqxeTj0QTtrARw4rroxIIepf2kipn1nw%2FformResponse%3Fusp%3Dpp_url%26entry.1313582257%3D0109597144%26entry.1578404635%3DHadir</t>
  </si>
  <si>
    <t>3096764634</t>
  </si>
  <si>
    <t>Aira Kirana</t>
  </si>
  <si>
    <t>https://quickchart.io/qr?size=250&amp;text=https%3A%2F%2Fdocs.google.com%2Fforms%2Fd%2Fe%2F1FAIpQLSeZ-R1GrWlAPkfaThGqxeTj0QTtrARw4rroxIIepf2kipn1nw%2FformResponse%3Fusp%3Dpp_url%26entry.1313582257%3D3096764634%26entry.1578404635%3DHadir</t>
  </si>
  <si>
    <t>0094347087</t>
  </si>
  <si>
    <t>Aliya Trianzani Putri</t>
  </si>
  <si>
    <t>https://quickchart.io/qr?size=250&amp;text=https%3A%2F%2Fdocs.google.com%2Fforms%2Fd%2Fe%2F1FAIpQLSeZ-R1GrWlAPkfaThGqxeTj0QTtrARw4rroxIIepf2kipn1nw%2FformResponse%3Fusp%3Dpp_url%26entry.1313582257%3D0094347087%26entry.1578404635%3DHadir</t>
  </si>
  <si>
    <t>0101401010</t>
  </si>
  <si>
    <t>Alya Silvana Sarifah</t>
  </si>
  <si>
    <t>https://quickchart.io/qr?size=250&amp;text=https%3A%2F%2Fdocs.google.com%2Fforms%2Fd%2Fe%2F1FAIpQLSeZ-R1GrWlAPkfaThGqxeTj0QTtrARw4rroxIIepf2kipn1nw%2FformResponse%3Fusp%3Dpp_url%26entry.1313582257%3D0101401010%26entry.1578404635%3DHadir</t>
  </si>
  <si>
    <t>0106758481</t>
  </si>
  <si>
    <t>Anindya Estyana Damayanti</t>
  </si>
  <si>
    <t>https://quickchart.io/qr?size=250&amp;text=https%3A%2F%2Fdocs.google.com%2Fforms%2Fd%2Fe%2F1FAIpQLSeZ-R1GrWlAPkfaThGqxeTj0QTtrARw4rroxIIepf2kipn1nw%2FformResponse%3Fusp%3Dpp_url%26entry.1313582257%3D0106758481%26entry.1578404635%3DHadir</t>
  </si>
  <si>
    <t>0092241333</t>
  </si>
  <si>
    <t>Azri Aditya Amada</t>
  </si>
  <si>
    <t>https://quickchart.io/qr?size=250&amp;text=https%3A%2F%2Fdocs.google.com%2Fforms%2Fd%2Fe%2F1FAIpQLSeZ-R1GrWlAPkfaThGqxeTj0QTtrARw4rroxIIepf2kipn1nw%2FformResponse%3Fusp%3Dpp_url%26entry.1313582257%3D0092241333%26entry.1578404635%3DHadir</t>
  </si>
  <si>
    <t>0102239764</t>
  </si>
  <si>
    <t>Clara Dwi Cahya</t>
  </si>
  <si>
    <t>https://quickchart.io/qr?size=250&amp;text=https%3A%2F%2Fdocs.google.com%2Fforms%2Fd%2Fe%2F1FAIpQLSeZ-R1GrWlAPkfaThGqxeTj0QTtrARw4rroxIIepf2kipn1nw%2FformResponse%3Fusp%3Dpp_url%26entry.1313582257%3D0102239764%26entry.1578404635%3DHadir</t>
  </si>
  <si>
    <t>0108763766</t>
  </si>
  <si>
    <t>Clarisa Meidiana</t>
  </si>
  <si>
    <t>https://quickchart.io/qr?size=250&amp;text=https%3A%2F%2Fdocs.google.com%2Fforms%2Fd%2Fe%2F1FAIpQLSeZ-R1GrWlAPkfaThGqxeTj0QTtrARw4rroxIIepf2kipn1nw%2FformResponse%3Fusp%3Dpp_url%26entry.1313582257%3D0108763766%26entry.1578404635%3DHadir</t>
  </si>
  <si>
    <t>0103120702</t>
  </si>
  <si>
    <t>Daffa Khoirul Fajri</t>
  </si>
  <si>
    <t>https://quickchart.io/qr?size=250&amp;text=https%3A%2F%2Fdocs.google.com%2Fforms%2Fd%2Fe%2F1FAIpQLSeZ-R1GrWlAPkfaThGqxeTj0QTtrARw4rroxIIepf2kipn1nw%2FformResponse%3Fusp%3Dpp_url%26entry.1313582257%3D0103120702%26entry.1578404635%3DHadir</t>
  </si>
  <si>
    <t>0099164493</t>
  </si>
  <si>
    <t>Dhia Devita Ramadhani</t>
  </si>
  <si>
    <t>https://quickchart.io/qr?size=250&amp;text=https%3A%2F%2Fdocs.google.com%2Fforms%2Fd%2Fe%2F1FAIpQLSeZ-R1GrWlAPkfaThGqxeTj0QTtrARw4rroxIIepf2kipn1nw%2FformResponse%3Fusp%3Dpp_url%26entry.1313582257%3D0099164493%26entry.1578404635%3DHadir</t>
  </si>
  <si>
    <t>0093281671</t>
  </si>
  <si>
    <t>Diajeng Inggil Lintang Aulia</t>
  </si>
  <si>
    <t>https://quickchart.io/qr?size=250&amp;text=https%3A%2F%2Fdocs.google.com%2Fforms%2Fd%2Fe%2F1FAIpQLSeZ-R1GrWlAPkfaThGqxeTj0QTtrARw4rroxIIepf2kipn1nw%2FformResponse%3Fusp%3Dpp_url%26entry.1313582257%3D0093281671%26entry.1578404635%3DHadir</t>
  </si>
  <si>
    <t>0091524155</t>
  </si>
  <si>
    <t>Elgiva Damara Sanchia</t>
  </si>
  <si>
    <t>https://quickchart.io/qr?size=250&amp;text=https%3A%2F%2Fdocs.google.com%2Fforms%2Fd%2Fe%2F1FAIpQLSeZ-R1GrWlAPkfaThGqxeTj0QTtrARw4rroxIIepf2kipn1nw%2FformResponse%3Fusp%3Dpp_url%26entry.1313582257%3D0091524155%26entry.1578404635%3DHadir</t>
  </si>
  <si>
    <t>0107042804</t>
  </si>
  <si>
    <t>Farhan Abdurrahman Yusuf</t>
  </si>
  <si>
    <t>https://quickchart.io/qr?size=250&amp;text=https%3A%2F%2Fdocs.google.com%2Fforms%2Fd%2Fe%2F1FAIpQLSeZ-R1GrWlAPkfaThGqxeTj0QTtrARw4rroxIIepf2kipn1nw%2FformResponse%3Fusp%3Dpp_url%26entry.1313582257%3D0107042804%26entry.1578404635%3DHadir</t>
  </si>
  <si>
    <t>Faris Razwa Sambega</t>
  </si>
  <si>
    <t>https://quickchart.io/qr?size=250&amp;text=https%3A%2F%2Fdocs.google.com%2Fforms%2Fd%2Fe%2F1FAIpQLSeZ-R1GrWlAPkfaThGqxeTj0QTtrARw4rroxIIepf2kipn1nw%2FformResponse%3Fusp%3Dpp_url%26entry.1313582257%3D0094782869%26entry.1578404635%3DHadir</t>
  </si>
  <si>
    <t>0107335774</t>
  </si>
  <si>
    <t>Ghaniyah Adelia</t>
  </si>
  <si>
    <t>https://quickchart.io/qr?size=250&amp;text=https%3A%2F%2Fdocs.google.com%2Fforms%2Fd%2Fe%2F1FAIpQLSeZ-R1GrWlAPkfaThGqxeTj0QTtrARw4rroxIIepf2kipn1nw%2FformResponse%3Fusp%3Dpp_url%26entry.1313582257%3D0107335774%26entry.1578404635%3DHadir</t>
  </si>
  <si>
    <t>3103220251</t>
  </si>
  <si>
    <t>Hafizh Mumtaz</t>
  </si>
  <si>
    <t>https://quickchart.io/qr?size=250&amp;text=https%3A%2F%2Fdocs.google.com%2Fforms%2Fd%2Fe%2F1FAIpQLSeZ-R1GrWlAPkfaThGqxeTj0QTtrARw4rroxIIepf2kipn1nw%2FformResponse%3Fusp%3Dpp_url%26entry.1313582257%3D3103220251%26entry.1578404635%3DHadir</t>
  </si>
  <si>
    <t>Juan Pirlo Benzema</t>
  </si>
  <si>
    <t>https://quickchart.io/qr?size=250&amp;text=https%3A%2F%2Fdocs.google.com%2Fforms%2Fd%2Fe%2F1FAIpQLSeZ-R1GrWlAPkfaThGqxeTj0QTtrARw4rroxIIepf2kipn1nw%2FformResponse%3Fusp%3Dpp_url%26entry.1313582257%3D0093078917%26entry.1578404635%3DHadir</t>
  </si>
  <si>
    <t>0106222604</t>
  </si>
  <si>
    <t>Kania Putriana Yaswin</t>
  </si>
  <si>
    <t>https://quickchart.io/qr?size=250&amp;text=https%3A%2F%2Fdocs.google.com%2Fforms%2Fd%2Fe%2F1FAIpQLSeZ-R1GrWlAPkfaThGqxeTj0QTtrARw4rroxIIepf2kipn1nw%2FformResponse%3Fusp%3Dpp_url%26entry.1313582257%3D0106222604%26entry.1578404635%3DHadir</t>
  </si>
  <si>
    <t>0105055119</t>
  </si>
  <si>
    <t>Kaysa Maharani Sofyan</t>
  </si>
  <si>
    <t>https://quickchart.io/qr?size=250&amp;text=https%3A%2F%2Fdocs.google.com%2Fforms%2Fd%2Fe%2F1FAIpQLSeZ-R1GrWlAPkfaThGqxeTj0QTtrARw4rroxIIepf2kipn1nw%2FformResponse%3Fusp%3Dpp_url%26entry.1313582257%3D0105055119%26entry.1578404635%3DHadir</t>
  </si>
  <si>
    <t>0096544983</t>
  </si>
  <si>
    <t>Keisya Andhita Kirana Putri</t>
  </si>
  <si>
    <t>https://quickchart.io/qr?size=250&amp;text=https%3A%2F%2Fdocs.google.com%2Fforms%2Fd%2Fe%2F1FAIpQLSeZ-R1GrWlAPkfaThGqxeTj0QTtrARw4rroxIIepf2kipn1nw%2FformResponse%3Fusp%3Dpp_url%26entry.1313582257%3D0096544983%26entry.1578404635%3DHadir</t>
  </si>
  <si>
    <t>0106562767</t>
  </si>
  <si>
    <t>Kharira P. Pradea</t>
  </si>
  <si>
    <t>33 - GC2 X-7</t>
  </si>
  <si>
    <t>https://quickchart.io/qr?size=250&amp;text=https%3A%2F%2Fdocs.google.com%2Fforms%2Fd%2Fe%2F1FAIpQLSeZ-R1GrWlAPkfaThGqxeTj0QTtrARw4rroxIIepf2kipn1nw%2FformResponse%3Fusp%3Dpp_url%26entry.1313582257%3D0106562767%26entry.1578404635%3DHadir</t>
  </si>
  <si>
    <t>3093288409</t>
  </si>
  <si>
    <t>Livia Vidyadhara</t>
  </si>
  <si>
    <t>https://quickchart.io/qr?size=250&amp;text=https%3A%2F%2Fdocs.google.com%2Fforms%2Fd%2Fe%2F1FAIpQLSeZ-R1GrWlAPkfaThGqxeTj0QTtrARw4rroxIIepf2kipn1nw%2FformResponse%3Fusp%3Dpp_url%26entry.1313582257%3D3093288409%26entry.1578404635%3DHadir</t>
  </si>
  <si>
    <t>0103468589</t>
  </si>
  <si>
    <t>Manar Abbas Bawazir</t>
  </si>
  <si>
    <t>https://quickchart.io/qr?size=250&amp;text=https%3A%2F%2Fdocs.google.com%2Fforms%2Fd%2Fe%2F1FAIpQLSeZ-R1GrWlAPkfaThGqxeTj0QTtrARw4rroxIIepf2kipn1nw%2FformResponse%3Fusp%3Dpp_url%26entry.1313582257%3D0103468589%26entry.1578404635%3DHadir</t>
  </si>
  <si>
    <t>Mohammad Arsa Dafansyah</t>
  </si>
  <si>
    <t>https://quickchart.io/qr?size=250&amp;text=https%3A%2F%2Fdocs.google.com%2Fforms%2Fd%2Fe%2F1FAIpQLSeZ-R1GrWlAPkfaThGqxeTj0QTtrARw4rroxIIepf2kipn1nw%2FformResponse%3Fusp%3Dpp_url%26entry.1313582257%3D0104328116%26entry.1578404635%3DHadir</t>
  </si>
  <si>
    <t>Muhamad Yusuf Zarkasi</t>
  </si>
  <si>
    <t>https://quickchart.io/qr?size=250&amp;text=https%3A%2F%2Fdocs.google.com%2Fforms%2Fd%2Fe%2F1FAIpQLSeZ-R1GrWlAPkfaThGqxeTj0QTtrARw4rroxIIepf2kipn1nw%2FformResponse%3Fusp%3Dpp_url%26entry.1313582257%3D0093678218%26entry.1578404635%3DHadir</t>
  </si>
  <si>
    <t>Muhammad Arsyal Divo Firmansyah</t>
  </si>
  <si>
    <t>https://quickchart.io/qr?size=250&amp;text=https%3A%2F%2Fdocs.google.com%2Fforms%2Fd%2Fe%2F1FAIpQLSeZ-R1GrWlAPkfaThGqxeTj0QTtrARw4rroxIIepf2kipn1nw%2FformResponse%3Fusp%3Dpp_url%26entry.1313582257%3D0093828028%26entry.1578404635%3DHadir</t>
  </si>
  <si>
    <t>0109769349</t>
  </si>
  <si>
    <t>Muhammad Danish Fathul Ulum</t>
  </si>
  <si>
    <t>https://quickchart.io/qr?size=250&amp;text=https%3A%2F%2Fdocs.google.com%2Fforms%2Fd%2Fe%2F1FAIpQLSeZ-R1GrWlAPkfaThGqxeTj0QTtrARw4rroxIIepf2kipn1nw%2FformResponse%3Fusp%3Dpp_url%26entry.1313582257%3D0109769349%26entry.1578404635%3DHadir</t>
  </si>
  <si>
    <t>Muhammad Fathandra Rizki</t>
  </si>
  <si>
    <t>https://quickchart.io/qr?size=250&amp;text=https%3A%2F%2Fdocs.google.com%2Fforms%2Fd%2Fe%2F1FAIpQLSeZ-R1GrWlAPkfaThGqxeTj0QTtrARw4rroxIIepf2kipn1nw%2FformResponse%3Fusp%3Dpp_url%26entry.1313582257%3D0093629282%26entry.1578404635%3DHadir</t>
  </si>
  <si>
    <t>Muhammad Gabriel</t>
  </si>
  <si>
    <t>https://quickchart.io/qr?size=250&amp;text=https%3A%2F%2Fdocs.google.com%2Fforms%2Fd%2Fe%2F1FAIpQLSeZ-R1GrWlAPkfaThGqxeTj0QTtrARw4rroxIIepf2kipn1nw%2FformResponse%3Fusp%3Dpp_url%26entry.1313582257%3D0095243962%26entry.1578404635%3DHadir</t>
  </si>
  <si>
    <t>0105755550</t>
  </si>
  <si>
    <t>Myiesha Lunar Wisesa Putri</t>
  </si>
  <si>
    <t>https://quickchart.io/qr?size=250&amp;text=https%3A%2F%2Fdocs.google.com%2Fforms%2Fd%2Fe%2F1FAIpQLSeZ-R1GrWlAPkfaThGqxeTj0QTtrARw4rroxIIepf2kipn1nw%2FformResponse%3Fusp%3Dpp_url%26entry.1313582257%3D0105755550%26entry.1578404635%3DHadir</t>
  </si>
  <si>
    <t>0106828126</t>
  </si>
  <si>
    <t>Nadila Safira</t>
  </si>
  <si>
    <t>https://quickchart.io/qr?size=250&amp;text=https%3A%2F%2Fdocs.google.com%2Fforms%2Fd%2Fe%2F1FAIpQLSeZ-R1GrWlAPkfaThGqxeTj0QTtrARw4rroxIIepf2kipn1nw%2FformResponse%3Fusp%3Dpp_url%26entry.1313582257%3D0106828126%26entry.1578404635%3DHadir</t>
  </si>
  <si>
    <t>0097673142</t>
  </si>
  <si>
    <t>Naurah Afifah Amaliyah</t>
  </si>
  <si>
    <t>https://quickchart.io/qr?size=250&amp;text=https%3A%2F%2Fdocs.google.com%2Fforms%2Fd%2Fe%2F1FAIpQLSeZ-R1GrWlAPkfaThGqxeTj0QTtrARw4rroxIIepf2kipn1nw%2FformResponse%3Fusp%3Dpp_url%26entry.1313582257%3D0097673142%26entry.1578404635%3DHadir</t>
  </si>
  <si>
    <t>0107698921</t>
  </si>
  <si>
    <t>Nayla Widya Cakraprawartana</t>
  </si>
  <si>
    <t>https://quickchart.io/qr?size=250&amp;text=https%3A%2F%2Fdocs.google.com%2Fforms%2Fd%2Fe%2F1FAIpQLSeZ-R1GrWlAPkfaThGqxeTj0QTtrARw4rroxIIepf2kipn1nw%2FformResponse%3Fusp%3Dpp_url%26entry.1313582257%3D0107698921%26entry.1578404635%3DHadir</t>
  </si>
  <si>
    <t>0098514088</t>
  </si>
  <si>
    <t>Nydia Aisyah Allifia</t>
  </si>
  <si>
    <t>https://quickchart.io/qr?size=250&amp;text=https%3A%2F%2Fdocs.google.com%2Fforms%2Fd%2Fe%2F1FAIpQLSeZ-R1GrWlAPkfaThGqxeTj0QTtrARw4rroxIIepf2kipn1nw%2FformResponse%3Fusp%3Dpp_url%26entry.1313582257%3D0098514088%26entry.1578404635%3DHadir</t>
  </si>
  <si>
    <t>0108129059</t>
  </si>
  <si>
    <t>Raihana Humairah Budianto</t>
  </si>
  <si>
    <t>https://quickchart.io/qr?size=250&amp;text=https%3A%2F%2Fdocs.google.com%2Fforms%2Fd%2Fe%2F1FAIpQLSeZ-R1GrWlAPkfaThGqxeTj0QTtrARw4rroxIIepf2kipn1nw%2FformResponse%3Fusp%3Dpp_url%26entry.1313582257%3D0108129059%26entry.1578404635%3DHadir</t>
  </si>
  <si>
    <t>0109551129</t>
  </si>
  <si>
    <t>Raisa Putri Rahima</t>
  </si>
  <si>
    <t>https://quickchart.io/qr?size=250&amp;text=https%3A%2F%2Fdocs.google.com%2Fforms%2Fd%2Fe%2F1FAIpQLSeZ-R1GrWlAPkfaThGqxeTj0QTtrARw4rroxIIepf2kipn1nw%2FformResponse%3Fusp%3Dpp_url%26entry.1313582257%3D0109551129%26entry.1578404635%3DHadir</t>
  </si>
  <si>
    <t>0093003786</t>
  </si>
  <si>
    <t>Raissya Aurellyona Carollyta Putri</t>
  </si>
  <si>
    <t>https://quickchart.io/qr?size=250&amp;text=https%3A%2F%2Fdocs.google.com%2Fforms%2Fd%2Fe%2F1FAIpQLSeZ-R1GrWlAPkfaThGqxeTj0QTtrARw4rroxIIepf2kipn1nw%2FformResponse%3Fusp%3Dpp_url%26entry.1313582257%3D0093003786%26entry.1578404635%3DHadir</t>
  </si>
  <si>
    <t>0096444734</t>
  </si>
  <si>
    <t>Rindu Gatari Asmiladi</t>
  </si>
  <si>
    <t>https://quickchart.io/qr?size=250&amp;text=https%3A%2F%2Fdocs.google.com%2Fforms%2Fd%2Fe%2F1FAIpQLSeZ-R1GrWlAPkfaThGqxeTj0QTtrARw4rroxIIepf2kipn1nw%2FformResponse%3Fusp%3Dpp_url%26entry.1313582257%3D0096444734%26entry.1578404635%3DHadir</t>
  </si>
  <si>
    <t>Salman Latif Anshari</t>
  </si>
  <si>
    <t>https://quickchart.io/qr?size=250&amp;text=https%3A%2F%2Fdocs.google.com%2Fforms%2Fd%2Fe%2F1FAIpQLSeZ-R1GrWlAPkfaThGqxeTj0QTtrARw4rroxIIepf2kipn1nw%2FformResponse%3Fusp%3Dpp_url%26entry.1313582257%3D0107487290%26entry.1578404635%3DHadir</t>
  </si>
  <si>
    <t>3102286552</t>
  </si>
  <si>
    <t>Siti Iklima Sakurani</t>
  </si>
  <si>
    <t>https://quickchart.io/qr?size=250&amp;text=https%3A%2F%2Fdocs.google.com%2Fforms%2Fd%2Fe%2F1FAIpQLSeZ-R1GrWlAPkfaThGqxeTj0QTtrARw4rroxIIepf2kipn1nw%2FformResponse%3Fusp%3Dpp_url%26entry.1313582257%3D3102286552%26entry.1578404635%3DHadir</t>
  </si>
  <si>
    <t>Sultan Reynard Sabdadika</t>
  </si>
  <si>
    <t>https://quickchart.io/qr?size=250&amp;text=https%3A%2F%2Fdocs.google.com%2Fforms%2Fd%2Fe%2F1FAIpQLSeZ-R1GrWlAPkfaThGqxeTj0QTtrARw4rroxIIepf2kipn1nw%2FformResponse%3Fusp%3Dpp_url%26entry.1313582257%3D0107936085%26entry.1578404635%3DHadir</t>
  </si>
  <si>
    <t>0106701592</t>
  </si>
  <si>
    <t>Syafiqa Bariq Mahya</t>
  </si>
  <si>
    <t>https://quickchart.io/qr?size=250&amp;text=https%3A%2F%2Fdocs.google.com%2Fforms%2Fd%2Fe%2F1FAIpQLSeZ-R1GrWlAPkfaThGqxeTj0QTtrARw4rroxIIepf2kipn1nw%2FformResponse%3Fusp%3Dpp_url%26entry.1313582257%3D0106701592%26entry.1578404635%3DHadir</t>
  </si>
  <si>
    <t>0104155224</t>
  </si>
  <si>
    <t>Syahluna Ananta Putri</t>
  </si>
  <si>
    <t>https://quickchart.io/qr?size=250&amp;text=https%3A%2F%2Fdocs.google.com%2Fforms%2Fd%2Fe%2F1FAIpQLSeZ-R1GrWlAPkfaThGqxeTj0QTtrARw4rroxIIepf2kipn1nw%2FformResponse%3Fusp%3Dpp_url%26entry.1313582257%3D0104155224%26entry.1578404635%3DHadir</t>
  </si>
  <si>
    <t>Tabah Rafie Abdillah</t>
  </si>
  <si>
    <t>https://quickchart.io/qr?size=250&amp;text=https%3A%2F%2Fdocs.google.com%2Fforms%2Fd%2Fe%2F1FAIpQLSeZ-R1GrWlAPkfaThGqxeTj0QTtrARw4rroxIIepf2kipn1nw%2FformResponse%3Fusp%3Dpp_url%26entry.1313582257%3D0097446281%26entry.1578404635%3DHadir</t>
  </si>
  <si>
    <t>Tristan Lovriano Aryasatya</t>
  </si>
  <si>
    <t>https://quickchart.io/qr?size=250&amp;text=https%3A%2F%2Fdocs.google.com%2Fforms%2Fd%2Fe%2F1FAIpQLSeZ-R1GrWlAPkfaThGqxeTj0QTtrARw4rroxIIepf2kipn1nw%2FformResponse%3Fusp%3Dpp_url%26entry.1313582257%3D0105614197%26entry.1578404635%3DHadir</t>
  </si>
  <si>
    <t>0109499801</t>
  </si>
  <si>
    <t>Zafira Salsa Haniah</t>
  </si>
  <si>
    <t>https://quickchart.io/qr?size=250&amp;text=https%3A%2F%2Fdocs.google.com%2Fforms%2Fd%2Fe%2F1FAIpQLSeZ-R1GrWlAPkfaThGqxeTj0QTtrARw4rroxIIepf2kipn1nw%2FformResponse%3Fusp%3Dpp_url%26entry.1313582257%3D0109499801%26entry.1578404635%3DHadir</t>
  </si>
  <si>
    <t>0093560012</t>
  </si>
  <si>
    <t>Adelia Niken</t>
  </si>
  <si>
    <t>X-8</t>
  </si>
  <si>
    <t>33 - GC1 X-8</t>
  </si>
  <si>
    <t>https://quickchart.io/qr?size=250&amp;text=https%3A%2F%2Fdocs.google.com%2Fforms%2Fd%2Fe%2F1FAIpQLSeZ-R1GrWlAPkfaThGqxeTj0QTtrARw4rroxIIepf2kipn1nw%2FformResponse%3Fusp%3Dpp_url%26entry.1313582257%3D0093560012%26entry.1578404635%3DHadir</t>
  </si>
  <si>
    <t>0092017710</t>
  </si>
  <si>
    <t>Aisyah Agustiani</t>
  </si>
  <si>
    <t>https://quickchart.io/qr?size=250&amp;text=https%3A%2F%2Fdocs.google.com%2Fforms%2Fd%2Fe%2F1FAIpQLSeZ-R1GrWlAPkfaThGqxeTj0QTtrARw4rroxIIepf2kipn1nw%2FformResponse%3Fusp%3Dpp_url%26entry.1313582257%3D0092017710%26entry.1578404635%3DHadir</t>
  </si>
  <si>
    <t>0098009248</t>
  </si>
  <si>
    <t>Alenka Meisyarofa</t>
  </si>
  <si>
    <t>https://quickchart.io/qr?size=250&amp;text=https%3A%2F%2Fdocs.google.com%2Fforms%2Fd%2Fe%2F1FAIpQLSeZ-R1GrWlAPkfaThGqxeTj0QTtrARw4rroxIIepf2kipn1nw%2FformResponse%3Fusp%3Dpp_url%26entry.1313582257%3D0098009248%26entry.1578404635%3DHadir</t>
  </si>
  <si>
    <t>3105167232</t>
  </si>
  <si>
    <t>Alifa Taqqiya Zahwa</t>
  </si>
  <si>
    <t>https://quickchart.io/qr?size=250&amp;text=https%3A%2F%2Fdocs.google.com%2Fforms%2Fd%2Fe%2F1FAIpQLSeZ-R1GrWlAPkfaThGqxeTj0QTtrARw4rroxIIepf2kipn1nw%2FformResponse%3Fusp%3Dpp_url%26entry.1313582257%3D3105167232%26entry.1578404635%3DHadir</t>
  </si>
  <si>
    <t>0107122505</t>
  </si>
  <si>
    <t>Alifah Hasannah</t>
  </si>
  <si>
    <t>https://quickchart.io/qr?size=250&amp;text=https%3A%2F%2Fdocs.google.com%2Fforms%2Fd%2Fe%2F1FAIpQLSeZ-R1GrWlAPkfaThGqxeTj0QTtrARw4rroxIIepf2kipn1nw%2FformResponse%3Fusp%3Dpp_url%26entry.1313582257%3D0107122505%26entry.1578404635%3DHadir</t>
  </si>
  <si>
    <t>0104668456</t>
  </si>
  <si>
    <t>Andagita Vilnaria Atha</t>
  </si>
  <si>
    <t>https://quickchart.io/qr?size=250&amp;text=https%3A%2F%2Fdocs.google.com%2Fforms%2Fd%2Fe%2F1FAIpQLSeZ-R1GrWlAPkfaThGqxeTj0QTtrARw4rroxIIepf2kipn1nw%2FformResponse%3Fusp%3Dpp_url%26entry.1313582257%3D0104668456%26entry.1578404635%3DHadir</t>
  </si>
  <si>
    <t>0102036572</t>
  </si>
  <si>
    <t>Ariqah Putri Nasution</t>
  </si>
  <si>
    <t>https://quickchart.io/qr?size=250&amp;text=https%3A%2F%2Fdocs.google.com%2Fforms%2Fd%2Fe%2F1FAIpQLSeZ-R1GrWlAPkfaThGqxeTj0QTtrARw4rroxIIepf2kipn1nw%2FformResponse%3Fusp%3Dpp_url%26entry.1313582257%3D0102036572%26entry.1578404635%3DHadir</t>
  </si>
  <si>
    <t>0102307654</t>
  </si>
  <si>
    <t>Aulia Cinta Divia</t>
  </si>
  <si>
    <t>https://quickchart.io/qr?size=250&amp;text=https%3A%2F%2Fdocs.google.com%2Fforms%2Fd%2Fe%2F1FAIpQLSeZ-R1GrWlAPkfaThGqxeTj0QTtrARw4rroxIIepf2kipn1nw%2FformResponse%3Fusp%3Dpp_url%26entry.1313582257%3D0102307654%26entry.1578404635%3DHadir</t>
  </si>
  <si>
    <t>0105089607</t>
  </si>
  <si>
    <t>Aysha Mahira Dewi Tryana</t>
  </si>
  <si>
    <t>https://quickchart.io/qr?size=250&amp;text=https%3A%2F%2Fdocs.google.com%2Fforms%2Fd%2Fe%2F1FAIpQLSeZ-R1GrWlAPkfaThGqxeTj0QTtrARw4rroxIIepf2kipn1nw%2FformResponse%3Fusp%3Dpp_url%26entry.1313582257%3D0105089607%26entry.1578404635%3DHadir</t>
  </si>
  <si>
    <t>0096174502</t>
  </si>
  <si>
    <t>Belinda Angelica</t>
  </si>
  <si>
    <t>https://quickchart.io/qr?size=250&amp;text=https%3A%2F%2Fdocs.google.com%2Fforms%2Fd%2Fe%2F1FAIpQLSeZ-R1GrWlAPkfaThGqxeTj0QTtrARw4rroxIIepf2kipn1nw%2FformResponse%3Fusp%3Dpp_url%26entry.1313582257%3D0096174502%26entry.1578404635%3DHadir</t>
  </si>
  <si>
    <t>0092180086</t>
  </si>
  <si>
    <t>Bima Anggareksa Yusiansyah</t>
  </si>
  <si>
    <t>33 - BC X-8</t>
  </si>
  <si>
    <t>https://quickchart.io/qr?size=250&amp;text=https%3A%2F%2Fdocs.google.com%2Fforms%2Fd%2Fe%2F1FAIpQLSeZ-R1GrWlAPkfaThGqxeTj0QTtrARw4rroxIIepf2kipn1nw%2FformResponse%3Fusp%3Dpp_url%26entry.1313582257%3D0092180086%26entry.1578404635%3DHadir</t>
  </si>
  <si>
    <t>3094942931</t>
  </si>
  <si>
    <t>Dela Ananda Putri</t>
  </si>
  <si>
    <t>https://quickchart.io/qr?size=250&amp;text=https%3A%2F%2Fdocs.google.com%2Fforms%2Fd%2Fe%2F1FAIpQLSeZ-R1GrWlAPkfaThGqxeTj0QTtrARw4rroxIIepf2kipn1nw%2FformResponse%3Fusp%3Dpp_url%26entry.1313582257%3D3094942931%26entry.1578404635%3DHadir</t>
  </si>
  <si>
    <t>0103091510</t>
  </si>
  <si>
    <t>Dian Noer Savitri</t>
  </si>
  <si>
    <t>https://quickchart.io/qr?size=250&amp;text=https%3A%2F%2Fdocs.google.com%2Fforms%2Fd%2Fe%2F1FAIpQLSeZ-R1GrWlAPkfaThGqxeTj0QTtrARw4rroxIIepf2kipn1nw%2FformResponse%3Fusp%3Dpp_url%26entry.1313582257%3D0103091510%26entry.1578404635%3DHadir</t>
  </si>
  <si>
    <t>0093558313</t>
  </si>
  <si>
    <t>Diandra Mentari Fazri</t>
  </si>
  <si>
    <t>https://quickchart.io/qr?size=250&amp;text=https%3A%2F%2Fdocs.google.com%2Fforms%2Fd%2Fe%2F1FAIpQLSeZ-R1GrWlAPkfaThGqxeTj0QTtrARw4rroxIIepf2kipn1nw%2FformResponse%3Fusp%3Dpp_url%26entry.1313582257%3D0093558313%26entry.1578404635%3DHadir</t>
  </si>
  <si>
    <t>0093242338</t>
  </si>
  <si>
    <t>Divania Kayla Windu Sabrina</t>
  </si>
  <si>
    <t>https://quickchart.io/qr?size=250&amp;text=https%3A%2F%2Fdocs.google.com%2Fforms%2Fd%2Fe%2F1FAIpQLSeZ-R1GrWlAPkfaThGqxeTj0QTtrARw4rroxIIepf2kipn1nw%2FformResponse%3Fusp%3Dpp_url%26entry.1313582257%3D0093242338%26entry.1578404635%3DHadir</t>
  </si>
  <si>
    <t>0095632017</t>
  </si>
  <si>
    <t>Dyshan Attaya Haq Triatno</t>
  </si>
  <si>
    <t>https://quickchart.io/qr?size=250&amp;text=https%3A%2F%2Fdocs.google.com%2Fforms%2Fd%2Fe%2F1FAIpQLSeZ-R1GrWlAPkfaThGqxeTj0QTtrARw4rroxIIepf2kipn1nw%2FformResponse%3Fusp%3Dpp_url%26entry.1313582257%3D0095632017%26entry.1578404635%3DHadir</t>
  </si>
  <si>
    <t>0099446424</t>
  </si>
  <si>
    <t>Farid Pradana</t>
  </si>
  <si>
    <t>https://quickchart.io/qr?size=250&amp;text=https%3A%2F%2Fdocs.google.com%2Fforms%2Fd%2Fe%2F1FAIpQLSeZ-R1GrWlAPkfaThGqxeTj0QTtrARw4rroxIIepf2kipn1nw%2FformResponse%3Fusp%3Dpp_url%26entry.1313582257%3D0099446424%26entry.1578404635%3DHadir</t>
  </si>
  <si>
    <t>0103174946</t>
  </si>
  <si>
    <t>Fathia Adilla Ramsha</t>
  </si>
  <si>
    <t>https://quickchart.io/qr?size=250&amp;text=https%3A%2F%2Fdocs.google.com%2Fforms%2Fd%2Fe%2F1FAIpQLSeZ-R1GrWlAPkfaThGqxeTj0QTtrARw4rroxIIepf2kipn1nw%2FformResponse%3Fusp%3Dpp_url%26entry.1313582257%3D0103174946%26entry.1578404635%3DHadir</t>
  </si>
  <si>
    <t>0107691976</t>
  </si>
  <si>
    <t>Kania Wismar Adnyana</t>
  </si>
  <si>
    <t>33 - GC2 X-8</t>
  </si>
  <si>
    <t>https://quickchart.io/qr?size=250&amp;text=https%3A%2F%2Fdocs.google.com%2Fforms%2Fd%2Fe%2F1FAIpQLSeZ-R1GrWlAPkfaThGqxeTj0QTtrARw4rroxIIepf2kipn1nw%2FformResponse%3Fusp%3Dpp_url%26entry.1313582257%3D0107691976%26entry.1578404635%3DHadir</t>
  </si>
  <si>
    <t>0101976221</t>
  </si>
  <si>
    <t>Kaysan Umar Azka Setiawan</t>
  </si>
  <si>
    <t>https://quickchart.io/qr?size=250&amp;text=https%3A%2F%2Fdocs.google.com%2Fforms%2Fd%2Fe%2F1FAIpQLSeZ-R1GrWlAPkfaThGqxeTj0QTtrARw4rroxIIepf2kipn1nw%2FformResponse%3Fusp%3Dpp_url%26entry.1313582257%3D0101976221%26entry.1578404635%3DHadir</t>
  </si>
  <si>
    <t>0092212305</t>
  </si>
  <si>
    <t>Luqman Aziz Saputro</t>
  </si>
  <si>
    <t>https://quickchart.io/qr?size=250&amp;text=https%3A%2F%2Fdocs.google.com%2Fforms%2Fd%2Fe%2F1FAIpQLSeZ-R1GrWlAPkfaThGqxeTj0QTtrARw4rroxIIepf2kipn1nw%2FformResponse%3Fusp%3Dpp_url%26entry.1313582257%3D0092212305%26entry.1578404635%3DHadir</t>
  </si>
  <si>
    <t>0102160006</t>
  </si>
  <si>
    <t>Mirza Maulana Altamis</t>
  </si>
  <si>
    <t>https://quickchart.io/qr?size=250&amp;text=https%3A%2F%2Fdocs.google.com%2Fforms%2Fd%2Fe%2F1FAIpQLSeZ-R1GrWlAPkfaThGqxeTj0QTtrARw4rroxIIepf2kipn1nw%2FformResponse%3Fusp%3Dpp_url%26entry.1313582257%3D0102160006%26entry.1578404635%3DHadir</t>
  </si>
  <si>
    <t>0103442868</t>
  </si>
  <si>
    <t>Mochammad Hafizh Fadlurahman</t>
  </si>
  <si>
    <t>https://quickchart.io/qr?size=250&amp;text=https%3A%2F%2Fdocs.google.com%2Fforms%2Fd%2Fe%2F1FAIpQLSeZ-R1GrWlAPkfaThGqxeTj0QTtrARw4rroxIIepf2kipn1nw%2FformResponse%3Fusp%3Dpp_url%26entry.1313582257%3D0103442868%26entry.1578404635%3DHadir</t>
  </si>
  <si>
    <t>0105918833</t>
  </si>
  <si>
    <t>Mouris Marcha Adisty</t>
  </si>
  <si>
    <t>https://quickchart.io/qr?size=250&amp;text=https%3A%2F%2Fdocs.google.com%2Fforms%2Fd%2Fe%2F1FAIpQLSeZ-R1GrWlAPkfaThGqxeTj0QTtrARw4rroxIIepf2kipn1nw%2FformResponse%3Fusp%3Dpp_url%26entry.1313582257%3D0105918833%26entry.1578404635%3DHadir</t>
  </si>
  <si>
    <t>0099772945</t>
  </si>
  <si>
    <t>Muhamad Ilham Akbar</t>
  </si>
  <si>
    <t>https://quickchart.io/qr?size=250&amp;text=https%3A%2F%2Fdocs.google.com%2Fforms%2Fd%2Fe%2F1FAIpQLSeZ-R1GrWlAPkfaThGqxeTj0QTtrARw4rroxIIepf2kipn1nw%2FformResponse%3Fusp%3Dpp_url%26entry.1313582257%3D0099772945%26entry.1578404635%3DHadir</t>
  </si>
  <si>
    <t>0094259451</t>
  </si>
  <si>
    <t>Muhamad Mustakim</t>
  </si>
  <si>
    <t>https://quickchart.io/qr?size=250&amp;text=https%3A%2F%2Fdocs.google.com%2Fforms%2Fd%2Fe%2F1FAIpQLSeZ-R1GrWlAPkfaThGqxeTj0QTtrARw4rroxIIepf2kipn1nw%2FformResponse%3Fusp%3Dpp_url%26entry.1313582257%3D0094259451%26entry.1578404635%3DHadir</t>
  </si>
  <si>
    <t>0107525738</t>
  </si>
  <si>
    <t>Muhammad Faiz Fathian</t>
  </si>
  <si>
    <t>https://quickchart.io/qr?size=250&amp;text=https%3A%2F%2Fdocs.google.com%2Fforms%2Fd%2Fe%2F1FAIpQLSeZ-R1GrWlAPkfaThGqxeTj0QTtrARw4rroxIIepf2kipn1nw%2FformResponse%3Fusp%3Dpp_url%26entry.1313582257%3D0107525738%26entry.1578404635%3DHadir</t>
  </si>
  <si>
    <t>3107499493</t>
  </si>
  <si>
    <t>Muhammad Fariz Nuh</t>
  </si>
  <si>
    <t>https://quickchart.io/qr?size=250&amp;text=https%3A%2F%2Fdocs.google.com%2Fforms%2Fd%2Fe%2F1FAIpQLSeZ-R1GrWlAPkfaThGqxeTj0QTtrARw4rroxIIepf2kipn1nw%2FformResponse%3Fusp%3Dpp_url%26entry.1313582257%3D3107499493%26entry.1578404635%3DHadir</t>
  </si>
  <si>
    <t>3108018555</t>
  </si>
  <si>
    <t>Muhammad Fawaz Ali</t>
  </si>
  <si>
    <t>https://quickchart.io/qr?size=250&amp;text=https%3A%2F%2Fdocs.google.com%2Fforms%2Fd%2Fe%2F1FAIpQLSeZ-R1GrWlAPkfaThGqxeTj0QTtrARw4rroxIIepf2kipn1nw%2FformResponse%3Fusp%3Dpp_url%26entry.1313582257%3D3108018555%26entry.1578404635%3DHadir</t>
  </si>
  <si>
    <t>0091031385</t>
  </si>
  <si>
    <t>Muhammad Rafli Ramsha</t>
  </si>
  <si>
    <t>https://quickchart.io/qr?size=250&amp;text=https%3A%2F%2Fdocs.google.com%2Fforms%2Fd%2Fe%2F1FAIpQLSeZ-R1GrWlAPkfaThGqxeTj0QTtrARw4rroxIIepf2kipn1nw%2FformResponse%3Fusp%3Dpp_url%26entry.1313582257%3D0091031385%26entry.1578404635%3DHadir</t>
  </si>
  <si>
    <t>0111220217</t>
  </si>
  <si>
    <t>Muhammad Yafiargi Simbangando</t>
  </si>
  <si>
    <t>https://quickchart.io/qr?size=250&amp;text=https%3A%2F%2Fdocs.google.com%2Fforms%2Fd%2Fe%2F1FAIpQLSeZ-R1GrWlAPkfaThGqxeTj0QTtrARw4rroxIIepf2kipn1nw%2FformResponse%3Fusp%3Dpp_url%26entry.1313582257%3D0111220217%26entry.1578404635%3DHadir</t>
  </si>
  <si>
    <t>0098938532</t>
  </si>
  <si>
    <t>Naila Khansa Rahmawati</t>
  </si>
  <si>
    <t>https://quickchart.io/qr?size=250&amp;text=https%3A%2F%2Fdocs.google.com%2Fforms%2Fd%2Fe%2F1FAIpQLSeZ-R1GrWlAPkfaThGqxeTj0QTtrARw4rroxIIepf2kipn1nw%2FformResponse%3Fusp%3Dpp_url%26entry.1313582257%3D0098938532%26entry.1578404635%3DHadir</t>
  </si>
  <si>
    <t>3109348901</t>
  </si>
  <si>
    <t>Namira Nur Azkia</t>
  </si>
  <si>
    <t>https://quickchart.io/qr?size=250&amp;text=https%3A%2F%2Fdocs.google.com%2Fforms%2Fd%2Fe%2F1FAIpQLSeZ-R1GrWlAPkfaThGqxeTj0QTtrARw4rroxIIepf2kipn1nw%2FformResponse%3Fusp%3Dpp_url%26entry.1313582257%3D3109348901%26entry.1578404635%3DHadir</t>
  </si>
  <si>
    <t>0091281050</t>
  </si>
  <si>
    <t>Naswa Ramadhani</t>
  </si>
  <si>
    <t>https://quickchart.io/qr?size=250&amp;text=https%3A%2F%2Fdocs.google.com%2Fforms%2Fd%2Fe%2F1FAIpQLSeZ-R1GrWlAPkfaThGqxeTj0QTtrARw4rroxIIepf2kipn1nw%2FformResponse%3Fusp%3Dpp_url%26entry.1313582257%3D0091281050%26entry.1578404635%3DHadir</t>
  </si>
  <si>
    <t>0107347265</t>
  </si>
  <si>
    <t>Nayla Ulya Taqiyya</t>
  </si>
  <si>
    <t>https://quickchart.io/qr?size=250&amp;text=https%3A%2F%2Fdocs.google.com%2Fforms%2Fd%2Fe%2F1FAIpQLSeZ-R1GrWlAPkfaThGqxeTj0QTtrARw4rroxIIepf2kipn1nw%2FformResponse%3Fusp%3Dpp_url%26entry.1313582257%3D0107347265%26entry.1578404635%3DHadir</t>
  </si>
  <si>
    <t>0105961239</t>
  </si>
  <si>
    <t>Nazwa Malika Asral</t>
  </si>
  <si>
    <t>https://quickchart.io/qr?size=250&amp;text=https%3A%2F%2Fdocs.google.com%2Fforms%2Fd%2Fe%2F1FAIpQLSeZ-R1GrWlAPkfaThGqxeTj0QTtrARw4rroxIIepf2kipn1nw%2FformResponse%3Fusp%3Dpp_url%26entry.1313582257%3D0105961239%26entry.1578404635%3DHadir</t>
  </si>
  <si>
    <t>0105803552</t>
  </si>
  <si>
    <t>Nikesha Nashwa Damara</t>
  </si>
  <si>
    <t>https://quickchart.io/qr?size=250&amp;text=https%3A%2F%2Fdocs.google.com%2Fforms%2Fd%2Fe%2F1FAIpQLSeZ-R1GrWlAPkfaThGqxeTj0QTtrARw4rroxIIepf2kipn1nw%2FformResponse%3Fusp%3Dpp_url%26entry.1313582257%3D0105803552%26entry.1578404635%3DHadir</t>
  </si>
  <si>
    <t>0095193509</t>
  </si>
  <si>
    <t>Ni'Matul Aulia Ningtias</t>
  </si>
  <si>
    <t>https://quickchart.io/qr?size=250&amp;text=https%3A%2F%2Fdocs.google.com%2Fforms%2Fd%2Fe%2F1FAIpQLSeZ-R1GrWlAPkfaThGqxeTj0QTtrARw4rroxIIepf2kipn1nw%2FformResponse%3Fusp%3Dpp_url%26entry.1313582257%3D0095193509%26entry.1578404635%3DHadir</t>
  </si>
  <si>
    <t>0109599363</t>
  </si>
  <si>
    <t>Quensha Rahayu Kusuma Agora</t>
  </si>
  <si>
    <t>https://quickchart.io/qr?size=250&amp;text=https%3A%2F%2Fdocs.google.com%2Fforms%2Fd%2Fe%2F1FAIpQLSeZ-R1GrWlAPkfaThGqxeTj0QTtrARw4rroxIIepf2kipn1nw%2FformResponse%3Fusp%3Dpp_url%26entry.1313582257%3D0109599363%26entry.1578404635%3DHadir</t>
  </si>
  <si>
    <t>0105462734</t>
  </si>
  <si>
    <t>Quincha Aura Brilliani</t>
  </si>
  <si>
    <t>https://quickchart.io/qr?size=250&amp;text=https%3A%2F%2Fdocs.google.com%2Fforms%2Fd%2Fe%2F1FAIpQLSeZ-R1GrWlAPkfaThGqxeTj0QTtrARw4rroxIIepf2kipn1nw%2FformResponse%3Fusp%3Dpp_url%26entry.1313582257%3D0105462734%26entry.1578404635%3DHadir</t>
  </si>
  <si>
    <t>0097882314</t>
  </si>
  <si>
    <t>Raihan Farras Sutisna</t>
  </si>
  <si>
    <t>https://quickchart.io/qr?size=250&amp;text=https%3A%2F%2Fdocs.google.com%2Fforms%2Fd%2Fe%2F1FAIpQLSeZ-R1GrWlAPkfaThGqxeTj0QTtrARw4rroxIIepf2kipn1nw%2FformResponse%3Fusp%3Dpp_url%26entry.1313582257%3D0097882314%26entry.1578404635%3DHadir</t>
  </si>
  <si>
    <t>0099739465</t>
  </si>
  <si>
    <t>Raka Syabany Amsyah</t>
  </si>
  <si>
    <t>https://quickchart.io/qr?size=250&amp;text=https%3A%2F%2Fdocs.google.com%2Fforms%2Fd%2Fe%2F1FAIpQLSeZ-R1GrWlAPkfaThGqxeTj0QTtrARw4rroxIIepf2kipn1nw%2FformResponse%3Fusp%3Dpp_url%26entry.1313582257%3D0099739465%26entry.1578404635%3DHadir</t>
  </si>
  <si>
    <t>0102838068</t>
  </si>
  <si>
    <t>Ryzen Gevandra Wirapratama</t>
  </si>
  <si>
    <t>https://quickchart.io/qr?size=250&amp;text=https%3A%2F%2Fdocs.google.com%2Fforms%2Fd%2Fe%2F1FAIpQLSeZ-R1GrWlAPkfaThGqxeTj0QTtrARw4rroxIIepf2kipn1nw%2FformResponse%3Fusp%3Dpp_url%26entry.1313582257%3D0102838068%26entry.1578404635%3DHadir</t>
  </si>
  <si>
    <t>0107357472</t>
  </si>
  <si>
    <t>Sinta Dwi Nuri Widodo</t>
  </si>
  <si>
    <t>https://quickchart.io/qr?size=250&amp;text=https%3A%2F%2Fdocs.google.com%2Fforms%2Fd%2Fe%2F1FAIpQLSeZ-R1GrWlAPkfaThGqxeTj0QTtrARw4rroxIIepf2kipn1nw%2FformResponse%3Fusp%3Dpp_url%26entry.1313582257%3D0107357472%26entry.1578404635%3DHadir</t>
  </si>
  <si>
    <t>0093433461</t>
  </si>
  <si>
    <t>Syarifah Nur Salsabila</t>
  </si>
  <si>
    <t>https://quickchart.io/qr?size=250&amp;text=https%3A%2F%2Fdocs.google.com%2Fforms%2Fd%2Fe%2F1FAIpQLSeZ-R1GrWlAPkfaThGqxeTj0QTtrARw4rroxIIepf2kipn1nw%2FformResponse%3Fusp%3Dpp_url%26entry.1313582257%3D0093433461%26entry.1578404635%3DHadir</t>
  </si>
  <si>
    <t>0108340159</t>
  </si>
  <si>
    <t>Tsamara Privita Sya'Ban Syahdu</t>
  </si>
  <si>
    <t>https://quickchart.io/qr?size=250&amp;text=https%3A%2F%2Fdocs.google.com%2Fforms%2Fd%2Fe%2F1FAIpQLSeZ-R1GrWlAPkfaThGqxeTj0QTtrARw4rroxIIepf2kipn1nw%2FformResponse%3Fusp%3Dpp_url%26entry.1313582257%3D0108340159%26entry.1578404635%3DHadir</t>
  </si>
  <si>
    <t>0094438921</t>
  </si>
  <si>
    <t>Yuzusie Aida Nenat</t>
  </si>
  <si>
    <t>https://quickchart.io/qr?size=250&amp;text=https%3A%2F%2Fdocs.google.com%2Fforms%2Fd%2Fe%2F1FAIpQLSeZ-R1GrWlAPkfaThGqxeTj0QTtrARw4rroxIIepf2kipn1nw%2FformResponse%3Fusp%3Dpp_url%26entry.1313582257%3D0094438921%26entry.1578404635%3DHadir</t>
  </si>
  <si>
    <t>0106681838</t>
  </si>
  <si>
    <t>Abyan Zuka Ibrahim Nasution</t>
  </si>
  <si>
    <t>X-9</t>
  </si>
  <si>
    <t>https://quickchart.io/qr?size=250&amp;text=https%3A%2F%2Fdocs.google.com%2Fforms%2Fd%2Fe%2F1FAIpQLSeZ-R1GrWlAPkfaThGqxeTj0QTtrARw4rroxIIepf2kipn1nw%2FformResponse%3Fusp%3Dpp_url%26entry.1313582257%3D0106681838%26entry.1578404635%3DHadir</t>
  </si>
  <si>
    <t>0108974704</t>
  </si>
  <si>
    <t>Ahmad Hafidz Anwar</t>
  </si>
  <si>
    <t>https://quickchart.io/qr?size=250&amp;text=https%3A%2F%2Fdocs.google.com%2Fforms%2Fd%2Fe%2F1FAIpQLSeZ-R1GrWlAPkfaThGqxeTj0QTtrARw4rroxIIepf2kipn1nw%2FformResponse%3Fusp%3Dpp_url%26entry.1313582257%3D0108974704%26entry.1578404635%3DHadir</t>
  </si>
  <si>
    <t>0105339420</t>
  </si>
  <si>
    <t>Aishanna Latifa Harjono</t>
  </si>
  <si>
    <t>33 - GC1 X-9</t>
  </si>
  <si>
    <t>https://quickchart.io/qr?size=250&amp;text=https%3A%2F%2Fdocs.google.com%2Fforms%2Fd%2Fe%2F1FAIpQLSeZ-R1GrWlAPkfaThGqxeTj0QTtrARw4rroxIIepf2kipn1nw%2FformResponse%3Fusp%3Dpp_url%26entry.1313582257%3D0105339420%26entry.1578404635%3DHadir</t>
  </si>
  <si>
    <t>0093799489</t>
  </si>
  <si>
    <t>Aqila Elmohri</t>
  </si>
  <si>
    <t>https://quickchart.io/qr?size=250&amp;text=https%3A%2F%2Fdocs.google.com%2Fforms%2Fd%2Fe%2F1FAIpQLSeZ-R1GrWlAPkfaThGqxeTj0QTtrARw4rroxIIepf2kipn1nw%2FformResponse%3Fusp%3Dpp_url%26entry.1313582257%3D0093799489%26entry.1578404635%3DHadir</t>
  </si>
  <si>
    <t>3111697965</t>
  </si>
  <si>
    <t>Aqilla Al-Farabi</t>
  </si>
  <si>
    <t>https://quickchart.io/qr?size=250&amp;text=https%3A%2F%2Fdocs.google.com%2Fforms%2Fd%2Fe%2F1FAIpQLSeZ-R1GrWlAPkfaThGqxeTj0QTtrARw4rroxIIepf2kipn1nw%2FformResponse%3Fusp%3Dpp_url%26entry.1313582257%3D3111697965%26entry.1578404635%3DHadir</t>
  </si>
  <si>
    <t>0102592413</t>
  </si>
  <si>
    <t>Ariyo Raditya Putra</t>
  </si>
  <si>
    <t>33 - BC X-9</t>
  </si>
  <si>
    <t>https://quickchart.io/qr?size=250&amp;text=https%3A%2F%2Fdocs.google.com%2Fforms%2Fd%2Fe%2F1FAIpQLSeZ-R1GrWlAPkfaThGqxeTj0QTtrARw4rroxIIepf2kipn1nw%2FformResponse%3Fusp%3Dpp_url%26entry.1313582257%3D0102592413%26entry.1578404635%3DHadir</t>
  </si>
  <si>
    <t>0099452000</t>
  </si>
  <si>
    <t>Asshafa Nur Intan</t>
  </si>
  <si>
    <t>https://quickchart.io/qr?size=250&amp;text=https%3A%2F%2Fdocs.google.com%2Fforms%2Fd%2Fe%2F1FAIpQLSeZ-R1GrWlAPkfaThGqxeTj0QTtrARw4rroxIIepf2kipn1nw%2FformResponse%3Fusp%3Dpp_url%26entry.1313582257%3D0099452000%26entry.1578404635%3DHadir</t>
  </si>
  <si>
    <t>0093343311</t>
  </si>
  <si>
    <t>Attar Palestine Taha</t>
  </si>
  <si>
    <t>https://quickchart.io/qr?size=250&amp;text=https%3A%2F%2Fdocs.google.com%2Fforms%2Fd%2Fe%2F1FAIpQLSeZ-R1GrWlAPkfaThGqxeTj0QTtrARw4rroxIIepf2kipn1nw%2FformResponse%3Fusp%3Dpp_url%26entry.1313582257%3D0093343311%26entry.1578404635%3DHadir</t>
  </si>
  <si>
    <t>0102924778</t>
  </si>
  <si>
    <t>Aufa Khairunnisa</t>
  </si>
  <si>
    <t>https://quickchart.io/qr?size=250&amp;text=https%3A%2F%2Fdocs.google.com%2Fforms%2Fd%2Fe%2F1FAIpQLSeZ-R1GrWlAPkfaThGqxeTj0QTtrARw4rroxIIepf2kipn1nw%2FformResponse%3Fusp%3Dpp_url%26entry.1313582257%3D0102924778%26entry.1578404635%3DHadir</t>
  </si>
  <si>
    <t>0108974038</t>
  </si>
  <si>
    <t>Balqis Luthfiyah Zahra</t>
  </si>
  <si>
    <t>https://quickchart.io/qr?size=250&amp;text=https%3A%2F%2Fdocs.google.com%2Fforms%2Fd%2Fe%2F1FAIpQLSeZ-R1GrWlAPkfaThGqxeTj0QTtrARw4rroxIIepf2kipn1nw%2FformResponse%3Fusp%3Dpp_url%26entry.1313582257%3D0108974038%26entry.1578404635%3DHadir</t>
  </si>
  <si>
    <t>0104378571</t>
  </si>
  <si>
    <t>Chayra Putri Dwinata</t>
  </si>
  <si>
    <t>https://quickchart.io/qr?size=250&amp;text=https%3A%2F%2Fdocs.google.com%2Fforms%2Fd%2Fe%2F1FAIpQLSeZ-R1GrWlAPkfaThGqxeTj0QTtrARw4rroxIIepf2kipn1nw%2FformResponse%3Fusp%3Dpp_url%26entry.1313582257%3D0104378571%26entry.1578404635%3DHadir</t>
  </si>
  <si>
    <t>0107900663</t>
  </si>
  <si>
    <t>Cheryl Anandiora</t>
  </si>
  <si>
    <t>https://quickchart.io/qr?size=250&amp;text=https%3A%2F%2Fdocs.google.com%2Fforms%2Fd%2Fe%2F1FAIpQLSeZ-R1GrWlAPkfaThGqxeTj0QTtrARw4rroxIIepf2kipn1nw%2FformResponse%3Fusp%3Dpp_url%26entry.1313582257%3D0107900663%26entry.1578404635%3DHadir</t>
  </si>
  <si>
    <t>0091254694</t>
  </si>
  <si>
    <t>Dahayu Nadhilah Syafa</t>
  </si>
  <si>
    <t>https://quickchart.io/qr?size=250&amp;text=https%3A%2F%2Fdocs.google.com%2Fforms%2Fd%2Fe%2F1FAIpQLSeZ-R1GrWlAPkfaThGqxeTj0QTtrARw4rroxIIepf2kipn1nw%2FformResponse%3Fusp%3Dpp_url%26entry.1313582257%3D0091254694%26entry.1578404635%3DHadir</t>
  </si>
  <si>
    <t>0108673369</t>
  </si>
  <si>
    <t>Elen Vanesyah Wahyudi</t>
  </si>
  <si>
    <t>https://quickchart.io/qr?size=250&amp;text=https%3A%2F%2Fdocs.google.com%2Fforms%2Fd%2Fe%2F1FAIpQLSeZ-R1GrWlAPkfaThGqxeTj0QTtrARw4rroxIIepf2kipn1nw%2FformResponse%3Fusp%3Dpp_url%26entry.1313582257%3D0108673369%26entry.1578404635%3DHadir</t>
  </si>
  <si>
    <t>0097946386</t>
  </si>
  <si>
    <t>Fitrah Thirafi</t>
  </si>
  <si>
    <t>https://quickchart.io/qr?size=250&amp;text=https%3A%2F%2Fdocs.google.com%2Fforms%2Fd%2Fe%2F1FAIpQLSeZ-R1GrWlAPkfaThGqxeTj0QTtrARw4rroxIIepf2kipn1nw%2FformResponse%3Fusp%3Dpp_url%26entry.1313582257%3D0097946386%26entry.1578404635%3DHadir</t>
  </si>
  <si>
    <t>0099535255</t>
  </si>
  <si>
    <t>Fitri Rahmawati</t>
  </si>
  <si>
    <t>https://quickchart.io/qr?size=250&amp;text=https%3A%2F%2Fdocs.google.com%2Fforms%2Fd%2Fe%2F1FAIpQLSeZ-R1GrWlAPkfaThGqxeTj0QTtrARw4rroxIIepf2kipn1nw%2FformResponse%3Fusp%3Dpp_url%26entry.1313582257%3D0099535255%26entry.1578404635%3DHadir</t>
  </si>
  <si>
    <t>0094573200</t>
  </si>
  <si>
    <t>Ghaniah Aqilah</t>
  </si>
  <si>
    <t>https://quickchart.io/qr?size=250&amp;text=https%3A%2F%2Fdocs.google.com%2Fforms%2Fd%2Fe%2F1FAIpQLSeZ-R1GrWlAPkfaThGqxeTj0QTtrARw4rroxIIepf2kipn1nw%2FformResponse%3Fusp%3Dpp_url%26entry.1313582257%3D0094573200%26entry.1578404635%3DHadir</t>
  </si>
  <si>
    <t>0114593936</t>
  </si>
  <si>
    <t>Hizam Kynan Putra Purwanto</t>
  </si>
  <si>
    <t>https://quickchart.io/qr?size=250&amp;text=https%3A%2F%2Fdocs.google.com%2Fforms%2Fd%2Fe%2F1FAIpQLSeZ-R1GrWlAPkfaThGqxeTj0QTtrARw4rroxIIepf2kipn1nw%2FformResponse%3Fusp%3Dpp_url%26entry.1313582257%3D0114593936%26entry.1578404635%3DHadir</t>
  </si>
  <si>
    <t>0109669821</t>
  </si>
  <si>
    <t>Ilham Rizki Pratama</t>
  </si>
  <si>
    <t>https://quickchart.io/qr?size=250&amp;text=https%3A%2F%2Fdocs.google.com%2Fforms%2Fd%2Fe%2F1FAIpQLSeZ-R1GrWlAPkfaThGqxeTj0QTtrARw4rroxIIepf2kipn1nw%2FformResponse%3Fusp%3Dpp_url%26entry.1313582257%3D0109669821%26entry.1578404635%3DHadir</t>
  </si>
  <si>
    <t>0103695549</t>
  </si>
  <si>
    <t>Izaz Izzatul Islam</t>
  </si>
  <si>
    <t>https://quickchart.io/qr?size=250&amp;text=https%3A%2F%2Fdocs.google.com%2Fforms%2Fd%2Fe%2F1FAIpQLSeZ-R1GrWlAPkfaThGqxeTj0QTtrARw4rroxIIepf2kipn1nw%2FformResponse%3Fusp%3Dpp_url%26entry.1313582257%3D0103695549%26entry.1578404635%3DHadir</t>
  </si>
  <si>
    <t>0095770160</t>
  </si>
  <si>
    <t>Jazila Abid Niyaz Chan Lase</t>
  </si>
  <si>
    <t>https://quickchart.io/qr?size=250&amp;text=https%3A%2F%2Fdocs.google.com%2Fforms%2Fd%2Fe%2F1FAIpQLSeZ-R1GrWlAPkfaThGqxeTj0QTtrARw4rroxIIepf2kipn1nw%2FformResponse%3Fusp%3Dpp_url%26entry.1313582257%3D0095770160%26entry.1578404635%3DHadir</t>
  </si>
  <si>
    <t>0106852675</t>
  </si>
  <si>
    <t>Jihan Nailatusy Syarafah</t>
  </si>
  <si>
    <t>https://quickchart.io/qr?size=250&amp;text=https%3A%2F%2Fdocs.google.com%2Fforms%2Fd%2Fe%2F1FAIpQLSeZ-R1GrWlAPkfaThGqxeTj0QTtrARw4rroxIIepf2kipn1nw%2FformResponse%3Fusp%3Dpp_url%26entry.1313582257%3D0106852675%26entry.1578404635%3DHadir</t>
  </si>
  <si>
    <t>0094047198</t>
  </si>
  <si>
    <t>Kanza Olivia Ramadhani</t>
  </si>
  <si>
    <t>33 - GC2 X-9</t>
  </si>
  <si>
    <t>https://quickchart.io/qr?size=250&amp;text=https%3A%2F%2Fdocs.google.com%2Fforms%2Fd%2Fe%2F1FAIpQLSeZ-R1GrWlAPkfaThGqxeTj0QTtrARw4rroxIIepf2kipn1nw%2FformResponse%3Fusp%3Dpp_url%26entry.1313582257%3D0094047198%26entry.1578404635%3DHadir</t>
  </si>
  <si>
    <t>0102372511</t>
  </si>
  <si>
    <t>Kayla Tria Fatarani</t>
  </si>
  <si>
    <t>https://quickchart.io/qr?size=250&amp;text=https%3A%2F%2Fdocs.google.com%2Fforms%2Fd%2Fe%2F1FAIpQLSeZ-R1GrWlAPkfaThGqxeTj0QTtrARw4rroxIIepf2kipn1nw%2FformResponse%3Fusp%3Dpp_url%26entry.1313582257%3D0102372511%26entry.1578404635%3DHadir</t>
  </si>
  <si>
    <t>0098113225</t>
  </si>
  <si>
    <t>Mahera Raisha Davanita Faizal</t>
  </si>
  <si>
    <t>https://quickchart.io/qr?size=250&amp;text=https%3A%2F%2Fdocs.google.com%2Fforms%2Fd%2Fe%2F1FAIpQLSeZ-R1GrWlAPkfaThGqxeTj0QTtrARw4rroxIIepf2kipn1nw%2FformResponse%3Fusp%3Dpp_url%26entry.1313582257%3D0098113225%26entry.1578404635%3DHadir</t>
  </si>
  <si>
    <t>0103979225</t>
  </si>
  <si>
    <t>Muhamad Juan Arkhan</t>
  </si>
  <si>
    <t>https://quickchart.io/qr?size=250&amp;text=https%3A%2F%2Fdocs.google.com%2Fforms%2Fd%2Fe%2F1FAIpQLSeZ-R1GrWlAPkfaThGqxeTj0QTtrARw4rroxIIepf2kipn1nw%2FformResponse%3Fusp%3Dpp_url%26entry.1313582257%3D0103979225%26entry.1578404635%3DHadir</t>
  </si>
  <si>
    <t>0095022365</t>
  </si>
  <si>
    <t>Muhammad Ariel Setiawan</t>
  </si>
  <si>
    <t>https://quickchart.io/qr?size=250&amp;text=https%3A%2F%2Fdocs.google.com%2Fforms%2Fd%2Fe%2F1FAIpQLSeZ-R1GrWlAPkfaThGqxeTj0QTtrARw4rroxIIepf2kipn1nw%2FformResponse%3Fusp%3Dpp_url%26entry.1313582257%3D0095022365%26entry.1578404635%3DHadir</t>
  </si>
  <si>
    <t>0104557332</t>
  </si>
  <si>
    <t xml:space="preserve">Muhammad Azka Shahizinda </t>
  </si>
  <si>
    <t>https://quickchart.io/qr?size=250&amp;text=https%3A%2F%2Fdocs.google.com%2Fforms%2Fd%2Fe%2F1FAIpQLSeZ-R1GrWlAPkfaThGqxeTj0QTtrARw4rroxIIepf2kipn1nw%2FformResponse%3Fusp%3Dpp_url%26entry.1313582257%3D0104557332%26entry.1578404635%3DHadir</t>
  </si>
  <si>
    <t>0092772943</t>
  </si>
  <si>
    <t>Muhammad Daffa Alfarizki</t>
  </si>
  <si>
    <t>https://quickchart.io/qr?size=250&amp;text=https%3A%2F%2Fdocs.google.com%2Fforms%2Fd%2Fe%2F1FAIpQLSeZ-R1GrWlAPkfaThGqxeTj0QTtrARw4rroxIIepf2kipn1nw%2FformResponse%3Fusp%3Dpp_url%26entry.1313582257%3D0092772943%26entry.1578404635%3DHadir</t>
  </si>
  <si>
    <t>0098897790</t>
  </si>
  <si>
    <t>Muhammad Fadil Ranoval</t>
  </si>
  <si>
    <t>https://quickchart.io/qr?size=250&amp;text=https%3A%2F%2Fdocs.google.com%2Fforms%2Fd%2Fe%2F1FAIpQLSeZ-R1GrWlAPkfaThGqxeTj0QTtrARw4rroxIIepf2kipn1nw%2FformResponse%3Fusp%3Dpp_url%26entry.1313582257%3D0098897790%26entry.1578404635%3DHadir</t>
  </si>
  <si>
    <t>0101059940</t>
  </si>
  <si>
    <t>Muhammad In'Amul Aufa</t>
  </si>
  <si>
    <t>https://quickchart.io/qr?size=250&amp;text=https%3A%2F%2Fdocs.google.com%2Fforms%2Fd%2Fe%2F1FAIpQLSeZ-R1GrWlAPkfaThGqxeTj0QTtrARw4rroxIIepf2kipn1nw%2FformResponse%3Fusp%3Dpp_url%26entry.1313582257%3D0101059940%26entry.1578404635%3DHadir</t>
  </si>
  <si>
    <t>0094119764</t>
  </si>
  <si>
    <t>Muhammad Reyhan Alfariky</t>
  </si>
  <si>
    <t>https://quickchart.io/qr?size=250&amp;text=https%3A%2F%2Fdocs.google.com%2Fforms%2Fd%2Fe%2F1FAIpQLSeZ-R1GrWlAPkfaThGqxeTj0QTtrARw4rroxIIepf2kipn1nw%2FformResponse%3Fusp%3Dpp_url%26entry.1313582257%3D0094119764%26entry.1578404635%3DHadir</t>
  </si>
  <si>
    <t>0096882416</t>
  </si>
  <si>
    <t>Muhammad Sayyid Amjad</t>
  </si>
  <si>
    <t>https://quickchart.io/qr?size=250&amp;text=https%3A%2F%2Fdocs.google.com%2Fforms%2Fd%2Fe%2F1FAIpQLSeZ-R1GrWlAPkfaThGqxeTj0QTtrARw4rroxIIepf2kipn1nw%2FformResponse%3Fusp%3Dpp_url%26entry.1313582257%3D0096882416%26entry.1578404635%3DHadir</t>
  </si>
  <si>
    <t>0093640113</t>
  </si>
  <si>
    <t>Nararya Hylmi Kenzie</t>
  </si>
  <si>
    <t>https://quickchart.io/qr?size=250&amp;text=https%3A%2F%2Fdocs.google.com%2Fforms%2Fd%2Fe%2F1FAIpQLSeZ-R1GrWlAPkfaThGqxeTj0QTtrARw4rroxIIepf2kipn1nw%2FformResponse%3Fusp%3Dpp_url%26entry.1313582257%3D0093640113%26entry.1578404635%3DHadir</t>
  </si>
  <si>
    <t>3100132772</t>
  </si>
  <si>
    <t>Nariyahingtyas Wientarya</t>
  </si>
  <si>
    <t>https://quickchart.io/qr?size=250&amp;text=https%3A%2F%2Fdocs.google.com%2Fforms%2Fd%2Fe%2F1FAIpQLSeZ-R1GrWlAPkfaThGqxeTj0QTtrARw4rroxIIepf2kipn1nw%2FformResponse%3Fusp%3Dpp_url%26entry.1313582257%3D3100132772%26entry.1578404635%3DHadir</t>
  </si>
  <si>
    <t>0097910400</t>
  </si>
  <si>
    <t>Nur Azizah</t>
  </si>
  <si>
    <t>https://quickchart.io/qr?size=250&amp;text=https%3A%2F%2Fdocs.google.com%2Fforms%2Fd%2Fe%2F1FAIpQLSeZ-R1GrWlAPkfaThGqxeTj0QTtrARw4rroxIIepf2kipn1nw%2FformResponse%3Fusp%3Dpp_url%26entry.1313582257%3D0097910400%26entry.1578404635%3DHadir</t>
  </si>
  <si>
    <t>0091134035</t>
  </si>
  <si>
    <t>Qitrie Anisa Khaeri</t>
  </si>
  <si>
    <t>https://quickchart.io/qr?size=250&amp;text=https%3A%2F%2Fdocs.google.com%2Fforms%2Fd%2Fe%2F1FAIpQLSeZ-R1GrWlAPkfaThGqxeTj0QTtrARw4rroxIIepf2kipn1nw%2FformResponse%3Fusp%3Dpp_url%26entry.1313582257%3D0091134035%26entry.1578404635%3DHadir</t>
  </si>
  <si>
    <t>0106245820</t>
  </si>
  <si>
    <t>Radya Camilla Arinda</t>
  </si>
  <si>
    <t>https://quickchart.io/qr?size=250&amp;text=https%3A%2F%2Fdocs.google.com%2Fforms%2Fd%2Fe%2F1FAIpQLSeZ-R1GrWlAPkfaThGqxeTj0QTtrARw4rroxIIepf2kipn1nw%2FformResponse%3Fusp%3Dpp_url%26entry.1313582257%3D0106245820%26entry.1578404635%3DHadir</t>
  </si>
  <si>
    <t>0101902217</t>
  </si>
  <si>
    <t>Rahardian Muhamad Abisiena Koeswara</t>
  </si>
  <si>
    <t>https://quickchart.io/qr?size=250&amp;text=https%3A%2F%2Fdocs.google.com%2Fforms%2Fd%2Fe%2F1FAIpQLSeZ-R1GrWlAPkfaThGqxeTj0QTtrARw4rroxIIepf2kipn1nw%2FformResponse%3Fusp%3Dpp_url%26entry.1313582257%3D0101902217%26entry.1578404635%3DHadir</t>
  </si>
  <si>
    <t>0094238472</t>
  </si>
  <si>
    <t>Raihana Syafiqah Andyni</t>
  </si>
  <si>
    <t>https://quickchart.io/qr?size=250&amp;text=https%3A%2F%2Fdocs.google.com%2Fforms%2Fd%2Fe%2F1FAIpQLSeZ-R1GrWlAPkfaThGqxeTj0QTtrARw4rroxIIepf2kipn1nw%2FformResponse%3Fusp%3Dpp_url%26entry.1313582257%3D0094238472%26entry.1578404635%3DHadir</t>
  </si>
  <si>
    <t>3096149866</t>
  </si>
  <si>
    <t>Rassya Faiq Hibatullah</t>
  </si>
  <si>
    <t>https://quickchart.io/qr?size=250&amp;text=https%3A%2F%2Fdocs.google.com%2Fforms%2Fd%2Fe%2F1FAIpQLSeZ-R1GrWlAPkfaThGqxeTj0QTtrARw4rroxIIepf2kipn1nw%2FformResponse%3Fusp%3Dpp_url%26entry.1313582257%3D3096149866%26entry.1578404635%3DHadir</t>
  </si>
  <si>
    <t>0106183087</t>
  </si>
  <si>
    <t>Reynaldi</t>
  </si>
  <si>
    <t>https://quickchart.io/qr?size=250&amp;text=https%3A%2F%2Fdocs.google.com%2Fforms%2Fd%2Fe%2F1FAIpQLSeZ-R1GrWlAPkfaThGqxeTj0QTtrARw4rroxIIepf2kipn1nw%2FformResponse%3Fusp%3Dpp_url%26entry.1313582257%3D0106183087%26entry.1578404635%3DHadir</t>
  </si>
  <si>
    <t>0107182326</t>
  </si>
  <si>
    <t>Sekar Raynaningrum</t>
  </si>
  <si>
    <t>https://quickchart.io/qr?size=250&amp;text=https%3A%2F%2Fdocs.google.com%2Fforms%2Fd%2Fe%2F1FAIpQLSeZ-R1GrWlAPkfaThGqxeTj0QTtrARw4rroxIIepf2kipn1nw%2FformResponse%3Fusp%3Dpp_url%26entry.1313582257%3D0107182326%26entry.1578404635%3DHadir</t>
  </si>
  <si>
    <t>0099107315</t>
  </si>
  <si>
    <t>Syahla Nurul Arisma</t>
  </si>
  <si>
    <t>https://quickchart.io/qr?size=250&amp;text=https%3A%2F%2Fdocs.google.com%2Fforms%2Fd%2Fe%2F1FAIpQLSeZ-R1GrWlAPkfaThGqxeTj0QTtrARw4rroxIIepf2kipn1nw%2FformResponse%3Fusp%3Dpp_url%26entry.1313582257%3D0099107315%26entry.1578404635%3DHadir</t>
  </si>
  <si>
    <t>0094680852</t>
  </si>
  <si>
    <t>Syauqi Anandya Putri</t>
  </si>
  <si>
    <t>https://quickchart.io/qr?size=250&amp;text=https%3A%2F%2Fdocs.google.com%2Fforms%2Fd%2Fe%2F1FAIpQLSeZ-R1GrWlAPkfaThGqxeTj0QTtrARw4rroxIIepf2kipn1nw%2FformResponse%3Fusp%3Dpp_url%26entry.1313582257%3D0094680852%26entry.1578404635%3DHadir</t>
  </si>
  <si>
    <t>0098348385</t>
  </si>
  <si>
    <t>Tayya Dzulhijjah Mokodompit</t>
  </si>
  <si>
    <t>https://quickchart.io/qr?size=250&amp;text=https%3A%2F%2Fdocs.google.com%2Fforms%2Fd%2Fe%2F1FAIpQLSeZ-R1GrWlAPkfaThGqxeTj0QTtrARw4rroxIIepf2kipn1nw%2FformResponse%3Fusp%3Dpp_url%26entry.1313582257%3D0098348385%26entry.1578404635%3DHadir</t>
  </si>
  <si>
    <t>0096033014</t>
  </si>
  <si>
    <t>Abdul Ghofar</t>
  </si>
  <si>
    <t>X-10</t>
  </si>
  <si>
    <t>https://quickchart.io/qr?size=250&amp;text=https%3A%2F%2Fdocs.google.com%2Fforms%2Fd%2Fe%2F1FAIpQLSeZ-R1GrWlAPkfaThGqxeTj0QTtrARw4rroxIIepf2kipn1nw%2FformResponse%3Fusp%3Dpp_url%26entry.1313582257%3D0096033014%26entry.1578404635%3DHadir</t>
  </si>
  <si>
    <t>0104072965</t>
  </si>
  <si>
    <t>Aditya Bayu Sutanto</t>
  </si>
  <si>
    <t>33 - BC X-10</t>
  </si>
  <si>
    <t>https://quickchart.io/qr?size=250&amp;text=https%3A%2F%2Fdocs.google.com%2Fforms%2Fd%2Fe%2F1FAIpQLSeZ-R1GrWlAPkfaThGqxeTj0QTtrARw4rroxIIepf2kipn1nw%2FformResponse%3Fusp%3Dpp_url%26entry.1313582257%3D0104072965%26entry.1578404635%3DHadir</t>
  </si>
  <si>
    <t>2107246447</t>
  </si>
  <si>
    <t>Affy Kaew Ni'Mitr Alhanafi</t>
  </si>
  <si>
    <t>https://quickchart.io/qr?size=250&amp;text=https%3A%2F%2Fdocs.google.com%2Fforms%2Fd%2Fe%2F1FAIpQLSeZ-R1GrWlAPkfaThGqxeTj0QTtrARw4rroxIIepf2kipn1nw%2FformResponse%3Fusp%3Dpp_url%26entry.1313582257%3D2107246447%26entry.1578404635%3DHadir</t>
  </si>
  <si>
    <t>0096128036</t>
  </si>
  <si>
    <t>Ahmad Husein Al Latief</t>
  </si>
  <si>
    <t>https://quickchart.io/qr?size=250&amp;text=https%3A%2F%2Fdocs.google.com%2Fforms%2Fd%2Fe%2F1FAIpQLSeZ-R1GrWlAPkfaThGqxeTj0QTtrARw4rroxIIepf2kipn1nw%2FformResponse%3Fusp%3Dpp_url%26entry.1313582257%3D0096128036%26entry.1578404635%3DHadir</t>
  </si>
  <si>
    <t>0107055406</t>
  </si>
  <si>
    <t>Akram Mubarak</t>
  </si>
  <si>
    <t>https://quickchart.io/qr?size=250&amp;text=https%3A%2F%2Fdocs.google.com%2Fforms%2Fd%2Fe%2F1FAIpQLSeZ-R1GrWlAPkfaThGqxeTj0QTtrARw4rroxIIepf2kipn1nw%2FformResponse%3Fusp%3Dpp_url%26entry.1313582257%3D0107055406%26entry.1578404635%3DHadir</t>
  </si>
  <si>
    <t>0108389311</t>
  </si>
  <si>
    <t>Alfi Amalia</t>
  </si>
  <si>
    <t>33 - GC1 X-10</t>
  </si>
  <si>
    <t>https://quickchart.io/qr?size=250&amp;text=https%3A%2F%2Fdocs.google.com%2Fforms%2Fd%2Fe%2F1FAIpQLSeZ-R1GrWlAPkfaThGqxeTj0QTtrARw4rroxIIepf2kipn1nw%2FformResponse%3Fusp%3Dpp_url%26entry.1313582257%3D0108389311%26entry.1578404635%3DHadir</t>
  </si>
  <si>
    <t>0097357764</t>
  </si>
  <si>
    <t>Amelia Nur Zahra</t>
  </si>
  <si>
    <t>https://quickchart.io/qr?size=250&amp;text=https%3A%2F%2Fdocs.google.com%2Fforms%2Fd%2Fe%2F1FAIpQLSeZ-R1GrWlAPkfaThGqxeTj0QTtrARw4rroxIIepf2kipn1nw%2FformResponse%3Fusp%3Dpp_url%26entry.1313582257%3D0097357764%26entry.1578404635%3DHadir</t>
  </si>
  <si>
    <t>0102387971</t>
  </si>
  <si>
    <t>Ananda Bari Al Kausar</t>
  </si>
  <si>
    <t>https://quickchart.io/qr?size=250&amp;text=https%3A%2F%2Fdocs.google.com%2Fforms%2Fd%2Fe%2F1FAIpQLSeZ-R1GrWlAPkfaThGqxeTj0QTtrARw4rroxIIepf2kipn1nw%2FformResponse%3Fusp%3Dpp_url%26entry.1313582257%3D0102387971%26entry.1578404635%3DHadir</t>
  </si>
  <si>
    <t>0092171774</t>
  </si>
  <si>
    <t>Ataya Arkan Ramadhan</t>
  </si>
  <si>
    <t>https://quickchart.io/qr?size=250&amp;text=https%3A%2F%2Fdocs.google.com%2Fforms%2Fd%2Fe%2F1FAIpQLSeZ-R1GrWlAPkfaThGqxeTj0QTtrARw4rroxIIepf2kipn1nw%2FformResponse%3Fusp%3Dpp_url%26entry.1313582257%3D0092171774%26entry.1578404635%3DHadir</t>
  </si>
  <si>
    <t>0103134538</t>
  </si>
  <si>
    <t>Athaya Muhammad Daffa</t>
  </si>
  <si>
    <t>https://quickchart.io/qr?size=250&amp;text=https%3A%2F%2Fdocs.google.com%2Fforms%2Fd%2Fe%2F1FAIpQLSeZ-R1GrWlAPkfaThGqxeTj0QTtrARw4rroxIIepf2kipn1nw%2FformResponse%3Fusp%3Dpp_url%26entry.1313582257%3D0103134538%26entry.1578404635%3DHadir</t>
  </si>
  <si>
    <t>0104895570</t>
  </si>
  <si>
    <t>Aura Nabilah Zahirah</t>
  </si>
  <si>
    <t>https://quickchart.io/qr?size=250&amp;text=https%3A%2F%2Fdocs.google.com%2Fforms%2Fd%2Fe%2F1FAIpQLSeZ-R1GrWlAPkfaThGqxeTj0QTtrARw4rroxIIepf2kipn1nw%2FformResponse%3Fusp%3Dpp_url%26entry.1313582257%3D0104895570%26entry.1578404635%3DHadir</t>
  </si>
  <si>
    <t>0099138854</t>
  </si>
  <si>
    <t>Aurora Putri Samudra Dwiko</t>
  </si>
  <si>
    <t>https://quickchart.io/qr?size=250&amp;text=https%3A%2F%2Fdocs.google.com%2Fforms%2Fd%2Fe%2F1FAIpQLSeZ-R1GrWlAPkfaThGqxeTj0QTtrARw4rroxIIepf2kipn1nw%2FformResponse%3Fusp%3Dpp_url%26entry.1313582257%3D0099138854%26entry.1578404635%3DHadir</t>
  </si>
  <si>
    <t>0105133490</t>
  </si>
  <si>
    <t>Belva Thalita Ramadhena</t>
  </si>
  <si>
    <t>https://quickchart.io/qr?size=250&amp;text=https%3A%2F%2Fdocs.google.com%2Fforms%2Fd%2Fe%2F1FAIpQLSeZ-R1GrWlAPkfaThGqxeTj0QTtrARw4rroxIIepf2kipn1nw%2FformResponse%3Fusp%3Dpp_url%26entry.1313582257%3D0105133490%26entry.1578404635%3DHadir</t>
  </si>
  <si>
    <t>0099153455</t>
  </si>
  <si>
    <t>Bintang Mahardika Abhyoso Ardy</t>
  </si>
  <si>
    <t>https://quickchart.io/qr?size=250&amp;text=https%3A%2F%2Fdocs.google.com%2Fforms%2Fd%2Fe%2F1FAIpQLSeZ-R1GrWlAPkfaThGqxeTj0QTtrARw4rroxIIepf2kipn1nw%2FformResponse%3Fusp%3Dpp_url%26entry.1313582257%3D0099153455%26entry.1578404635%3DHadir</t>
  </si>
  <si>
    <t>0103526904</t>
  </si>
  <si>
    <t>Dinara Savina</t>
  </si>
  <si>
    <t>https://quickchart.io/qr?size=250&amp;text=https%3A%2F%2Fdocs.google.com%2Fforms%2Fd%2Fe%2F1FAIpQLSeZ-R1GrWlAPkfaThGqxeTj0QTtrARw4rroxIIepf2kipn1nw%2FformResponse%3Fusp%3Dpp_url%26entry.1313582257%3D0103526904%26entry.1578404635%3DHadir</t>
  </si>
  <si>
    <t>0098248691</t>
  </si>
  <si>
    <t>Dinda Syifa Rahmayanti</t>
  </si>
  <si>
    <t>https://quickchart.io/qr?size=250&amp;text=https%3A%2F%2Fdocs.google.com%2Fforms%2Fd%2Fe%2F1FAIpQLSeZ-R1GrWlAPkfaThGqxeTj0QTtrARw4rroxIIepf2kipn1nw%2FformResponse%3Fusp%3Dpp_url%26entry.1313582257%3D0098248691%26entry.1578404635%3DHadir</t>
  </si>
  <si>
    <t>0105616025</t>
  </si>
  <si>
    <t>Dindin Andini Suryaman</t>
  </si>
  <si>
    <t>https://quickchart.io/qr?size=250&amp;text=https%3A%2F%2Fdocs.google.com%2Fforms%2Fd%2Fe%2F1FAIpQLSeZ-R1GrWlAPkfaThGqxeTj0QTtrARw4rroxIIepf2kipn1nw%2FformResponse%3Fusp%3Dpp_url%26entry.1313582257%3D0105616025%26entry.1578404635%3DHadir</t>
  </si>
  <si>
    <t>0102329313</t>
  </si>
  <si>
    <t>Gita Tazkiyatunnisa</t>
  </si>
  <si>
    <t>https://quickchart.io/qr?size=250&amp;text=https%3A%2F%2Fdocs.google.com%2Fforms%2Fd%2Fe%2F1FAIpQLSeZ-R1GrWlAPkfaThGqxeTj0QTtrARw4rroxIIepf2kipn1nw%2FformResponse%3Fusp%3Dpp_url%26entry.1313582257%3D0102329313%26entry.1578404635%3DHadir</t>
  </si>
  <si>
    <t>0094626978</t>
  </si>
  <si>
    <t>Haifa Aysha Zahira</t>
  </si>
  <si>
    <t>https://quickchart.io/qr?size=250&amp;text=https%3A%2F%2Fdocs.google.com%2Fforms%2Fd%2Fe%2F1FAIpQLSeZ-R1GrWlAPkfaThGqxeTj0QTtrARw4rroxIIepf2kipn1nw%2FformResponse%3Fusp%3Dpp_url%26entry.1313582257%3D0094626978%26entry.1578404635%3DHadir</t>
  </si>
  <si>
    <t>0093849649</t>
  </si>
  <si>
    <t>Intan Dwi Novianingrum</t>
  </si>
  <si>
    <t>https://quickchart.io/qr?size=250&amp;text=https%3A%2F%2Fdocs.google.com%2Fforms%2Fd%2Fe%2F1FAIpQLSeZ-R1GrWlAPkfaThGqxeTj0QTtrARw4rroxIIepf2kipn1nw%2FformResponse%3Fusp%3Dpp_url%26entry.1313582257%3D0093849649%26entry.1578404635%3DHadir</t>
  </si>
  <si>
    <t>0102890859</t>
  </si>
  <si>
    <t>Isnaini Fauziyah Utomo</t>
  </si>
  <si>
    <t>https://quickchart.io/qr?size=250&amp;text=https%3A%2F%2Fdocs.google.com%2Fforms%2Fd%2Fe%2F1FAIpQLSeZ-R1GrWlAPkfaThGqxeTj0QTtrARw4rroxIIepf2kipn1nw%2FformResponse%3Fusp%3Dpp_url%26entry.1313582257%3D0102890859%26entry.1578404635%3DHadir</t>
  </si>
  <si>
    <t>0102210036</t>
  </si>
  <si>
    <t>Jerry Dwi Cahyono Putro</t>
  </si>
  <si>
    <t>https://quickchart.io/qr?size=250&amp;text=https%3A%2F%2Fdocs.google.com%2Fforms%2Fd%2Fe%2F1FAIpQLSeZ-R1GrWlAPkfaThGqxeTj0QTtrARw4rroxIIepf2kipn1nw%2FformResponse%3Fusp%3Dpp_url%26entry.1313582257%3D0102210036%26entry.1578404635%3DHadir</t>
  </si>
  <si>
    <t>3099544859</t>
  </si>
  <si>
    <t>Jovan Khayru Affandi</t>
  </si>
  <si>
    <t>https://quickchart.io/qr?size=250&amp;text=https%3A%2F%2Fdocs.google.com%2Fforms%2Fd%2Fe%2F1FAIpQLSeZ-R1GrWlAPkfaThGqxeTj0QTtrARw4rroxIIepf2kipn1nw%2FformResponse%3Fusp%3Dpp_url%26entry.1313582257%3D3099544859%26entry.1578404635%3DHadir</t>
  </si>
  <si>
    <t>0104574006</t>
  </si>
  <si>
    <t>Kayla Althafunnisa Arrasyid</t>
  </si>
  <si>
    <t>https://quickchart.io/qr?size=250&amp;text=https%3A%2F%2Fdocs.google.com%2Fforms%2Fd%2Fe%2F1FAIpQLSeZ-R1GrWlAPkfaThGqxeTj0QTtrARw4rroxIIepf2kipn1nw%2FformResponse%3Fusp%3Dpp_url%26entry.1313582257%3D0104574006%26entry.1578404635%3DHadir</t>
  </si>
  <si>
    <t>0094966956</t>
  </si>
  <si>
    <t>Keyla Ananda Safitri</t>
  </si>
  <si>
    <t>33 - GC2 X-10</t>
  </si>
  <si>
    <t>https://quickchart.io/qr?size=250&amp;text=https%3A%2F%2Fdocs.google.com%2Fforms%2Fd%2Fe%2F1FAIpQLSeZ-R1GrWlAPkfaThGqxeTj0QTtrARw4rroxIIepf2kipn1nw%2FformResponse%3Fusp%3Dpp_url%26entry.1313582257%3D0094966956%26entry.1578404635%3DHadir</t>
  </si>
  <si>
    <t>Khanza Aprillia Risyadi</t>
  </si>
  <si>
    <t>https://quickchart.io/qr?size=250&amp;text=https%3A%2F%2Fdocs.google.com%2Fforms%2Fd%2Fe%2F1FAIpQLSeZ-R1GrWlAPkfaThGqxeTj0QTtrARw4rroxIIepf2kipn1nw%2FformResponse%3Fusp%3Dpp_url%26entry.1313582257%3D0102208567%26entry.1578404635%3DHadir</t>
  </si>
  <si>
    <t>3101402781</t>
  </si>
  <si>
    <t>Maroen Al-Fatih Ibrahimessi</t>
  </si>
  <si>
    <t>https://quickchart.io/qr?size=250&amp;text=https%3A%2F%2Fdocs.google.com%2Fforms%2Fd%2Fe%2F1FAIpQLSeZ-R1GrWlAPkfaThGqxeTj0QTtrARw4rroxIIepf2kipn1nw%2FformResponse%3Fusp%3Dpp_url%26entry.1313582257%3D3101402781%26entry.1578404635%3DHadir</t>
  </si>
  <si>
    <t>0098516941</t>
  </si>
  <si>
    <t>Muhamad Raihan Rizqullah</t>
  </si>
  <si>
    <t>https://quickchart.io/qr?size=250&amp;text=https%3A%2F%2Fdocs.google.com%2Fforms%2Fd%2Fe%2F1FAIpQLSeZ-R1GrWlAPkfaThGqxeTj0QTtrARw4rroxIIepf2kipn1nw%2FformResponse%3Fusp%3Dpp_url%26entry.1313582257%3D0098516941%26entry.1578404635%3DHadir</t>
  </si>
  <si>
    <t>0113735828</t>
  </si>
  <si>
    <t>Muhammad Akhtar Arkana Ramadhan</t>
  </si>
  <si>
    <t>https://quickchart.io/qr?size=250&amp;text=https%3A%2F%2Fdocs.google.com%2Fforms%2Fd%2Fe%2F1FAIpQLSeZ-R1GrWlAPkfaThGqxeTj0QTtrARw4rroxIIepf2kipn1nw%2FformResponse%3Fusp%3Dpp_url%26entry.1313582257%3D0113735828%26entry.1578404635%3DHadir</t>
  </si>
  <si>
    <t>0109589144</t>
  </si>
  <si>
    <t>Muhammad Tsafiq Ihsan</t>
  </si>
  <si>
    <t>https://quickchart.io/qr?size=250&amp;text=https%3A%2F%2Fdocs.google.com%2Fforms%2Fd%2Fe%2F1FAIpQLSeZ-R1GrWlAPkfaThGqxeTj0QTtrARw4rroxIIepf2kipn1nw%2FformResponse%3Fusp%3Dpp_url%26entry.1313582257%3D0109589144%26entry.1578404635%3DHadir</t>
  </si>
  <si>
    <t>0108105659</t>
  </si>
  <si>
    <t>Naqeesyaa Dhanova Al Adzra</t>
  </si>
  <si>
    <t>https://quickchart.io/qr?size=250&amp;text=https%3A%2F%2Fdocs.google.com%2Fforms%2Fd%2Fe%2F1FAIpQLSeZ-R1GrWlAPkfaThGqxeTj0QTtrARw4rroxIIepf2kipn1nw%2FformResponse%3Fusp%3Dpp_url%26entry.1313582257%3D0108105659%26entry.1578404635%3DHadir</t>
  </si>
  <si>
    <t>0091758520</t>
  </si>
  <si>
    <t>Naufal Arzharel Ibrahimovic</t>
  </si>
  <si>
    <t>https://quickchart.io/qr?size=250&amp;text=https%3A%2F%2Fdocs.google.com%2Fforms%2Fd%2Fe%2F1FAIpQLSeZ-R1GrWlAPkfaThGqxeTj0QTtrARw4rroxIIepf2kipn1nw%2FformResponse%3Fusp%3Dpp_url%26entry.1313582257%3D0091758520%26entry.1578404635%3DHadir</t>
  </si>
  <si>
    <t>0093643944</t>
  </si>
  <si>
    <t>Naura Luvenavita Krisdianto</t>
  </si>
  <si>
    <t>https://quickchart.io/qr?size=250&amp;text=https%3A%2F%2Fdocs.google.com%2Fforms%2Fd%2Fe%2F1FAIpQLSeZ-R1GrWlAPkfaThGqxeTj0QTtrARw4rroxIIepf2kipn1nw%2FformResponse%3Fusp%3Dpp_url%26entry.1313582257%3D0093643944%26entry.1578404635%3DHadir</t>
  </si>
  <si>
    <t>0109464483</t>
  </si>
  <si>
    <t>Queensha Anindya Azka</t>
  </si>
  <si>
    <t>https://quickchart.io/qr?size=250&amp;text=https%3A%2F%2Fdocs.google.com%2Fforms%2Fd%2Fe%2F1FAIpQLSeZ-R1GrWlAPkfaThGqxeTj0QTtrARw4rroxIIepf2kipn1nw%2FformResponse%3Fusp%3Dpp_url%26entry.1313582257%3D0109464483%26entry.1578404635%3DHadir</t>
  </si>
  <si>
    <t>3103591489</t>
  </si>
  <si>
    <t>Rafael Anhar Armando</t>
  </si>
  <si>
    <t>https://quickchart.io/qr?size=250&amp;text=https%3A%2F%2Fdocs.google.com%2Fforms%2Fd%2Fe%2F1FAIpQLSeZ-R1GrWlAPkfaThGqxeTj0QTtrARw4rroxIIepf2kipn1nw%2FformResponse%3Fusp%3Dpp_url%26entry.1313582257%3D3103591489%26entry.1578404635%3DHadir</t>
  </si>
  <si>
    <t>0097831413</t>
  </si>
  <si>
    <t>Rahmania Azahra</t>
  </si>
  <si>
    <t>https://quickchart.io/qr?size=250&amp;text=https%3A%2F%2Fdocs.google.com%2Fforms%2Fd%2Fe%2F1FAIpQLSeZ-R1GrWlAPkfaThGqxeTj0QTtrARw4rroxIIepf2kipn1nw%2FformResponse%3Fusp%3Dpp_url%26entry.1313582257%3D0097831413%26entry.1578404635%3DHadir</t>
  </si>
  <si>
    <t>0094313180</t>
  </si>
  <si>
    <t>Raivan Elang Pramono</t>
  </si>
  <si>
    <t>https://quickchart.io/qr?size=250&amp;text=https%3A%2F%2Fdocs.google.com%2Fforms%2Fd%2Fe%2F1FAIpQLSeZ-R1GrWlAPkfaThGqxeTj0QTtrARw4rroxIIepf2kipn1nw%2FformResponse%3Fusp%3Dpp_url%26entry.1313582257%3D0094313180%26entry.1578404635%3DHadir</t>
  </si>
  <si>
    <t>0093204066</t>
  </si>
  <si>
    <t>Rizqiyanah Qaysarania Herawan</t>
  </si>
  <si>
    <t>https://quickchart.io/qr?size=250&amp;text=https%3A%2F%2Fdocs.google.com%2Fforms%2Fd%2Fe%2F1FAIpQLSeZ-R1GrWlAPkfaThGqxeTj0QTtrARw4rroxIIepf2kipn1nw%2FformResponse%3Fusp%3Dpp_url%26entry.1313582257%3D0093204066%26entry.1578404635%3DHadir</t>
  </si>
  <si>
    <t>0108540094</t>
  </si>
  <si>
    <t>Salsha Aulia Akbar</t>
  </si>
  <si>
    <t>https://quickchart.io/qr?size=250&amp;text=https%3A%2F%2Fdocs.google.com%2Fforms%2Fd%2Fe%2F1FAIpQLSeZ-R1GrWlAPkfaThGqxeTj0QTtrARw4rroxIIepf2kipn1nw%2FformResponse%3Fusp%3Dpp_url%26entry.1313582257%3D0108540094%26entry.1578404635%3DHadir</t>
  </si>
  <si>
    <t>0108413702</t>
  </si>
  <si>
    <t>Sashikirana Luvena Maheswari</t>
  </si>
  <si>
    <t>https://quickchart.io/qr?size=250&amp;text=https%3A%2F%2Fdocs.google.com%2Fforms%2Fd%2Fe%2F1FAIpQLSeZ-R1GrWlAPkfaThGqxeTj0QTtrARw4rroxIIepf2kipn1nw%2FformResponse%3Fusp%3Dpp_url%26entry.1313582257%3D0108413702%26entry.1578404635%3DHadir</t>
  </si>
  <si>
    <t>Silvya Sri Aprilianti</t>
  </si>
  <si>
    <t>https://quickchart.io/qr?size=250&amp;text=https%3A%2F%2Fdocs.google.com%2Fforms%2Fd%2Fe%2F1FAIpQLSeZ-R1GrWlAPkfaThGqxeTj0QTtrARw4rroxIIepf2kipn1nw%2FformResponse%3Fusp%3Dpp_url%26entry.1313582257%3D0108718382%26entry.1578404635%3DHadir</t>
  </si>
  <si>
    <t>0099775444</t>
  </si>
  <si>
    <t>Syaakhira Fauziah</t>
  </si>
  <si>
    <t>https://quickchart.io/qr?size=250&amp;text=https%3A%2F%2Fdocs.google.com%2Fforms%2Fd%2Fe%2F1FAIpQLSeZ-R1GrWlAPkfaThGqxeTj0QTtrARw4rroxIIepf2kipn1nw%2FformResponse%3Fusp%3Dpp_url%26entry.1313582257%3D0099775444%26entry.1578404635%3DHadir</t>
  </si>
  <si>
    <t>0109542213</t>
  </si>
  <si>
    <t>Adinda Garnetha Prasistha</t>
  </si>
  <si>
    <t>X-11</t>
  </si>
  <si>
    <t>33 - GC1 X-11</t>
  </si>
  <si>
    <t>https://quickchart.io/qr?size=250&amp;text=https%3A%2F%2Fdocs.google.com%2Fforms%2Fd%2Fe%2F1FAIpQLSeZ-R1GrWlAPkfaThGqxeTj0QTtrARw4rroxIIepf2kipn1nw%2FformResponse%3Fusp%3Dpp_url%26entry.1313582257%3D0109542213%26entry.1578404635%3DHadir</t>
  </si>
  <si>
    <t>0108324867</t>
  </si>
  <si>
    <t>Ajeng Adisty Fahira</t>
  </si>
  <si>
    <t>https://quickchart.io/qr?size=250&amp;text=https%3A%2F%2Fdocs.google.com%2Fforms%2Fd%2Fe%2F1FAIpQLSeZ-R1GrWlAPkfaThGqxeTj0QTtrARw4rroxIIepf2kipn1nw%2FformResponse%3Fusp%3Dpp_url%26entry.1313582257%3D0108324867%26entry.1578404635%3DHadir</t>
  </si>
  <si>
    <t>0109013664</t>
  </si>
  <si>
    <t>Al Fathdry Rizky Wibowo</t>
  </si>
  <si>
    <t>33 - BC X-11</t>
  </si>
  <si>
    <t>https://quickchart.io/qr?size=250&amp;text=https%3A%2F%2Fdocs.google.com%2Fforms%2Fd%2Fe%2F1FAIpQLSeZ-R1GrWlAPkfaThGqxeTj0QTtrARw4rroxIIepf2kipn1nw%2FformResponse%3Fusp%3Dpp_url%26entry.1313582257%3D0109013664%26entry.1578404635%3DHadir</t>
  </si>
  <si>
    <t>0108561560</t>
  </si>
  <si>
    <t>Almira Aprilia Putri</t>
  </si>
  <si>
    <t>https://quickchart.io/qr?size=250&amp;text=https%3A%2F%2Fdocs.google.com%2Fforms%2Fd%2Fe%2F1FAIpQLSeZ-R1GrWlAPkfaThGqxeTj0QTtrARw4rroxIIepf2kipn1nw%2FformResponse%3Fusp%3Dpp_url%26entry.1313582257%3D0108561560%26entry.1578404635%3DHadir</t>
  </si>
  <si>
    <t>0096963702</t>
  </si>
  <si>
    <t>Anndita</t>
  </si>
  <si>
    <t>https://quickchart.io/qr?size=250&amp;text=https%3A%2F%2Fdocs.google.com%2Fforms%2Fd%2Fe%2F1FAIpQLSeZ-R1GrWlAPkfaThGqxeTj0QTtrARw4rroxIIepf2kipn1nw%2FformResponse%3Fusp%3Dpp_url%26entry.1313582257%3D0096963702%26entry.1578404635%3DHadir</t>
  </si>
  <si>
    <t>0091952413</t>
  </si>
  <si>
    <t>Askana Nailazahran Hermansyah</t>
  </si>
  <si>
    <t>https://quickchart.io/qr?size=250&amp;text=https%3A%2F%2Fdocs.google.com%2Fforms%2Fd%2Fe%2F1FAIpQLSeZ-R1GrWlAPkfaThGqxeTj0QTtrARw4rroxIIepf2kipn1nw%2FformResponse%3Fusp%3Dpp_url%26entry.1313582257%3D0091952413%26entry.1578404635%3DHadir</t>
  </si>
  <si>
    <t>0099678017</t>
  </si>
  <si>
    <t>Aulia Intan Rhamadhani</t>
  </si>
  <si>
    <t>https://quickchart.io/qr?size=250&amp;text=https%3A%2F%2Fdocs.google.com%2Fforms%2Fd%2Fe%2F1FAIpQLSeZ-R1GrWlAPkfaThGqxeTj0QTtrARw4rroxIIepf2kipn1nw%2FformResponse%3Fusp%3Dpp_url%26entry.1313582257%3D0099678017%26entry.1578404635%3DHadir</t>
  </si>
  <si>
    <t>0104439014</t>
  </si>
  <si>
    <t>Avrillino Herza Pratama</t>
  </si>
  <si>
    <t>https://quickchart.io/qr?size=250&amp;text=https%3A%2F%2Fdocs.google.com%2Fforms%2Fd%2Fe%2F1FAIpQLSeZ-R1GrWlAPkfaThGqxeTj0QTtrARw4rroxIIepf2kipn1nw%2FformResponse%3Fusp%3Dpp_url%26entry.1313582257%3D0104439014%26entry.1578404635%3DHadir</t>
  </si>
  <si>
    <t>0097138954</t>
  </si>
  <si>
    <t>Aziz Sakhi Zaidan</t>
  </si>
  <si>
    <t>https://quickchart.io/qr?size=250&amp;text=https%3A%2F%2Fdocs.google.com%2Fforms%2Fd%2Fe%2F1FAIpQLSeZ-R1GrWlAPkfaThGqxeTj0QTtrARw4rroxIIepf2kipn1nw%2FformResponse%3Fusp%3Dpp_url%26entry.1313582257%3D0097138954%26entry.1578404635%3DHadir</t>
  </si>
  <si>
    <t>0101964014</t>
  </si>
  <si>
    <t>Azka Ivano Ananda Hidayat</t>
  </si>
  <si>
    <t>https://quickchart.io/qr?size=250&amp;text=https%3A%2F%2Fdocs.google.com%2Fforms%2Fd%2Fe%2F1FAIpQLSeZ-R1GrWlAPkfaThGqxeTj0QTtrARw4rroxIIepf2kipn1nw%2FformResponse%3Fusp%3Dpp_url%26entry.1313582257%3D0101964014%26entry.1578404635%3DHadir</t>
  </si>
  <si>
    <t>3105650741</t>
  </si>
  <si>
    <t>Azkiara Andhita</t>
  </si>
  <si>
    <t>https://quickchart.io/qr?size=250&amp;text=https%3A%2F%2Fdocs.google.com%2Fforms%2Fd%2Fe%2F1FAIpQLSeZ-R1GrWlAPkfaThGqxeTj0QTtrARw4rroxIIepf2kipn1nw%2FformResponse%3Fusp%3Dpp_url%26entry.1313582257%3D3105650741%26entry.1578404635%3DHadir</t>
  </si>
  <si>
    <t>0091891047</t>
  </si>
  <si>
    <t>Azzalea Sakinah Ayura Putri</t>
  </si>
  <si>
    <t>https://quickchart.io/qr?size=250&amp;text=https%3A%2F%2Fdocs.google.com%2Fforms%2Fd%2Fe%2F1FAIpQLSeZ-R1GrWlAPkfaThGqxeTj0QTtrARw4rroxIIepf2kipn1nw%2FformResponse%3Fusp%3Dpp_url%26entry.1313582257%3D0091891047%26entry.1578404635%3DHadir</t>
  </si>
  <si>
    <t>0103193565</t>
  </si>
  <si>
    <t>Balqis Jauza Sabreenijka</t>
  </si>
  <si>
    <t>https://quickchart.io/qr?size=250&amp;text=https%3A%2F%2Fdocs.google.com%2Fforms%2Fd%2Fe%2F1FAIpQLSeZ-R1GrWlAPkfaThGqxeTj0QTtrARw4rroxIIepf2kipn1nw%2FformResponse%3Fusp%3Dpp_url%26entry.1313582257%3D0103193565%26entry.1578404635%3DHadir</t>
  </si>
  <si>
    <t>0096506746</t>
  </si>
  <si>
    <t>Carissa Alia Andinaputri</t>
  </si>
  <si>
    <t>https://quickchart.io/qr?size=250&amp;text=https%3A%2F%2Fdocs.google.com%2Fforms%2Fd%2Fe%2F1FAIpQLSeZ-R1GrWlAPkfaThGqxeTj0QTtrARw4rroxIIepf2kipn1nw%2FformResponse%3Fusp%3Dpp_url%26entry.1313582257%3D0096506746%26entry.1578404635%3DHadir</t>
  </si>
  <si>
    <t>0095529275</t>
  </si>
  <si>
    <t>Evan Diaz</t>
  </si>
  <si>
    <t>https://quickchart.io/qr?size=250&amp;text=https%3A%2F%2Fdocs.google.com%2Fforms%2Fd%2Fe%2F1FAIpQLSeZ-R1GrWlAPkfaThGqxeTj0QTtrARw4rroxIIepf2kipn1nw%2FformResponse%3Fusp%3Dpp_url%26entry.1313582257%3D0095529275%26entry.1578404635%3DHadir</t>
  </si>
  <si>
    <t>0108527903</t>
  </si>
  <si>
    <t>Fannan Hoseki Fayyaz</t>
  </si>
  <si>
    <t>https://quickchart.io/qr?size=250&amp;text=https%3A%2F%2Fdocs.google.com%2Fforms%2Fd%2Fe%2F1FAIpQLSeZ-R1GrWlAPkfaThGqxeTj0QTtrARw4rroxIIepf2kipn1nw%2FformResponse%3Fusp%3Dpp_url%26entry.1313582257%3D0108527903%26entry.1578404635%3DHadir</t>
  </si>
  <si>
    <t>0108365392</t>
  </si>
  <si>
    <t>Galuh Pria Esa</t>
  </si>
  <si>
    <t>https://quickchart.io/qr?size=250&amp;text=https%3A%2F%2Fdocs.google.com%2Fforms%2Fd%2Fe%2F1FAIpQLSeZ-R1GrWlAPkfaThGqxeTj0QTtrARw4rroxIIepf2kipn1nw%2FformResponse%3Fusp%3Dpp_url%26entry.1313582257%3D0108365392%26entry.1578404635%3DHadir</t>
  </si>
  <si>
    <t>0092709548</t>
  </si>
  <si>
    <t>Jazirah Rahmah</t>
  </si>
  <si>
    <t>https://quickchart.io/qr?size=250&amp;text=https%3A%2F%2Fdocs.google.com%2Fforms%2Fd%2Fe%2F1FAIpQLSeZ-R1GrWlAPkfaThGqxeTj0QTtrARw4rroxIIepf2kipn1nw%2FformResponse%3Fusp%3Dpp_url%26entry.1313582257%3D0092709548%26entry.1578404635%3DHadir</t>
  </si>
  <si>
    <t>0118415302</t>
  </si>
  <si>
    <t>Kaira Fatiya Nurfan</t>
  </si>
  <si>
    <t>33 - GC2 X-11</t>
  </si>
  <si>
    <t>https://quickchart.io/qr?size=250&amp;text=https%3A%2F%2Fdocs.google.com%2Fforms%2Fd%2Fe%2F1FAIpQLSeZ-R1GrWlAPkfaThGqxeTj0QTtrARw4rroxIIepf2kipn1nw%2FformResponse%3Fusp%3Dpp_url%26entry.1313582257%3D0118415302%26entry.1578404635%3DHadir</t>
  </si>
  <si>
    <t>0097372379</t>
  </si>
  <si>
    <t>Linggara Anugrah</t>
  </si>
  <si>
    <t>https://quickchart.io/qr?size=250&amp;text=https%3A%2F%2Fdocs.google.com%2Fforms%2Fd%2Fe%2F1FAIpQLSeZ-R1GrWlAPkfaThGqxeTj0QTtrARw4rroxIIepf2kipn1nw%2FformResponse%3Fusp%3Dpp_url%26entry.1313582257%3D0097372379%26entry.1578404635%3DHadir</t>
  </si>
  <si>
    <t>0093335479</t>
  </si>
  <si>
    <t>Luna Majidah Zafira</t>
  </si>
  <si>
    <t>https://quickchart.io/qr?size=250&amp;text=https%3A%2F%2Fdocs.google.com%2Fforms%2Fd%2Fe%2F1FAIpQLSeZ-R1GrWlAPkfaThGqxeTj0QTtrARw4rroxIIepf2kipn1nw%2FformResponse%3Fusp%3Dpp_url%26entry.1313582257%3D0093335479%26entry.1578404635%3DHadir</t>
  </si>
  <si>
    <t>0106465537</t>
  </si>
  <si>
    <t>Lutfiana Silva</t>
  </si>
  <si>
    <t>https://quickchart.io/qr?size=250&amp;text=https%3A%2F%2Fdocs.google.com%2Fforms%2Fd%2Fe%2F1FAIpQLSeZ-R1GrWlAPkfaThGqxeTj0QTtrARw4rroxIIepf2kipn1nw%2FformResponse%3Fusp%3Dpp_url%26entry.1313582257%3D0106465537%26entry.1578404635%3DHadir</t>
  </si>
  <si>
    <t>0103732986</t>
  </si>
  <si>
    <t>Mazaya Marva Mardyanti</t>
  </si>
  <si>
    <t>https://quickchart.io/qr?size=250&amp;text=https%3A%2F%2Fdocs.google.com%2Fforms%2Fd%2Fe%2F1FAIpQLSeZ-R1GrWlAPkfaThGqxeTj0QTtrARw4rroxIIepf2kipn1nw%2FformResponse%3Fusp%3Dpp_url%26entry.1313582257%3D0103732986%26entry.1578404635%3DHadir</t>
  </si>
  <si>
    <t>0105348604</t>
  </si>
  <si>
    <t>Misykah Adzra Maulida</t>
  </si>
  <si>
    <t>https://quickchart.io/qr?size=250&amp;text=https%3A%2F%2Fdocs.google.com%2Fforms%2Fd%2Fe%2F1FAIpQLSeZ-R1GrWlAPkfaThGqxeTj0QTtrARw4rroxIIepf2kipn1nw%2FformResponse%3Fusp%3Dpp_url%26entry.1313582257%3D0105348604%26entry.1578404635%3DHadir</t>
  </si>
  <si>
    <t>0108812130</t>
  </si>
  <si>
    <t>Muhamad Reyhan Nurhakim</t>
  </si>
  <si>
    <t>https://quickchart.io/qr?size=250&amp;text=https%3A%2F%2Fdocs.google.com%2Fforms%2Fd%2Fe%2F1FAIpQLSeZ-R1GrWlAPkfaThGqxeTj0QTtrARw4rroxIIepf2kipn1nw%2FformResponse%3Fusp%3Dpp_url%26entry.1313582257%3D0108812130%26entry.1578404635%3DHadir</t>
  </si>
  <si>
    <t>0094912922</t>
  </si>
  <si>
    <t>Muhammad Evan Fadillah</t>
  </si>
  <si>
    <t>https://quickchart.io/qr?size=250&amp;text=https%3A%2F%2Fdocs.google.com%2Fforms%2Fd%2Fe%2F1FAIpQLSeZ-R1GrWlAPkfaThGqxeTj0QTtrARw4rroxIIepf2kipn1nw%2FformResponse%3Fusp%3Dpp_url%26entry.1313582257%3D0094912922%26entry.1578404635%3DHadir</t>
  </si>
  <si>
    <t>0101578446</t>
  </si>
  <si>
    <t>Muhammad Fahry Tyandra</t>
  </si>
  <si>
    <t>https://quickchart.io/qr?size=250&amp;text=https%3A%2F%2Fdocs.google.com%2Fforms%2Fd%2Fe%2F1FAIpQLSeZ-R1GrWlAPkfaThGqxeTj0QTtrARw4rroxIIepf2kipn1nw%2FformResponse%3Fusp%3Dpp_url%26entry.1313582257%3D0101578446%26entry.1578404635%3DHadir</t>
  </si>
  <si>
    <t>0092179308</t>
  </si>
  <si>
    <t>Muhammad Ieddzar Haradiya</t>
  </si>
  <si>
    <t>https://quickchart.io/qr?size=250&amp;text=https%3A%2F%2Fdocs.google.com%2Fforms%2Fd%2Fe%2F1FAIpQLSeZ-R1GrWlAPkfaThGqxeTj0QTtrARw4rroxIIepf2kipn1nw%2FformResponse%3Fusp%3Dpp_url%26entry.1313582257%3D0092179308%26entry.1578404635%3DHadir</t>
  </si>
  <si>
    <t>0098186648</t>
  </si>
  <si>
    <t>Muhammad Revan Adi Saputra</t>
  </si>
  <si>
    <t>https://quickchart.io/qr?size=250&amp;text=https%3A%2F%2Fdocs.google.com%2Fforms%2Fd%2Fe%2F1FAIpQLSeZ-R1GrWlAPkfaThGqxeTj0QTtrARw4rroxIIepf2kipn1nw%2FformResponse%3Fusp%3Dpp_url%26entry.1313582257%3D0098186648%26entry.1578404635%3DHadir</t>
  </si>
  <si>
    <t>0092349928</t>
  </si>
  <si>
    <t>Muhammad Zaky Winata</t>
  </si>
  <si>
    <t>https://quickchart.io/qr?size=250&amp;text=https%3A%2F%2Fdocs.google.com%2Fforms%2Fd%2Fe%2F1FAIpQLSeZ-R1GrWlAPkfaThGqxeTj0QTtrARw4rroxIIepf2kipn1nw%2FformResponse%3Fusp%3Dpp_url%26entry.1313582257%3D0092349928%26entry.1578404635%3DHadir</t>
  </si>
  <si>
    <t>0096753454</t>
  </si>
  <si>
    <t>Nadhifa Amelia Garjita</t>
  </si>
  <si>
    <t>https://quickchart.io/qr?size=250&amp;text=https%3A%2F%2Fdocs.google.com%2Fforms%2Fd%2Fe%2F1FAIpQLSeZ-R1GrWlAPkfaThGqxeTj0QTtrARw4rroxIIepf2kipn1nw%2FformResponse%3Fusp%3Dpp_url%26entry.1313582257%3D0096753454%26entry.1578404635%3DHadir</t>
  </si>
  <si>
    <t>0102000943</t>
  </si>
  <si>
    <t>Nadia Delisa Saefani</t>
  </si>
  <si>
    <t>https://quickchart.io/qr?size=250&amp;text=https%3A%2F%2Fdocs.google.com%2Fforms%2Fd%2Fe%2F1FAIpQLSeZ-R1GrWlAPkfaThGqxeTj0QTtrARw4rroxIIepf2kipn1nw%2FformResponse%3Fusp%3Dpp_url%26entry.1313582257%3D0102000943%26entry.1578404635%3DHadir</t>
  </si>
  <si>
    <t>0105612000</t>
  </si>
  <si>
    <t>Neysha Aurelya Azzahra</t>
  </si>
  <si>
    <t>https://quickchart.io/qr?size=250&amp;text=https%3A%2F%2Fdocs.google.com%2Fforms%2Fd%2Fe%2F1FAIpQLSeZ-R1GrWlAPkfaThGqxeTj0QTtrARw4rroxIIepf2kipn1nw%2FformResponse%3Fusp%3Dpp_url%26entry.1313582257%3D0105612000%26entry.1578404635%3DHadir</t>
  </si>
  <si>
    <t>0109258787</t>
  </si>
  <si>
    <t>Rafa Farand Pratama</t>
  </si>
  <si>
    <t>https://quickchart.io/qr?size=250&amp;text=https%3A%2F%2Fdocs.google.com%2Fforms%2Fd%2Fe%2F1FAIpQLSeZ-R1GrWlAPkfaThGqxeTj0QTtrARw4rroxIIepf2kipn1nw%2FformResponse%3Fusp%3Dpp_url%26entry.1313582257%3D0109258787%26entry.1578404635%3DHadir</t>
  </si>
  <si>
    <t>0093712588</t>
  </si>
  <si>
    <t>Rendy Gilang Novianto</t>
  </si>
  <si>
    <t>https://quickchart.io/qr?size=250&amp;text=https%3A%2F%2Fdocs.google.com%2Fforms%2Fd%2Fe%2F1FAIpQLSeZ-R1GrWlAPkfaThGqxeTj0QTtrARw4rroxIIepf2kipn1nw%2FformResponse%3Fusp%3Dpp_url%26entry.1313582257%3D0093712588%26entry.1578404635%3DHadir</t>
  </si>
  <si>
    <t>0102414768</t>
  </si>
  <si>
    <t>Ruvita Rinjani</t>
  </si>
  <si>
    <t>https://quickchart.io/qr?size=250&amp;text=https%3A%2F%2Fdocs.google.com%2Fforms%2Fd%2Fe%2F1FAIpQLSeZ-R1GrWlAPkfaThGqxeTj0QTtrARw4rroxIIepf2kipn1nw%2FformResponse%3Fusp%3Dpp_url%26entry.1313582257%3D0102414768%26entry.1578404635%3DHadir</t>
  </si>
  <si>
    <t>0106760506</t>
  </si>
  <si>
    <t>Salmaa Saalimah Wibowo</t>
  </si>
  <si>
    <t>https://quickchart.io/qr?size=250&amp;text=https%3A%2F%2Fdocs.google.com%2Fforms%2Fd%2Fe%2F1FAIpQLSeZ-R1GrWlAPkfaThGqxeTj0QTtrARw4rroxIIepf2kipn1nw%2FformResponse%3Fusp%3Dpp_url%26entry.1313582257%3D0106760506%26entry.1578404635%3DHadir</t>
  </si>
  <si>
    <t>0095542022</t>
  </si>
  <si>
    <t>Salsabil Mulki</t>
  </si>
  <si>
    <t>https://quickchart.io/qr?size=250&amp;text=https%3A%2F%2Fdocs.google.com%2Fforms%2Fd%2Fe%2F1FAIpQLSeZ-R1GrWlAPkfaThGqxeTj0QTtrARw4rroxIIepf2kipn1nw%2FformResponse%3Fusp%3Dpp_url%26entry.1313582257%3D0095542022%26entry.1578404635%3DHadir</t>
  </si>
  <si>
    <t>0091610224</t>
  </si>
  <si>
    <t>Shaquille Putra Yudira</t>
  </si>
  <si>
    <t>https://quickchart.io/qr?size=250&amp;text=https%3A%2F%2Fdocs.google.com%2Fforms%2Fd%2Fe%2F1FAIpQLSeZ-R1GrWlAPkfaThGqxeTj0QTtrARw4rroxIIepf2kipn1nw%2FformResponse%3Fusp%3Dpp_url%26entry.1313582257%3D0091610224%26entry.1578404635%3DHadir</t>
  </si>
  <si>
    <t>0105010681</t>
  </si>
  <si>
    <t>Siva Muliyanti</t>
  </si>
  <si>
    <t>https://quickchart.io/qr?size=250&amp;text=https%3A%2F%2Fdocs.google.com%2Fforms%2Fd%2Fe%2F1FAIpQLSeZ-R1GrWlAPkfaThGqxeTj0QTtrARw4rroxIIepf2kipn1nw%2FformResponse%3Fusp%3Dpp_url%26entry.1313582257%3D0105010681%26entry.1578404635%3DHadir</t>
  </si>
  <si>
    <t>0105717177</t>
  </si>
  <si>
    <t>Tiara Zenobia Nafisa</t>
  </si>
  <si>
    <t>https://quickchart.io/qr?size=250&amp;text=https%3A%2F%2Fdocs.google.com%2Fforms%2Fd%2Fe%2F1FAIpQLSeZ-R1GrWlAPkfaThGqxeTj0QTtrARw4rroxIIepf2kipn1nw%2FformResponse%3Fusp%3Dpp_url%26entry.1313582257%3D0105717177%26entry.1578404635%3DHadir</t>
  </si>
  <si>
    <t>0107258754</t>
  </si>
  <si>
    <t>Vilvizeeya Hazira Kurnia</t>
  </si>
  <si>
    <t>https://quickchart.io/qr?size=250&amp;text=https%3A%2F%2Fdocs.google.com%2Fforms%2Fd%2Fe%2F1FAIpQLSeZ-R1GrWlAPkfaThGqxeTj0QTtrARw4rroxIIepf2kipn1nw%2FformResponse%3Fusp%3Dpp_url%26entry.1313582257%3D0107258754%26entry.1578404635%3DHadir</t>
  </si>
  <si>
    <t>0093632849</t>
  </si>
  <si>
    <t>Zaki Arya Wicaksono</t>
  </si>
  <si>
    <t>https://quickchart.io/qr?size=250&amp;text=https%3A%2F%2Fdocs.google.com%2Fforms%2Fd%2Fe%2F1FAIpQLSeZ-R1GrWlAPkfaThGqxeTj0QTtrARw4rroxIIepf2kipn1nw%2FformResponse%3Fusp%3Dpp_url%26entry.1313582257%3D0093632849%26entry.1578404635%3DHadir</t>
  </si>
  <si>
    <t>0105748224</t>
  </si>
  <si>
    <t>Zelda Hanifah Zaneta</t>
  </si>
  <si>
    <t>https://quickchart.io/qr?size=250&amp;text=https%3A%2F%2Fdocs.google.com%2Fforms%2Fd%2Fe%2F1FAIpQLSeZ-R1GrWlAPkfaThGqxeTj0QTtrARw4rroxIIepf2kipn1nw%2FformResponse%3Fusp%3Dpp_url%26entry.1313582257%3D0105748224%26entry.1578404635%3DHadir</t>
  </si>
  <si>
    <t>0097950619</t>
  </si>
  <si>
    <t>Afgan Prima Rizkia Iskandar</t>
  </si>
  <si>
    <t>X-12</t>
  </si>
  <si>
    <t>33 - BC X-12</t>
  </si>
  <si>
    <t>https://quickchart.io/qr?size=250&amp;text=https%3A%2F%2Fdocs.google.com%2Fforms%2Fd%2Fe%2F1FAIpQLSeZ-R1GrWlAPkfaThGqxeTj0QTtrARw4rroxIIepf2kipn1nw%2FformResponse%3Fusp%3Dpp_url%26entry.1313582257%3D0097950619%26entry.1578404635%3DHadir</t>
  </si>
  <si>
    <t>0105770130</t>
  </si>
  <si>
    <t>Aik Novitasari</t>
  </si>
  <si>
    <t>33 - GC1 X-12</t>
  </si>
  <si>
    <t>https://quickchart.io/qr?size=250&amp;text=https%3A%2F%2Fdocs.google.com%2Fforms%2Fd%2Fe%2F1FAIpQLSeZ-R1GrWlAPkfaThGqxeTj0QTtrARw4rroxIIepf2kipn1nw%2FformResponse%3Fusp%3Dpp_url%26entry.1313582257%3D0105770130%26entry.1578404635%3DHadir</t>
  </si>
  <si>
    <t>0093866965</t>
  </si>
  <si>
    <t>Aisyah Aqilah Agni</t>
  </si>
  <si>
    <t>https://quickchart.io/qr?size=250&amp;text=https%3A%2F%2Fdocs.google.com%2Fforms%2Fd%2Fe%2F1FAIpQLSeZ-R1GrWlAPkfaThGqxeTj0QTtrARw4rroxIIepf2kipn1nw%2FformResponse%3Fusp%3Dpp_url%26entry.1313582257%3D0093866965%26entry.1578404635%3DHadir</t>
  </si>
  <si>
    <t>3097129671</t>
  </si>
  <si>
    <t>Aisyah Hanifa Redana</t>
  </si>
  <si>
    <t>https://quickchart.io/qr?size=250&amp;text=https%3A%2F%2Fdocs.google.com%2Fforms%2Fd%2Fe%2F1FAIpQLSeZ-R1GrWlAPkfaThGqxeTj0QTtrARw4rroxIIepf2kipn1nw%2FformResponse%3Fusp%3Dpp_url%26entry.1313582257%3D3097129671%26entry.1578404635%3DHadir</t>
  </si>
  <si>
    <t>0093002808</t>
  </si>
  <si>
    <t>Allya Luthfiah Putri</t>
  </si>
  <si>
    <t>https://quickchart.io/qr?size=250&amp;text=https%3A%2F%2Fdocs.google.com%2Fforms%2Fd%2Fe%2F1FAIpQLSeZ-R1GrWlAPkfaThGqxeTj0QTtrARw4rroxIIepf2kipn1nw%2FformResponse%3Fusp%3Dpp_url%26entry.1313582257%3D0093002808%26entry.1578404635%3DHadir</t>
  </si>
  <si>
    <t>0107831985</t>
  </si>
  <si>
    <t>Annisa Salsabilla</t>
  </si>
  <si>
    <t>https://quickchart.io/qr?size=250&amp;text=https%3A%2F%2Fdocs.google.com%2Fforms%2Fd%2Fe%2F1FAIpQLSeZ-R1GrWlAPkfaThGqxeTj0QTtrARw4rroxIIepf2kipn1nw%2FformResponse%3Fusp%3Dpp_url%26entry.1313582257%3D0107831985%26entry.1578404635%3DHadir</t>
  </si>
  <si>
    <t>0101396555</t>
  </si>
  <si>
    <t>Arsyad Khaerul Izzan</t>
  </si>
  <si>
    <t>https://quickchart.io/qr?size=250&amp;text=https%3A%2F%2Fdocs.google.com%2Fforms%2Fd%2Fe%2F1FAIpQLSeZ-R1GrWlAPkfaThGqxeTj0QTtrARw4rroxIIepf2kipn1nw%2FformResponse%3Fusp%3Dpp_url%26entry.1313582257%3D0101396555%26entry.1578404635%3DHadir</t>
  </si>
  <si>
    <t>0108675973</t>
  </si>
  <si>
    <t>Aruni Khalila Ayu</t>
  </si>
  <si>
    <t>https://quickchart.io/qr?size=250&amp;text=https%3A%2F%2Fdocs.google.com%2Fforms%2Fd%2Fe%2F1FAIpQLSeZ-R1GrWlAPkfaThGqxeTj0QTtrARw4rroxIIepf2kipn1nw%2FformResponse%3Fusp%3Dpp_url%26entry.1313582257%3D0108675973%26entry.1578404635%3DHadir</t>
  </si>
  <si>
    <t>2099366441</t>
  </si>
  <si>
    <t>Ayi Artadinata</t>
  </si>
  <si>
    <t>https://quickchart.io/qr?size=250&amp;text=https%3A%2F%2Fdocs.google.com%2Fforms%2Fd%2Fe%2F1FAIpQLSeZ-R1GrWlAPkfaThGqxeTj0QTtrARw4rroxIIepf2kipn1nw%2FformResponse%3Fusp%3Dpp_url%26entry.1313582257%3D2099366441%26entry.1578404635%3DHadir</t>
  </si>
  <si>
    <t>0109010502</t>
  </si>
  <si>
    <t>Ayra Jauzaa Viranda</t>
  </si>
  <si>
    <t>https://quickchart.io/qr?size=250&amp;text=https%3A%2F%2Fdocs.google.com%2Fforms%2Fd%2Fe%2F1FAIpQLSeZ-R1GrWlAPkfaThGqxeTj0QTtrARw4rroxIIepf2kipn1nw%2FformResponse%3Fusp%3Dpp_url%26entry.1313582257%3D0109010502%26entry.1578404635%3DHadir</t>
  </si>
  <si>
    <t>0109682985</t>
  </si>
  <si>
    <t>Bintang Jati Pratama</t>
  </si>
  <si>
    <t>https://quickchart.io/qr?size=250&amp;text=https%3A%2F%2Fdocs.google.com%2Fforms%2Fd%2Fe%2F1FAIpQLSeZ-R1GrWlAPkfaThGqxeTj0QTtrARw4rroxIIepf2kipn1nw%2FformResponse%3Fusp%3Dpp_url%26entry.1313582257%3D0109682985%26entry.1578404635%3DHadir</t>
  </si>
  <si>
    <t>0092725675</t>
  </si>
  <si>
    <t>Daffa Hafizh Firdausi</t>
  </si>
  <si>
    <t>https://quickchart.io/qr?size=250&amp;text=https%3A%2F%2Fdocs.google.com%2Fforms%2Fd%2Fe%2F1FAIpQLSeZ-R1GrWlAPkfaThGqxeTj0QTtrARw4rroxIIepf2kipn1nw%2FformResponse%3Fusp%3Dpp_url%26entry.1313582257%3D0092725675%26entry.1578404635%3DHadir</t>
  </si>
  <si>
    <t>3106961615</t>
  </si>
  <si>
    <t>Damara Dasha Bahi Utomo</t>
  </si>
  <si>
    <t>https://quickchart.io/qr?size=250&amp;text=https%3A%2F%2Fdocs.google.com%2Fforms%2Fd%2Fe%2F1FAIpQLSeZ-R1GrWlAPkfaThGqxeTj0QTtrARw4rroxIIepf2kipn1nw%2FformResponse%3Fusp%3Dpp_url%26entry.1313582257%3D3106961615%26entry.1578404635%3DHadir</t>
  </si>
  <si>
    <t>0102221985</t>
  </si>
  <si>
    <t>Deana Azalea Belva</t>
  </si>
  <si>
    <t>https://quickchart.io/qr?size=250&amp;text=https%3A%2F%2Fdocs.google.com%2Fforms%2Fd%2Fe%2F1FAIpQLSeZ-R1GrWlAPkfaThGqxeTj0QTtrARw4rroxIIepf2kipn1nw%2FformResponse%3Fusp%3Dpp_url%26entry.1313582257%3D0102221985%26entry.1578404635%3DHadir</t>
  </si>
  <si>
    <t>0096201622</t>
  </si>
  <si>
    <t>Delfa Maharani</t>
  </si>
  <si>
    <t>https://quickchart.io/qr?size=250&amp;text=https%3A%2F%2Fdocs.google.com%2Fforms%2Fd%2Fe%2F1FAIpQLSeZ-R1GrWlAPkfaThGqxeTj0QTtrARw4rroxIIepf2kipn1nw%2FformResponse%3Fusp%3Dpp_url%26entry.1313582257%3D0096201622%26entry.1578404635%3DHadir</t>
  </si>
  <si>
    <t>0104985283</t>
  </si>
  <si>
    <t>Fauza Nur Aziema</t>
  </si>
  <si>
    <t>https://quickchart.io/qr?size=250&amp;text=https%3A%2F%2Fdocs.google.com%2Fforms%2Fd%2Fe%2F1FAIpQLSeZ-R1GrWlAPkfaThGqxeTj0QTtrARw4rroxIIepf2kipn1nw%2FformResponse%3Fusp%3Dpp_url%26entry.1313582257%3D0104985283%26entry.1578404635%3DHadir</t>
  </si>
  <si>
    <t>3086279831</t>
  </si>
  <si>
    <t>Gefira Azizatul Hasanah</t>
  </si>
  <si>
    <t>https://quickchart.io/qr?size=250&amp;text=https%3A%2F%2Fdocs.google.com%2Fforms%2Fd%2Fe%2F1FAIpQLSeZ-R1GrWlAPkfaThGqxeTj0QTtrARw4rroxIIepf2kipn1nw%2FformResponse%3Fusp%3Dpp_url%26entry.1313582257%3D3086279831%26entry.1578404635%3DHadir</t>
  </si>
  <si>
    <t>3091107524</t>
  </si>
  <si>
    <t>Keisha Nurazizah</t>
  </si>
  <si>
    <t>https://quickchart.io/qr?size=250&amp;text=https%3A%2F%2Fdocs.google.com%2Fforms%2Fd%2Fe%2F1FAIpQLSeZ-R1GrWlAPkfaThGqxeTj0QTtrARw4rroxIIepf2kipn1nw%2FformResponse%3Fusp%3Dpp_url%26entry.1313582257%3D3091107524%26entry.1578404635%3DHadir</t>
  </si>
  <si>
    <t>0103652262</t>
  </si>
  <si>
    <t>Kenzie Dzakwan Ibrahim</t>
  </si>
  <si>
    <t>https://quickchart.io/qr?size=250&amp;text=https%3A%2F%2Fdocs.google.com%2Fforms%2Fd%2Fe%2F1FAIpQLSeZ-R1GrWlAPkfaThGqxeTj0QTtrARw4rroxIIepf2kipn1nw%2FformResponse%3Fusp%3Dpp_url%26entry.1313582257%3D0103652262%26entry.1578404635%3DHadir</t>
  </si>
  <si>
    <t>0097732804</t>
  </si>
  <si>
    <t>Kesyha Ramadhani</t>
  </si>
  <si>
    <t>https://quickchart.io/qr?size=250&amp;text=https%3A%2F%2Fdocs.google.com%2Fforms%2Fd%2Fe%2F1FAIpQLSeZ-R1GrWlAPkfaThGqxeTj0QTtrARw4rroxIIepf2kipn1nw%2FformResponse%3Fusp%3Dpp_url%26entry.1313582257%3D0097732804%26entry.1578404635%3DHadir</t>
  </si>
  <si>
    <t>3093490279</t>
  </si>
  <si>
    <t>Kevin Septian Ramadhan</t>
  </si>
  <si>
    <t>https://quickchart.io/qr?size=250&amp;text=https%3A%2F%2Fdocs.google.com%2Fforms%2Fd%2Fe%2F1FAIpQLSeZ-R1GrWlAPkfaThGqxeTj0QTtrARw4rroxIIepf2kipn1nw%2FformResponse%3Fusp%3Dpp_url%26entry.1313582257%3D3093490279%26entry.1578404635%3DHadir</t>
  </si>
  <si>
    <t>0094431854</t>
  </si>
  <si>
    <t>Madina Zulfa Aini</t>
  </si>
  <si>
    <t>33 - GC2 X-12</t>
  </si>
  <si>
    <t>https://quickchart.io/qr?size=250&amp;text=https%3A%2F%2Fdocs.google.com%2Fforms%2Fd%2Fe%2F1FAIpQLSeZ-R1GrWlAPkfaThGqxeTj0QTtrARw4rroxIIepf2kipn1nw%2FformResponse%3Fusp%3Dpp_url%26entry.1313582257%3D0094431854%26entry.1578404635%3DHadir</t>
  </si>
  <si>
    <t>0103035193</t>
  </si>
  <si>
    <t>Maheswara Pekik Hanuraga</t>
  </si>
  <si>
    <t>https://quickchart.io/qr?size=250&amp;text=https%3A%2F%2Fdocs.google.com%2Fforms%2Fd%2Fe%2F1FAIpQLSeZ-R1GrWlAPkfaThGqxeTj0QTtrARw4rroxIIepf2kipn1nw%2FformResponse%3Fusp%3Dpp_url%26entry.1313582257%3D0103035193%26entry.1578404635%3DHadir</t>
  </si>
  <si>
    <t>0095778047</t>
  </si>
  <si>
    <t>Maulida Ainnurahma</t>
  </si>
  <si>
    <t>https://quickchart.io/qr?size=250&amp;text=https%3A%2F%2Fdocs.google.com%2Fforms%2Fd%2Fe%2F1FAIpQLSeZ-R1GrWlAPkfaThGqxeTj0QTtrARw4rroxIIepf2kipn1nw%2FformResponse%3Fusp%3Dpp_url%26entry.1313582257%3D0095778047%26entry.1578404635%3DHadir</t>
  </si>
  <si>
    <t>0103777854</t>
  </si>
  <si>
    <t>Muhamad Subkhi</t>
  </si>
  <si>
    <t>https://quickchart.io/qr?size=250&amp;text=https%3A%2F%2Fdocs.google.com%2Fforms%2Fd%2Fe%2F1FAIpQLSeZ-R1GrWlAPkfaThGqxeTj0QTtrARw4rroxIIepf2kipn1nw%2FformResponse%3Fusp%3Dpp_url%26entry.1313582257%3D0103777854%26entry.1578404635%3DHadir</t>
  </si>
  <si>
    <t>3109116422</t>
  </si>
  <si>
    <t>Muhammad Armanugie Saputra</t>
  </si>
  <si>
    <t>https://quickchart.io/qr?size=250&amp;text=https%3A%2F%2Fdocs.google.com%2Fforms%2Fd%2Fe%2F1FAIpQLSeZ-R1GrWlAPkfaThGqxeTj0QTtrARw4rroxIIepf2kipn1nw%2FformResponse%3Fusp%3Dpp_url%26entry.1313582257%3D3109116422%26entry.1578404635%3DHadir</t>
  </si>
  <si>
    <t>0103887571</t>
  </si>
  <si>
    <t>Muhammad Javier</t>
  </si>
  <si>
    <t>https://quickchart.io/qr?size=250&amp;text=https%3A%2F%2Fdocs.google.com%2Fforms%2Fd%2Fe%2F1FAIpQLSeZ-R1GrWlAPkfaThGqxeTj0QTtrARw4rroxIIepf2kipn1nw%2FformResponse%3Fusp%3Dpp_url%26entry.1313582257%3D0103887571%26entry.1578404635%3DHadir</t>
  </si>
  <si>
    <t>0102148224</t>
  </si>
  <si>
    <t>Muhammad Zahran Rifai</t>
  </si>
  <si>
    <t>https://quickchart.io/qr?size=250&amp;text=https%3A%2F%2Fdocs.google.com%2Fforms%2Fd%2Fe%2F1FAIpQLSeZ-R1GrWlAPkfaThGqxeTj0QTtrARw4rroxIIepf2kipn1nw%2FformResponse%3Fusp%3Dpp_url%26entry.1313582257%3D0102148224%26entry.1578404635%3DHadir</t>
  </si>
  <si>
    <t>0096368920</t>
  </si>
  <si>
    <t>Nadhifa Qeysa Auliani Soehardi</t>
  </si>
  <si>
    <t>https://quickchart.io/qr?size=250&amp;text=https%3A%2F%2Fdocs.google.com%2Fforms%2Fd%2Fe%2F1FAIpQLSeZ-R1GrWlAPkfaThGqxeTj0QTtrARw4rroxIIepf2kipn1nw%2FformResponse%3Fusp%3Dpp_url%26entry.1313582257%3D0096368920%26entry.1578404635%3DHadir</t>
  </si>
  <si>
    <t>0094328074</t>
  </si>
  <si>
    <t>Naila</t>
  </si>
  <si>
    <t>https://quickchart.io/qr?size=250&amp;text=https%3A%2F%2Fdocs.google.com%2Fforms%2Fd%2Fe%2F1FAIpQLSeZ-R1GrWlAPkfaThGqxeTj0QTtrARw4rroxIIepf2kipn1nw%2FformResponse%3Fusp%3Dpp_url%26entry.1313582257%3D0094328074%26entry.1578404635%3DHadir</t>
  </si>
  <si>
    <t>0098429745</t>
  </si>
  <si>
    <t>Natiq Tawqir Muniruzzaman Anandamaya</t>
  </si>
  <si>
    <t>https://quickchart.io/qr?size=250&amp;text=https%3A%2F%2Fdocs.google.com%2Fforms%2Fd%2Fe%2F1FAIpQLSeZ-R1GrWlAPkfaThGqxeTj0QTtrARw4rroxIIepf2kipn1nw%2FformResponse%3Fusp%3Dpp_url%26entry.1313582257%3D0098429745%26entry.1578404635%3DHadir</t>
  </si>
  <si>
    <t>3102974181</t>
  </si>
  <si>
    <t>Naureen Shabiha Zahira</t>
  </si>
  <si>
    <t>https://quickchart.io/qr?size=250&amp;text=https%3A%2F%2Fdocs.google.com%2Fforms%2Fd%2Fe%2F1FAIpQLSeZ-R1GrWlAPkfaThGqxeTj0QTtrARw4rroxIIepf2kipn1nw%2FformResponse%3Fusp%3Dpp_url%26entry.1313582257%3D3102974181%26entry.1578404635%3DHadir</t>
  </si>
  <si>
    <t>0099622136</t>
  </si>
  <si>
    <t>Nayla Lyra Sagita</t>
  </si>
  <si>
    <t>https://quickchart.io/qr?size=250&amp;text=https%3A%2F%2Fdocs.google.com%2Fforms%2Fd%2Fe%2F1FAIpQLSeZ-R1GrWlAPkfaThGqxeTj0QTtrARw4rroxIIepf2kipn1nw%2FformResponse%3Fusp%3Dpp_url%26entry.1313582257%3D0099622136%26entry.1578404635%3DHadir</t>
  </si>
  <si>
    <t>0102898760</t>
  </si>
  <si>
    <t>Naywa Dinda Kansana Lubis</t>
  </si>
  <si>
    <t>https://quickchart.io/qr?size=250&amp;text=https%3A%2F%2Fdocs.google.com%2Fforms%2Fd%2Fe%2F1FAIpQLSeZ-R1GrWlAPkfaThGqxeTj0QTtrARw4rroxIIepf2kipn1nw%2FformResponse%3Fusp%3Dpp_url%26entry.1313582257%3D0102898760%26entry.1578404635%3DHadir</t>
  </si>
  <si>
    <t>0106961567</t>
  </si>
  <si>
    <t>R.A.M. Fakhri Izzuddin Mashur</t>
  </si>
  <si>
    <t>https://quickchart.io/qr?size=250&amp;text=https%3A%2F%2Fdocs.google.com%2Fforms%2Fd%2Fe%2F1FAIpQLSeZ-R1GrWlAPkfaThGqxeTj0QTtrARw4rroxIIepf2kipn1nw%2FformResponse%3Fusp%3Dpp_url%26entry.1313582257%3D0106961567%26entry.1578404635%3DHadir</t>
  </si>
  <si>
    <t>0105994913</t>
  </si>
  <si>
    <t>Radinka Alano Hamizan Abqari</t>
  </si>
  <si>
    <t>https://quickchart.io/qr?size=250&amp;text=https%3A%2F%2Fdocs.google.com%2Fforms%2Fd%2Fe%2F1FAIpQLSeZ-R1GrWlAPkfaThGqxeTj0QTtrARw4rroxIIepf2kipn1nw%2FformResponse%3Fusp%3Dpp_url%26entry.1313582257%3D0105994913%26entry.1578404635%3DHadir</t>
  </si>
  <si>
    <t>0093563834</t>
  </si>
  <si>
    <t>Rifqah Ramadhani</t>
  </si>
  <si>
    <t>https://quickchart.io/qr?size=250&amp;text=https%3A%2F%2Fdocs.google.com%2Fforms%2Fd%2Fe%2F1FAIpQLSeZ-R1GrWlAPkfaThGqxeTj0QTtrARw4rroxIIepf2kipn1nw%2FformResponse%3Fusp%3Dpp_url%26entry.1313582257%3D0093563834%26entry.1578404635%3DHadir</t>
  </si>
  <si>
    <t>0097303991</t>
  </si>
  <si>
    <t>Roshan Aidan Juro Aprianto</t>
  </si>
  <si>
    <t>https://quickchart.io/qr?size=250&amp;text=https%3A%2F%2Fdocs.google.com%2Fforms%2Fd%2Fe%2F1FAIpQLSeZ-R1GrWlAPkfaThGqxeTj0QTtrARw4rroxIIepf2kipn1nw%2FformResponse%3Fusp%3Dpp_url%26entry.1313582257%3D0097303991%26entry.1578404635%3DHadir</t>
  </si>
  <si>
    <t>0098050747</t>
  </si>
  <si>
    <t>Ruba Aqeela Hafizha Mecca</t>
  </si>
  <si>
    <t>https://quickchart.io/qr?size=250&amp;text=https%3A%2F%2Fdocs.google.com%2Fforms%2Fd%2Fe%2F1FAIpQLSeZ-R1GrWlAPkfaThGqxeTj0QTtrARw4rroxIIepf2kipn1nw%2FformResponse%3Fusp%3Dpp_url%26entry.1313582257%3D0098050747%26entry.1578404635%3DHadir</t>
  </si>
  <si>
    <t>0092524998</t>
  </si>
  <si>
    <t>Sajna Jerrusalem Kharima Sugeng Putri</t>
  </si>
  <si>
    <t>https://quickchart.io/qr?size=250&amp;text=https%3A%2F%2Fdocs.google.com%2Fforms%2Fd%2Fe%2F1FAIpQLSeZ-R1GrWlAPkfaThGqxeTj0QTtrARw4rroxIIepf2kipn1nw%2FformResponse%3Fusp%3Dpp_url%26entry.1313582257%3D0092524998%26entry.1578404635%3DHadir</t>
  </si>
  <si>
    <t>0109344308</t>
  </si>
  <si>
    <t>Shahrazad Aulia Handyanto</t>
  </si>
  <si>
    <t>https://quickchart.io/qr?size=250&amp;text=https%3A%2F%2Fdocs.google.com%2Fforms%2Fd%2Fe%2F1FAIpQLSeZ-R1GrWlAPkfaThGqxeTj0QTtrARw4rroxIIepf2kipn1nw%2FformResponse%3Fusp%3Dpp_url%26entry.1313582257%3D0109344308%26entry.1578404635%3DHadir</t>
  </si>
  <si>
    <t>0101659072</t>
  </si>
  <si>
    <t>Syahla Salsabila Ramdani</t>
  </si>
  <si>
    <t>https://quickchart.io/qr?size=250&amp;text=https%3A%2F%2Fdocs.google.com%2Fforms%2Fd%2Fe%2F1FAIpQLSeZ-R1GrWlAPkfaThGqxeTj0QTtrARw4rroxIIepf2kipn1nw%2FformResponse%3Fusp%3Dpp_url%26entry.1313582257%3D0101659072%26entry.1578404635%3DHadir</t>
  </si>
  <si>
    <t>0095899359</t>
  </si>
  <si>
    <t>Velicya Arnelita Zahra Suryana</t>
  </si>
  <si>
    <t>https://quickchart.io/qr?size=250&amp;text=https%3A%2F%2Fdocs.google.com%2Fforms%2Fd%2Fe%2F1FAIpQLSeZ-R1GrWlAPkfaThGqxeTj0QTtrARw4rroxIIepf2kipn1nw%2FformResponse%3Fusp%3Dpp_url%26entry.1313582257%3D0095899359%26entry.1578404635%3DHadir</t>
  </si>
  <si>
    <t>0095810986</t>
  </si>
  <si>
    <t>Zalfa Rizqia Nur Nadhifa</t>
  </si>
  <si>
    <t>https://quickchart.io/qr?size=250&amp;text=https%3A%2F%2Fdocs.google.com%2Fforms%2Fd%2Fe%2F1FAIpQLSeZ-R1GrWlAPkfaThGqxeTj0QTtrARw4rroxIIepf2kipn1nw%2FformResponse%3Fusp%3Dpp_url%26entry.1313582257%3D0095810986%26entry.1578404635%3DHadir</t>
  </si>
  <si>
    <t>0082590495</t>
  </si>
  <si>
    <t xml:space="preserve">  XI A-1</t>
  </si>
  <si>
    <t>32 - BC X-11</t>
  </si>
  <si>
    <t>https://quickchart.io/qr?size=250&amp;text=https%3A%2F%2Fdocs.google.com%2Fforms%2Fd%2Fe%2F1FAIpQLSeZ-R1GrWlAPkfaThGqxeTj0QTtrARw4rroxIIepf2kipn1nw%2FformResponse%3Fusp%3Dpp_url%26entry.1313582257%3D0082590495%26entry.1578404635%3DHadir</t>
  </si>
  <si>
    <t>0097313548</t>
  </si>
  <si>
    <t>https://quickchart.io/qr?size=250&amp;text=https%3A%2F%2Fdocs.google.com%2Fforms%2Fd%2Fe%2F1FAIpQLSeZ-R1GrWlAPkfaThGqxeTj0QTtrARw4rroxIIepf2kipn1nw%2FformResponse%3Fusp%3Dpp_url%26entry.1313582257%3D0097313548%26entry.1578404635%3DHadir</t>
  </si>
  <si>
    <t xml:space="preserve">0094510551 </t>
  </si>
  <si>
    <t>32 - GC X-9</t>
  </si>
  <si>
    <t>https://quickchart.io/qr?size=250&amp;text=https%3A%2F%2Fdocs.google.com%2Fforms%2Fd%2Fe%2F1FAIpQLSeZ-R1GrWlAPkfaThGqxeTj0QTtrARw4rroxIIepf2kipn1nw%2FformResponse%3Fusp%3Dpp_url%26entry.1313582257%3D0094510551%20%26entry.1578404635%3DHadir</t>
  </si>
  <si>
    <t>0087298416</t>
  </si>
  <si>
    <t>32 - GC X-1</t>
  </si>
  <si>
    <t>https://quickchart.io/qr?size=250&amp;text=https%3A%2F%2Fdocs.google.com%2Fforms%2Fd%2Fe%2F1FAIpQLSeZ-R1GrWlAPkfaThGqxeTj0QTtrARw4rroxIIepf2kipn1nw%2FformResponse%3Fusp%3Dpp_url%26entry.1313582257%3D0087298416%26entry.1578404635%3DHadir</t>
  </si>
  <si>
    <t>0095546511</t>
  </si>
  <si>
    <t>https://quickchart.io/qr?size=250&amp;text=https%3A%2F%2Fdocs.google.com%2Fforms%2Fd%2Fe%2F1FAIpQLSeZ-R1GrWlAPkfaThGqxeTj0QTtrARw4rroxIIepf2kipn1nw%2FformResponse%3Fusp%3Dpp_url%26entry.1313582257%3D0095546511%26entry.1578404635%3DHadir</t>
  </si>
  <si>
    <t>https://quickchart.io/qr?size=250&amp;text=https%3A%2F%2Fdocs.google.com%2Fforms%2Fd%2Fe%2F1FAIpQLSeZ-R1GrWlAPkfaThGqxeTj0QTtrARw4rroxIIepf2kipn1nw%2FformResponse%3Fusp%3Dpp_url%26entry.1313582257%3D3086190678%26entry.1578404635%3DHadir</t>
  </si>
  <si>
    <t>0107163370</t>
  </si>
  <si>
    <t>https://quickchart.io/qr?size=250&amp;text=https%3A%2F%2Fdocs.google.com%2Fforms%2Fd%2Fe%2F1FAIpQLSeZ-R1GrWlAPkfaThGqxeTj0QTtrARw4rroxIIepf2kipn1nw%2FformResponse%3Fusp%3Dpp_url%26entry.1313582257%3D0107163370%26entry.1578404635%3DHadir</t>
  </si>
  <si>
    <t>https://quickchart.io/qr?size=250&amp;text=https%3A%2F%2Fdocs.google.com%2Fforms%2Fd%2Fe%2F1FAIpQLSeZ-R1GrWlAPkfaThGqxeTj0QTtrARw4rroxIIepf2kipn1nw%2FformResponse%3Fusp%3Dpp_url%26entry.1313582257%3D3092678408%26entry.1578404635%3DHadir</t>
  </si>
  <si>
    <t>0095504110</t>
  </si>
  <si>
    <t>https://quickchart.io/qr?size=250&amp;text=https%3A%2F%2Fdocs.google.com%2Fforms%2Fd%2Fe%2F1FAIpQLSeZ-R1GrWlAPkfaThGqxeTj0QTtrARw4rroxIIepf2kipn1nw%2FformResponse%3Fusp%3Dpp_url%26entry.1313582257%3D0095504110%26entry.1578404635%3DHadir</t>
  </si>
  <si>
    <t>32 - BC X-1</t>
  </si>
  <si>
    <t>https://quickchart.io/qr?size=250&amp;text=https%3A%2F%2Fdocs.google.com%2Fforms%2Fd%2Fe%2F1FAIpQLSeZ-R1GrWlAPkfaThGqxeTj0QTtrARw4rroxIIepf2kipn1nw%2FformResponse%3Fusp%3Dpp_url%26entry.1313582257%3D3081717964%26entry.1578404635%3DHadir</t>
  </si>
  <si>
    <t>0083076557</t>
  </si>
  <si>
    <t>32 - GC X-7</t>
  </si>
  <si>
    <t>https://quickchart.io/qr?size=250&amp;text=https%3A%2F%2Fdocs.google.com%2Fforms%2Fd%2Fe%2F1FAIpQLSeZ-R1GrWlAPkfaThGqxeTj0QTtrARw4rroxIIepf2kipn1nw%2FformResponse%3Fusp%3Dpp_url%26entry.1313582257%3D0083076557%26entry.1578404635%3DHadir</t>
  </si>
  <si>
    <t>0093137843</t>
  </si>
  <si>
    <t>32 - GC X-12</t>
  </si>
  <si>
    <t>https://quickchart.io/qr?size=250&amp;text=https%3A%2F%2Fdocs.google.com%2Fforms%2Fd%2Fe%2F1FAIpQLSeZ-R1GrWlAPkfaThGqxeTj0QTtrARw4rroxIIepf2kipn1nw%2FformResponse%3Fusp%3Dpp_url%26entry.1313582257%3D0093137843%26entry.1578404635%3DHadir</t>
  </si>
  <si>
    <t>https://quickchart.io/qr?size=250&amp;text=https%3A%2F%2Fdocs.google.com%2Fforms%2Fd%2Fe%2F1FAIpQLSeZ-R1GrWlAPkfaThGqxeTj0QTtrARw4rroxIIepf2kipn1nw%2FformResponse%3Fusp%3Dpp_url%26entry.1313582257%3D3090828690%26entry.1578404635%3DHadir</t>
  </si>
  <si>
    <t>0088101729</t>
  </si>
  <si>
    <t>https://quickchart.io/qr?size=250&amp;text=https%3A%2F%2Fdocs.google.com%2Fforms%2Fd%2Fe%2F1FAIpQLSeZ-R1GrWlAPkfaThGqxeTj0QTtrARw4rroxIIepf2kipn1nw%2FformResponse%3Fusp%3Dpp_url%26entry.1313582257%3D0088101729%26entry.1578404635%3DHadir</t>
  </si>
  <si>
    <t>0099940887</t>
  </si>
  <si>
    <t>https://quickchart.io/qr?size=250&amp;text=https%3A%2F%2Fdocs.google.com%2Fforms%2Fd%2Fe%2F1FAIpQLSeZ-R1GrWlAPkfaThGqxeTj0QTtrARw4rroxIIepf2kipn1nw%2FformResponse%3Fusp%3Dpp_url%26entry.1313582257%3D0099940887%26entry.1578404635%3DHadir</t>
  </si>
  <si>
    <t>0096213576</t>
  </si>
  <si>
    <t>32 - GC X-4</t>
  </si>
  <si>
    <t>https://quickchart.io/qr?size=250&amp;text=https%3A%2F%2Fdocs.google.com%2Fforms%2Fd%2Fe%2F1FAIpQLSeZ-R1GrWlAPkfaThGqxeTj0QTtrARw4rroxIIepf2kipn1nw%2FformResponse%3Fusp%3Dpp_url%26entry.1313582257%3D0096213576%26entry.1578404635%3DHadir</t>
  </si>
  <si>
    <t>0091012038</t>
  </si>
  <si>
    <t>https://quickchart.io/qr?size=250&amp;text=https%3A%2F%2Fdocs.google.com%2Fforms%2Fd%2Fe%2F1FAIpQLSeZ-R1GrWlAPkfaThGqxeTj0QTtrARw4rroxIIepf2kipn1nw%2FformResponse%3Fusp%3Dpp_url%26entry.1313582257%3D0091012038%26entry.1578404635%3DHadir</t>
  </si>
  <si>
    <t>0097202517</t>
  </si>
  <si>
    <t>32 - GC X-8</t>
  </si>
  <si>
    <t>https://quickchart.io/qr?size=250&amp;text=https%3A%2F%2Fdocs.google.com%2Fforms%2Fd%2Fe%2F1FAIpQLSeZ-R1GrWlAPkfaThGqxeTj0QTtrARw4rroxIIepf2kipn1nw%2FformResponse%3Fusp%3Dpp_url%26entry.1313582257%3D0097202517%26entry.1578404635%3DHadir</t>
  </si>
  <si>
    <t>0098256549</t>
  </si>
  <si>
    <t>https://quickchart.io/qr?size=250&amp;text=https%3A%2F%2Fdocs.google.com%2Fforms%2Fd%2Fe%2F1FAIpQLSeZ-R1GrWlAPkfaThGqxeTj0QTtrARw4rroxIIepf2kipn1nw%2FformResponse%3Fusp%3Dpp_url%26entry.1313582257%3D0098256549%26entry.1578404635%3DHadir</t>
  </si>
  <si>
    <t>0093623036</t>
  </si>
  <si>
    <t>https://quickchart.io/qr?size=250&amp;text=https%3A%2F%2Fdocs.google.com%2Fforms%2Fd%2Fe%2F1FAIpQLSeZ-R1GrWlAPkfaThGqxeTj0QTtrARw4rroxIIepf2kipn1nw%2FformResponse%3Fusp%3Dpp_url%26entry.1313582257%3D0093623036%26entry.1578404635%3DHadir</t>
  </si>
  <si>
    <t>0083667654</t>
  </si>
  <si>
    <t>32 - GC X-10</t>
  </si>
  <si>
    <t>https://quickchart.io/qr?size=250&amp;text=https%3A%2F%2Fdocs.google.com%2Fforms%2Fd%2Fe%2F1FAIpQLSeZ-R1GrWlAPkfaThGqxeTj0QTtrARw4rroxIIepf2kipn1nw%2FformResponse%3Fusp%3Dpp_url%26entry.1313582257%3D0083667654%26entry.1578404635%3DHadir</t>
  </si>
  <si>
    <t>https://quickchart.io/qr?size=250&amp;text=https%3A%2F%2Fdocs.google.com%2Fforms%2Fd%2Fe%2F1FAIpQLSeZ-R1GrWlAPkfaThGqxeTj0QTtrARw4rroxIIepf2kipn1nw%2FformResponse%3Fusp%3Dpp_url%26entry.1313582257%3D3083447726%26entry.1578404635%3DHadir</t>
  </si>
  <si>
    <t>0098849381</t>
  </si>
  <si>
    <t>32 - BC X-2</t>
  </si>
  <si>
    <t>https://quickchart.io/qr?size=250&amp;text=https%3A%2F%2Fdocs.google.com%2Fforms%2Fd%2Fe%2F1FAIpQLSeZ-R1GrWlAPkfaThGqxeTj0QTtrARw4rroxIIepf2kipn1nw%2FformResponse%3Fusp%3Dpp_url%26entry.1313582257%3D0098849381%26entry.1578404635%3DHadir</t>
  </si>
  <si>
    <t>0097736512</t>
  </si>
  <si>
    <t>32 - GC X-5</t>
  </si>
  <si>
    <t>https://quickchart.io/qr?size=250&amp;text=https%3A%2F%2Fdocs.google.com%2Fforms%2Fd%2Fe%2F1FAIpQLSeZ-R1GrWlAPkfaThGqxeTj0QTtrARw4rroxIIepf2kipn1nw%2FformResponse%3Fusp%3Dpp_url%26entry.1313582257%3D0097736512%26entry.1578404635%3DHadir</t>
  </si>
  <si>
    <t>0083833819</t>
  </si>
  <si>
    <t>https://quickchart.io/qr?size=250&amp;text=https%3A%2F%2Fdocs.google.com%2Fforms%2Fd%2Fe%2F1FAIpQLSeZ-R1GrWlAPkfaThGqxeTj0QTtrARw4rroxIIepf2kipn1nw%2FformResponse%3Fusp%3Dpp_url%26entry.1313582257%3D0083833819%26entry.1578404635%3DHadir</t>
  </si>
  <si>
    <t>0094989387</t>
  </si>
  <si>
    <t>https://quickchart.io/qr?size=250&amp;text=https%3A%2F%2Fdocs.google.com%2Fforms%2Fd%2Fe%2F1FAIpQLSeZ-R1GrWlAPkfaThGqxeTj0QTtrARw4rroxIIepf2kipn1nw%2FformResponse%3Fusp%3Dpp_url%26entry.1313582257%3D0094989387%26entry.1578404635%3DHadir</t>
  </si>
  <si>
    <t>0091033788</t>
  </si>
  <si>
    <t>32 - GC X-3</t>
  </si>
  <si>
    <t>https://quickchart.io/qr?size=250&amp;text=https%3A%2F%2Fdocs.google.com%2Fforms%2Fd%2Fe%2F1FAIpQLSeZ-R1GrWlAPkfaThGqxeTj0QTtrARw4rroxIIepf2kipn1nw%2FformResponse%3Fusp%3Dpp_url%26entry.1313582257%3D0091033788%26entry.1578404635%3DHadir</t>
  </si>
  <si>
    <t>https://quickchart.io/qr?size=250&amp;text=https%3A%2F%2Fdocs.google.com%2Fforms%2Fd%2Fe%2F1FAIpQLSeZ-R1GrWlAPkfaThGqxeTj0QTtrARw4rroxIIepf2kipn1nw%2FformResponse%3Fusp%3Dpp_url%26entry.1313582257%3D3098805753%26entry.1578404635%3DHadir</t>
  </si>
  <si>
    <t>0092827580</t>
  </si>
  <si>
    <t>32 - GC X-11</t>
  </si>
  <si>
    <t>https://quickchart.io/qr?size=250&amp;text=https%3A%2F%2Fdocs.google.com%2Fforms%2Fd%2Fe%2F1FAIpQLSeZ-R1GrWlAPkfaThGqxeTj0QTtrARw4rroxIIepf2kipn1nw%2FformResponse%3Fusp%3Dpp_url%26entry.1313582257%3D0092827580%26entry.1578404635%3DHadir</t>
  </si>
  <si>
    <t>0084290235</t>
  </si>
  <si>
    <t>https://quickchart.io/qr?size=250&amp;text=https%3A%2F%2Fdocs.google.com%2Fforms%2Fd%2Fe%2F1FAIpQLSeZ-R1GrWlAPkfaThGqxeTj0QTtrARw4rroxIIepf2kipn1nw%2FformResponse%3Fusp%3Dpp_url%26entry.1313582257%3D0084290235%26entry.1578404635%3DHadir</t>
  </si>
  <si>
    <t>0093286737</t>
  </si>
  <si>
    <t>https://quickchart.io/qr?size=250&amp;text=https%3A%2F%2Fdocs.google.com%2Fforms%2Fd%2Fe%2F1FAIpQLSeZ-R1GrWlAPkfaThGqxeTj0QTtrARw4rroxIIepf2kipn1nw%2FformResponse%3Fusp%3Dpp_url%26entry.1313582257%3D0093286737%26entry.1578404635%3DHadir</t>
  </si>
  <si>
    <t>0091061057</t>
  </si>
  <si>
    <t>https://quickchart.io/qr?size=250&amp;text=https%3A%2F%2Fdocs.google.com%2Fforms%2Fd%2Fe%2F1FAIpQLSeZ-R1GrWlAPkfaThGqxeTj0QTtrARw4rroxIIepf2kipn1nw%2FformResponse%3Fusp%3Dpp_url%26entry.1313582257%3D0091061057%26entry.1578404635%3DHadir</t>
  </si>
  <si>
    <t>0095163025</t>
  </si>
  <si>
    <t>https://quickchart.io/qr?size=250&amp;text=https%3A%2F%2Fdocs.google.com%2Fforms%2Fd%2Fe%2F1FAIpQLSeZ-R1GrWlAPkfaThGqxeTj0QTtrARw4rroxIIepf2kipn1nw%2FformResponse%3Fusp%3Dpp_url%26entry.1313582257%3D0095163025%26entry.1578404635%3DHadir</t>
  </si>
  <si>
    <t>0082747470</t>
  </si>
  <si>
    <t>https://quickchart.io/qr?size=250&amp;text=https%3A%2F%2Fdocs.google.com%2Fforms%2Fd%2Fe%2F1FAIpQLSeZ-R1GrWlAPkfaThGqxeTj0QTtrARw4rroxIIepf2kipn1nw%2FformResponse%3Fusp%3Dpp_url%26entry.1313582257%3D0082747470%26entry.1578404635%3DHadir</t>
  </si>
  <si>
    <t>0085011294</t>
  </si>
  <si>
    <t>https://quickchart.io/qr?size=250&amp;text=https%3A%2F%2Fdocs.google.com%2Fforms%2Fd%2Fe%2F1FAIpQLSeZ-R1GrWlAPkfaThGqxeTj0QTtrARw4rroxIIepf2kipn1nw%2FformResponse%3Fusp%3Dpp_url%26entry.1313582257%3D0085011294%26entry.1578404635%3DHadir</t>
  </si>
  <si>
    <t>0092385645</t>
  </si>
  <si>
    <t xml:space="preserve">  XI A-2</t>
  </si>
  <si>
    <t>https://quickchart.io/qr?size=250&amp;text=https%3A%2F%2Fdocs.google.com%2Fforms%2Fd%2Fe%2F1FAIpQLSeZ-R1GrWlAPkfaThGqxeTj0QTtrARw4rroxIIepf2kipn1nw%2FformResponse%3Fusp%3Dpp_url%26entry.1313582257%3D0092385645%26entry.1578404635%3DHadir</t>
  </si>
  <si>
    <t>0083638898</t>
  </si>
  <si>
    <t>https://quickchart.io/qr?size=250&amp;text=https%3A%2F%2Fdocs.google.com%2Fforms%2Fd%2Fe%2F1FAIpQLSeZ-R1GrWlAPkfaThGqxeTj0QTtrARw4rroxIIepf2kipn1nw%2FformResponse%3Fusp%3Dpp_url%26entry.1313582257%3D0083638898%26entry.1578404635%3DHadir</t>
  </si>
  <si>
    <t>0083581318</t>
  </si>
  <si>
    <t>https://quickchart.io/qr?size=250&amp;text=https%3A%2F%2Fdocs.google.com%2Fforms%2Fd%2Fe%2F1FAIpQLSeZ-R1GrWlAPkfaThGqxeTj0QTtrARw4rroxIIepf2kipn1nw%2FformResponse%3Fusp%3Dpp_url%26entry.1313582257%3D0083581318%26entry.1578404635%3DHadir</t>
  </si>
  <si>
    <t>0086733881</t>
  </si>
  <si>
    <t>https://quickchart.io/qr?size=250&amp;text=https%3A%2F%2Fdocs.google.com%2Fforms%2Fd%2Fe%2F1FAIpQLSeZ-R1GrWlAPkfaThGqxeTj0QTtrARw4rroxIIepf2kipn1nw%2FformResponse%3Fusp%3Dpp_url%26entry.1313582257%3D0086733881%26entry.1578404635%3DHadir</t>
  </si>
  <si>
    <t>0098621054</t>
  </si>
  <si>
    <t>https://quickchart.io/qr?size=250&amp;text=https%3A%2F%2Fdocs.google.com%2Fforms%2Fd%2Fe%2F1FAIpQLSeZ-R1GrWlAPkfaThGqxeTj0QTtrARw4rroxIIepf2kipn1nw%2FformResponse%3Fusp%3Dpp_url%26entry.1313582257%3D0098621054%26entry.1578404635%3DHadir</t>
  </si>
  <si>
    <t>0092707821</t>
  </si>
  <si>
    <t>https://quickchart.io/qr?size=250&amp;text=https%3A%2F%2Fdocs.google.com%2Fforms%2Fd%2Fe%2F1FAIpQLSeZ-R1GrWlAPkfaThGqxeTj0QTtrARw4rroxIIepf2kipn1nw%2FformResponse%3Fusp%3Dpp_url%26entry.1313582257%3D0092707821%26entry.1578404635%3DHadir</t>
  </si>
  <si>
    <t>0083016159</t>
  </si>
  <si>
    <t>https://quickchart.io/qr?size=250&amp;text=https%3A%2F%2Fdocs.google.com%2Fforms%2Fd%2Fe%2F1FAIpQLSeZ-R1GrWlAPkfaThGqxeTj0QTtrARw4rroxIIepf2kipn1nw%2FformResponse%3Fusp%3Dpp_url%26entry.1313582257%3D0083016159%26entry.1578404635%3DHadir</t>
  </si>
  <si>
    <t>0083641645</t>
  </si>
  <si>
    <t>https://quickchart.io/qr?size=250&amp;text=https%3A%2F%2Fdocs.google.com%2Fforms%2Fd%2Fe%2F1FAIpQLSeZ-R1GrWlAPkfaThGqxeTj0QTtrARw4rroxIIepf2kipn1nw%2FformResponse%3Fusp%3Dpp_url%26entry.1313582257%3D0083641645%26entry.1578404635%3DHadir</t>
  </si>
  <si>
    <t>0093262366</t>
  </si>
  <si>
    <t>https://quickchart.io/qr?size=250&amp;text=https%3A%2F%2Fdocs.google.com%2Fforms%2Fd%2Fe%2F1FAIpQLSeZ-R1GrWlAPkfaThGqxeTj0QTtrARw4rroxIIepf2kipn1nw%2FformResponse%3Fusp%3Dpp_url%26entry.1313582257%3D0093262366%26entry.1578404635%3DHadir</t>
  </si>
  <si>
    <t>0096851574</t>
  </si>
  <si>
    <t>https://quickchart.io/qr?size=250&amp;text=https%3A%2F%2Fdocs.google.com%2Fforms%2Fd%2Fe%2F1FAIpQLSeZ-R1GrWlAPkfaThGqxeTj0QTtrARw4rroxIIepf2kipn1nw%2FformResponse%3Fusp%3Dpp_url%26entry.1313582257%3D0096851574%26entry.1578404635%3DHadir</t>
  </si>
  <si>
    <t>0092622229</t>
  </si>
  <si>
    <t>https://quickchart.io/qr?size=250&amp;text=https%3A%2F%2Fdocs.google.com%2Fforms%2Fd%2Fe%2F1FAIpQLSeZ-R1GrWlAPkfaThGqxeTj0QTtrARw4rroxIIepf2kipn1nw%2FformResponse%3Fusp%3Dpp_url%26entry.1313582257%3D0092622229%26entry.1578404635%3DHadir</t>
  </si>
  <si>
    <t>0081916428</t>
  </si>
  <si>
    <t>32 - GC X-2</t>
  </si>
  <si>
    <t>https://quickchart.io/qr?size=250&amp;text=https%3A%2F%2Fdocs.google.com%2Fforms%2Fd%2Fe%2F1FAIpQLSeZ-R1GrWlAPkfaThGqxeTj0QTtrARw4rroxIIepf2kipn1nw%2FformResponse%3Fusp%3Dpp_url%26entry.1313582257%3D0081916428%26entry.1578404635%3DHadir</t>
  </si>
  <si>
    <t>0095691756</t>
  </si>
  <si>
    <t>32 - GC X-6</t>
  </si>
  <si>
    <t>https://quickchart.io/qr?size=250&amp;text=https%3A%2F%2Fdocs.google.com%2Fforms%2Fd%2Fe%2F1FAIpQLSeZ-R1GrWlAPkfaThGqxeTj0QTtrARw4rroxIIepf2kipn1nw%2FformResponse%3Fusp%3Dpp_url%26entry.1313582257%3D0095691756%26entry.1578404635%3DHadir</t>
  </si>
  <si>
    <t>0082539116</t>
  </si>
  <si>
    <t>https://quickchart.io/qr?size=250&amp;text=https%3A%2F%2Fdocs.google.com%2Fforms%2Fd%2Fe%2F1FAIpQLSeZ-R1GrWlAPkfaThGqxeTj0QTtrARw4rroxIIepf2kipn1nw%2FformResponse%3Fusp%3Dpp_url%26entry.1313582257%3D0082539116%26entry.1578404635%3DHadir</t>
  </si>
  <si>
    <t>0099310873</t>
  </si>
  <si>
    <t>https://quickchart.io/qr?size=250&amp;text=https%3A%2F%2Fdocs.google.com%2Fforms%2Fd%2Fe%2F1FAIpQLSeZ-R1GrWlAPkfaThGqxeTj0QTtrARw4rroxIIepf2kipn1nw%2FformResponse%3Fusp%3Dpp_url%26entry.1313582257%3D0099310873%26entry.1578404635%3DHadir</t>
  </si>
  <si>
    <t>0099954531</t>
  </si>
  <si>
    <t>https://quickchart.io/qr?size=250&amp;text=https%3A%2F%2Fdocs.google.com%2Fforms%2Fd%2Fe%2F1FAIpQLSeZ-R1GrWlAPkfaThGqxeTj0QTtrARw4rroxIIepf2kipn1nw%2FformResponse%3Fusp%3Dpp_url%26entry.1313582257%3D0099954531%26entry.1578404635%3DHadir</t>
  </si>
  <si>
    <t>0094260903</t>
  </si>
  <si>
    <t>https://quickchart.io/qr?size=250&amp;text=https%3A%2F%2Fdocs.google.com%2Fforms%2Fd%2Fe%2F1FAIpQLSeZ-R1GrWlAPkfaThGqxeTj0QTtrARw4rroxIIepf2kipn1nw%2FformResponse%3Fusp%3Dpp_url%26entry.1313582257%3D0094260903%26entry.1578404635%3DHadir</t>
  </si>
  <si>
    <t>0089204896</t>
  </si>
  <si>
    <t>https://quickchart.io/qr?size=250&amp;text=https%3A%2F%2Fdocs.google.com%2Fforms%2Fd%2Fe%2F1FAIpQLSeZ-R1GrWlAPkfaThGqxeTj0QTtrARw4rroxIIepf2kipn1nw%2FformResponse%3Fusp%3Dpp_url%26entry.1313582257%3D0089204896%26entry.1578404635%3DHadir</t>
  </si>
  <si>
    <t>0091447390</t>
  </si>
  <si>
    <t>https://quickchart.io/qr?size=250&amp;text=https%3A%2F%2Fdocs.google.com%2Fforms%2Fd%2Fe%2F1FAIpQLSeZ-R1GrWlAPkfaThGqxeTj0QTtrARw4rroxIIepf2kipn1nw%2FformResponse%3Fusp%3Dpp_url%26entry.1313582257%3D0091447390%26entry.1578404635%3DHadir</t>
  </si>
  <si>
    <t>3092211203</t>
  </si>
  <si>
    <t>https://quickchart.io/qr?size=250&amp;text=https%3A%2F%2Fdocs.google.com%2Fforms%2Fd%2Fe%2F1FAIpQLSeZ-R1GrWlAPkfaThGqxeTj0QTtrARw4rroxIIepf2kipn1nw%2FformResponse%3Fusp%3Dpp_url%26entry.1313582257%3D3092211203%26entry.1578404635%3DHadir</t>
  </si>
  <si>
    <t>0095657800</t>
  </si>
  <si>
    <t>https://quickchart.io/qr?size=250&amp;text=https%3A%2F%2Fdocs.google.com%2Fforms%2Fd%2Fe%2F1FAIpQLSeZ-R1GrWlAPkfaThGqxeTj0QTtrARw4rroxIIepf2kipn1nw%2FformResponse%3Fusp%3Dpp_url%26entry.1313582257%3D0095657800%26entry.1578404635%3DHadir</t>
  </si>
  <si>
    <t>0082650076</t>
  </si>
  <si>
    <t>https://quickchart.io/qr?size=250&amp;text=https%3A%2F%2Fdocs.google.com%2Fforms%2Fd%2Fe%2F1FAIpQLSeZ-R1GrWlAPkfaThGqxeTj0QTtrARw4rroxIIepf2kipn1nw%2FformResponse%3Fusp%3Dpp_url%26entry.1313582257%3D0082650076%26entry.1578404635%3DHadir</t>
  </si>
  <si>
    <t>0095420383</t>
  </si>
  <si>
    <t>https://quickchart.io/qr?size=250&amp;text=https%3A%2F%2Fdocs.google.com%2Fforms%2Fd%2Fe%2F1FAIpQLSeZ-R1GrWlAPkfaThGqxeTj0QTtrARw4rroxIIepf2kipn1nw%2FformResponse%3Fusp%3Dpp_url%26entry.1313582257%3D0095420383%26entry.1578404635%3DHadir</t>
  </si>
  <si>
    <t>3097669813</t>
  </si>
  <si>
    <t>https://quickchart.io/qr?size=250&amp;text=https%3A%2F%2Fdocs.google.com%2Fforms%2Fd%2Fe%2F1FAIpQLSeZ-R1GrWlAPkfaThGqxeTj0QTtrARw4rroxIIepf2kipn1nw%2FformResponse%3Fusp%3Dpp_url%26entry.1313582257%3D3097669813%26entry.1578404635%3DHadir</t>
  </si>
  <si>
    <t>0086704012</t>
  </si>
  <si>
    <t>https://quickchart.io/qr?size=250&amp;text=https%3A%2F%2Fdocs.google.com%2Fforms%2Fd%2Fe%2F1FAIpQLSeZ-R1GrWlAPkfaThGqxeTj0QTtrARw4rroxIIepf2kipn1nw%2FformResponse%3Fusp%3Dpp_url%26entry.1313582257%3D0086704012%26entry.1578404635%3DHadir</t>
  </si>
  <si>
    <t>0095788052</t>
  </si>
  <si>
    <t>32 - BC X-12</t>
  </si>
  <si>
    <t>https://quickchart.io/qr?size=250&amp;text=https%3A%2F%2Fdocs.google.com%2Fforms%2Fd%2Fe%2F1FAIpQLSeZ-R1GrWlAPkfaThGqxeTj0QTtrARw4rroxIIepf2kipn1nw%2FformResponse%3Fusp%3Dpp_url%26entry.1313582257%3D0095788052%26entry.1578404635%3DHadir</t>
  </si>
  <si>
    <t>0094946777</t>
  </si>
  <si>
    <t>https://quickchart.io/qr?size=250&amp;text=https%3A%2F%2Fdocs.google.com%2Fforms%2Fd%2Fe%2F1FAIpQLSeZ-R1GrWlAPkfaThGqxeTj0QTtrARw4rroxIIepf2kipn1nw%2FformResponse%3Fusp%3Dpp_url%26entry.1313582257%3D0094946777%26entry.1578404635%3DHadir</t>
  </si>
  <si>
    <t>0097830870</t>
  </si>
  <si>
    <t>https://quickchart.io/qr?size=250&amp;text=https%3A%2F%2Fdocs.google.com%2Fforms%2Fd%2Fe%2F1FAIpQLSeZ-R1GrWlAPkfaThGqxeTj0QTtrARw4rroxIIepf2kipn1nw%2FformResponse%3Fusp%3Dpp_url%26entry.1313582257%3D0097830870%26entry.1578404635%3DHadir</t>
  </si>
  <si>
    <t>0092343794</t>
  </si>
  <si>
    <t>https://quickchart.io/qr?size=250&amp;text=https%3A%2F%2Fdocs.google.com%2Fforms%2Fd%2Fe%2F1FAIpQLSeZ-R1GrWlAPkfaThGqxeTj0QTtrARw4rroxIIepf2kipn1nw%2FformResponse%3Fusp%3Dpp_url%26entry.1313582257%3D0092343794%26entry.1578404635%3DHadir</t>
  </si>
  <si>
    <t>0095556013</t>
  </si>
  <si>
    <t>https://quickchart.io/qr?size=250&amp;text=https%3A%2F%2Fdocs.google.com%2Fforms%2Fd%2Fe%2F1FAIpQLSeZ-R1GrWlAPkfaThGqxeTj0QTtrARw4rroxIIepf2kipn1nw%2FformResponse%3Fusp%3Dpp_url%26entry.1313582257%3D0095556013%26entry.1578404635%3DHadir</t>
  </si>
  <si>
    <t>0094079262</t>
  </si>
  <si>
    <t>https://quickchart.io/qr?size=250&amp;text=https%3A%2F%2Fdocs.google.com%2Fforms%2Fd%2Fe%2F1FAIpQLSeZ-R1GrWlAPkfaThGqxeTj0QTtrARw4rroxIIepf2kipn1nw%2FformResponse%3Fusp%3Dpp_url%26entry.1313582257%3D0094079262%26entry.1578404635%3DHadir</t>
  </si>
  <si>
    <t>0072787144</t>
  </si>
  <si>
    <t>https://quickchart.io/qr?size=250&amp;text=https%3A%2F%2Fdocs.google.com%2Fforms%2Fd%2Fe%2F1FAIpQLSeZ-R1GrWlAPkfaThGqxeTj0QTtrARw4rroxIIepf2kipn1nw%2FformResponse%3Fusp%3Dpp_url%26entry.1313582257%3D0072787144%26entry.1578404635%3DHadir</t>
  </si>
  <si>
    <t>0096304229</t>
  </si>
  <si>
    <t>https://quickchart.io/qr?size=250&amp;text=https%3A%2F%2Fdocs.google.com%2Fforms%2Fd%2Fe%2F1FAIpQLSeZ-R1GrWlAPkfaThGqxeTj0QTtrARw4rroxIIepf2kipn1nw%2FformResponse%3Fusp%3Dpp_url%26entry.1313582257%3D0096304229%26entry.1578404635%3DHadir</t>
  </si>
  <si>
    <t>0093907013</t>
  </si>
  <si>
    <t>https://quickchart.io/qr?size=250&amp;text=https%3A%2F%2Fdocs.google.com%2Fforms%2Fd%2Fe%2F1FAIpQLSeZ-R1GrWlAPkfaThGqxeTj0QTtrARw4rroxIIepf2kipn1nw%2FformResponse%3Fusp%3Dpp_url%26entry.1313582257%3D0093907013%26entry.1578404635%3DHadir</t>
  </si>
  <si>
    <t>0084548048</t>
  </si>
  <si>
    <t>https://quickchart.io/qr?size=250&amp;text=https%3A%2F%2Fdocs.google.com%2Fforms%2Fd%2Fe%2F1FAIpQLSeZ-R1GrWlAPkfaThGqxeTj0QTtrARw4rroxIIepf2kipn1nw%2FformResponse%3Fusp%3Dpp_url%26entry.1313582257%3D0084548048%26entry.1578404635%3DHadir</t>
  </si>
  <si>
    <t>0094935892</t>
  </si>
  <si>
    <t>https://quickchart.io/qr?size=250&amp;text=https%3A%2F%2Fdocs.google.com%2Fforms%2Fd%2Fe%2F1FAIpQLSeZ-R1GrWlAPkfaThGqxeTj0QTtrARw4rroxIIepf2kipn1nw%2FformResponse%3Fusp%3Dpp_url%26entry.1313582257%3D0094935892%26entry.1578404635%3DHadir</t>
  </si>
  <si>
    <t>0085027044</t>
  </si>
  <si>
    <t xml:space="preserve">  XI B-1</t>
  </si>
  <si>
    <t>https://quickchart.io/qr?size=250&amp;text=https%3A%2F%2Fdocs.google.com%2Fforms%2Fd%2Fe%2F1FAIpQLSeZ-R1GrWlAPkfaThGqxeTj0QTtrARw4rroxIIepf2kipn1nw%2FformResponse%3Fusp%3Dpp_url%26entry.1313582257%3D0085027044%26entry.1578404635%3DHadir</t>
  </si>
  <si>
    <t>0081265372</t>
  </si>
  <si>
    <t>https://quickchart.io/qr?size=250&amp;text=https%3A%2F%2Fdocs.google.com%2Fforms%2Fd%2Fe%2F1FAIpQLSeZ-R1GrWlAPkfaThGqxeTj0QTtrARw4rroxIIepf2kipn1nw%2FformResponse%3Fusp%3Dpp_url%26entry.1313582257%3D0081265372%26entry.1578404635%3DHadir</t>
  </si>
  <si>
    <t>0092697249</t>
  </si>
  <si>
    <t>https://quickchart.io/qr?size=250&amp;text=https%3A%2F%2Fdocs.google.com%2Fforms%2Fd%2Fe%2F1FAIpQLSeZ-R1GrWlAPkfaThGqxeTj0QTtrARw4rroxIIepf2kipn1nw%2FformResponse%3Fusp%3Dpp_url%26entry.1313582257%3D0092697249%26entry.1578404635%3DHadir</t>
  </si>
  <si>
    <t>0085437129</t>
  </si>
  <si>
    <t>https://quickchart.io/qr?size=250&amp;text=https%3A%2F%2Fdocs.google.com%2Fforms%2Fd%2Fe%2F1FAIpQLSeZ-R1GrWlAPkfaThGqxeTj0QTtrARw4rroxIIepf2kipn1nw%2FformResponse%3Fusp%3Dpp_url%26entry.1313582257%3D0085437129%26entry.1578404635%3DHadir</t>
  </si>
  <si>
    <t>0098656322</t>
  </si>
  <si>
    <t>https://quickchart.io/qr?size=250&amp;text=https%3A%2F%2Fdocs.google.com%2Fforms%2Fd%2Fe%2F1FAIpQLSeZ-R1GrWlAPkfaThGqxeTj0QTtrARw4rroxIIepf2kipn1nw%2FformResponse%3Fusp%3Dpp_url%26entry.1313582257%3D0098656322%26entry.1578404635%3DHadir</t>
  </si>
  <si>
    <t>0096763243</t>
  </si>
  <si>
    <t>https://quickchart.io/qr?size=250&amp;text=https%3A%2F%2Fdocs.google.com%2Fforms%2Fd%2Fe%2F1FAIpQLSeZ-R1GrWlAPkfaThGqxeTj0QTtrARw4rroxIIepf2kipn1nw%2FformResponse%3Fusp%3Dpp_url%26entry.1313582257%3D0096763243%26entry.1578404635%3DHadir</t>
  </si>
  <si>
    <t>0098951883</t>
  </si>
  <si>
    <t>https://quickchart.io/qr?size=250&amp;text=https%3A%2F%2Fdocs.google.com%2Fforms%2Fd%2Fe%2F1FAIpQLSeZ-R1GrWlAPkfaThGqxeTj0QTtrARw4rroxIIepf2kipn1nw%2FformResponse%3Fusp%3Dpp_url%26entry.1313582257%3D0098951883%26entry.1578404635%3DHadir</t>
  </si>
  <si>
    <t>0094722345</t>
  </si>
  <si>
    <t>https://quickchart.io/qr?size=250&amp;text=https%3A%2F%2Fdocs.google.com%2Fforms%2Fd%2Fe%2F1FAIpQLSeZ-R1GrWlAPkfaThGqxeTj0QTtrARw4rroxIIepf2kipn1nw%2FformResponse%3Fusp%3Dpp_url%26entry.1313582257%3D0094722345%26entry.1578404635%3DHadir</t>
  </si>
  <si>
    <t>0097193046</t>
  </si>
  <si>
    <t>https://quickchart.io/qr?size=250&amp;text=https%3A%2F%2Fdocs.google.com%2Fforms%2Fd%2Fe%2F1FAIpQLSeZ-R1GrWlAPkfaThGqxeTj0QTtrARw4rroxIIepf2kipn1nw%2FformResponse%3Fusp%3Dpp_url%26entry.1313582257%3D0097193046%26entry.1578404635%3DHadir</t>
  </si>
  <si>
    <t>0093505380</t>
  </si>
  <si>
    <t>https://quickchart.io/qr?size=250&amp;text=https%3A%2F%2Fdocs.google.com%2Fforms%2Fd%2Fe%2F1FAIpQLSeZ-R1GrWlAPkfaThGqxeTj0QTtrARw4rroxIIepf2kipn1nw%2FformResponse%3Fusp%3Dpp_url%26entry.1313582257%3D0093505380%26entry.1578404635%3DHadir</t>
  </si>
  <si>
    <t>0084361496</t>
  </si>
  <si>
    <t>https://quickchart.io/qr?size=250&amp;text=https%3A%2F%2Fdocs.google.com%2Fforms%2Fd%2Fe%2F1FAIpQLSeZ-R1GrWlAPkfaThGqxeTj0QTtrARw4rroxIIepf2kipn1nw%2FformResponse%3Fusp%3Dpp_url%26entry.1313582257%3D0084361496%26entry.1578404635%3DHadir</t>
  </si>
  <si>
    <t>0093778675</t>
  </si>
  <si>
    <t>https://quickchart.io/qr?size=250&amp;text=https%3A%2F%2Fdocs.google.com%2Fforms%2Fd%2Fe%2F1FAIpQLSeZ-R1GrWlAPkfaThGqxeTj0QTtrARw4rroxIIepf2kipn1nw%2FformResponse%3Fusp%3Dpp_url%26entry.1313582257%3D0093778675%26entry.1578404635%3DHadir</t>
  </si>
  <si>
    <t>0094698679</t>
  </si>
  <si>
    <t>https://quickchart.io/qr?size=250&amp;text=https%3A%2F%2Fdocs.google.com%2Fforms%2Fd%2Fe%2F1FAIpQLSeZ-R1GrWlAPkfaThGqxeTj0QTtrARw4rroxIIepf2kipn1nw%2FformResponse%3Fusp%3Dpp_url%26entry.1313582257%3D0094698679%26entry.1578404635%3DHadir</t>
  </si>
  <si>
    <t>3095285309</t>
  </si>
  <si>
    <t>https://quickchart.io/qr?size=250&amp;text=https%3A%2F%2Fdocs.google.com%2Fforms%2Fd%2Fe%2F1FAIpQLSeZ-R1GrWlAPkfaThGqxeTj0QTtrARw4rroxIIepf2kipn1nw%2FformResponse%3Fusp%3Dpp_url%26entry.1313582257%3D3095285309%26entry.1578404635%3DHadir</t>
  </si>
  <si>
    <t>0081476668</t>
  </si>
  <si>
    <t>https://quickchart.io/qr?size=250&amp;text=https%3A%2F%2Fdocs.google.com%2Fforms%2Fd%2Fe%2F1FAIpQLSeZ-R1GrWlAPkfaThGqxeTj0QTtrARw4rroxIIepf2kipn1nw%2FformResponse%3Fusp%3Dpp_url%26entry.1313582257%3D0081476668%26entry.1578404635%3DHadir</t>
  </si>
  <si>
    <t>0098908539</t>
  </si>
  <si>
    <t>https://quickchart.io/qr?size=250&amp;text=https%3A%2F%2Fdocs.google.com%2Fforms%2Fd%2Fe%2F1FAIpQLSeZ-R1GrWlAPkfaThGqxeTj0QTtrARw4rroxIIepf2kipn1nw%2FformResponse%3Fusp%3Dpp_url%26entry.1313582257%3D0098908539%26entry.1578404635%3DHadir</t>
  </si>
  <si>
    <t>3095174589</t>
  </si>
  <si>
    <t>https://quickchart.io/qr?size=250&amp;text=https%3A%2F%2Fdocs.google.com%2Fforms%2Fd%2Fe%2F1FAIpQLSeZ-R1GrWlAPkfaThGqxeTj0QTtrARw4rroxIIepf2kipn1nw%2FformResponse%3Fusp%3Dpp_url%26entry.1313582257%3D3095174589%26entry.1578404635%3DHadir</t>
  </si>
  <si>
    <t>0099030651</t>
  </si>
  <si>
    <t>https://quickchart.io/qr?size=250&amp;text=https%3A%2F%2Fdocs.google.com%2Fforms%2Fd%2Fe%2F1FAIpQLSeZ-R1GrWlAPkfaThGqxeTj0QTtrARw4rroxIIepf2kipn1nw%2FformResponse%3Fusp%3Dpp_url%26entry.1313582257%3D0099030651%26entry.1578404635%3DHadir</t>
  </si>
  <si>
    <t>0098437864</t>
  </si>
  <si>
    <t>https://quickchart.io/qr?size=250&amp;text=https%3A%2F%2Fdocs.google.com%2Fforms%2Fd%2Fe%2F1FAIpQLSeZ-R1GrWlAPkfaThGqxeTj0QTtrARw4rroxIIepf2kipn1nw%2FformResponse%3Fusp%3Dpp_url%26entry.1313582257%3D0098437864%26entry.1578404635%3DHadir</t>
  </si>
  <si>
    <t>0088976294</t>
  </si>
  <si>
    <t>https://quickchart.io/qr?size=250&amp;text=https%3A%2F%2Fdocs.google.com%2Fforms%2Fd%2Fe%2F1FAIpQLSeZ-R1GrWlAPkfaThGqxeTj0QTtrARw4rroxIIepf2kipn1nw%2FformResponse%3Fusp%3Dpp_url%26entry.1313582257%3D0088976294%26entry.1578404635%3DHadir</t>
  </si>
  <si>
    <t>0094412664</t>
  </si>
  <si>
    <t>https://quickchart.io/qr?size=250&amp;text=https%3A%2F%2Fdocs.google.com%2Fforms%2Fd%2Fe%2F1FAIpQLSeZ-R1GrWlAPkfaThGqxeTj0QTtrARw4rroxIIepf2kipn1nw%2FformResponse%3Fusp%3Dpp_url%26entry.1313582257%3D0094412664%26entry.1578404635%3DHadir</t>
  </si>
  <si>
    <t>0091524851</t>
  </si>
  <si>
    <t>https://quickchart.io/qr?size=250&amp;text=https%3A%2F%2Fdocs.google.com%2Fforms%2Fd%2Fe%2F1FAIpQLSeZ-R1GrWlAPkfaThGqxeTj0QTtrARw4rroxIIepf2kipn1nw%2FformResponse%3Fusp%3Dpp_url%26entry.1313582257%3D0091524851%26entry.1578404635%3DHadir</t>
  </si>
  <si>
    <t>3099271994</t>
  </si>
  <si>
    <t>https://quickchart.io/qr?size=250&amp;text=https%3A%2F%2Fdocs.google.com%2Fforms%2Fd%2Fe%2F1FAIpQLSeZ-R1GrWlAPkfaThGqxeTj0QTtrARw4rroxIIepf2kipn1nw%2FformResponse%3Fusp%3Dpp_url%26entry.1313582257%3D3099271994%26entry.1578404635%3DHadir</t>
  </si>
  <si>
    <t>0083974334</t>
  </si>
  <si>
    <t>https://quickchart.io/qr?size=250&amp;text=https%3A%2F%2Fdocs.google.com%2Fforms%2Fd%2Fe%2F1FAIpQLSeZ-R1GrWlAPkfaThGqxeTj0QTtrARw4rroxIIepf2kipn1nw%2FformResponse%3Fusp%3Dpp_url%26entry.1313582257%3D0083974334%26entry.1578404635%3DHadir</t>
  </si>
  <si>
    <t>0084584228</t>
  </si>
  <si>
    <t>https://quickchart.io/qr?size=250&amp;text=https%3A%2F%2Fdocs.google.com%2Fforms%2Fd%2Fe%2F1FAIpQLSeZ-R1GrWlAPkfaThGqxeTj0QTtrARw4rroxIIepf2kipn1nw%2FformResponse%3Fusp%3Dpp_url%26entry.1313582257%3D0084584228%26entry.1578404635%3DHadir</t>
  </si>
  <si>
    <t>0093556204</t>
  </si>
  <si>
    <t>https://quickchart.io/qr?size=250&amp;text=https%3A%2F%2Fdocs.google.com%2Fforms%2Fd%2Fe%2F1FAIpQLSeZ-R1GrWlAPkfaThGqxeTj0QTtrARw4rroxIIepf2kipn1nw%2FformResponse%3Fusp%3Dpp_url%26entry.1313582257%3D0093556204%26entry.1578404635%3DHadir</t>
  </si>
  <si>
    <t>0099332666</t>
  </si>
  <si>
    <t>https://quickchart.io/qr?size=250&amp;text=https%3A%2F%2Fdocs.google.com%2Fforms%2Fd%2Fe%2F1FAIpQLSeZ-R1GrWlAPkfaThGqxeTj0QTtrARw4rroxIIepf2kipn1nw%2FformResponse%3Fusp%3Dpp_url%26entry.1313582257%3D0099332666%26entry.1578404635%3DHadir</t>
  </si>
  <si>
    <t>0087745551</t>
  </si>
  <si>
    <t>https://quickchart.io/qr?size=250&amp;text=https%3A%2F%2Fdocs.google.com%2Fforms%2Fd%2Fe%2F1FAIpQLSeZ-R1GrWlAPkfaThGqxeTj0QTtrARw4rroxIIepf2kipn1nw%2FformResponse%3Fusp%3Dpp_url%26entry.1313582257%3D0087745551%26entry.1578404635%3DHadir</t>
  </si>
  <si>
    <t>0085930059</t>
  </si>
  <si>
    <t>https://quickchart.io/qr?size=250&amp;text=https%3A%2F%2Fdocs.google.com%2Fforms%2Fd%2Fe%2F1FAIpQLSeZ-R1GrWlAPkfaThGqxeTj0QTtrARw4rroxIIepf2kipn1nw%2FformResponse%3Fusp%3Dpp_url%26entry.1313582257%3D0085930059%26entry.1578404635%3DHadir</t>
  </si>
  <si>
    <t>0096344538</t>
  </si>
  <si>
    <t>https://quickchart.io/qr?size=250&amp;text=https%3A%2F%2Fdocs.google.com%2Fforms%2Fd%2Fe%2F1FAIpQLSeZ-R1GrWlAPkfaThGqxeTj0QTtrARw4rroxIIepf2kipn1nw%2FformResponse%3Fusp%3Dpp_url%26entry.1313582257%3D0096344538%26entry.1578404635%3DHadir</t>
  </si>
  <si>
    <t>0096480588</t>
  </si>
  <si>
    <t>https://quickchart.io/qr?size=250&amp;text=https%3A%2F%2Fdocs.google.com%2Fforms%2Fd%2Fe%2F1FAIpQLSeZ-R1GrWlAPkfaThGqxeTj0QTtrARw4rroxIIepf2kipn1nw%2FformResponse%3Fusp%3Dpp_url%26entry.1313582257%3D0096480588%26entry.1578404635%3DHadir</t>
  </si>
  <si>
    <t>0094958254</t>
  </si>
  <si>
    <t>https://quickchart.io/qr?size=250&amp;text=https%3A%2F%2Fdocs.google.com%2Fforms%2Fd%2Fe%2F1FAIpQLSeZ-R1GrWlAPkfaThGqxeTj0QTtrARw4rroxIIepf2kipn1nw%2FformResponse%3Fusp%3Dpp_url%26entry.1313582257%3D0094958254%26entry.1578404635%3DHadir</t>
  </si>
  <si>
    <t>0085108715</t>
  </si>
  <si>
    <t>https://quickchart.io/qr?size=250&amp;text=https%3A%2F%2Fdocs.google.com%2Fforms%2Fd%2Fe%2F1FAIpQLSeZ-R1GrWlAPkfaThGqxeTj0QTtrARw4rroxIIepf2kipn1nw%2FformResponse%3Fusp%3Dpp_url%26entry.1313582257%3D0085108715%26entry.1578404635%3DHadir</t>
  </si>
  <si>
    <t>0089237233</t>
  </si>
  <si>
    <t>https://quickchart.io/qr?size=250&amp;text=https%3A%2F%2Fdocs.google.com%2Fforms%2Fd%2Fe%2F1FAIpQLSeZ-R1GrWlAPkfaThGqxeTj0QTtrARw4rroxIIepf2kipn1nw%2FformResponse%3Fusp%3Dpp_url%26entry.1313582257%3D0089237233%26entry.1578404635%3DHadir</t>
  </si>
  <si>
    <t>0098438052</t>
  </si>
  <si>
    <t>https://quickchart.io/qr?size=250&amp;text=https%3A%2F%2Fdocs.google.com%2Fforms%2Fd%2Fe%2F1FAIpQLSeZ-R1GrWlAPkfaThGqxeTj0QTtrARw4rroxIIepf2kipn1nw%2FformResponse%3Fusp%3Dpp_url%26entry.1313582257%3D0098438052%26entry.1578404635%3DHadir</t>
  </si>
  <si>
    <t>0082801587</t>
  </si>
  <si>
    <t>https://quickchart.io/qr?size=250&amp;text=https%3A%2F%2Fdocs.google.com%2Fforms%2Fd%2Fe%2F1FAIpQLSeZ-R1GrWlAPkfaThGqxeTj0QTtrARw4rroxIIepf2kipn1nw%2FformResponse%3Fusp%3Dpp_url%26entry.1313582257%3D0082801587%26entry.1578404635%3DHadir</t>
  </si>
  <si>
    <t>0091989218</t>
  </si>
  <si>
    <t xml:space="preserve">  XI B-2</t>
  </si>
  <si>
    <t>https://quickchart.io/qr?size=250&amp;text=https%3A%2F%2Fdocs.google.com%2Fforms%2Fd%2Fe%2F1FAIpQLSeZ-R1GrWlAPkfaThGqxeTj0QTtrARw4rroxIIepf2kipn1nw%2FformResponse%3Fusp%3Dpp_url%26entry.1313582257%3D0091989218%26entry.1578404635%3DHadir</t>
  </si>
  <si>
    <t>0087766031</t>
  </si>
  <si>
    <t>-</t>
  </si>
  <si>
    <t>https://quickchart.io/qr?size=250&amp;text=https%3A%2F%2Fdocs.google.com%2Fforms%2Fd%2Fe%2F1FAIpQLSeZ-R1GrWlAPkfaThGqxeTj0QTtrARw4rroxIIepf2kipn1nw%2FformResponse%3Fusp%3Dpp_url%26entry.1313582257%3D0087766031%26entry.1578404635%3DHadir</t>
  </si>
  <si>
    <t>0098715904</t>
  </si>
  <si>
    <t>https://quickchart.io/qr?size=250&amp;text=https%3A%2F%2Fdocs.google.com%2Fforms%2Fd%2Fe%2F1FAIpQLSeZ-R1GrWlAPkfaThGqxeTj0QTtrARw4rroxIIepf2kipn1nw%2FformResponse%3Fusp%3Dpp_url%26entry.1313582257%3D0098715904%26entry.1578404635%3DHadir</t>
  </si>
  <si>
    <t>0081501338</t>
  </si>
  <si>
    <t>https://quickchart.io/qr?size=250&amp;text=https%3A%2F%2Fdocs.google.com%2Fforms%2Fd%2Fe%2F1FAIpQLSeZ-R1GrWlAPkfaThGqxeTj0QTtrARw4rroxIIepf2kipn1nw%2FformResponse%3Fusp%3Dpp_url%26entry.1313582257%3D0081501338%26entry.1578404635%3DHadir</t>
  </si>
  <si>
    <t>0085534034</t>
  </si>
  <si>
    <t>https://quickchart.io/qr?size=250&amp;text=https%3A%2F%2Fdocs.google.com%2Fforms%2Fd%2Fe%2F1FAIpQLSeZ-R1GrWlAPkfaThGqxeTj0QTtrARw4rroxIIepf2kipn1nw%2FformResponse%3Fusp%3Dpp_url%26entry.1313582257%3D0085534034%26entry.1578404635%3DHadir</t>
  </si>
  <si>
    <t>0084745418</t>
  </si>
  <si>
    <t>https://quickchart.io/qr?size=250&amp;text=https%3A%2F%2Fdocs.google.com%2Fforms%2Fd%2Fe%2F1FAIpQLSeZ-R1GrWlAPkfaThGqxeTj0QTtrARw4rroxIIepf2kipn1nw%2FformResponse%3Fusp%3Dpp_url%26entry.1313582257%3D0084745418%26entry.1578404635%3DHadir</t>
  </si>
  <si>
    <t>0095136014</t>
  </si>
  <si>
    <t>https://quickchart.io/qr?size=250&amp;text=https%3A%2F%2Fdocs.google.com%2Fforms%2Fd%2Fe%2F1FAIpQLSeZ-R1GrWlAPkfaThGqxeTj0QTtrARw4rroxIIepf2kipn1nw%2FformResponse%3Fusp%3Dpp_url%26entry.1313582257%3D0095136014%26entry.1578404635%3DHadir</t>
  </si>
  <si>
    <t>0098889247</t>
  </si>
  <si>
    <t>https://quickchart.io/qr?size=250&amp;text=https%3A%2F%2Fdocs.google.com%2Fforms%2Fd%2Fe%2F1FAIpQLSeZ-R1GrWlAPkfaThGqxeTj0QTtrARw4rroxIIepf2kipn1nw%2FformResponse%3Fusp%3Dpp_url%26entry.1313582257%3D0098889247%26entry.1578404635%3DHadir</t>
  </si>
  <si>
    <t>0094252138</t>
  </si>
  <si>
    <t>https://quickchart.io/qr?size=250&amp;text=https%3A%2F%2Fdocs.google.com%2Fforms%2Fd%2Fe%2F1FAIpQLSeZ-R1GrWlAPkfaThGqxeTj0QTtrARw4rroxIIepf2kipn1nw%2FformResponse%3Fusp%3Dpp_url%26entry.1313582257%3D0094252138%26entry.1578404635%3DHadir</t>
  </si>
  <si>
    <t>0086688060</t>
  </si>
  <si>
    <t>https://quickchart.io/qr?size=250&amp;text=https%3A%2F%2Fdocs.google.com%2Fforms%2Fd%2Fe%2F1FAIpQLSeZ-R1GrWlAPkfaThGqxeTj0QTtrARw4rroxIIepf2kipn1nw%2FformResponse%3Fusp%3Dpp_url%26entry.1313582257%3D0086688060%26entry.1578404635%3DHadir</t>
  </si>
  <si>
    <t>0092223653</t>
  </si>
  <si>
    <t>https://quickchart.io/qr?size=250&amp;text=https%3A%2F%2Fdocs.google.com%2Fforms%2Fd%2Fe%2F1FAIpQLSeZ-R1GrWlAPkfaThGqxeTj0QTtrARw4rroxIIepf2kipn1nw%2FformResponse%3Fusp%3Dpp_url%26entry.1313582257%3D0092223653%26entry.1578404635%3DHadir</t>
  </si>
  <si>
    <t>0085278931</t>
  </si>
  <si>
    <t>https://quickchart.io/qr?size=250&amp;text=https%3A%2F%2Fdocs.google.com%2Fforms%2Fd%2Fe%2F1FAIpQLSeZ-R1GrWlAPkfaThGqxeTj0QTtrARw4rroxIIepf2kipn1nw%2FformResponse%3Fusp%3Dpp_url%26entry.1313582257%3D0085278931%26entry.1578404635%3DHadir</t>
  </si>
  <si>
    <t>0084614966</t>
  </si>
  <si>
    <t>https://quickchart.io/qr?size=250&amp;text=https%3A%2F%2Fdocs.google.com%2Fforms%2Fd%2Fe%2F1FAIpQLSeZ-R1GrWlAPkfaThGqxeTj0QTtrARw4rroxIIepf2kipn1nw%2FformResponse%3Fusp%3Dpp_url%26entry.1313582257%3D0084614966%26entry.1578404635%3DHadir</t>
  </si>
  <si>
    <t>0097408336</t>
  </si>
  <si>
    <t>https://quickchart.io/qr?size=250&amp;text=https%3A%2F%2Fdocs.google.com%2Fforms%2Fd%2Fe%2F1FAIpQLSeZ-R1GrWlAPkfaThGqxeTj0QTtrARw4rroxIIepf2kipn1nw%2FformResponse%3Fusp%3Dpp_url%26entry.1313582257%3D0097408336%26entry.1578404635%3DHadir</t>
  </si>
  <si>
    <t>3094028221</t>
  </si>
  <si>
    <t>https://quickchart.io/qr?size=250&amp;text=https%3A%2F%2Fdocs.google.com%2Fforms%2Fd%2Fe%2F1FAIpQLSeZ-R1GrWlAPkfaThGqxeTj0QTtrARw4rroxIIepf2kipn1nw%2FformResponse%3Fusp%3Dpp_url%26entry.1313582257%3D3094028221%26entry.1578404635%3DHadir</t>
  </si>
  <si>
    <t>0094995394</t>
  </si>
  <si>
    <t>https://quickchart.io/qr?size=250&amp;text=https%3A%2F%2Fdocs.google.com%2Fforms%2Fd%2Fe%2F1FAIpQLSeZ-R1GrWlAPkfaThGqxeTj0QTtrARw4rroxIIepf2kipn1nw%2FformResponse%3Fusp%3Dpp_url%26entry.1313582257%3D0094995394%26entry.1578404635%3DHadir</t>
  </si>
  <si>
    <t>0081936585</t>
  </si>
  <si>
    <t>https://quickchart.io/qr?size=250&amp;text=https%3A%2F%2Fdocs.google.com%2Fforms%2Fd%2Fe%2F1FAIpQLSeZ-R1GrWlAPkfaThGqxeTj0QTtrARw4rroxIIepf2kipn1nw%2FformResponse%3Fusp%3Dpp_url%26entry.1313582257%3D0081936585%26entry.1578404635%3DHadir</t>
  </si>
  <si>
    <t>0098191015</t>
  </si>
  <si>
    <t>https://quickchart.io/qr?size=250&amp;text=https%3A%2F%2Fdocs.google.com%2Fforms%2Fd%2Fe%2F1FAIpQLSeZ-R1GrWlAPkfaThGqxeTj0QTtrARw4rroxIIepf2kipn1nw%2FformResponse%3Fusp%3Dpp_url%26entry.1313582257%3D0098191015%26entry.1578404635%3DHadir</t>
  </si>
  <si>
    <t>0094057771</t>
  </si>
  <si>
    <t>https://quickchart.io/qr?size=250&amp;text=https%3A%2F%2Fdocs.google.com%2Fforms%2Fd%2Fe%2F1FAIpQLSeZ-R1GrWlAPkfaThGqxeTj0QTtrARw4rroxIIepf2kipn1nw%2FformResponse%3Fusp%3Dpp_url%26entry.1313582257%3D0094057771%26entry.1578404635%3DHadir</t>
  </si>
  <si>
    <t>0095872117</t>
  </si>
  <si>
    <t>https://quickchart.io/qr?size=250&amp;text=https%3A%2F%2Fdocs.google.com%2Fforms%2Fd%2Fe%2F1FAIpQLSeZ-R1GrWlAPkfaThGqxeTj0QTtrARw4rroxIIepf2kipn1nw%2FformResponse%3Fusp%3Dpp_url%26entry.1313582257%3D0095872117%26entry.1578404635%3DHadir</t>
  </si>
  <si>
    <t>0098268916</t>
  </si>
  <si>
    <t>https://quickchart.io/qr?size=250&amp;text=https%3A%2F%2Fdocs.google.com%2Fforms%2Fd%2Fe%2F1FAIpQLSeZ-R1GrWlAPkfaThGqxeTj0QTtrARw4rroxIIepf2kipn1nw%2FformResponse%3Fusp%3Dpp_url%26entry.1313582257%3D0098268916%26entry.1578404635%3DHadir</t>
  </si>
  <si>
    <t>0086508497</t>
  </si>
  <si>
    <t>https://quickchart.io/qr?size=250&amp;text=https%3A%2F%2Fdocs.google.com%2Fforms%2Fd%2Fe%2F1FAIpQLSeZ-R1GrWlAPkfaThGqxeTj0QTtrARw4rroxIIepf2kipn1nw%2FformResponse%3Fusp%3Dpp_url%26entry.1313582257%3D0086508497%26entry.1578404635%3DHadir</t>
  </si>
  <si>
    <t>0091626296</t>
  </si>
  <si>
    <t>https://quickchart.io/qr?size=250&amp;text=https%3A%2F%2Fdocs.google.com%2Fforms%2Fd%2Fe%2F1FAIpQLSeZ-R1GrWlAPkfaThGqxeTj0QTtrARw4rroxIIepf2kipn1nw%2FformResponse%3Fusp%3Dpp_url%26entry.1313582257%3D0091626296%26entry.1578404635%3DHadir</t>
  </si>
  <si>
    <t>3092559431</t>
  </si>
  <si>
    <t>https://quickchart.io/qr?size=250&amp;text=https%3A%2F%2Fdocs.google.com%2Fforms%2Fd%2Fe%2F1FAIpQLSeZ-R1GrWlAPkfaThGqxeTj0QTtrARw4rroxIIepf2kipn1nw%2FformResponse%3Fusp%3Dpp_url%26entry.1313582257%3D3092559431%26entry.1578404635%3DHadir</t>
  </si>
  <si>
    <t>0083634869</t>
  </si>
  <si>
    <t>https://quickchart.io/qr?size=250&amp;text=https%3A%2F%2Fdocs.google.com%2Fforms%2Fd%2Fe%2F1FAIpQLSeZ-R1GrWlAPkfaThGqxeTj0QTtrARw4rroxIIepf2kipn1nw%2FformResponse%3Fusp%3Dpp_url%26entry.1313582257%3D0083634869%26entry.1578404635%3DHadir</t>
  </si>
  <si>
    <t>0091257095</t>
  </si>
  <si>
    <t>https://quickchart.io/qr?size=250&amp;text=https%3A%2F%2Fdocs.google.com%2Fforms%2Fd%2Fe%2F1FAIpQLSeZ-R1GrWlAPkfaThGqxeTj0QTtrARw4rroxIIepf2kipn1nw%2FformResponse%3Fusp%3Dpp_url%26entry.1313582257%3D0091257095%26entry.1578404635%3DHadir</t>
  </si>
  <si>
    <t>0093570911</t>
  </si>
  <si>
    <t>https://quickchart.io/qr?size=250&amp;text=https%3A%2F%2Fdocs.google.com%2Fforms%2Fd%2Fe%2F1FAIpQLSeZ-R1GrWlAPkfaThGqxeTj0QTtrARw4rroxIIepf2kipn1nw%2FformResponse%3Fusp%3Dpp_url%26entry.1313582257%3D0093570911%26entry.1578404635%3DHadir</t>
  </si>
  <si>
    <t>0099524653</t>
  </si>
  <si>
    <t>https://quickchart.io/qr?size=250&amp;text=https%3A%2F%2Fdocs.google.com%2Fforms%2Fd%2Fe%2F1FAIpQLSeZ-R1GrWlAPkfaThGqxeTj0QTtrARw4rroxIIepf2kipn1nw%2FformResponse%3Fusp%3Dpp_url%26entry.1313582257%3D0099524653%26entry.1578404635%3DHadir</t>
  </si>
  <si>
    <t>0096689975</t>
  </si>
  <si>
    <t>https://quickchart.io/qr?size=250&amp;text=https%3A%2F%2Fdocs.google.com%2Fforms%2Fd%2Fe%2F1FAIpQLSeZ-R1GrWlAPkfaThGqxeTj0QTtrARw4rroxIIepf2kipn1nw%2FformResponse%3Fusp%3Dpp_url%26entry.1313582257%3D0096689975%26entry.1578404635%3DHadir</t>
  </si>
  <si>
    <t>0087172262</t>
  </si>
  <si>
    <t>https://quickchart.io/qr?size=250&amp;text=https%3A%2F%2Fdocs.google.com%2Fforms%2Fd%2Fe%2F1FAIpQLSeZ-R1GrWlAPkfaThGqxeTj0QTtrARw4rroxIIepf2kipn1nw%2FformResponse%3Fusp%3Dpp_url%26entry.1313582257%3D0087172262%26entry.1578404635%3DHadir</t>
  </si>
  <si>
    <t>0089992734</t>
  </si>
  <si>
    <t>https://quickchart.io/qr?size=250&amp;text=https%3A%2F%2Fdocs.google.com%2Fforms%2Fd%2Fe%2F1FAIpQLSeZ-R1GrWlAPkfaThGqxeTj0QTtrARw4rroxIIepf2kipn1nw%2FformResponse%3Fusp%3Dpp_url%26entry.1313582257%3D0089992734%26entry.1578404635%3DHadir</t>
  </si>
  <si>
    <t>0094272879</t>
  </si>
  <si>
    <t>https://quickchart.io/qr?size=250&amp;text=https%3A%2F%2Fdocs.google.com%2Fforms%2Fd%2Fe%2F1FAIpQLSeZ-R1GrWlAPkfaThGqxeTj0QTtrARw4rroxIIepf2kipn1nw%2FformResponse%3Fusp%3Dpp_url%26entry.1313582257%3D0094272879%26entry.1578404635%3DHadir</t>
  </si>
  <si>
    <t>0094686903</t>
  </si>
  <si>
    <t>https://quickchart.io/qr?size=250&amp;text=https%3A%2F%2Fdocs.google.com%2Fforms%2Fd%2Fe%2F1FAIpQLSeZ-R1GrWlAPkfaThGqxeTj0QTtrARw4rroxIIepf2kipn1nw%2FformResponse%3Fusp%3Dpp_url%26entry.1313582257%3D0094686903%26entry.1578404635%3DHadir</t>
  </si>
  <si>
    <t>0096820534</t>
  </si>
  <si>
    <t>https://quickchart.io/qr?size=250&amp;text=https%3A%2F%2Fdocs.google.com%2Fforms%2Fd%2Fe%2F1FAIpQLSeZ-R1GrWlAPkfaThGqxeTj0QTtrARw4rroxIIepf2kipn1nw%2FformResponse%3Fusp%3Dpp_url%26entry.1313582257%3D0096820534%26entry.1578404635%3DHadir</t>
  </si>
  <si>
    <t>0091356987</t>
  </si>
  <si>
    <t>https://quickchart.io/qr?size=250&amp;text=https%3A%2F%2Fdocs.google.com%2Fforms%2Fd%2Fe%2F1FAIpQLSeZ-R1GrWlAPkfaThGqxeTj0QTtrARw4rroxIIepf2kipn1nw%2FformResponse%3Fusp%3Dpp_url%26entry.1313582257%3D0091356987%26entry.1578404635%3DHadir</t>
  </si>
  <si>
    <t>0084616257</t>
  </si>
  <si>
    <t>https://quickchart.io/qr?size=250&amp;text=https%3A%2F%2Fdocs.google.com%2Fforms%2Fd%2Fe%2F1FAIpQLSeZ-R1GrWlAPkfaThGqxeTj0QTtrARw4rroxIIepf2kipn1nw%2FformResponse%3Fusp%3Dpp_url%26entry.1313582257%3D0084616257%26entry.1578404635%3DHadir</t>
  </si>
  <si>
    <t>0097029152</t>
  </si>
  <si>
    <t xml:space="preserve">  XI C</t>
  </si>
  <si>
    <t>https://quickchart.io/qr?size=250&amp;text=https%3A%2F%2Fdocs.google.com%2Fforms%2Fd%2Fe%2F1FAIpQLSeZ-R1GrWlAPkfaThGqxeTj0QTtrARw4rroxIIepf2kipn1nw%2FformResponse%3Fusp%3Dpp_url%26entry.1313582257%3D0097029152%26entry.1578404635%3DHadir</t>
  </si>
  <si>
    <t>0096738562</t>
  </si>
  <si>
    <t>https://quickchart.io/qr?size=250&amp;text=https%3A%2F%2Fdocs.google.com%2Fforms%2Fd%2Fe%2F1FAIpQLSeZ-R1GrWlAPkfaThGqxeTj0QTtrARw4rroxIIepf2kipn1nw%2FformResponse%3Fusp%3Dpp_url%26entry.1313582257%3D0096738562%26entry.1578404635%3DHadir</t>
  </si>
  <si>
    <t>0099375029</t>
  </si>
  <si>
    <t>https://quickchart.io/qr?size=250&amp;text=https%3A%2F%2Fdocs.google.com%2Fforms%2Fd%2Fe%2F1FAIpQLSeZ-R1GrWlAPkfaThGqxeTj0QTtrARw4rroxIIepf2kipn1nw%2FformResponse%3Fusp%3Dpp_url%26entry.1313582257%3D0099375029%26entry.1578404635%3DHadir</t>
  </si>
  <si>
    <t>0085348468</t>
  </si>
  <si>
    <t>https://quickchart.io/qr?size=250&amp;text=https%3A%2F%2Fdocs.google.com%2Fforms%2Fd%2Fe%2F1FAIpQLSeZ-R1GrWlAPkfaThGqxeTj0QTtrARw4rroxIIepf2kipn1nw%2FformResponse%3Fusp%3Dpp_url%26entry.1313582257%3D0085348468%26entry.1578404635%3DHadir</t>
  </si>
  <si>
    <t>0095154966</t>
  </si>
  <si>
    <t>https://quickchart.io/qr?size=250&amp;text=https%3A%2F%2Fdocs.google.com%2Fforms%2Fd%2Fe%2F1FAIpQLSeZ-R1GrWlAPkfaThGqxeTj0QTtrARw4rroxIIepf2kipn1nw%2FformResponse%3Fusp%3Dpp_url%26entry.1313582257%3D0095154966%26entry.1578404635%3DHadir</t>
  </si>
  <si>
    <t>0096990480</t>
  </si>
  <si>
    <t>https://quickchart.io/qr?size=250&amp;text=https%3A%2F%2Fdocs.google.com%2Fforms%2Fd%2Fe%2F1FAIpQLSeZ-R1GrWlAPkfaThGqxeTj0QTtrARw4rroxIIepf2kipn1nw%2FformResponse%3Fusp%3Dpp_url%26entry.1313582257%3D0096990480%26entry.1578404635%3DHadir</t>
  </si>
  <si>
    <t>0081271561</t>
  </si>
  <si>
    <t>https://quickchart.io/qr?size=250&amp;text=https%3A%2F%2Fdocs.google.com%2Fforms%2Fd%2Fe%2F1FAIpQLSeZ-R1GrWlAPkfaThGqxeTj0QTtrARw4rroxIIepf2kipn1nw%2FformResponse%3Fusp%3Dpp_url%26entry.1313582257%3D0081271561%26entry.1578404635%3DHadir</t>
  </si>
  <si>
    <t>0099561898</t>
  </si>
  <si>
    <t>https://quickchart.io/qr?size=250&amp;text=https%3A%2F%2Fdocs.google.com%2Fforms%2Fd%2Fe%2F1FAIpQLSeZ-R1GrWlAPkfaThGqxeTj0QTtrARw4rroxIIepf2kipn1nw%2FformResponse%3Fusp%3Dpp_url%26entry.1313582257%3D0099561898%26entry.1578404635%3DHadir</t>
  </si>
  <si>
    <t>0091681862</t>
  </si>
  <si>
    <t>https://quickchart.io/qr?size=250&amp;text=https%3A%2F%2Fdocs.google.com%2Fforms%2Fd%2Fe%2F1FAIpQLSeZ-R1GrWlAPkfaThGqxeTj0QTtrARw4rroxIIepf2kipn1nw%2FformResponse%3Fusp%3Dpp_url%26entry.1313582257%3D0091681862%26entry.1578404635%3DHadir</t>
  </si>
  <si>
    <t>0098451979</t>
  </si>
  <si>
    <t>https://quickchart.io/qr?size=250&amp;text=https%3A%2F%2Fdocs.google.com%2Fforms%2Fd%2Fe%2F1FAIpQLSeZ-R1GrWlAPkfaThGqxeTj0QTtrARw4rroxIIepf2kipn1nw%2FformResponse%3Fusp%3Dpp_url%26entry.1313582257%3D0098451979%26entry.1578404635%3DHadir</t>
  </si>
  <si>
    <t>0084845522</t>
  </si>
  <si>
    <t>https://quickchart.io/qr?size=250&amp;text=https%3A%2F%2Fdocs.google.com%2Fforms%2Fd%2Fe%2F1FAIpQLSeZ-R1GrWlAPkfaThGqxeTj0QTtrARw4rroxIIepf2kipn1nw%2FformResponse%3Fusp%3Dpp_url%26entry.1313582257%3D0084845522%26entry.1578404635%3DHadir</t>
  </si>
  <si>
    <t>0083434779</t>
  </si>
  <si>
    <t>https://quickchart.io/qr?size=250&amp;text=https%3A%2F%2Fdocs.google.com%2Fforms%2Fd%2Fe%2F1FAIpQLSeZ-R1GrWlAPkfaThGqxeTj0QTtrARw4rroxIIepf2kipn1nw%2FformResponse%3Fusp%3Dpp_url%26entry.1313582257%3D0083434779%26entry.1578404635%3DHadir</t>
  </si>
  <si>
    <t>0094551974</t>
  </si>
  <si>
    <t>https://quickchart.io/qr?size=250&amp;text=https%3A%2F%2Fdocs.google.com%2Fforms%2Fd%2Fe%2F1FAIpQLSeZ-R1GrWlAPkfaThGqxeTj0QTtrARw4rroxIIepf2kipn1nw%2FformResponse%3Fusp%3Dpp_url%26entry.1313582257%3D0094551974%26entry.1578404635%3DHadir</t>
  </si>
  <si>
    <t>0081855086</t>
  </si>
  <si>
    <t>https://quickchart.io/qr?size=250&amp;text=https%3A%2F%2Fdocs.google.com%2Fforms%2Fd%2Fe%2F1FAIpQLSeZ-R1GrWlAPkfaThGqxeTj0QTtrARw4rroxIIepf2kipn1nw%2FformResponse%3Fusp%3Dpp_url%26entry.1313582257%3D0081855086%26entry.1578404635%3DHadir</t>
  </si>
  <si>
    <t>0083951567</t>
  </si>
  <si>
    <t>https://quickchart.io/qr?size=250&amp;text=https%3A%2F%2Fdocs.google.com%2Fforms%2Fd%2Fe%2F1FAIpQLSeZ-R1GrWlAPkfaThGqxeTj0QTtrARw4rroxIIepf2kipn1nw%2FformResponse%3Fusp%3Dpp_url%26entry.1313582257%3D0083951567%26entry.1578404635%3DHadir</t>
  </si>
  <si>
    <t>0093504759</t>
  </si>
  <si>
    <t>https://quickchart.io/qr?size=250&amp;text=https%3A%2F%2Fdocs.google.com%2Fforms%2Fd%2Fe%2F1FAIpQLSeZ-R1GrWlAPkfaThGqxeTj0QTtrARw4rroxIIepf2kipn1nw%2FformResponse%3Fusp%3Dpp_url%26entry.1313582257%3D0093504759%26entry.1578404635%3DHadir</t>
  </si>
  <si>
    <t>0086270372</t>
  </si>
  <si>
    <t>https://quickchart.io/qr?size=250&amp;text=https%3A%2F%2Fdocs.google.com%2Fforms%2Fd%2Fe%2F1FAIpQLSeZ-R1GrWlAPkfaThGqxeTj0QTtrARw4rroxIIepf2kipn1nw%2FformResponse%3Fusp%3Dpp_url%26entry.1313582257%3D0086270372%26entry.1578404635%3DHadir</t>
  </si>
  <si>
    <t>0096643467</t>
  </si>
  <si>
    <t>https://quickchart.io/qr?size=250&amp;text=https%3A%2F%2Fdocs.google.com%2Fforms%2Fd%2Fe%2F1FAIpQLSeZ-R1GrWlAPkfaThGqxeTj0QTtrARw4rroxIIepf2kipn1nw%2FformResponse%3Fusp%3Dpp_url%26entry.1313582257%3D0096643467%26entry.1578404635%3DHadir</t>
  </si>
  <si>
    <t>0091089933</t>
  </si>
  <si>
    <t>https://quickchart.io/qr?size=250&amp;text=https%3A%2F%2Fdocs.google.com%2Fforms%2Fd%2Fe%2F1FAIpQLSeZ-R1GrWlAPkfaThGqxeTj0QTtrARw4rroxIIepf2kipn1nw%2FformResponse%3Fusp%3Dpp_url%26entry.1313582257%3D0091089933%26entry.1578404635%3DHadir</t>
  </si>
  <si>
    <t>0096304188</t>
  </si>
  <si>
    <t>https://quickchart.io/qr?size=250&amp;text=https%3A%2F%2Fdocs.google.com%2Fforms%2Fd%2Fe%2F1FAIpQLSeZ-R1GrWlAPkfaThGqxeTj0QTtrARw4rroxIIepf2kipn1nw%2FformResponse%3Fusp%3Dpp_url%26entry.1313582257%3D0096304188%26entry.1578404635%3DHadir</t>
  </si>
  <si>
    <t>0097295872</t>
  </si>
  <si>
    <t>https://quickchart.io/qr?size=250&amp;text=https%3A%2F%2Fdocs.google.com%2Fforms%2Fd%2Fe%2F1FAIpQLSeZ-R1GrWlAPkfaThGqxeTj0QTtrARw4rroxIIepf2kipn1nw%2FformResponse%3Fusp%3Dpp_url%26entry.1313582257%3D0097295872%26entry.1578404635%3DHadir</t>
  </si>
  <si>
    <t>0096224183</t>
  </si>
  <si>
    <t>https://quickchart.io/qr?size=250&amp;text=https%3A%2F%2Fdocs.google.com%2Fforms%2Fd%2Fe%2F1FAIpQLSeZ-R1GrWlAPkfaThGqxeTj0QTtrARw4rroxIIepf2kipn1nw%2FformResponse%3Fusp%3Dpp_url%26entry.1313582257%3D0096224183%26entry.1578404635%3DHadir</t>
  </si>
  <si>
    <t>0083048491</t>
  </si>
  <si>
    <t>https://quickchart.io/qr?size=250&amp;text=https%3A%2F%2Fdocs.google.com%2Fforms%2Fd%2Fe%2F1FAIpQLSeZ-R1GrWlAPkfaThGqxeTj0QTtrARw4rroxIIepf2kipn1nw%2FformResponse%3Fusp%3Dpp_url%26entry.1313582257%3D0083048491%26entry.1578404635%3DHadir</t>
  </si>
  <si>
    <t>0094414485</t>
  </si>
  <si>
    <t>https://quickchart.io/qr?size=250&amp;text=https%3A%2F%2Fdocs.google.com%2Fforms%2Fd%2Fe%2F1FAIpQLSeZ-R1GrWlAPkfaThGqxeTj0QTtrARw4rroxIIepf2kipn1nw%2FformResponse%3Fusp%3Dpp_url%26entry.1313582257%3D0094414485%26entry.1578404635%3DHadir</t>
  </si>
  <si>
    <t>0095501589</t>
  </si>
  <si>
    <t>https://quickchart.io/qr?size=250&amp;text=https%3A%2F%2Fdocs.google.com%2Fforms%2Fd%2Fe%2F1FAIpQLSeZ-R1GrWlAPkfaThGqxeTj0QTtrARw4rroxIIepf2kipn1nw%2FformResponse%3Fusp%3Dpp_url%26entry.1313582257%3D0095501589%26entry.1578404635%3DHadir</t>
  </si>
  <si>
    <t>0093298242</t>
  </si>
  <si>
    <t>https://quickchart.io/qr?size=250&amp;text=https%3A%2F%2Fdocs.google.com%2Fforms%2Fd%2Fe%2F1FAIpQLSeZ-R1GrWlAPkfaThGqxeTj0QTtrARw4rroxIIepf2kipn1nw%2FformResponse%3Fusp%3Dpp_url%26entry.1313582257%3D0093298242%26entry.1578404635%3DHadir</t>
  </si>
  <si>
    <t>0093266742</t>
  </si>
  <si>
    <t>https://quickchart.io/qr?size=250&amp;text=https%3A%2F%2Fdocs.google.com%2Fforms%2Fd%2Fe%2F1FAIpQLSeZ-R1GrWlAPkfaThGqxeTj0QTtrARw4rroxIIepf2kipn1nw%2FformResponse%3Fusp%3Dpp_url%26entry.1313582257%3D0093266742%26entry.1578404635%3DHadir</t>
  </si>
  <si>
    <t>0092205557</t>
  </si>
  <si>
    <t>https://quickchart.io/qr?size=250&amp;text=https%3A%2F%2Fdocs.google.com%2Fforms%2Fd%2Fe%2F1FAIpQLSeZ-R1GrWlAPkfaThGqxeTj0QTtrARw4rroxIIepf2kipn1nw%2FformResponse%3Fusp%3Dpp_url%26entry.1313582257%3D0092205557%26entry.1578404635%3DHadir</t>
  </si>
  <si>
    <t>0073027831</t>
  </si>
  <si>
    <t>https://quickchart.io/qr?size=250&amp;text=https%3A%2F%2Fdocs.google.com%2Fforms%2Fd%2Fe%2F1FAIpQLSeZ-R1GrWlAPkfaThGqxeTj0QTtrARw4rroxIIepf2kipn1nw%2FformResponse%3Fusp%3Dpp_url%26entry.1313582257%3D0073027831%26entry.1578404635%3DHadir</t>
  </si>
  <si>
    <t>0091228007</t>
  </si>
  <si>
    <t>https://quickchart.io/qr?size=250&amp;text=https%3A%2F%2Fdocs.google.com%2Fforms%2Fd%2Fe%2F1FAIpQLSeZ-R1GrWlAPkfaThGqxeTj0QTtrARw4rroxIIepf2kipn1nw%2FformResponse%3Fusp%3Dpp_url%26entry.1313582257%3D0091228007%26entry.1578404635%3DHadir</t>
  </si>
  <si>
    <t>0089954401</t>
  </si>
  <si>
    <t>https://quickchart.io/qr?size=250&amp;text=https%3A%2F%2Fdocs.google.com%2Fforms%2Fd%2Fe%2F1FAIpQLSeZ-R1GrWlAPkfaThGqxeTj0QTtrARw4rroxIIepf2kipn1nw%2FformResponse%3Fusp%3Dpp_url%26entry.1313582257%3D0089954401%26entry.1578404635%3DHadir</t>
  </si>
  <si>
    <t>0089191714</t>
  </si>
  <si>
    <t>https://quickchart.io/qr?size=250&amp;text=https%3A%2F%2Fdocs.google.com%2Fforms%2Fd%2Fe%2F1FAIpQLSeZ-R1GrWlAPkfaThGqxeTj0QTtrARw4rroxIIepf2kipn1nw%2FformResponse%3Fusp%3Dpp_url%26entry.1313582257%3D0089191714%26entry.1578404635%3DHadir</t>
  </si>
  <si>
    <t>0095117423</t>
  </si>
  <si>
    <t>https://quickchart.io/qr?size=250&amp;text=https%3A%2F%2Fdocs.google.com%2Fforms%2Fd%2Fe%2F1FAIpQLSeZ-R1GrWlAPkfaThGqxeTj0QTtrARw4rroxIIepf2kipn1nw%2FformResponse%3Fusp%3Dpp_url%26entry.1313582257%3D0095117423%26entry.1578404635%3DHadir</t>
  </si>
  <si>
    <t>0088535031</t>
  </si>
  <si>
    <t>https://quickchart.io/qr?size=250&amp;text=https%3A%2F%2Fdocs.google.com%2Fforms%2Fd%2Fe%2F1FAIpQLSeZ-R1GrWlAPkfaThGqxeTj0QTtrARw4rroxIIepf2kipn1nw%2FformResponse%3Fusp%3Dpp_url%26entry.1313582257%3D0088535031%26entry.1578404635%3DHadir</t>
  </si>
  <si>
    <t>0087500688</t>
  </si>
  <si>
    <t>https://quickchart.io/qr?size=250&amp;text=https%3A%2F%2Fdocs.google.com%2Fforms%2Fd%2Fe%2F1FAIpQLSeZ-R1GrWlAPkfaThGqxeTj0QTtrARw4rroxIIepf2kipn1nw%2FformResponse%3Fusp%3Dpp_url%26entry.1313582257%3D0087500688%26entry.1578404635%3DHadir</t>
  </si>
  <si>
    <t>0092434039</t>
  </si>
  <si>
    <t>https://quickchart.io/qr?size=250&amp;text=https%3A%2F%2Fdocs.google.com%2Fforms%2Fd%2Fe%2F1FAIpQLSeZ-R1GrWlAPkfaThGqxeTj0QTtrARw4rroxIIepf2kipn1nw%2FformResponse%3Fusp%3Dpp_url%26entry.1313582257%3D0092434039%26entry.1578404635%3DHadir</t>
  </si>
  <si>
    <t>0098762657</t>
  </si>
  <si>
    <t xml:space="preserve">  XI D-1</t>
  </si>
  <si>
    <t>https://quickchart.io/qr?size=250&amp;text=https%3A%2F%2Fdocs.google.com%2Fforms%2Fd%2Fe%2F1FAIpQLSeZ-R1GrWlAPkfaThGqxeTj0QTtrARw4rroxIIepf2kipn1nw%2FformResponse%3Fusp%3Dpp_url%26entry.1313582257%3D0098762657%26entry.1578404635%3DHadir</t>
  </si>
  <si>
    <t>0089202112</t>
  </si>
  <si>
    <t>https://quickchart.io/qr?size=250&amp;text=https%3A%2F%2Fdocs.google.com%2Fforms%2Fd%2Fe%2F1FAIpQLSeZ-R1GrWlAPkfaThGqxeTj0QTtrARw4rroxIIepf2kipn1nw%2FformResponse%3Fusp%3Dpp_url%26entry.1313582257%3D0089202112%26entry.1578404635%3DHadir</t>
  </si>
  <si>
    <t>0088260272</t>
  </si>
  <si>
    <t>https://quickchart.io/qr?size=250&amp;text=https%3A%2F%2Fdocs.google.com%2Fforms%2Fd%2Fe%2F1FAIpQLSeZ-R1GrWlAPkfaThGqxeTj0QTtrARw4rroxIIepf2kipn1nw%2FformResponse%3Fusp%3Dpp_url%26entry.1313582257%3D0088260272%26entry.1578404635%3DHadir</t>
  </si>
  <si>
    <t>0097111779</t>
  </si>
  <si>
    <t>https://quickchart.io/qr?size=250&amp;text=https%3A%2F%2Fdocs.google.com%2Fforms%2Fd%2Fe%2F1FAIpQLSeZ-R1GrWlAPkfaThGqxeTj0QTtrARw4rroxIIepf2kipn1nw%2FformResponse%3Fusp%3Dpp_url%26entry.1313582257%3D0097111779%26entry.1578404635%3DHadir</t>
  </si>
  <si>
    <t>0093831279</t>
  </si>
  <si>
    <t>https://quickchart.io/qr?size=250&amp;text=https%3A%2F%2Fdocs.google.com%2Fforms%2Fd%2Fe%2F1FAIpQLSeZ-R1GrWlAPkfaThGqxeTj0QTtrARw4rroxIIepf2kipn1nw%2FformResponse%3Fusp%3Dpp_url%26entry.1313582257%3D0093831279%26entry.1578404635%3DHadir</t>
  </si>
  <si>
    <t>0096065165</t>
  </si>
  <si>
    <t>https://quickchart.io/qr?size=250&amp;text=https%3A%2F%2Fdocs.google.com%2Fforms%2Fd%2Fe%2F1FAIpQLSeZ-R1GrWlAPkfaThGqxeTj0QTtrARw4rroxIIepf2kipn1nw%2FformResponse%3Fusp%3Dpp_url%26entry.1313582257%3D0096065165%26entry.1578404635%3DHadir</t>
  </si>
  <si>
    <t>0099851224</t>
  </si>
  <si>
    <t>https://quickchart.io/qr?size=250&amp;text=https%3A%2F%2Fdocs.google.com%2Fforms%2Fd%2Fe%2F1FAIpQLSeZ-R1GrWlAPkfaThGqxeTj0QTtrARw4rroxIIepf2kipn1nw%2FformResponse%3Fusp%3Dpp_url%26entry.1313582257%3D0099851224%26entry.1578404635%3DHadir</t>
  </si>
  <si>
    <t>0092348709</t>
  </si>
  <si>
    <t>https://quickchart.io/qr?size=250&amp;text=https%3A%2F%2Fdocs.google.com%2Fforms%2Fd%2Fe%2F1FAIpQLSeZ-R1GrWlAPkfaThGqxeTj0QTtrARw4rroxIIepf2kipn1nw%2FformResponse%3Fusp%3Dpp_url%26entry.1313582257%3D0092348709%26entry.1578404635%3DHadir</t>
  </si>
  <si>
    <t>0099087317</t>
  </si>
  <si>
    <t>https://quickchart.io/qr?size=250&amp;text=https%3A%2F%2Fdocs.google.com%2Fforms%2Fd%2Fe%2F1FAIpQLSeZ-R1GrWlAPkfaThGqxeTj0QTtrARw4rroxIIepf2kipn1nw%2FformResponse%3Fusp%3Dpp_url%26entry.1313582257%3D0099087317%26entry.1578404635%3DHadir</t>
  </si>
  <si>
    <t>0098666843</t>
  </si>
  <si>
    <t>https://quickchart.io/qr?size=250&amp;text=https%3A%2F%2Fdocs.google.com%2Fforms%2Fd%2Fe%2F1FAIpQLSeZ-R1GrWlAPkfaThGqxeTj0QTtrARw4rroxIIepf2kipn1nw%2FformResponse%3Fusp%3Dpp_url%26entry.1313582257%3D0098666843%26entry.1578404635%3DHadir</t>
  </si>
  <si>
    <t>0087242368</t>
  </si>
  <si>
    <t>https://quickchart.io/qr?size=250&amp;text=https%3A%2F%2Fdocs.google.com%2Fforms%2Fd%2Fe%2F1FAIpQLSeZ-R1GrWlAPkfaThGqxeTj0QTtrARw4rroxIIepf2kipn1nw%2FformResponse%3Fusp%3Dpp_url%26entry.1313582257%3D0087242368%26entry.1578404635%3DHadir</t>
  </si>
  <si>
    <t>0087777223</t>
  </si>
  <si>
    <t>https://quickchart.io/qr?size=250&amp;text=https%3A%2F%2Fdocs.google.com%2Fforms%2Fd%2Fe%2F1FAIpQLSeZ-R1GrWlAPkfaThGqxeTj0QTtrARw4rroxIIepf2kipn1nw%2FformResponse%3Fusp%3Dpp_url%26entry.1313582257%3D0087777223%26entry.1578404635%3DHadir</t>
  </si>
  <si>
    <t>0096321568</t>
  </si>
  <si>
    <t>https://quickchart.io/qr?size=250&amp;text=https%3A%2F%2Fdocs.google.com%2Fforms%2Fd%2Fe%2F1FAIpQLSeZ-R1GrWlAPkfaThGqxeTj0QTtrARw4rroxIIepf2kipn1nw%2FformResponse%3Fusp%3Dpp_url%26entry.1313582257%3D0096321568%26entry.1578404635%3DHadir</t>
  </si>
  <si>
    <t>0084693493</t>
  </si>
  <si>
    <t>https://quickchart.io/qr?size=250&amp;text=https%3A%2F%2Fdocs.google.com%2Fforms%2Fd%2Fe%2F1FAIpQLSeZ-R1GrWlAPkfaThGqxeTj0QTtrARw4rroxIIepf2kipn1nw%2FformResponse%3Fusp%3Dpp_url%26entry.1313582257%3D0084693493%26entry.1578404635%3DHadir</t>
  </si>
  <si>
    <t>0088791024</t>
  </si>
  <si>
    <t>https://quickchart.io/qr?size=250&amp;text=https%3A%2F%2Fdocs.google.com%2Fforms%2Fd%2Fe%2F1FAIpQLSeZ-R1GrWlAPkfaThGqxeTj0QTtrARw4rroxIIepf2kipn1nw%2FformResponse%3Fusp%3Dpp_url%26entry.1313582257%3D0088791024%26entry.1578404635%3DHadir</t>
  </si>
  <si>
    <t>0083440916</t>
  </si>
  <si>
    <t>https://quickchart.io/qr?size=250&amp;text=https%3A%2F%2Fdocs.google.com%2Fforms%2Fd%2Fe%2F1FAIpQLSeZ-R1GrWlAPkfaThGqxeTj0QTtrARw4rroxIIepf2kipn1nw%2FformResponse%3Fusp%3Dpp_url%26entry.1313582257%3D0083440916%26entry.1578404635%3DHadir</t>
  </si>
  <si>
    <t>0097101002</t>
  </si>
  <si>
    <t>https://quickchart.io/qr?size=250&amp;text=https%3A%2F%2Fdocs.google.com%2Fforms%2Fd%2Fe%2F1FAIpQLSeZ-R1GrWlAPkfaThGqxeTj0QTtrARw4rroxIIepf2kipn1nw%2FformResponse%3Fusp%3Dpp_url%26entry.1313582257%3D0097101002%26entry.1578404635%3DHadir</t>
  </si>
  <si>
    <t>0083510857</t>
  </si>
  <si>
    <t>https://quickchart.io/qr?size=250&amp;text=https%3A%2F%2Fdocs.google.com%2Fforms%2Fd%2Fe%2F1FAIpQLSeZ-R1GrWlAPkfaThGqxeTj0QTtrARw4rroxIIepf2kipn1nw%2FformResponse%3Fusp%3Dpp_url%26entry.1313582257%3D0083510857%26entry.1578404635%3DHadir</t>
  </si>
  <si>
    <t>0099224342</t>
  </si>
  <si>
    <t>https://quickchart.io/qr?size=250&amp;text=https%3A%2F%2Fdocs.google.com%2Fforms%2Fd%2Fe%2F1FAIpQLSeZ-R1GrWlAPkfaThGqxeTj0QTtrARw4rroxIIepf2kipn1nw%2FformResponse%3Fusp%3Dpp_url%26entry.1313582257%3D0099224342%26entry.1578404635%3DHadir</t>
  </si>
  <si>
    <t>0087441371</t>
  </si>
  <si>
    <t>https://quickchart.io/qr?size=250&amp;text=https%3A%2F%2Fdocs.google.com%2Fforms%2Fd%2Fe%2F1FAIpQLSeZ-R1GrWlAPkfaThGqxeTj0QTtrARw4rroxIIepf2kipn1nw%2FformResponse%3Fusp%3Dpp_url%26entry.1313582257%3D0087441371%26entry.1578404635%3DHadir</t>
  </si>
  <si>
    <t>0092053150</t>
  </si>
  <si>
    <t>https://quickchart.io/qr?size=250&amp;text=https%3A%2F%2Fdocs.google.com%2Fforms%2Fd%2Fe%2F1FAIpQLSeZ-R1GrWlAPkfaThGqxeTj0QTtrARw4rroxIIepf2kipn1nw%2FformResponse%3Fusp%3Dpp_url%26entry.1313582257%3D0092053150%26entry.1578404635%3DHadir</t>
  </si>
  <si>
    <t>0099674979</t>
  </si>
  <si>
    <t>https://quickchart.io/qr?size=250&amp;text=https%3A%2F%2Fdocs.google.com%2Fforms%2Fd%2Fe%2F1FAIpQLSeZ-R1GrWlAPkfaThGqxeTj0QTtrARw4rroxIIepf2kipn1nw%2FformResponse%3Fusp%3Dpp_url%26entry.1313582257%3D0099674979%26entry.1578404635%3DHadir</t>
  </si>
  <si>
    <t>0094087712</t>
  </si>
  <si>
    <t>https://quickchart.io/qr?size=250&amp;text=https%3A%2F%2Fdocs.google.com%2Fforms%2Fd%2Fe%2F1FAIpQLSeZ-R1GrWlAPkfaThGqxeTj0QTtrARw4rroxIIepf2kipn1nw%2FformResponse%3Fusp%3Dpp_url%26entry.1313582257%3D0094087712%26entry.1578404635%3DHadir</t>
  </si>
  <si>
    <t>0096704827</t>
  </si>
  <si>
    <t>https://quickchart.io/qr?size=250&amp;text=https%3A%2F%2Fdocs.google.com%2Fforms%2Fd%2Fe%2F1FAIpQLSeZ-R1GrWlAPkfaThGqxeTj0QTtrARw4rroxIIepf2kipn1nw%2FformResponse%3Fusp%3Dpp_url%26entry.1313582257%3D0096704827%26entry.1578404635%3DHadir</t>
  </si>
  <si>
    <t>0082766789</t>
  </si>
  <si>
    <t>https://quickchart.io/qr?size=250&amp;text=https%3A%2F%2Fdocs.google.com%2Fforms%2Fd%2Fe%2F1FAIpQLSeZ-R1GrWlAPkfaThGqxeTj0QTtrARw4rroxIIepf2kipn1nw%2FformResponse%3Fusp%3Dpp_url%26entry.1313582257%3D0082766789%26entry.1578404635%3DHadir</t>
  </si>
  <si>
    <t>0087189022</t>
  </si>
  <si>
    <t>https://quickchart.io/qr?size=250&amp;text=https%3A%2F%2Fdocs.google.com%2Fforms%2Fd%2Fe%2F1FAIpQLSeZ-R1GrWlAPkfaThGqxeTj0QTtrARw4rroxIIepf2kipn1nw%2FformResponse%3Fusp%3Dpp_url%26entry.1313582257%3D0087189022%26entry.1578404635%3DHadir</t>
  </si>
  <si>
    <t>0083216448</t>
  </si>
  <si>
    <t>https://quickchart.io/qr?size=250&amp;text=https%3A%2F%2Fdocs.google.com%2Fforms%2Fd%2Fe%2F1FAIpQLSeZ-R1GrWlAPkfaThGqxeTj0QTtrARw4rroxIIepf2kipn1nw%2FformResponse%3Fusp%3Dpp_url%26entry.1313582257%3D0083216448%26entry.1578404635%3DHadir</t>
  </si>
  <si>
    <t>0081976297</t>
  </si>
  <si>
    <t>https://quickchart.io/qr?size=250&amp;text=https%3A%2F%2Fdocs.google.com%2Fforms%2Fd%2Fe%2F1FAIpQLSeZ-R1GrWlAPkfaThGqxeTj0QTtrARw4rroxIIepf2kipn1nw%2FformResponse%3Fusp%3Dpp_url%26entry.1313582257%3D0081976297%26entry.1578404635%3DHadir</t>
  </si>
  <si>
    <t>0087374524</t>
  </si>
  <si>
    <t>https://quickchart.io/qr?size=250&amp;text=https%3A%2F%2Fdocs.google.com%2Fforms%2Fd%2Fe%2F1FAIpQLSeZ-R1GrWlAPkfaThGqxeTj0QTtrARw4rroxIIepf2kipn1nw%2FformResponse%3Fusp%3Dpp_url%26entry.1313582257%3D0087374524%26entry.1578404635%3DHadir</t>
  </si>
  <si>
    <t>0095610000</t>
  </si>
  <si>
    <t>https://quickchart.io/qr?size=250&amp;text=https%3A%2F%2Fdocs.google.com%2Fforms%2Fd%2Fe%2F1FAIpQLSeZ-R1GrWlAPkfaThGqxeTj0QTtrARw4rroxIIepf2kipn1nw%2FformResponse%3Fusp%3Dpp_url%26entry.1313582257%3D0095610000%26entry.1578404635%3DHadir</t>
  </si>
  <si>
    <t>3108459157</t>
  </si>
  <si>
    <t>https://quickchart.io/qr?size=250&amp;text=https%3A%2F%2Fdocs.google.com%2Fforms%2Fd%2Fe%2F1FAIpQLSeZ-R1GrWlAPkfaThGqxeTj0QTtrARw4rroxIIepf2kipn1nw%2FformResponse%3Fusp%3Dpp_url%26entry.1313582257%3D3108459157%26entry.1578404635%3DHadir</t>
  </si>
  <si>
    <t>0092184814</t>
  </si>
  <si>
    <t>https://quickchart.io/qr?size=250&amp;text=https%3A%2F%2Fdocs.google.com%2Fforms%2Fd%2Fe%2F1FAIpQLSeZ-R1GrWlAPkfaThGqxeTj0QTtrARw4rroxIIepf2kipn1nw%2FformResponse%3Fusp%3Dpp_url%26entry.1313582257%3D0092184814%26entry.1578404635%3DHadir</t>
  </si>
  <si>
    <t>0093513380</t>
  </si>
  <si>
    <t>https://quickchart.io/qr?size=250&amp;text=https%3A%2F%2Fdocs.google.com%2Fforms%2Fd%2Fe%2F1FAIpQLSeZ-R1GrWlAPkfaThGqxeTj0QTtrARw4rroxIIepf2kipn1nw%2FformResponse%3Fusp%3Dpp_url%26entry.1313582257%3D0093513380%26entry.1578404635%3DHadir</t>
  </si>
  <si>
    <t>0094484878</t>
  </si>
  <si>
    <t>https://quickchart.io/qr?size=250&amp;text=https%3A%2F%2Fdocs.google.com%2Fforms%2Fd%2Fe%2F1FAIpQLSeZ-R1GrWlAPkfaThGqxeTj0QTtrARw4rroxIIepf2kipn1nw%2FformResponse%3Fusp%3Dpp_url%26entry.1313582257%3D0094484878%26entry.1578404635%3DHadir</t>
  </si>
  <si>
    <t>0094008926</t>
  </si>
  <si>
    <t>https://quickchart.io/qr?size=250&amp;text=https%3A%2F%2Fdocs.google.com%2Fforms%2Fd%2Fe%2F1FAIpQLSeZ-R1GrWlAPkfaThGqxeTj0QTtrARw4rroxIIepf2kipn1nw%2FformResponse%3Fusp%3Dpp_url%26entry.1313582257%3D0094008926%26entry.1578404635%3DHadir</t>
  </si>
  <si>
    <t>0096998389</t>
  </si>
  <si>
    <t>https://quickchart.io/qr?size=250&amp;text=https%3A%2F%2Fdocs.google.com%2Fforms%2Fd%2Fe%2F1FAIpQLSeZ-R1GrWlAPkfaThGqxeTj0QTtrARw4rroxIIepf2kipn1nw%2FformResponse%3Fusp%3Dpp_url%26entry.1313582257%3D0096998389%26entry.1578404635%3DHadir</t>
  </si>
  <si>
    <t>0099205215</t>
  </si>
  <si>
    <t xml:space="preserve">  XI D-2</t>
  </si>
  <si>
    <t>https://quickchart.io/qr?size=250&amp;text=https%3A%2F%2Fdocs.google.com%2Fforms%2Fd%2Fe%2F1FAIpQLSeZ-R1GrWlAPkfaThGqxeTj0QTtrARw4rroxIIepf2kipn1nw%2FformResponse%3Fusp%3Dpp_url%26entry.1313582257%3D0099205215%26entry.1578404635%3DHadir</t>
  </si>
  <si>
    <t>0096176025</t>
  </si>
  <si>
    <t>https://quickchart.io/qr?size=250&amp;text=https%3A%2F%2Fdocs.google.com%2Fforms%2Fd%2Fe%2F1FAIpQLSeZ-R1GrWlAPkfaThGqxeTj0QTtrARw4rroxIIepf2kipn1nw%2FformResponse%3Fusp%3Dpp_url%26entry.1313582257%3D0096176025%26entry.1578404635%3DHadir</t>
  </si>
  <si>
    <t>0083691625</t>
  </si>
  <si>
    <t>https://quickchart.io/qr?size=250&amp;text=https%3A%2F%2Fdocs.google.com%2Fforms%2Fd%2Fe%2F1FAIpQLSeZ-R1GrWlAPkfaThGqxeTj0QTtrARw4rroxIIepf2kipn1nw%2FformResponse%3Fusp%3Dpp_url%26entry.1313582257%3D0083691625%26entry.1578404635%3DHadir</t>
  </si>
  <si>
    <t>0093555544</t>
  </si>
  <si>
    <t>https://quickchart.io/qr?size=250&amp;text=https%3A%2F%2Fdocs.google.com%2Fforms%2Fd%2Fe%2F1FAIpQLSeZ-R1GrWlAPkfaThGqxeTj0QTtrARw4rroxIIepf2kipn1nw%2FformResponse%3Fusp%3Dpp_url%26entry.1313582257%3D0093555544%26entry.1578404635%3DHadir</t>
  </si>
  <si>
    <t>0093240247</t>
  </si>
  <si>
    <t>https://quickchart.io/qr?size=250&amp;text=https%3A%2F%2Fdocs.google.com%2Fforms%2Fd%2Fe%2F1FAIpQLSeZ-R1GrWlAPkfaThGqxeTj0QTtrARw4rroxIIepf2kipn1nw%2FformResponse%3Fusp%3Dpp_url%26entry.1313582257%3D0093240247%26entry.1578404635%3DHadir</t>
  </si>
  <si>
    <t>0081177343</t>
  </si>
  <si>
    <t>https://quickchart.io/qr?size=250&amp;text=https%3A%2F%2Fdocs.google.com%2Fforms%2Fd%2Fe%2F1FAIpQLSeZ-R1GrWlAPkfaThGqxeTj0QTtrARw4rroxIIepf2kipn1nw%2FformResponse%3Fusp%3Dpp_url%26entry.1313582257%3D0081177343%26entry.1578404635%3DHadir</t>
  </si>
  <si>
    <t>0097044189</t>
  </si>
  <si>
    <t>https://quickchart.io/qr?size=250&amp;text=https%3A%2F%2Fdocs.google.com%2Fforms%2Fd%2Fe%2F1FAIpQLSeZ-R1GrWlAPkfaThGqxeTj0QTtrARw4rroxIIepf2kipn1nw%2FformResponse%3Fusp%3Dpp_url%26entry.1313582257%3D0097044189%26entry.1578404635%3DHadir</t>
  </si>
  <si>
    <t>0094015905</t>
  </si>
  <si>
    <t>https://quickchart.io/qr?size=250&amp;text=https%3A%2F%2Fdocs.google.com%2Fforms%2Fd%2Fe%2F1FAIpQLSeZ-R1GrWlAPkfaThGqxeTj0QTtrARw4rroxIIepf2kipn1nw%2FformResponse%3Fusp%3Dpp_url%26entry.1313582257%3D0094015905%26entry.1578404635%3DHadir</t>
  </si>
  <si>
    <t>0099056940</t>
  </si>
  <si>
    <t>https://quickchart.io/qr?size=250&amp;text=https%3A%2F%2Fdocs.google.com%2Fforms%2Fd%2Fe%2F1FAIpQLSeZ-R1GrWlAPkfaThGqxeTj0QTtrARw4rroxIIepf2kipn1nw%2FformResponse%3Fusp%3Dpp_url%26entry.1313582257%3D0099056940%26entry.1578404635%3DHadir</t>
  </si>
  <si>
    <t>0083503418</t>
  </si>
  <si>
    <t>https://quickchart.io/qr?size=250&amp;text=https%3A%2F%2Fdocs.google.com%2Fforms%2Fd%2Fe%2F1FAIpQLSeZ-R1GrWlAPkfaThGqxeTj0QTtrARw4rroxIIepf2kipn1nw%2FformResponse%3Fusp%3Dpp_url%26entry.1313582257%3D0083503418%26entry.1578404635%3DHadir</t>
  </si>
  <si>
    <t>0082910392</t>
  </si>
  <si>
    <t>https://quickchart.io/qr?size=250&amp;text=https%3A%2F%2Fdocs.google.com%2Fforms%2Fd%2Fe%2F1FAIpQLSeZ-R1GrWlAPkfaThGqxeTj0QTtrARw4rroxIIepf2kipn1nw%2FformResponse%3Fusp%3Dpp_url%26entry.1313582257%3D0082910392%26entry.1578404635%3DHadir</t>
  </si>
  <si>
    <t>0092889165</t>
  </si>
  <si>
    <t>https://quickchart.io/qr?size=250&amp;text=https%3A%2F%2Fdocs.google.com%2Fforms%2Fd%2Fe%2F1FAIpQLSeZ-R1GrWlAPkfaThGqxeTj0QTtrARw4rroxIIepf2kipn1nw%2FformResponse%3Fusp%3Dpp_url%26entry.1313582257%3D0092889165%26entry.1578404635%3DHadir</t>
  </si>
  <si>
    <t>0089925170</t>
  </si>
  <si>
    <t>https://quickchart.io/qr?size=250&amp;text=https%3A%2F%2Fdocs.google.com%2Fforms%2Fd%2Fe%2F1FAIpQLSeZ-R1GrWlAPkfaThGqxeTj0QTtrARw4rroxIIepf2kipn1nw%2FformResponse%3Fusp%3Dpp_url%26entry.1313582257%3D0089925170%26entry.1578404635%3DHadir</t>
  </si>
  <si>
    <t>0097500016</t>
  </si>
  <si>
    <t>https://quickchart.io/qr?size=250&amp;text=https%3A%2F%2Fdocs.google.com%2Fforms%2Fd%2Fe%2F1FAIpQLSeZ-R1GrWlAPkfaThGqxeTj0QTtrARw4rroxIIepf2kipn1nw%2FformResponse%3Fusp%3Dpp_url%26entry.1313582257%3D0097500016%26entry.1578404635%3DHadir</t>
  </si>
  <si>
    <t>0091736459</t>
  </si>
  <si>
    <t>https://quickchart.io/qr?size=250&amp;text=https%3A%2F%2Fdocs.google.com%2Fforms%2Fd%2Fe%2F1FAIpQLSeZ-R1GrWlAPkfaThGqxeTj0QTtrARw4rroxIIepf2kipn1nw%2FformResponse%3Fusp%3Dpp_url%26entry.1313582257%3D0091736459%26entry.1578404635%3DHadir</t>
  </si>
  <si>
    <t>0083473619</t>
  </si>
  <si>
    <t>https://quickchart.io/qr?size=250&amp;text=https%3A%2F%2Fdocs.google.com%2Fforms%2Fd%2Fe%2F1FAIpQLSeZ-R1GrWlAPkfaThGqxeTj0QTtrARw4rroxIIepf2kipn1nw%2FformResponse%3Fusp%3Dpp_url%26entry.1313582257%3D0083473619%26entry.1578404635%3DHadir</t>
  </si>
  <si>
    <t>0095965332</t>
  </si>
  <si>
    <t>https://quickchart.io/qr?size=250&amp;text=https%3A%2F%2Fdocs.google.com%2Fforms%2Fd%2Fe%2F1FAIpQLSeZ-R1GrWlAPkfaThGqxeTj0QTtrARw4rroxIIepf2kipn1nw%2FformResponse%3Fusp%3Dpp_url%26entry.1313582257%3D0095965332%26entry.1578404635%3DHadir</t>
  </si>
  <si>
    <t>3089802088</t>
  </si>
  <si>
    <t>https://quickchart.io/qr?size=250&amp;text=https%3A%2F%2Fdocs.google.com%2Fforms%2Fd%2Fe%2F1FAIpQLSeZ-R1GrWlAPkfaThGqxeTj0QTtrARw4rroxIIepf2kipn1nw%2FformResponse%3Fusp%3Dpp_url%26entry.1313582257%3D3089802088%26entry.1578404635%3DHadir</t>
  </si>
  <si>
    <t>0083558880</t>
  </si>
  <si>
    <t>https://quickchart.io/qr?size=250&amp;text=https%3A%2F%2Fdocs.google.com%2Fforms%2Fd%2Fe%2F1FAIpQLSeZ-R1GrWlAPkfaThGqxeTj0QTtrARw4rroxIIepf2kipn1nw%2FformResponse%3Fusp%3Dpp_url%26entry.1313582257%3D0083558880%26entry.1578404635%3DHadir</t>
  </si>
  <si>
    <t>0087939718</t>
  </si>
  <si>
    <t>https://quickchart.io/qr?size=250&amp;text=https%3A%2F%2Fdocs.google.com%2Fforms%2Fd%2Fe%2F1FAIpQLSeZ-R1GrWlAPkfaThGqxeTj0QTtrARw4rroxIIepf2kipn1nw%2FformResponse%3Fusp%3Dpp_url%26entry.1313582257%3D0087939718%26entry.1578404635%3DHadir</t>
  </si>
  <si>
    <t>3086429713</t>
  </si>
  <si>
    <t>https://quickchart.io/qr?size=250&amp;text=https%3A%2F%2Fdocs.google.com%2Fforms%2Fd%2Fe%2F1FAIpQLSeZ-R1GrWlAPkfaThGqxeTj0QTtrARw4rroxIIepf2kipn1nw%2FformResponse%3Fusp%3Dpp_url%26entry.1313582257%3D3086429713%26entry.1578404635%3DHadir</t>
  </si>
  <si>
    <t>0082222599</t>
  </si>
  <si>
    <t>https://quickchart.io/qr?size=250&amp;text=https%3A%2F%2Fdocs.google.com%2Fforms%2Fd%2Fe%2F1FAIpQLSeZ-R1GrWlAPkfaThGqxeTj0QTtrARw4rroxIIepf2kipn1nw%2FformResponse%3Fusp%3Dpp_url%26entry.1313582257%3D0082222599%26entry.1578404635%3DHadir</t>
  </si>
  <si>
    <t>0096947097</t>
  </si>
  <si>
    <t>https://quickchart.io/qr?size=250&amp;text=https%3A%2F%2Fdocs.google.com%2Fforms%2Fd%2Fe%2F1FAIpQLSeZ-R1GrWlAPkfaThGqxeTj0QTtrARw4rroxIIepf2kipn1nw%2FformResponse%3Fusp%3Dpp_url%26entry.1313582257%3D0096947097%26entry.1578404635%3DHadir</t>
  </si>
  <si>
    <t>0088243290</t>
  </si>
  <si>
    <t>https://quickchart.io/qr?size=250&amp;text=https%3A%2F%2Fdocs.google.com%2Fforms%2Fd%2Fe%2F1FAIpQLSeZ-R1GrWlAPkfaThGqxeTj0QTtrARw4rroxIIepf2kipn1nw%2FformResponse%3Fusp%3Dpp_url%26entry.1313582257%3D0088243290%26entry.1578404635%3DHadir</t>
  </si>
  <si>
    <t>0083111399</t>
  </si>
  <si>
    <t>https://quickchart.io/qr?size=250&amp;text=https%3A%2F%2Fdocs.google.com%2Fforms%2Fd%2Fe%2F1FAIpQLSeZ-R1GrWlAPkfaThGqxeTj0QTtrARw4rroxIIepf2kipn1nw%2FformResponse%3Fusp%3Dpp_url%26entry.1313582257%3D0083111399%26entry.1578404635%3DHadir</t>
  </si>
  <si>
    <t>0098495672</t>
  </si>
  <si>
    <t>https://quickchart.io/qr?size=250&amp;text=https%3A%2F%2Fdocs.google.com%2Fforms%2Fd%2Fe%2F1FAIpQLSeZ-R1GrWlAPkfaThGqxeTj0QTtrARw4rroxIIepf2kipn1nw%2FformResponse%3Fusp%3Dpp_url%26entry.1313582257%3D0098495672%26entry.1578404635%3DHadir</t>
  </si>
  <si>
    <t>0087033208</t>
  </si>
  <si>
    <t>https://quickchart.io/qr?size=250&amp;text=https%3A%2F%2Fdocs.google.com%2Fforms%2Fd%2Fe%2F1FAIpQLSeZ-R1GrWlAPkfaThGqxeTj0QTtrARw4rroxIIepf2kipn1nw%2FformResponse%3Fusp%3Dpp_url%26entry.1313582257%3D0087033208%26entry.1578404635%3DHadir</t>
  </si>
  <si>
    <t>0087540462</t>
  </si>
  <si>
    <t>https://quickchart.io/qr?size=250&amp;text=https%3A%2F%2Fdocs.google.com%2Fforms%2Fd%2Fe%2F1FAIpQLSeZ-R1GrWlAPkfaThGqxeTj0QTtrARw4rroxIIepf2kipn1nw%2FformResponse%3Fusp%3Dpp_url%26entry.1313582257%3D0087540462%26entry.1578404635%3DHadir</t>
  </si>
  <si>
    <t>0098177122</t>
  </si>
  <si>
    <t>https://quickchart.io/qr?size=250&amp;text=https%3A%2F%2Fdocs.google.com%2Fforms%2Fd%2Fe%2F1FAIpQLSeZ-R1GrWlAPkfaThGqxeTj0QTtrARw4rroxIIepf2kipn1nw%2FformResponse%3Fusp%3Dpp_url%26entry.1313582257%3D0098177122%26entry.1578404635%3DHadir</t>
  </si>
  <si>
    <t>0084182636</t>
  </si>
  <si>
    <t>https://quickchart.io/qr?size=250&amp;text=https%3A%2F%2Fdocs.google.com%2Fforms%2Fd%2Fe%2F1FAIpQLSeZ-R1GrWlAPkfaThGqxeTj0QTtrARw4rroxIIepf2kipn1nw%2FformResponse%3Fusp%3Dpp_url%26entry.1313582257%3D0084182636%26entry.1578404635%3DHadir</t>
  </si>
  <si>
    <t>0092533632</t>
  </si>
  <si>
    <t>https://quickchart.io/qr?size=250&amp;text=https%3A%2F%2Fdocs.google.com%2Fforms%2Fd%2Fe%2F1FAIpQLSeZ-R1GrWlAPkfaThGqxeTj0QTtrARw4rroxIIepf2kipn1nw%2FformResponse%3Fusp%3Dpp_url%26entry.1313582257%3D0092533632%26entry.1578404635%3DHadir</t>
  </si>
  <si>
    <t>0089659957</t>
  </si>
  <si>
    <t>https://quickchart.io/qr?size=250&amp;text=https%3A%2F%2Fdocs.google.com%2Fforms%2Fd%2Fe%2F1FAIpQLSeZ-R1GrWlAPkfaThGqxeTj0QTtrARw4rroxIIepf2kipn1nw%2FformResponse%3Fusp%3Dpp_url%26entry.1313582257%3D0089659957%26entry.1578404635%3DHadir</t>
  </si>
  <si>
    <t>0094494926</t>
  </si>
  <si>
    <t>https://quickchart.io/qr?size=250&amp;text=https%3A%2F%2Fdocs.google.com%2Fforms%2Fd%2Fe%2F1FAIpQLSeZ-R1GrWlAPkfaThGqxeTj0QTtrARw4rroxIIepf2kipn1nw%2FformResponse%3Fusp%3Dpp_url%26entry.1313582257%3D0094494926%26entry.1578404635%3DHadir</t>
  </si>
  <si>
    <t>0083550559</t>
  </si>
  <si>
    <t>https://quickchart.io/qr?size=250&amp;text=https%3A%2F%2Fdocs.google.com%2Fforms%2Fd%2Fe%2F1FAIpQLSeZ-R1GrWlAPkfaThGqxeTj0QTtrARw4rroxIIepf2kipn1nw%2FformResponse%3Fusp%3Dpp_url%26entry.1313582257%3D0083550559%26entry.1578404635%3DHadir</t>
  </si>
  <si>
    <t>0086771046</t>
  </si>
  <si>
    <t>https://quickchart.io/qr?size=250&amp;text=https%3A%2F%2Fdocs.google.com%2Fforms%2Fd%2Fe%2F1FAIpQLSeZ-R1GrWlAPkfaThGqxeTj0QTtrARw4rroxIIepf2kipn1nw%2FformResponse%3Fusp%3Dpp_url%26entry.1313582257%3D0086771046%26entry.1578404635%3DHadir</t>
  </si>
  <si>
    <t>0098965422</t>
  </si>
  <si>
    <t>https://quickchart.io/qr?size=250&amp;text=https%3A%2F%2Fdocs.google.com%2Fforms%2Fd%2Fe%2F1FAIpQLSeZ-R1GrWlAPkfaThGqxeTj0QTtrARw4rroxIIepf2kipn1nw%2FformResponse%3Fusp%3Dpp_url%26entry.1313582257%3D0098965422%26entry.1578404635%3DHadir</t>
  </si>
  <si>
    <t>0091972857</t>
  </si>
  <si>
    <t xml:space="preserve">  XI D-3</t>
  </si>
  <si>
    <t>https://quickchart.io/qr?size=250&amp;text=https%3A%2F%2Fdocs.google.com%2Fforms%2Fd%2Fe%2F1FAIpQLSeZ-R1GrWlAPkfaThGqxeTj0QTtrARw4rroxIIepf2kipn1nw%2FformResponse%3Fusp%3Dpp_url%26entry.1313582257%3D0091972857%26entry.1578404635%3DHadir</t>
  </si>
  <si>
    <t>0099463036</t>
  </si>
  <si>
    <t>https://quickchart.io/qr?size=250&amp;text=https%3A%2F%2Fdocs.google.com%2Fforms%2Fd%2Fe%2F1FAIpQLSeZ-R1GrWlAPkfaThGqxeTj0QTtrARw4rroxIIepf2kipn1nw%2FformResponse%3Fusp%3Dpp_url%26entry.1313582257%3D0099463036%26entry.1578404635%3DHadir</t>
  </si>
  <si>
    <t>0084373144</t>
  </si>
  <si>
    <t>https://quickchart.io/qr?size=250&amp;text=https%3A%2F%2Fdocs.google.com%2Fforms%2Fd%2Fe%2F1FAIpQLSeZ-R1GrWlAPkfaThGqxeTj0QTtrARw4rroxIIepf2kipn1nw%2FformResponse%3Fusp%3Dpp_url%26entry.1313582257%3D0084373144%26entry.1578404635%3DHadir</t>
  </si>
  <si>
    <t>0092027940</t>
  </si>
  <si>
    <t>https://quickchart.io/qr?size=250&amp;text=https%3A%2F%2Fdocs.google.com%2Fforms%2Fd%2Fe%2F1FAIpQLSeZ-R1GrWlAPkfaThGqxeTj0QTtrARw4rroxIIepf2kipn1nw%2FformResponse%3Fusp%3Dpp_url%26entry.1313582257%3D0092027940%26entry.1578404635%3DHadir</t>
  </si>
  <si>
    <t>0097798929</t>
  </si>
  <si>
    <t>https://quickchart.io/qr?size=250&amp;text=https%3A%2F%2Fdocs.google.com%2Fforms%2Fd%2Fe%2F1FAIpQLSeZ-R1GrWlAPkfaThGqxeTj0QTtrARw4rroxIIepf2kipn1nw%2FformResponse%3Fusp%3Dpp_url%26entry.1313582257%3D0097798929%26entry.1578404635%3DHadir</t>
  </si>
  <si>
    <t>0092388902</t>
  </si>
  <si>
    <t>https://quickchart.io/qr?size=250&amp;text=https%3A%2F%2Fdocs.google.com%2Fforms%2Fd%2Fe%2F1FAIpQLSeZ-R1GrWlAPkfaThGqxeTj0QTtrARw4rroxIIepf2kipn1nw%2FformResponse%3Fusp%3Dpp_url%26entry.1313582257%3D0092388902%26entry.1578404635%3DHadir</t>
  </si>
  <si>
    <t>0092260536</t>
  </si>
  <si>
    <t>https://quickchart.io/qr?size=250&amp;text=https%3A%2F%2Fdocs.google.com%2Fforms%2Fd%2Fe%2F1FAIpQLSeZ-R1GrWlAPkfaThGqxeTj0QTtrARw4rroxIIepf2kipn1nw%2FformResponse%3Fusp%3Dpp_url%26entry.1313582257%3D0092260536%26entry.1578404635%3DHadir</t>
  </si>
  <si>
    <t>0092404259</t>
  </si>
  <si>
    <t>https://quickchart.io/qr?size=250&amp;text=https%3A%2F%2Fdocs.google.com%2Fforms%2Fd%2Fe%2F1FAIpQLSeZ-R1GrWlAPkfaThGqxeTj0QTtrARw4rroxIIepf2kipn1nw%2FformResponse%3Fusp%3Dpp_url%26entry.1313582257%3D0092404259%26entry.1578404635%3DHadir</t>
  </si>
  <si>
    <t>0086475767</t>
  </si>
  <si>
    <t>https://quickchart.io/qr?size=250&amp;text=https%3A%2F%2Fdocs.google.com%2Fforms%2Fd%2Fe%2F1FAIpQLSeZ-R1GrWlAPkfaThGqxeTj0QTtrARw4rroxIIepf2kipn1nw%2FformResponse%3Fusp%3Dpp_url%26entry.1313582257%3D0086475767%26entry.1578404635%3DHadir</t>
  </si>
  <si>
    <t>0099130384</t>
  </si>
  <si>
    <t>https://quickchart.io/qr?size=250&amp;text=https%3A%2F%2Fdocs.google.com%2Fforms%2Fd%2Fe%2F1FAIpQLSeZ-R1GrWlAPkfaThGqxeTj0QTtrARw4rroxIIepf2kipn1nw%2FformResponse%3Fusp%3Dpp_url%26entry.1313582257%3D0099130384%26entry.1578404635%3DHadir</t>
  </si>
  <si>
    <t>0097660827</t>
  </si>
  <si>
    <t>https://quickchart.io/qr?size=250&amp;text=https%3A%2F%2Fdocs.google.com%2Fforms%2Fd%2Fe%2F1FAIpQLSeZ-R1GrWlAPkfaThGqxeTj0QTtrARw4rroxIIepf2kipn1nw%2FformResponse%3Fusp%3Dpp_url%26entry.1313582257%3D0097660827%26entry.1578404635%3DHadir</t>
  </si>
  <si>
    <t>0096109567</t>
  </si>
  <si>
    <t>https://quickchart.io/qr?size=250&amp;text=https%3A%2F%2Fdocs.google.com%2Fforms%2Fd%2Fe%2F1FAIpQLSeZ-R1GrWlAPkfaThGqxeTj0QTtrARw4rroxIIepf2kipn1nw%2FformResponse%3Fusp%3Dpp_url%26entry.1313582257%3D0096109567%26entry.1578404635%3DHadir</t>
  </si>
  <si>
    <t>0095745176</t>
  </si>
  <si>
    <t>https://quickchart.io/qr?size=250&amp;text=https%3A%2F%2Fdocs.google.com%2Fforms%2Fd%2Fe%2F1FAIpQLSeZ-R1GrWlAPkfaThGqxeTj0QTtrARw4rroxIIepf2kipn1nw%2FformResponse%3Fusp%3Dpp_url%26entry.1313582257%3D0095745176%26entry.1578404635%3DHadir</t>
  </si>
  <si>
    <t>0091234811</t>
  </si>
  <si>
    <t>https://quickchart.io/qr?size=250&amp;text=https%3A%2F%2Fdocs.google.com%2Fforms%2Fd%2Fe%2F1FAIpQLSeZ-R1GrWlAPkfaThGqxeTj0QTtrARw4rroxIIepf2kipn1nw%2FformResponse%3Fusp%3Dpp_url%26entry.1313582257%3D0091234811%26entry.1578404635%3DHadir</t>
  </si>
  <si>
    <t>0091342789</t>
  </si>
  <si>
    <t>https://quickchart.io/qr?size=250&amp;text=https%3A%2F%2Fdocs.google.com%2Fforms%2Fd%2Fe%2F1FAIpQLSeZ-R1GrWlAPkfaThGqxeTj0QTtrARw4rroxIIepf2kipn1nw%2FformResponse%3Fusp%3Dpp_url%26entry.1313582257%3D0091342789%26entry.1578404635%3DHadir</t>
  </si>
  <si>
    <t>0082284975</t>
  </si>
  <si>
    <t>https://quickchart.io/qr?size=250&amp;text=https%3A%2F%2Fdocs.google.com%2Fforms%2Fd%2Fe%2F1FAIpQLSeZ-R1GrWlAPkfaThGqxeTj0QTtrARw4rroxIIepf2kipn1nw%2FformResponse%3Fusp%3Dpp_url%26entry.1313582257%3D0082284975%26entry.1578404635%3DHadir</t>
  </si>
  <si>
    <t>0096026876</t>
  </si>
  <si>
    <t>https://quickchart.io/qr?size=250&amp;text=https%3A%2F%2Fdocs.google.com%2Fforms%2Fd%2Fe%2F1FAIpQLSeZ-R1GrWlAPkfaThGqxeTj0QTtrARw4rroxIIepf2kipn1nw%2FformResponse%3Fusp%3Dpp_url%26entry.1313582257%3D0096026876%26entry.1578404635%3DHadir</t>
  </si>
  <si>
    <t>0097494303</t>
  </si>
  <si>
    <t>https://quickchart.io/qr?size=250&amp;text=https%3A%2F%2Fdocs.google.com%2Fforms%2Fd%2Fe%2F1FAIpQLSeZ-R1GrWlAPkfaThGqxeTj0QTtrARw4rroxIIepf2kipn1nw%2FformResponse%3Fusp%3Dpp_url%26entry.1313582257%3D0097494303%26entry.1578404635%3DHadir</t>
  </si>
  <si>
    <t>0091325828</t>
  </si>
  <si>
    <t>https://quickchart.io/qr?size=250&amp;text=https%3A%2F%2Fdocs.google.com%2Fforms%2Fd%2Fe%2F1FAIpQLSeZ-R1GrWlAPkfaThGqxeTj0QTtrARw4rroxIIepf2kipn1nw%2FformResponse%3Fusp%3Dpp_url%26entry.1313582257%3D0091325828%26entry.1578404635%3DHadir</t>
  </si>
  <si>
    <t>0099418331</t>
  </si>
  <si>
    <t>https://quickchart.io/qr?size=250&amp;text=https%3A%2F%2Fdocs.google.com%2Fforms%2Fd%2Fe%2F1FAIpQLSeZ-R1GrWlAPkfaThGqxeTj0QTtrARw4rroxIIepf2kipn1nw%2FformResponse%3Fusp%3Dpp_url%26entry.1313582257%3D0099418331%26entry.1578404635%3DHadir</t>
  </si>
  <si>
    <t>0098415432</t>
  </si>
  <si>
    <t>https://quickchart.io/qr?size=250&amp;text=https%3A%2F%2Fdocs.google.com%2Fforms%2Fd%2Fe%2F1FAIpQLSeZ-R1GrWlAPkfaThGqxeTj0QTtrARw4rroxIIepf2kipn1nw%2FformResponse%3Fusp%3Dpp_url%26entry.1313582257%3D0098415432%26entry.1578404635%3DHadir</t>
  </si>
  <si>
    <t>3082881499</t>
  </si>
  <si>
    <t>https://quickchart.io/qr?size=250&amp;text=https%3A%2F%2Fdocs.google.com%2Fforms%2Fd%2Fe%2F1FAIpQLSeZ-R1GrWlAPkfaThGqxeTj0QTtrARw4rroxIIepf2kipn1nw%2FformResponse%3Fusp%3Dpp_url%26entry.1313582257%3D3082881499%26entry.1578404635%3DHadir</t>
  </si>
  <si>
    <t>0084468197</t>
  </si>
  <si>
    <t>https://quickchart.io/qr?size=250&amp;text=https%3A%2F%2Fdocs.google.com%2Fforms%2Fd%2Fe%2F1FAIpQLSeZ-R1GrWlAPkfaThGqxeTj0QTtrARw4rroxIIepf2kipn1nw%2FformResponse%3Fusp%3Dpp_url%26entry.1313582257%3D0084468197%26entry.1578404635%3DHadir</t>
  </si>
  <si>
    <t>0095554126</t>
  </si>
  <si>
    <t>https://quickchart.io/qr?size=250&amp;text=https%3A%2F%2Fdocs.google.com%2Fforms%2Fd%2Fe%2F1FAIpQLSeZ-R1GrWlAPkfaThGqxeTj0QTtrARw4rroxIIepf2kipn1nw%2FformResponse%3Fusp%3Dpp_url%26entry.1313582257%3D0095554126%26entry.1578404635%3DHadir</t>
  </si>
  <si>
    <t>0095029451</t>
  </si>
  <si>
    <t>https://quickchart.io/qr?size=250&amp;text=https%3A%2F%2Fdocs.google.com%2Fforms%2Fd%2Fe%2F1FAIpQLSeZ-R1GrWlAPkfaThGqxeTj0QTtrARw4rroxIIepf2kipn1nw%2FformResponse%3Fusp%3Dpp_url%26entry.1313582257%3D0095029451%26entry.1578404635%3DHadir</t>
  </si>
  <si>
    <t>0084998907</t>
  </si>
  <si>
    <t>https://quickchart.io/qr?size=250&amp;text=https%3A%2F%2Fdocs.google.com%2Fforms%2Fd%2Fe%2F1FAIpQLSeZ-R1GrWlAPkfaThGqxeTj0QTtrARw4rroxIIepf2kipn1nw%2FformResponse%3Fusp%3Dpp_url%26entry.1313582257%3D0084998907%26entry.1578404635%3DHadir</t>
  </si>
  <si>
    <t>3097947979</t>
  </si>
  <si>
    <t>https://quickchart.io/qr?size=250&amp;text=https%3A%2F%2Fdocs.google.com%2Fforms%2Fd%2Fe%2F1FAIpQLSeZ-R1GrWlAPkfaThGqxeTj0QTtrARw4rroxIIepf2kipn1nw%2FformResponse%3Fusp%3Dpp_url%26entry.1313582257%3D3097947979%26entry.1578404635%3DHadir</t>
  </si>
  <si>
    <t>0091225757</t>
  </si>
  <si>
    <t>https://quickchart.io/qr?size=250&amp;text=https%3A%2F%2Fdocs.google.com%2Fforms%2Fd%2Fe%2F1FAIpQLSeZ-R1GrWlAPkfaThGqxeTj0QTtrARw4rroxIIepf2kipn1nw%2FformResponse%3Fusp%3Dpp_url%26entry.1313582257%3D0091225757%26entry.1578404635%3DHadir</t>
  </si>
  <si>
    <t>0099551790</t>
  </si>
  <si>
    <t>https://quickchart.io/qr?size=250&amp;text=https%3A%2F%2Fdocs.google.com%2Fforms%2Fd%2Fe%2F1FAIpQLSeZ-R1GrWlAPkfaThGqxeTj0QTtrARw4rroxIIepf2kipn1nw%2FformResponse%3Fusp%3Dpp_url%26entry.1313582257%3D0099551790%26entry.1578404635%3DHadir</t>
  </si>
  <si>
    <t>0089608543</t>
  </si>
  <si>
    <t>https://quickchart.io/qr?size=250&amp;text=https%3A%2F%2Fdocs.google.com%2Fforms%2Fd%2Fe%2F1FAIpQLSeZ-R1GrWlAPkfaThGqxeTj0QTtrARw4rroxIIepf2kipn1nw%2FformResponse%3Fusp%3Dpp_url%26entry.1313582257%3D0089608543%26entry.1578404635%3DHadir</t>
  </si>
  <si>
    <t>0098835028</t>
  </si>
  <si>
    <t>https://quickchart.io/qr?size=250&amp;text=https%3A%2F%2Fdocs.google.com%2Fforms%2Fd%2Fe%2F1FAIpQLSeZ-R1GrWlAPkfaThGqxeTj0QTtrARw4rroxIIepf2kipn1nw%2FformResponse%3Fusp%3Dpp_url%26entry.1313582257%3D0098835028%26entry.1578404635%3DHadir</t>
  </si>
  <si>
    <t>3097356141</t>
  </si>
  <si>
    <t>https://quickchart.io/qr?size=250&amp;text=https%3A%2F%2Fdocs.google.com%2Fforms%2Fd%2Fe%2F1FAIpQLSeZ-R1GrWlAPkfaThGqxeTj0QTtrARw4rroxIIepf2kipn1nw%2FformResponse%3Fusp%3Dpp_url%26entry.1313582257%3D3097356141%26entry.1578404635%3DHadir</t>
  </si>
  <si>
    <t>0097311898</t>
  </si>
  <si>
    <t>https://quickchart.io/qr?size=250&amp;text=https%3A%2F%2Fdocs.google.com%2Fforms%2Fd%2Fe%2F1FAIpQLSeZ-R1GrWlAPkfaThGqxeTj0QTtrARw4rroxIIepf2kipn1nw%2FformResponse%3Fusp%3Dpp_url%26entry.1313582257%3D0097311898%26entry.1578404635%3DHadir</t>
  </si>
  <si>
    <t>0099130256</t>
  </si>
  <si>
    <t>https://quickchart.io/qr?size=250&amp;text=https%3A%2F%2Fdocs.google.com%2Fforms%2Fd%2Fe%2F1FAIpQLSeZ-R1GrWlAPkfaThGqxeTj0QTtrARw4rroxIIepf2kipn1nw%2FformResponse%3Fusp%3Dpp_url%26entry.1313582257%3D0099130256%26entry.1578404635%3DHadir</t>
  </si>
  <si>
    <t>0082646713</t>
  </si>
  <si>
    <t>https://quickchart.io/qr?size=250&amp;text=https%3A%2F%2Fdocs.google.com%2Fforms%2Fd%2Fe%2F1FAIpQLSeZ-R1GrWlAPkfaThGqxeTj0QTtrARw4rroxIIepf2kipn1nw%2FformResponse%3Fusp%3Dpp_url%26entry.1313582257%3D0082646713%26entry.1578404635%3DHadir</t>
  </si>
  <si>
    <t>0091537746</t>
  </si>
  <si>
    <t>https://quickchart.io/qr?size=250&amp;text=https%3A%2F%2Fdocs.google.com%2Fforms%2Fd%2Fe%2F1FAIpQLSeZ-R1GrWlAPkfaThGqxeTj0QTtrARw4rroxIIepf2kipn1nw%2FformResponse%3Fusp%3Dpp_url%26entry.1313582257%3D0091537746%26entry.1578404635%3DHadir</t>
  </si>
  <si>
    <t>0093390743</t>
  </si>
  <si>
    <t xml:space="preserve">  XI E-1</t>
  </si>
  <si>
    <t>https://quickchart.io/qr?size=250&amp;text=https%3A%2F%2Fdocs.google.com%2Fforms%2Fd%2Fe%2F1FAIpQLSeZ-R1GrWlAPkfaThGqxeTj0QTtrARw4rroxIIepf2kipn1nw%2FformResponse%3Fusp%3Dpp_url%26entry.1313582257%3D0093390743%26entry.1578404635%3DHadir</t>
  </si>
  <si>
    <t>0099505768</t>
  </si>
  <si>
    <t>https://quickchart.io/qr?size=250&amp;text=https%3A%2F%2Fdocs.google.com%2Fforms%2Fd%2Fe%2F1FAIpQLSeZ-R1GrWlAPkfaThGqxeTj0QTtrARw4rroxIIepf2kipn1nw%2FformResponse%3Fusp%3Dpp_url%26entry.1313582257%3D0099505768%26entry.1578404635%3DHadir</t>
  </si>
  <si>
    <t>0093801090</t>
  </si>
  <si>
    <t>https://quickchart.io/qr?size=250&amp;text=https%3A%2F%2Fdocs.google.com%2Fforms%2Fd%2Fe%2F1FAIpQLSeZ-R1GrWlAPkfaThGqxeTj0QTtrARw4rroxIIepf2kipn1nw%2FformResponse%3Fusp%3Dpp_url%26entry.1313582257%3D0093801090%26entry.1578404635%3DHadir</t>
  </si>
  <si>
    <t>0097959305</t>
  </si>
  <si>
    <t>https://quickchart.io/qr?size=250&amp;text=https%3A%2F%2Fdocs.google.com%2Fforms%2Fd%2Fe%2F1FAIpQLSeZ-R1GrWlAPkfaThGqxeTj0QTtrARw4rroxIIepf2kipn1nw%2FformResponse%3Fusp%3Dpp_url%26entry.1313582257%3D0097959305%26entry.1578404635%3DHadir</t>
  </si>
  <si>
    <t>0084789093</t>
  </si>
  <si>
    <t>https://quickchart.io/qr?size=250&amp;text=https%3A%2F%2Fdocs.google.com%2Fforms%2Fd%2Fe%2F1FAIpQLSeZ-R1GrWlAPkfaThGqxeTj0QTtrARw4rroxIIepf2kipn1nw%2FformResponse%3Fusp%3Dpp_url%26entry.1313582257%3D0084789093%26entry.1578404635%3DHadir</t>
  </si>
  <si>
    <t>2081404817</t>
  </si>
  <si>
    <t>https://quickchart.io/qr?size=250&amp;text=https%3A%2F%2Fdocs.google.com%2Fforms%2Fd%2Fe%2F1FAIpQLSeZ-R1GrWlAPkfaThGqxeTj0QTtrARw4rroxIIepf2kipn1nw%2FformResponse%3Fusp%3Dpp_url%26entry.1313582257%3D2081404817%26entry.1578404635%3DHadir</t>
  </si>
  <si>
    <t>0098812831</t>
  </si>
  <si>
    <t>https://quickchart.io/qr?size=250&amp;text=https%3A%2F%2Fdocs.google.com%2Fforms%2Fd%2Fe%2F1FAIpQLSeZ-R1GrWlAPkfaThGqxeTj0QTtrARw4rroxIIepf2kipn1nw%2FformResponse%3Fusp%3Dpp_url%26entry.1313582257%3D0098812831%26entry.1578404635%3DHadir</t>
  </si>
  <si>
    <t>0083352872</t>
  </si>
  <si>
    <t>https://quickchart.io/qr?size=250&amp;text=https%3A%2F%2Fdocs.google.com%2Fforms%2Fd%2Fe%2F1FAIpQLSeZ-R1GrWlAPkfaThGqxeTj0QTtrARw4rroxIIepf2kipn1nw%2FformResponse%3Fusp%3Dpp_url%26entry.1313582257%3D0083352872%26entry.1578404635%3DHadir</t>
  </si>
  <si>
    <t>0086078004</t>
  </si>
  <si>
    <t>https://quickchart.io/qr?size=250&amp;text=https%3A%2F%2Fdocs.google.com%2Fforms%2Fd%2Fe%2F1FAIpQLSeZ-R1GrWlAPkfaThGqxeTj0QTtrARw4rroxIIepf2kipn1nw%2FformResponse%3Fusp%3Dpp_url%26entry.1313582257%3D0086078004%26entry.1578404635%3DHadir</t>
  </si>
  <si>
    <t>0098775856</t>
  </si>
  <si>
    <t>https://quickchart.io/qr?size=250&amp;text=https%3A%2F%2Fdocs.google.com%2Fforms%2Fd%2Fe%2F1FAIpQLSeZ-R1GrWlAPkfaThGqxeTj0QTtrARw4rroxIIepf2kipn1nw%2FformResponse%3Fusp%3Dpp_url%26entry.1313582257%3D0098775856%26entry.1578404635%3DHadir</t>
  </si>
  <si>
    <t>0093969715</t>
  </si>
  <si>
    <t>https://quickchart.io/qr?size=250&amp;text=https%3A%2F%2Fdocs.google.com%2Fforms%2Fd%2Fe%2F1FAIpQLSeZ-R1GrWlAPkfaThGqxeTj0QTtrARw4rroxIIepf2kipn1nw%2FformResponse%3Fusp%3Dpp_url%26entry.1313582257%3D0093969715%26entry.1578404635%3DHadir</t>
  </si>
  <si>
    <t>0097062478</t>
  </si>
  <si>
    <t>https://quickchart.io/qr?size=250&amp;text=https%3A%2F%2Fdocs.google.com%2Fforms%2Fd%2Fe%2F1FAIpQLSeZ-R1GrWlAPkfaThGqxeTj0QTtrARw4rroxIIepf2kipn1nw%2FformResponse%3Fusp%3Dpp_url%26entry.1313582257%3D0097062478%26entry.1578404635%3DHadir</t>
  </si>
  <si>
    <t>0082185766</t>
  </si>
  <si>
    <t>https://quickchart.io/qr?size=250&amp;text=https%3A%2F%2Fdocs.google.com%2Fforms%2Fd%2Fe%2F1FAIpQLSeZ-R1GrWlAPkfaThGqxeTj0QTtrARw4rroxIIepf2kipn1nw%2FformResponse%3Fusp%3Dpp_url%26entry.1313582257%3D0082185766%26entry.1578404635%3DHadir</t>
  </si>
  <si>
    <t>0087551275</t>
  </si>
  <si>
    <t>https://quickchart.io/qr?size=250&amp;text=https%3A%2F%2Fdocs.google.com%2Fforms%2Fd%2Fe%2F1FAIpQLSeZ-R1GrWlAPkfaThGqxeTj0QTtrARw4rroxIIepf2kipn1nw%2FformResponse%3Fusp%3Dpp_url%26entry.1313582257%3D0087551275%26entry.1578404635%3DHadir</t>
  </si>
  <si>
    <t>0093479168</t>
  </si>
  <si>
    <t>https://quickchart.io/qr?size=250&amp;text=https%3A%2F%2Fdocs.google.com%2Fforms%2Fd%2Fe%2F1FAIpQLSeZ-R1GrWlAPkfaThGqxeTj0QTtrARw4rroxIIepf2kipn1nw%2FformResponse%3Fusp%3Dpp_url%26entry.1313582257%3D0093479168%26entry.1578404635%3DHadir</t>
  </si>
  <si>
    <t>0092786372</t>
  </si>
  <si>
    <t>https://quickchart.io/qr?size=250&amp;text=https%3A%2F%2Fdocs.google.com%2Fforms%2Fd%2Fe%2F1FAIpQLSeZ-R1GrWlAPkfaThGqxeTj0QTtrARw4rroxIIepf2kipn1nw%2FformResponse%3Fusp%3Dpp_url%26entry.1313582257%3D0092786372%26entry.1578404635%3DHadir</t>
  </si>
  <si>
    <t>0091530728</t>
  </si>
  <si>
    <t>https://quickchart.io/qr?size=250&amp;text=https%3A%2F%2Fdocs.google.com%2Fforms%2Fd%2Fe%2F1FAIpQLSeZ-R1GrWlAPkfaThGqxeTj0QTtrARw4rroxIIepf2kipn1nw%2FformResponse%3Fusp%3Dpp_url%26entry.1313582257%3D0091530728%26entry.1578404635%3DHadir</t>
  </si>
  <si>
    <t>0085378932</t>
  </si>
  <si>
    <t>https://quickchart.io/qr?size=250&amp;text=https%3A%2F%2Fdocs.google.com%2Fforms%2Fd%2Fe%2F1FAIpQLSeZ-R1GrWlAPkfaThGqxeTj0QTtrARw4rroxIIepf2kipn1nw%2FformResponse%3Fusp%3Dpp_url%26entry.1313582257%3D0085378932%26entry.1578404635%3DHadir</t>
  </si>
  <si>
    <t>0086404055</t>
  </si>
  <si>
    <t>https://quickchart.io/qr?size=250&amp;text=https%3A%2F%2Fdocs.google.com%2Fforms%2Fd%2Fe%2F1FAIpQLSeZ-R1GrWlAPkfaThGqxeTj0QTtrARw4rroxIIepf2kipn1nw%2FformResponse%3Fusp%3Dpp_url%26entry.1313582257%3D0086404055%26entry.1578404635%3DHadir</t>
  </si>
  <si>
    <t>0086360763</t>
  </si>
  <si>
    <t>https://quickchart.io/qr?size=250&amp;text=https%3A%2F%2Fdocs.google.com%2Fforms%2Fd%2Fe%2F1FAIpQLSeZ-R1GrWlAPkfaThGqxeTj0QTtrARw4rroxIIepf2kipn1nw%2FformResponse%3Fusp%3Dpp_url%26entry.1313582257%3D0086360763%26entry.1578404635%3DHadir</t>
  </si>
  <si>
    <t>0088924007</t>
  </si>
  <si>
    <t>https://quickchart.io/qr?size=250&amp;text=https%3A%2F%2Fdocs.google.com%2Fforms%2Fd%2Fe%2F1FAIpQLSeZ-R1GrWlAPkfaThGqxeTj0QTtrARw4rroxIIepf2kipn1nw%2FformResponse%3Fusp%3Dpp_url%26entry.1313582257%3D0088924007%26entry.1578404635%3DHadir</t>
  </si>
  <si>
    <t>0091944011</t>
  </si>
  <si>
    <t>https://quickchart.io/qr?size=250&amp;text=https%3A%2F%2Fdocs.google.com%2Fforms%2Fd%2Fe%2F1FAIpQLSeZ-R1GrWlAPkfaThGqxeTj0QTtrARw4rroxIIepf2kipn1nw%2FformResponse%3Fusp%3Dpp_url%26entry.1313582257%3D0091944011%26entry.1578404635%3DHadir</t>
  </si>
  <si>
    <t>0094596470</t>
  </si>
  <si>
    <t>https://quickchart.io/qr?size=250&amp;text=https%3A%2F%2Fdocs.google.com%2Fforms%2Fd%2Fe%2F1FAIpQLSeZ-R1GrWlAPkfaThGqxeTj0QTtrARw4rroxIIepf2kipn1nw%2FformResponse%3Fusp%3Dpp_url%26entry.1313582257%3D0094596470%26entry.1578404635%3DHadir</t>
  </si>
  <si>
    <t>0092404318</t>
  </si>
  <si>
    <t>https://quickchart.io/qr?size=250&amp;text=https%3A%2F%2Fdocs.google.com%2Fforms%2Fd%2Fe%2F1FAIpQLSeZ-R1GrWlAPkfaThGqxeTj0QTtrARw4rroxIIepf2kipn1nw%2FformResponse%3Fusp%3Dpp_url%26entry.1313582257%3D0092404318%26entry.1578404635%3DHadir</t>
  </si>
  <si>
    <t>0095059901</t>
  </si>
  <si>
    <t>https://quickchart.io/qr?size=250&amp;text=https%3A%2F%2Fdocs.google.com%2Fforms%2Fd%2Fe%2F1FAIpQLSeZ-R1GrWlAPkfaThGqxeTj0QTtrARw4rroxIIepf2kipn1nw%2FformResponse%3Fusp%3Dpp_url%26entry.1313582257%3D0095059901%26entry.1578404635%3DHadir</t>
  </si>
  <si>
    <t>0098122055</t>
  </si>
  <si>
    <t>https://quickchart.io/qr?size=250&amp;text=https%3A%2F%2Fdocs.google.com%2Fforms%2Fd%2Fe%2F1FAIpQLSeZ-R1GrWlAPkfaThGqxeTj0QTtrARw4rroxIIepf2kipn1nw%2FformResponse%3Fusp%3Dpp_url%26entry.1313582257%3D0098122055%26entry.1578404635%3DHadir</t>
  </si>
  <si>
    <t>0086863385</t>
  </si>
  <si>
    <t>https://quickchart.io/qr?size=250&amp;text=https%3A%2F%2Fdocs.google.com%2Fforms%2Fd%2Fe%2F1FAIpQLSeZ-R1GrWlAPkfaThGqxeTj0QTtrARw4rroxIIepf2kipn1nw%2FformResponse%3Fusp%3Dpp_url%26entry.1313582257%3D0086863385%26entry.1578404635%3DHadir</t>
  </si>
  <si>
    <t>0085675402</t>
  </si>
  <si>
    <t>https://quickchart.io/qr?size=250&amp;text=https%3A%2F%2Fdocs.google.com%2Fforms%2Fd%2Fe%2F1FAIpQLSeZ-R1GrWlAPkfaThGqxeTj0QTtrARw4rroxIIepf2kipn1nw%2FformResponse%3Fusp%3Dpp_url%26entry.1313582257%3D0085675402%26entry.1578404635%3DHadir</t>
  </si>
  <si>
    <t>0096488875</t>
  </si>
  <si>
    <t>https://quickchart.io/qr?size=250&amp;text=https%3A%2F%2Fdocs.google.com%2Fforms%2Fd%2Fe%2F1FAIpQLSeZ-R1GrWlAPkfaThGqxeTj0QTtrARw4rroxIIepf2kipn1nw%2FformResponse%3Fusp%3Dpp_url%26entry.1313582257%3D0096488875%26entry.1578404635%3DHadir</t>
  </si>
  <si>
    <t>0091126559</t>
  </si>
  <si>
    <t>https://quickchart.io/qr?size=250&amp;text=https%3A%2F%2Fdocs.google.com%2Fforms%2Fd%2Fe%2F1FAIpQLSeZ-R1GrWlAPkfaThGqxeTj0QTtrARw4rroxIIepf2kipn1nw%2FformResponse%3Fusp%3Dpp_url%26entry.1313582257%3D0091126559%26entry.1578404635%3DHadir</t>
  </si>
  <si>
    <t>0094232336</t>
  </si>
  <si>
    <t>https://quickchart.io/qr?size=250&amp;text=https%3A%2F%2Fdocs.google.com%2Fforms%2Fd%2Fe%2F1FAIpQLSeZ-R1GrWlAPkfaThGqxeTj0QTtrARw4rroxIIepf2kipn1nw%2FformResponse%3Fusp%3Dpp_url%26entry.1313582257%3D0094232336%26entry.1578404635%3DHadir</t>
  </si>
  <si>
    <t>0099920490</t>
  </si>
  <si>
    <t>https://quickchart.io/qr?size=250&amp;text=https%3A%2F%2Fdocs.google.com%2Fforms%2Fd%2Fe%2F1FAIpQLSeZ-R1GrWlAPkfaThGqxeTj0QTtrARw4rroxIIepf2kipn1nw%2FformResponse%3Fusp%3Dpp_url%26entry.1313582257%3D0099920490%26entry.1578404635%3DHadir</t>
  </si>
  <si>
    <t>0094865307</t>
  </si>
  <si>
    <t>https://quickchart.io/qr?size=250&amp;text=https%3A%2F%2Fdocs.google.com%2Fforms%2Fd%2Fe%2F1FAIpQLSeZ-R1GrWlAPkfaThGqxeTj0QTtrARw4rroxIIepf2kipn1nw%2FformResponse%3Fusp%3Dpp_url%26entry.1313582257%3D0094865307%26entry.1578404635%3DHadir</t>
  </si>
  <si>
    <t>0093523017</t>
  </si>
  <si>
    <t>https://quickchart.io/qr?size=250&amp;text=https%3A%2F%2Fdocs.google.com%2Fforms%2Fd%2Fe%2F1FAIpQLSeZ-R1GrWlAPkfaThGqxeTj0QTtrARw4rroxIIepf2kipn1nw%2FformResponse%3Fusp%3Dpp_url%26entry.1313582257%3D0093523017%26entry.1578404635%3DHadir</t>
  </si>
  <si>
    <t>0094426892</t>
  </si>
  <si>
    <t>https://quickchart.io/qr?size=250&amp;text=https%3A%2F%2Fdocs.google.com%2Fforms%2Fd%2Fe%2F1FAIpQLSeZ-R1GrWlAPkfaThGqxeTj0QTtrARw4rroxIIepf2kipn1nw%2FformResponse%3Fusp%3Dpp_url%26entry.1313582257%3D0094426892%26entry.1578404635%3DHadir</t>
  </si>
  <si>
    <t>0082670071</t>
  </si>
  <si>
    <t>https://quickchart.io/qr?size=250&amp;text=https%3A%2F%2Fdocs.google.com%2Fforms%2Fd%2Fe%2F1FAIpQLSeZ-R1GrWlAPkfaThGqxeTj0QTtrARw4rroxIIepf2kipn1nw%2FformResponse%3Fusp%3Dpp_url%26entry.1313582257%3D0082670071%26entry.1578404635%3DHadir</t>
  </si>
  <si>
    <t>0098441334</t>
  </si>
  <si>
    <t xml:space="preserve">  XI E-2</t>
  </si>
  <si>
    <t>https://quickchart.io/qr?size=250&amp;text=https%3A%2F%2Fdocs.google.com%2Fforms%2Fd%2Fe%2F1FAIpQLSeZ-R1GrWlAPkfaThGqxeTj0QTtrARw4rroxIIepf2kipn1nw%2FformResponse%3Fusp%3Dpp_url%26entry.1313582257%3D0098441334%26entry.1578404635%3DHadir</t>
  </si>
  <si>
    <t>0095916190</t>
  </si>
  <si>
    <t>https://quickchart.io/qr?size=250&amp;text=https%3A%2F%2Fdocs.google.com%2Fforms%2Fd%2Fe%2F1FAIpQLSeZ-R1GrWlAPkfaThGqxeTj0QTtrARw4rroxIIepf2kipn1nw%2FformResponse%3Fusp%3Dpp_url%26entry.1313582257%3D0095916190%26entry.1578404635%3DHadir</t>
  </si>
  <si>
    <t>0093270004</t>
  </si>
  <si>
    <t>https://quickchart.io/qr?size=250&amp;text=https%3A%2F%2Fdocs.google.com%2Fforms%2Fd%2Fe%2F1FAIpQLSeZ-R1GrWlAPkfaThGqxeTj0QTtrARw4rroxIIepf2kipn1nw%2FformResponse%3Fusp%3Dpp_url%26entry.1313582257%3D0093270004%26entry.1578404635%3DHadir</t>
  </si>
  <si>
    <t>0081317101</t>
  </si>
  <si>
    <t>https://quickchart.io/qr?size=250&amp;text=https%3A%2F%2Fdocs.google.com%2Fforms%2Fd%2Fe%2F1FAIpQLSeZ-R1GrWlAPkfaThGqxeTj0QTtrARw4rroxIIepf2kipn1nw%2FformResponse%3Fusp%3Dpp_url%26entry.1313582257%3D0081317101%26entry.1578404635%3DHadir</t>
  </si>
  <si>
    <t>0088625335</t>
  </si>
  <si>
    <t>https://quickchart.io/qr?size=250&amp;text=https%3A%2F%2Fdocs.google.com%2Fforms%2Fd%2Fe%2F1FAIpQLSeZ-R1GrWlAPkfaThGqxeTj0QTtrARw4rroxIIepf2kipn1nw%2FformResponse%3Fusp%3Dpp_url%26entry.1313582257%3D0088625335%26entry.1578404635%3DHadir</t>
  </si>
  <si>
    <t>0084865750</t>
  </si>
  <si>
    <t>https://quickchart.io/qr?size=250&amp;text=https%3A%2F%2Fdocs.google.com%2Fforms%2Fd%2Fe%2F1FAIpQLSeZ-R1GrWlAPkfaThGqxeTj0QTtrARw4rroxIIepf2kipn1nw%2FformResponse%3Fusp%3Dpp_url%26entry.1313582257%3D0084865750%26entry.1578404635%3DHadir</t>
  </si>
  <si>
    <t>0089373986</t>
  </si>
  <si>
    <t>https://quickchart.io/qr?size=250&amp;text=https%3A%2F%2Fdocs.google.com%2Fforms%2Fd%2Fe%2F1FAIpQLSeZ-R1GrWlAPkfaThGqxeTj0QTtrARw4rroxIIepf2kipn1nw%2FformResponse%3Fusp%3Dpp_url%26entry.1313582257%3D0089373986%26entry.1578404635%3DHadir</t>
  </si>
  <si>
    <t>0094394514</t>
  </si>
  <si>
    <t>https://quickchart.io/qr?size=250&amp;text=https%3A%2F%2Fdocs.google.com%2Fforms%2Fd%2Fe%2F1FAIpQLSeZ-R1GrWlAPkfaThGqxeTj0QTtrARw4rroxIIepf2kipn1nw%2FformResponse%3Fusp%3Dpp_url%26entry.1313582257%3D0094394514%26entry.1578404635%3DHadir</t>
  </si>
  <si>
    <t>0093616890</t>
  </si>
  <si>
    <t>https://quickchart.io/qr?size=250&amp;text=https%3A%2F%2Fdocs.google.com%2Fforms%2Fd%2Fe%2F1FAIpQLSeZ-R1GrWlAPkfaThGqxeTj0QTtrARw4rroxIIepf2kipn1nw%2FformResponse%3Fusp%3Dpp_url%26entry.1313582257%3D0093616890%26entry.1578404635%3DHadir</t>
  </si>
  <si>
    <t>0092463348</t>
  </si>
  <si>
    <t>https://quickchart.io/qr?size=250&amp;text=https%3A%2F%2Fdocs.google.com%2Fforms%2Fd%2Fe%2F1FAIpQLSeZ-R1GrWlAPkfaThGqxeTj0QTtrARw4rroxIIepf2kipn1nw%2FformResponse%3Fusp%3Dpp_url%26entry.1313582257%3D0092463348%26entry.1578404635%3DHadir</t>
  </si>
  <si>
    <t>0087035501</t>
  </si>
  <si>
    <t>https://quickchart.io/qr?size=250&amp;text=https%3A%2F%2Fdocs.google.com%2Fforms%2Fd%2Fe%2F1FAIpQLSeZ-R1GrWlAPkfaThGqxeTj0QTtrARw4rroxIIepf2kipn1nw%2FformResponse%3Fusp%3Dpp_url%26entry.1313582257%3D0087035501%26entry.1578404635%3DHadir</t>
  </si>
  <si>
    <t>0097179421</t>
  </si>
  <si>
    <t>https://quickchart.io/qr?size=250&amp;text=https%3A%2F%2Fdocs.google.com%2Fforms%2Fd%2Fe%2F1FAIpQLSeZ-R1GrWlAPkfaThGqxeTj0QTtrARw4rroxIIepf2kipn1nw%2FformResponse%3Fusp%3Dpp_url%26entry.1313582257%3D0097179421%26entry.1578404635%3DHadir</t>
  </si>
  <si>
    <t>0084853605</t>
  </si>
  <si>
    <t>https://quickchart.io/qr?size=250&amp;text=https%3A%2F%2Fdocs.google.com%2Fforms%2Fd%2Fe%2F1FAIpQLSeZ-R1GrWlAPkfaThGqxeTj0QTtrARw4rroxIIepf2kipn1nw%2FformResponse%3Fusp%3Dpp_url%26entry.1313582257%3D0084853605%26entry.1578404635%3DHadir</t>
  </si>
  <si>
    <t>3092618789</t>
  </si>
  <si>
    <t>https://quickchart.io/qr?size=250&amp;text=https%3A%2F%2Fdocs.google.com%2Fforms%2Fd%2Fe%2F1FAIpQLSeZ-R1GrWlAPkfaThGqxeTj0QTtrARw4rroxIIepf2kipn1nw%2FformResponse%3Fusp%3Dpp_url%26entry.1313582257%3D3092618789%26entry.1578404635%3DHadir</t>
  </si>
  <si>
    <t>0092821103</t>
  </si>
  <si>
    <t>https://quickchart.io/qr?size=250&amp;text=https%3A%2F%2Fdocs.google.com%2Fforms%2Fd%2Fe%2F1FAIpQLSeZ-R1GrWlAPkfaThGqxeTj0QTtrARw4rroxIIepf2kipn1nw%2FformResponse%3Fusp%3Dpp_url%26entry.1313582257%3D0092821103%26entry.1578404635%3DHadir</t>
  </si>
  <si>
    <t>0082472809</t>
  </si>
  <si>
    <t>https://quickchart.io/qr?size=250&amp;text=https%3A%2F%2Fdocs.google.com%2Fforms%2Fd%2Fe%2F1FAIpQLSeZ-R1GrWlAPkfaThGqxeTj0QTtrARw4rroxIIepf2kipn1nw%2FformResponse%3Fusp%3Dpp_url%26entry.1313582257%3D0082472809%26entry.1578404635%3DHadir</t>
  </si>
  <si>
    <t>3091944997</t>
  </si>
  <si>
    <t>https://quickchart.io/qr?size=250&amp;text=https%3A%2F%2Fdocs.google.com%2Fforms%2Fd%2Fe%2F1FAIpQLSeZ-R1GrWlAPkfaThGqxeTj0QTtrARw4rroxIIepf2kipn1nw%2FformResponse%3Fusp%3Dpp_url%26entry.1313582257%3D3091944997%26entry.1578404635%3DHadir</t>
  </si>
  <si>
    <t>0081087411</t>
  </si>
  <si>
    <t>https://quickchart.io/qr?size=250&amp;text=https%3A%2F%2Fdocs.google.com%2Fforms%2Fd%2Fe%2F1FAIpQLSeZ-R1GrWlAPkfaThGqxeTj0QTtrARw4rroxIIepf2kipn1nw%2FformResponse%3Fusp%3Dpp_url%26entry.1313582257%3D0081087411%26entry.1578404635%3DHadir</t>
  </si>
  <si>
    <t>0094864081</t>
  </si>
  <si>
    <t>https://quickchart.io/qr?size=250&amp;text=https%3A%2F%2Fdocs.google.com%2Fforms%2Fd%2Fe%2F1FAIpQLSeZ-R1GrWlAPkfaThGqxeTj0QTtrARw4rroxIIepf2kipn1nw%2FformResponse%3Fusp%3Dpp_url%26entry.1313582257%3D0094864081%26entry.1578404635%3DHadir</t>
  </si>
  <si>
    <t>0095937371</t>
  </si>
  <si>
    <t>https://quickchart.io/qr?size=250&amp;text=https%3A%2F%2Fdocs.google.com%2Fforms%2Fd%2Fe%2F1FAIpQLSeZ-R1GrWlAPkfaThGqxeTj0QTtrARw4rroxIIepf2kipn1nw%2FformResponse%3Fusp%3Dpp_url%26entry.1313582257%3D0095937371%26entry.1578404635%3DHadir</t>
  </si>
  <si>
    <t>0088807404</t>
  </si>
  <si>
    <t>https://quickchart.io/qr?size=250&amp;text=https%3A%2F%2Fdocs.google.com%2Fforms%2Fd%2Fe%2F1FAIpQLSeZ-R1GrWlAPkfaThGqxeTj0QTtrARw4rroxIIepf2kipn1nw%2FformResponse%3Fusp%3Dpp_url%26entry.1313582257%3D0088807404%26entry.1578404635%3DHadir</t>
  </si>
  <si>
    <t>0085810407</t>
  </si>
  <si>
    <t>https://quickchart.io/qr?size=250&amp;text=https%3A%2F%2Fdocs.google.com%2Fforms%2Fd%2Fe%2F1FAIpQLSeZ-R1GrWlAPkfaThGqxeTj0QTtrARw4rroxIIepf2kipn1nw%2FformResponse%3Fusp%3Dpp_url%26entry.1313582257%3D0085810407%26entry.1578404635%3DHadir</t>
  </si>
  <si>
    <t>0082898817</t>
  </si>
  <si>
    <t>https://quickchart.io/qr?size=250&amp;text=https%3A%2F%2Fdocs.google.com%2Fforms%2Fd%2Fe%2F1FAIpQLSeZ-R1GrWlAPkfaThGqxeTj0QTtrARw4rroxIIepf2kipn1nw%2FformResponse%3Fusp%3Dpp_url%26entry.1313582257%3D0082898817%26entry.1578404635%3DHadir</t>
  </si>
  <si>
    <t>https://quickchart.io/qr?size=250&amp;text=https%3A%2F%2Fdocs.google.com%2Fforms%2Fd%2Fe%2F1FAIpQLSeZ-R1GrWlAPkfaThGqxeTj0QTtrARw4rroxIIepf2kipn1nw%2FformResponse%3Fusp%3Dpp_url%26entry.1313582257%3D0094465097%26entry.1578404635%3DHadir</t>
  </si>
  <si>
    <t>0084114869</t>
  </si>
  <si>
    <t>https://quickchart.io/qr?size=250&amp;text=https%3A%2F%2Fdocs.google.com%2Fforms%2Fd%2Fe%2F1FAIpQLSeZ-R1GrWlAPkfaThGqxeTj0QTtrARw4rroxIIepf2kipn1nw%2FformResponse%3Fusp%3Dpp_url%26entry.1313582257%3D0084114869%26entry.1578404635%3DHadir</t>
  </si>
  <si>
    <t>0092577014</t>
  </si>
  <si>
    <t>https://quickchart.io/qr?size=250&amp;text=https%3A%2F%2Fdocs.google.com%2Fforms%2Fd%2Fe%2F1FAIpQLSeZ-R1GrWlAPkfaThGqxeTj0QTtrARw4rroxIIepf2kipn1nw%2FformResponse%3Fusp%3Dpp_url%26entry.1313582257%3D0092577014%26entry.1578404635%3DHadir</t>
  </si>
  <si>
    <t>3083166460</t>
  </si>
  <si>
    <t>https://quickchart.io/qr?size=250&amp;text=https%3A%2F%2Fdocs.google.com%2Fforms%2Fd%2Fe%2F1FAIpQLSeZ-R1GrWlAPkfaThGqxeTj0QTtrARw4rroxIIepf2kipn1nw%2FformResponse%3Fusp%3Dpp_url%26entry.1313582257%3D3083166460%26entry.1578404635%3DHadir</t>
  </si>
  <si>
    <t>3094789704</t>
  </si>
  <si>
    <t>https://quickchart.io/qr?size=250&amp;text=https%3A%2F%2Fdocs.google.com%2Fforms%2Fd%2Fe%2F1FAIpQLSeZ-R1GrWlAPkfaThGqxeTj0QTtrARw4rroxIIepf2kipn1nw%2FformResponse%3Fusp%3Dpp_url%26entry.1313582257%3D3094789704%26entry.1578404635%3DHadir</t>
  </si>
  <si>
    <t>0089336981</t>
  </si>
  <si>
    <t>https://quickchart.io/qr?size=250&amp;text=https%3A%2F%2Fdocs.google.com%2Fforms%2Fd%2Fe%2F1FAIpQLSeZ-R1GrWlAPkfaThGqxeTj0QTtrARw4rroxIIepf2kipn1nw%2FformResponse%3Fusp%3Dpp_url%26entry.1313582257%3D0089336981%26entry.1578404635%3DHadir</t>
  </si>
  <si>
    <t>0093441573</t>
  </si>
  <si>
    <t>https://quickchart.io/qr?size=250&amp;text=https%3A%2F%2Fdocs.google.com%2Fforms%2Fd%2Fe%2F1FAIpQLSeZ-R1GrWlAPkfaThGqxeTj0QTtrARw4rroxIIepf2kipn1nw%2FformResponse%3Fusp%3Dpp_url%26entry.1313582257%3D0093441573%26entry.1578404635%3DHadir</t>
  </si>
  <si>
    <t>0089493881</t>
  </si>
  <si>
    <t>https://quickchart.io/qr?size=250&amp;text=https%3A%2F%2Fdocs.google.com%2Fforms%2Fd%2Fe%2F1FAIpQLSeZ-R1GrWlAPkfaThGqxeTj0QTtrARw4rroxIIepf2kipn1nw%2FformResponse%3Fusp%3Dpp_url%26entry.1313582257%3D0089493881%26entry.1578404635%3DHadir</t>
  </si>
  <si>
    <t>0086778655</t>
  </si>
  <si>
    <t>https://quickchart.io/qr?size=250&amp;text=https%3A%2F%2Fdocs.google.com%2Fforms%2Fd%2Fe%2F1FAIpQLSeZ-R1GrWlAPkfaThGqxeTj0QTtrARw4rroxIIepf2kipn1nw%2FformResponse%3Fusp%3Dpp_url%26entry.1313582257%3D0086778655%26entry.1578404635%3DHadir</t>
  </si>
  <si>
    <t>0085904748</t>
  </si>
  <si>
    <t>https://quickchart.io/qr?size=250&amp;text=https%3A%2F%2Fdocs.google.com%2Fforms%2Fd%2Fe%2F1FAIpQLSeZ-R1GrWlAPkfaThGqxeTj0QTtrARw4rroxIIepf2kipn1nw%2FformResponse%3Fusp%3Dpp_url%26entry.1313582257%3D0085904748%26entry.1578404635%3DHadir</t>
  </si>
  <si>
    <t>0084316906</t>
  </si>
  <si>
    <t>https://quickchart.io/qr?size=250&amp;text=https%3A%2F%2Fdocs.google.com%2Fforms%2Fd%2Fe%2F1FAIpQLSeZ-R1GrWlAPkfaThGqxeTj0QTtrARw4rroxIIepf2kipn1nw%2FformResponse%3Fusp%3Dpp_url%26entry.1313582257%3D0084316906%26entry.1578404635%3DHadir</t>
  </si>
  <si>
    <t>0095848946</t>
  </si>
  <si>
    <t>https://quickchart.io/qr?size=250&amp;text=https%3A%2F%2Fdocs.google.com%2Fforms%2Fd%2Fe%2F1FAIpQLSeZ-R1GrWlAPkfaThGqxeTj0QTtrARw4rroxIIepf2kipn1nw%2FformResponse%3Fusp%3Dpp_url%26entry.1313582257%3D0095848946%26entry.1578404635%3DHadir</t>
  </si>
  <si>
    <t>0099880719</t>
  </si>
  <si>
    <t>https://quickchart.io/qr?size=250&amp;text=https%3A%2F%2Fdocs.google.com%2Fforms%2Fd%2Fe%2F1FAIpQLSeZ-R1GrWlAPkfaThGqxeTj0QTtrARw4rroxIIepf2kipn1nw%2FformResponse%3Fusp%3Dpp_url%26entry.1313582257%3D0099880719%26entry.1578404635%3DHadir</t>
  </si>
  <si>
    <t>0099988861</t>
  </si>
  <si>
    <t xml:space="preserve">  XI F-1</t>
  </si>
  <si>
    <t>https://quickchart.io/qr?size=250&amp;text=https%3A%2F%2Fdocs.google.com%2Fforms%2Fd%2Fe%2F1FAIpQLSeZ-R1GrWlAPkfaThGqxeTj0QTtrARw4rroxIIepf2kipn1nw%2FformResponse%3Fusp%3Dpp_url%26entry.1313582257%3D0099988861%26entry.1578404635%3DHadir</t>
  </si>
  <si>
    <t>0082151570</t>
  </si>
  <si>
    <t>https://quickchart.io/qr?size=250&amp;text=https%3A%2F%2Fdocs.google.com%2Fforms%2Fd%2Fe%2F1FAIpQLSeZ-R1GrWlAPkfaThGqxeTj0QTtrARw4rroxIIepf2kipn1nw%2FformResponse%3Fusp%3Dpp_url%26entry.1313582257%3D0082151570%26entry.1578404635%3DHadir</t>
  </si>
  <si>
    <t>0087588818</t>
  </si>
  <si>
    <t>https://quickchart.io/qr?size=250&amp;text=https%3A%2F%2Fdocs.google.com%2Fforms%2Fd%2Fe%2F1FAIpQLSeZ-R1GrWlAPkfaThGqxeTj0QTtrARw4rroxIIepf2kipn1nw%2FformResponse%3Fusp%3Dpp_url%26entry.1313582257%3D0087588818%26entry.1578404635%3DHadir</t>
  </si>
  <si>
    <t>2093857917</t>
  </si>
  <si>
    <t>https://quickchart.io/qr?size=250&amp;text=https%3A%2F%2Fdocs.google.com%2Fforms%2Fd%2Fe%2F1FAIpQLSeZ-R1GrWlAPkfaThGqxeTj0QTtrARw4rroxIIepf2kipn1nw%2FformResponse%3Fusp%3Dpp_url%26entry.1313582257%3D2093857917%26entry.1578404635%3DHadir</t>
  </si>
  <si>
    <t>0087522984</t>
  </si>
  <si>
    <t>https://quickchart.io/qr?size=250&amp;text=https%3A%2F%2Fdocs.google.com%2Fforms%2Fd%2Fe%2F1FAIpQLSeZ-R1GrWlAPkfaThGqxeTj0QTtrARw4rroxIIepf2kipn1nw%2FformResponse%3Fusp%3Dpp_url%26entry.1313582257%3D0087522984%26entry.1578404635%3DHadir</t>
  </si>
  <si>
    <t>0091072005</t>
  </si>
  <si>
    <t>https://quickchart.io/qr?size=250&amp;text=https%3A%2F%2Fdocs.google.com%2Fforms%2Fd%2Fe%2F1FAIpQLSeZ-R1GrWlAPkfaThGqxeTj0QTtrARw4rroxIIepf2kipn1nw%2FformResponse%3Fusp%3Dpp_url%26entry.1313582257%3D0091072005%26entry.1578404635%3DHadir</t>
  </si>
  <si>
    <t>0093123066</t>
  </si>
  <si>
    <t>https://quickchart.io/qr?size=250&amp;text=https%3A%2F%2Fdocs.google.com%2Fforms%2Fd%2Fe%2F1FAIpQLSeZ-R1GrWlAPkfaThGqxeTj0QTtrARw4rroxIIepf2kipn1nw%2FformResponse%3Fusp%3Dpp_url%26entry.1313582257%3D0093123066%26entry.1578404635%3DHadir</t>
  </si>
  <si>
    <t>0097482971</t>
  </si>
  <si>
    <t>https://quickchart.io/qr?size=250&amp;text=https%3A%2F%2Fdocs.google.com%2Fforms%2Fd%2Fe%2F1FAIpQLSeZ-R1GrWlAPkfaThGqxeTj0QTtrARw4rroxIIepf2kipn1nw%2FformResponse%3Fusp%3Dpp_url%26entry.1313582257%3D0097482971%26entry.1578404635%3DHadir</t>
  </si>
  <si>
    <t>0087551985</t>
  </si>
  <si>
    <t>https://quickchart.io/qr?size=250&amp;text=https%3A%2F%2Fdocs.google.com%2Fforms%2Fd%2Fe%2F1FAIpQLSeZ-R1GrWlAPkfaThGqxeTj0QTtrARw4rroxIIepf2kipn1nw%2FformResponse%3Fusp%3Dpp_url%26entry.1313582257%3D0087551985%26entry.1578404635%3DHadir</t>
  </si>
  <si>
    <t>0095657957</t>
  </si>
  <si>
    <t>https://quickchart.io/qr?size=250&amp;text=https%3A%2F%2Fdocs.google.com%2Fforms%2Fd%2Fe%2F1FAIpQLSeZ-R1GrWlAPkfaThGqxeTj0QTtrARw4rroxIIepf2kipn1nw%2FformResponse%3Fusp%3Dpp_url%26entry.1313582257%3D0095657957%26entry.1578404635%3DHadir</t>
  </si>
  <si>
    <t>0083924202</t>
  </si>
  <si>
    <t>https://quickchart.io/qr?size=250&amp;text=https%3A%2F%2Fdocs.google.com%2Fforms%2Fd%2Fe%2F1FAIpQLSeZ-R1GrWlAPkfaThGqxeTj0QTtrARw4rroxIIepf2kipn1nw%2FformResponse%3Fusp%3Dpp_url%26entry.1313582257%3D0083924202%26entry.1578404635%3DHadir</t>
  </si>
  <si>
    <t>0082690807</t>
  </si>
  <si>
    <t>https://quickchart.io/qr?size=250&amp;text=https%3A%2F%2Fdocs.google.com%2Fforms%2Fd%2Fe%2F1FAIpQLSeZ-R1GrWlAPkfaThGqxeTj0QTtrARw4rroxIIepf2kipn1nw%2FformResponse%3Fusp%3Dpp_url%26entry.1313582257%3D0082690807%26entry.1578404635%3DHadir</t>
  </si>
  <si>
    <t>0082256467</t>
  </si>
  <si>
    <t>https://quickchart.io/qr?size=250&amp;text=https%3A%2F%2Fdocs.google.com%2Fforms%2Fd%2Fe%2F1FAIpQLSeZ-R1GrWlAPkfaThGqxeTj0QTtrARw4rroxIIepf2kipn1nw%2FformResponse%3Fusp%3Dpp_url%26entry.1313582257%3D0082256467%26entry.1578404635%3DHadir</t>
  </si>
  <si>
    <t>0087408326</t>
  </si>
  <si>
    <t>https://quickchart.io/qr?size=250&amp;text=https%3A%2F%2Fdocs.google.com%2Fforms%2Fd%2Fe%2F1FAIpQLSeZ-R1GrWlAPkfaThGqxeTj0QTtrARw4rroxIIepf2kipn1nw%2FformResponse%3Fusp%3Dpp_url%26entry.1313582257%3D0087408326%26entry.1578404635%3DHadir</t>
  </si>
  <si>
    <t>0096589760</t>
  </si>
  <si>
    <t>https://quickchart.io/qr?size=250&amp;text=https%3A%2F%2Fdocs.google.com%2Fforms%2Fd%2Fe%2F1FAIpQLSeZ-R1GrWlAPkfaThGqxeTj0QTtrARw4rroxIIepf2kipn1nw%2FformResponse%3Fusp%3Dpp_url%26entry.1313582257%3D0096589760%26entry.1578404635%3DHadir</t>
  </si>
  <si>
    <t>3094653721</t>
  </si>
  <si>
    <t>https://quickchart.io/qr?size=250&amp;text=https%3A%2F%2Fdocs.google.com%2Fforms%2Fd%2Fe%2F1FAIpQLSeZ-R1GrWlAPkfaThGqxeTj0QTtrARw4rroxIIepf2kipn1nw%2FformResponse%3Fusp%3Dpp_url%26entry.1313582257%3D3094653721%26entry.1578404635%3DHadir</t>
  </si>
  <si>
    <t>0091633107</t>
  </si>
  <si>
    <t>https://quickchart.io/qr?size=250&amp;text=https%3A%2F%2Fdocs.google.com%2Fforms%2Fd%2Fe%2F1FAIpQLSeZ-R1GrWlAPkfaThGqxeTj0QTtrARw4rroxIIepf2kipn1nw%2FformResponse%3Fusp%3Dpp_url%26entry.1313582257%3D0091633107%26entry.1578404635%3DHadir</t>
  </si>
  <si>
    <t>0092593035</t>
  </si>
  <si>
    <t>https://quickchart.io/qr?size=250&amp;text=https%3A%2F%2Fdocs.google.com%2Fforms%2Fd%2Fe%2F1FAIpQLSeZ-R1GrWlAPkfaThGqxeTj0QTtrARw4rroxIIepf2kipn1nw%2FformResponse%3Fusp%3Dpp_url%26entry.1313582257%3D0092593035%26entry.1578404635%3DHadir</t>
  </si>
  <si>
    <t>3084804073</t>
  </si>
  <si>
    <t>https://quickchart.io/qr?size=250&amp;text=https%3A%2F%2Fdocs.google.com%2Fforms%2Fd%2Fe%2F1FAIpQLSeZ-R1GrWlAPkfaThGqxeTj0QTtrARw4rroxIIepf2kipn1nw%2FformResponse%3Fusp%3Dpp_url%26entry.1313582257%3D3084804073%26entry.1578404635%3DHadir</t>
  </si>
  <si>
    <t>0085208150</t>
  </si>
  <si>
    <t>https://quickchart.io/qr?size=250&amp;text=https%3A%2F%2Fdocs.google.com%2Fforms%2Fd%2Fe%2F1FAIpQLSeZ-R1GrWlAPkfaThGqxeTj0QTtrARw4rroxIIepf2kipn1nw%2FformResponse%3Fusp%3Dpp_url%26entry.1313582257%3D0085208150%26entry.1578404635%3DHadir</t>
  </si>
  <si>
    <t>0089115919</t>
  </si>
  <si>
    <t>https://quickchart.io/qr?size=250&amp;text=https%3A%2F%2Fdocs.google.com%2Fforms%2Fd%2Fe%2F1FAIpQLSeZ-R1GrWlAPkfaThGqxeTj0QTtrARw4rroxIIepf2kipn1nw%2FformResponse%3Fusp%3Dpp_url%26entry.1313582257%3D0089115919%26entry.1578404635%3DHadir</t>
  </si>
  <si>
    <t>0092834368</t>
  </si>
  <si>
    <t>https://quickchart.io/qr?size=250&amp;text=https%3A%2F%2Fdocs.google.com%2Fforms%2Fd%2Fe%2F1FAIpQLSeZ-R1GrWlAPkfaThGqxeTj0QTtrARw4rroxIIepf2kipn1nw%2FformResponse%3Fusp%3Dpp_url%26entry.1313582257%3D0092834368%26entry.1578404635%3DHadir</t>
  </si>
  <si>
    <t>3099484913</t>
  </si>
  <si>
    <t>https://quickchart.io/qr?size=250&amp;text=https%3A%2F%2Fdocs.google.com%2Fforms%2Fd%2Fe%2F1FAIpQLSeZ-R1GrWlAPkfaThGqxeTj0QTtrARw4rroxIIepf2kipn1nw%2FformResponse%3Fusp%3Dpp_url%26entry.1313582257%3D3099484913%26entry.1578404635%3DHadir</t>
  </si>
  <si>
    <t>0087176231</t>
  </si>
  <si>
    <t>https://quickchart.io/qr?size=250&amp;text=https%3A%2F%2Fdocs.google.com%2Fforms%2Fd%2Fe%2F1FAIpQLSeZ-R1GrWlAPkfaThGqxeTj0QTtrARw4rroxIIepf2kipn1nw%2FformResponse%3Fusp%3Dpp_url%26entry.1313582257%3D0087176231%26entry.1578404635%3DHadir</t>
  </si>
  <si>
    <t>3097549496</t>
  </si>
  <si>
    <t>https://quickchart.io/qr?size=250&amp;text=https%3A%2F%2Fdocs.google.com%2Fforms%2Fd%2Fe%2F1FAIpQLSeZ-R1GrWlAPkfaThGqxeTj0QTtrARw4rroxIIepf2kipn1nw%2FformResponse%3Fusp%3Dpp_url%26entry.1313582257%3D3097549496%26entry.1578404635%3DHadir</t>
  </si>
  <si>
    <t>0096931224</t>
  </si>
  <si>
    <t>https://quickchart.io/qr?size=250&amp;text=https%3A%2F%2Fdocs.google.com%2Fforms%2Fd%2Fe%2F1FAIpQLSeZ-R1GrWlAPkfaThGqxeTj0QTtrARw4rroxIIepf2kipn1nw%2FformResponse%3Fusp%3Dpp_url%26entry.1313582257%3D0096931224%26entry.1578404635%3DHadir</t>
  </si>
  <si>
    <t>0107494938</t>
  </si>
  <si>
    <t>https://quickchart.io/qr?size=250&amp;text=https%3A%2F%2Fdocs.google.com%2Fforms%2Fd%2Fe%2F1FAIpQLSeZ-R1GrWlAPkfaThGqxeTj0QTtrARw4rroxIIepf2kipn1nw%2FformResponse%3Fusp%3Dpp_url%26entry.1313582257%3D0107494938%26entry.1578404635%3DHadir</t>
  </si>
  <si>
    <t>0095386380</t>
  </si>
  <si>
    <t>https://quickchart.io/qr?size=250&amp;text=https%3A%2F%2Fdocs.google.com%2Fforms%2Fd%2Fe%2F1FAIpQLSeZ-R1GrWlAPkfaThGqxeTj0QTtrARw4rroxIIepf2kipn1nw%2FformResponse%3Fusp%3Dpp_url%26entry.1313582257%3D0095386380%26entry.1578404635%3DHadir</t>
  </si>
  <si>
    <t>0094807008</t>
  </si>
  <si>
    <t>https://quickchart.io/qr?size=250&amp;text=https%3A%2F%2Fdocs.google.com%2Fforms%2Fd%2Fe%2F1FAIpQLSeZ-R1GrWlAPkfaThGqxeTj0QTtrARw4rroxIIepf2kipn1nw%2FformResponse%3Fusp%3Dpp_url%26entry.1313582257%3D0094807008%26entry.1578404635%3DHadir</t>
  </si>
  <si>
    <t>0099423367</t>
  </si>
  <si>
    <t>https://quickchart.io/qr?size=250&amp;text=https%3A%2F%2Fdocs.google.com%2Fforms%2Fd%2Fe%2F1FAIpQLSeZ-R1GrWlAPkfaThGqxeTj0QTtrARw4rroxIIepf2kipn1nw%2FformResponse%3Fusp%3Dpp_url%26entry.1313582257%3D0099423367%26entry.1578404635%3DHadir</t>
  </si>
  <si>
    <t>0094095735</t>
  </si>
  <si>
    <t>https://quickchart.io/qr?size=250&amp;text=https%3A%2F%2Fdocs.google.com%2Fforms%2Fd%2Fe%2F1FAIpQLSeZ-R1GrWlAPkfaThGqxeTj0QTtrARw4rroxIIepf2kipn1nw%2FformResponse%3Fusp%3Dpp_url%26entry.1313582257%3D0094095735%26entry.1578404635%3DHadir</t>
  </si>
  <si>
    <t>3087304976</t>
  </si>
  <si>
    <t>https://quickchart.io/qr?size=250&amp;text=https%3A%2F%2Fdocs.google.com%2Fforms%2Fd%2Fe%2F1FAIpQLSeZ-R1GrWlAPkfaThGqxeTj0QTtrARw4rroxIIepf2kipn1nw%2FformResponse%3Fusp%3Dpp_url%26entry.1313582257%3D3087304976%26entry.1578404635%3DHadir</t>
  </si>
  <si>
    <t>0097734463</t>
  </si>
  <si>
    <t>https://quickchart.io/qr?size=250&amp;text=https%3A%2F%2Fdocs.google.com%2Fforms%2Fd%2Fe%2F1FAIpQLSeZ-R1GrWlAPkfaThGqxeTj0QTtrARw4rroxIIepf2kipn1nw%2FformResponse%3Fusp%3Dpp_url%26entry.1313582257%3D0097734463%26entry.1578404635%3DHadir</t>
  </si>
  <si>
    <t>0094647744</t>
  </si>
  <si>
    <t>https://quickchart.io/qr?size=250&amp;text=https%3A%2F%2Fdocs.google.com%2Fforms%2Fd%2Fe%2F1FAIpQLSeZ-R1GrWlAPkfaThGqxeTj0QTtrARw4rroxIIepf2kipn1nw%2FformResponse%3Fusp%3Dpp_url%26entry.1313582257%3D0094647744%26entry.1578404635%3DHadir</t>
  </si>
  <si>
    <t>0084357788</t>
  </si>
  <si>
    <t>https://quickchart.io/qr?size=250&amp;text=https%3A%2F%2Fdocs.google.com%2Fforms%2Fd%2Fe%2F1FAIpQLSeZ-R1GrWlAPkfaThGqxeTj0QTtrARw4rroxIIepf2kipn1nw%2FformResponse%3Fusp%3Dpp_url%26entry.1313582257%3D0084357788%26entry.1578404635%3DHadir</t>
  </si>
  <si>
    <t>0097253280</t>
  </si>
  <si>
    <t>https://quickchart.io/qr?size=250&amp;text=https%3A%2F%2Fdocs.google.com%2Fforms%2Fd%2Fe%2F1FAIpQLSeZ-R1GrWlAPkfaThGqxeTj0QTtrARw4rroxIIepf2kipn1nw%2FformResponse%3Fusp%3Dpp_url%26entry.1313582257%3D0097253280%26entry.1578404635%3DHadir</t>
  </si>
  <si>
    <t>0083949375</t>
  </si>
  <si>
    <t xml:space="preserve">  XI F-2</t>
  </si>
  <si>
    <t>https://quickchart.io/qr?size=250&amp;text=https%3A%2F%2Fdocs.google.com%2Fforms%2Fd%2Fe%2F1FAIpQLSeZ-R1GrWlAPkfaThGqxeTj0QTtrARw4rroxIIepf2kipn1nw%2FformResponse%3Fusp%3Dpp_url%26entry.1313582257%3D0083949375%26entry.1578404635%3DHadir</t>
  </si>
  <si>
    <t>3091238165</t>
  </si>
  <si>
    <t>https://quickchart.io/qr?size=250&amp;text=https%3A%2F%2Fdocs.google.com%2Fforms%2Fd%2Fe%2F1FAIpQLSeZ-R1GrWlAPkfaThGqxeTj0QTtrARw4rroxIIepf2kipn1nw%2FformResponse%3Fusp%3Dpp_url%26entry.1313582257%3D3091238165%26entry.1578404635%3DHadir</t>
  </si>
  <si>
    <t>0084218795</t>
  </si>
  <si>
    <t>https://quickchart.io/qr?size=250&amp;text=https%3A%2F%2Fdocs.google.com%2Fforms%2Fd%2Fe%2F1FAIpQLSeZ-R1GrWlAPkfaThGqxeTj0QTtrARw4rroxIIepf2kipn1nw%2FformResponse%3Fusp%3Dpp_url%26entry.1313582257%3D0084218795%26entry.1578404635%3DHadir</t>
  </si>
  <si>
    <t>0098551657</t>
  </si>
  <si>
    <t>https://quickchart.io/qr?size=250&amp;text=https%3A%2F%2Fdocs.google.com%2Fforms%2Fd%2Fe%2F1FAIpQLSeZ-R1GrWlAPkfaThGqxeTj0QTtrARw4rroxIIepf2kipn1nw%2FformResponse%3Fusp%3Dpp_url%26entry.1313582257%3D0098551657%26entry.1578404635%3DHadir</t>
  </si>
  <si>
    <t>0087718590</t>
  </si>
  <si>
    <t>https://quickchart.io/qr?size=250&amp;text=https%3A%2F%2Fdocs.google.com%2Fforms%2Fd%2Fe%2F1FAIpQLSeZ-R1GrWlAPkfaThGqxeTj0QTtrARw4rroxIIepf2kipn1nw%2FformResponse%3Fusp%3Dpp_url%26entry.1313582257%3D0087718590%26entry.1578404635%3DHadir</t>
  </si>
  <si>
    <t>0096418415</t>
  </si>
  <si>
    <t>https://quickchart.io/qr?size=250&amp;text=https%3A%2F%2Fdocs.google.com%2Fforms%2Fd%2Fe%2F1FAIpQLSeZ-R1GrWlAPkfaThGqxeTj0QTtrARw4rroxIIepf2kipn1nw%2FformResponse%3Fusp%3Dpp_url%26entry.1313582257%3D0096418415%26entry.1578404635%3DHadir</t>
  </si>
  <si>
    <t>0096383417</t>
  </si>
  <si>
    <t>https://quickchart.io/qr?size=250&amp;text=https%3A%2F%2Fdocs.google.com%2Fforms%2Fd%2Fe%2F1FAIpQLSeZ-R1GrWlAPkfaThGqxeTj0QTtrARw4rroxIIepf2kipn1nw%2FformResponse%3Fusp%3Dpp_url%26entry.1313582257%3D0096383417%26entry.1578404635%3DHadir</t>
  </si>
  <si>
    <t>0093167605</t>
  </si>
  <si>
    <t>https://quickchart.io/qr?size=250&amp;text=https%3A%2F%2Fdocs.google.com%2Fforms%2Fd%2Fe%2F1FAIpQLSeZ-R1GrWlAPkfaThGqxeTj0QTtrARw4rroxIIepf2kipn1nw%2FformResponse%3Fusp%3Dpp_url%26entry.1313582257%3D0093167605%26entry.1578404635%3DHadir</t>
  </si>
  <si>
    <t>0096872219</t>
  </si>
  <si>
    <t>https://quickchart.io/qr?size=250&amp;text=https%3A%2F%2Fdocs.google.com%2Fforms%2Fd%2Fe%2F1FAIpQLSeZ-R1GrWlAPkfaThGqxeTj0QTtrARw4rroxIIepf2kipn1nw%2FformResponse%3Fusp%3Dpp_url%26entry.1313582257%3D0096872219%26entry.1578404635%3DHadir</t>
  </si>
  <si>
    <t>0093311941</t>
  </si>
  <si>
    <t>https://quickchart.io/qr?size=250&amp;text=https%3A%2F%2Fdocs.google.com%2Fforms%2Fd%2Fe%2F1FAIpQLSeZ-R1GrWlAPkfaThGqxeTj0QTtrARw4rroxIIepf2kipn1nw%2FformResponse%3Fusp%3Dpp_url%26entry.1313582257%3D0093311941%26entry.1578404635%3DHadir</t>
  </si>
  <si>
    <t>0091519291</t>
  </si>
  <si>
    <t>https://quickchart.io/qr?size=250&amp;text=https%3A%2F%2Fdocs.google.com%2Fforms%2Fd%2Fe%2F1FAIpQLSeZ-R1GrWlAPkfaThGqxeTj0QTtrARw4rroxIIepf2kipn1nw%2FformResponse%3Fusp%3Dpp_url%26entry.1313582257%3D0091519291%26entry.1578404635%3DHadir</t>
  </si>
  <si>
    <t>0093772011</t>
  </si>
  <si>
    <t>https://quickchart.io/qr?size=250&amp;text=https%3A%2F%2Fdocs.google.com%2Fforms%2Fd%2Fe%2F1FAIpQLSeZ-R1GrWlAPkfaThGqxeTj0QTtrARw4rroxIIepf2kipn1nw%2FformResponse%3Fusp%3Dpp_url%26entry.1313582257%3D0093772011%26entry.1578404635%3DHadir</t>
  </si>
  <si>
    <t>0083597126</t>
  </si>
  <si>
    <t>https://quickchart.io/qr?size=250&amp;text=https%3A%2F%2Fdocs.google.com%2Fforms%2Fd%2Fe%2F1FAIpQLSeZ-R1GrWlAPkfaThGqxeTj0QTtrARw4rroxIIepf2kipn1nw%2FformResponse%3Fusp%3Dpp_url%26entry.1313582257%3D0083597126%26entry.1578404635%3DHadir</t>
  </si>
  <si>
    <t>0081527579</t>
  </si>
  <si>
    <t>https://quickchart.io/qr?size=250&amp;text=https%3A%2F%2Fdocs.google.com%2Fforms%2Fd%2Fe%2F1FAIpQLSeZ-R1GrWlAPkfaThGqxeTj0QTtrARw4rroxIIepf2kipn1nw%2FformResponse%3Fusp%3Dpp_url%26entry.1313582257%3D0081527579%26entry.1578404635%3DHadir</t>
  </si>
  <si>
    <t>3088903236</t>
  </si>
  <si>
    <t>https://quickchart.io/qr?size=250&amp;text=https%3A%2F%2Fdocs.google.com%2Fforms%2Fd%2Fe%2F1FAIpQLSeZ-R1GrWlAPkfaThGqxeTj0QTtrARw4rroxIIepf2kipn1nw%2FformResponse%3Fusp%3Dpp_url%26entry.1313582257%3D3088903236%26entry.1578404635%3DHadir</t>
  </si>
  <si>
    <t>0098700438</t>
  </si>
  <si>
    <t>https://quickchart.io/qr?size=250&amp;text=https%3A%2F%2Fdocs.google.com%2Fforms%2Fd%2Fe%2F1FAIpQLSeZ-R1GrWlAPkfaThGqxeTj0QTtrARw4rroxIIepf2kipn1nw%2FformResponse%3Fusp%3Dpp_url%26entry.1313582257%3D0098700438%26entry.1578404635%3DHadir</t>
  </si>
  <si>
    <t>0095159012</t>
  </si>
  <si>
    <t>https://quickchart.io/qr?size=250&amp;text=https%3A%2F%2Fdocs.google.com%2Fforms%2Fd%2Fe%2F1FAIpQLSeZ-R1GrWlAPkfaThGqxeTj0QTtrARw4rroxIIepf2kipn1nw%2FformResponse%3Fusp%3Dpp_url%26entry.1313582257%3D0095159012%26entry.1578404635%3DHadir</t>
  </si>
  <si>
    <t>0098994125</t>
  </si>
  <si>
    <t>https://quickchart.io/qr?size=250&amp;text=https%3A%2F%2Fdocs.google.com%2Fforms%2Fd%2Fe%2F1FAIpQLSeZ-R1GrWlAPkfaThGqxeTj0QTtrARw4rroxIIepf2kipn1nw%2FformResponse%3Fusp%3Dpp_url%26entry.1313582257%3D0098994125%26entry.1578404635%3DHadir</t>
  </si>
  <si>
    <t>0087336074</t>
  </si>
  <si>
    <t>https://quickchart.io/qr?size=250&amp;text=https%3A%2F%2Fdocs.google.com%2Fforms%2Fd%2Fe%2F1FAIpQLSeZ-R1GrWlAPkfaThGqxeTj0QTtrARw4rroxIIepf2kipn1nw%2FformResponse%3Fusp%3Dpp_url%26entry.1313582257%3D0087336074%26entry.1578404635%3DHadir</t>
  </si>
  <si>
    <t>0083317171</t>
  </si>
  <si>
    <t>https://quickchart.io/qr?size=250&amp;text=https%3A%2F%2Fdocs.google.com%2Fforms%2Fd%2Fe%2F1FAIpQLSeZ-R1GrWlAPkfaThGqxeTj0QTtrARw4rroxIIepf2kipn1nw%2FformResponse%3Fusp%3Dpp_url%26entry.1313582257%3D0083317171%26entry.1578404635%3DHadir</t>
  </si>
  <si>
    <t>3081754398</t>
  </si>
  <si>
    <t>https://quickchart.io/qr?size=250&amp;text=https%3A%2F%2Fdocs.google.com%2Fforms%2Fd%2Fe%2F1FAIpQLSeZ-R1GrWlAPkfaThGqxeTj0QTtrARw4rroxIIepf2kipn1nw%2FformResponse%3Fusp%3Dpp_url%26entry.1313582257%3D3081754398%26entry.1578404635%3DHadir</t>
  </si>
  <si>
    <t>0098773886</t>
  </si>
  <si>
    <t>https://quickchart.io/qr?size=250&amp;text=https%3A%2F%2Fdocs.google.com%2Fforms%2Fd%2Fe%2F1FAIpQLSeZ-R1GrWlAPkfaThGqxeTj0QTtrARw4rroxIIepf2kipn1nw%2FformResponse%3Fusp%3Dpp_url%26entry.1313582257%3D0098773886%26entry.1578404635%3DHadir</t>
  </si>
  <si>
    <t>0098848130</t>
  </si>
  <si>
    <t>https://quickchart.io/qr?size=250&amp;text=https%3A%2F%2Fdocs.google.com%2Fforms%2Fd%2Fe%2F1FAIpQLSeZ-R1GrWlAPkfaThGqxeTj0QTtrARw4rroxIIepf2kipn1nw%2FformResponse%3Fusp%3Dpp_url%26entry.1313582257%3D0098848130%26entry.1578404635%3DHadir</t>
  </si>
  <si>
    <t>0086293694</t>
  </si>
  <si>
    <t>https://quickchart.io/qr?size=250&amp;text=https%3A%2F%2Fdocs.google.com%2Fforms%2Fd%2Fe%2F1FAIpQLSeZ-R1GrWlAPkfaThGqxeTj0QTtrARw4rroxIIepf2kipn1nw%2FformResponse%3Fusp%3Dpp_url%26entry.1313582257%3D0086293694%26entry.1578404635%3DHadir</t>
  </si>
  <si>
    <t>0088667313</t>
  </si>
  <si>
    <t>https://quickchart.io/qr?size=250&amp;text=https%3A%2F%2Fdocs.google.com%2Fforms%2Fd%2Fe%2F1FAIpQLSeZ-R1GrWlAPkfaThGqxeTj0QTtrARw4rroxIIepf2kipn1nw%2FformResponse%3Fusp%3Dpp_url%26entry.1313582257%3D0088667313%26entry.1578404635%3DHadir</t>
  </si>
  <si>
    <t>0093423349</t>
  </si>
  <si>
    <t>https://quickchart.io/qr?size=250&amp;text=https%3A%2F%2Fdocs.google.com%2Fforms%2Fd%2Fe%2F1FAIpQLSeZ-R1GrWlAPkfaThGqxeTj0QTtrARw4rroxIIepf2kipn1nw%2FformResponse%3Fusp%3Dpp_url%26entry.1313582257%3D0093423349%26entry.1578404635%3DHadir</t>
  </si>
  <si>
    <t>0089737965</t>
  </si>
  <si>
    <t>https://quickchart.io/qr?size=250&amp;text=https%3A%2F%2Fdocs.google.com%2Fforms%2Fd%2Fe%2F1FAIpQLSeZ-R1GrWlAPkfaThGqxeTj0QTtrARw4rroxIIepf2kipn1nw%2FformResponse%3Fusp%3Dpp_url%26entry.1313582257%3D0089737965%26entry.1578404635%3DHadir</t>
  </si>
  <si>
    <t>0091624427</t>
  </si>
  <si>
    <t>https://quickchart.io/qr?size=250&amp;text=https%3A%2F%2Fdocs.google.com%2Fforms%2Fd%2Fe%2F1FAIpQLSeZ-R1GrWlAPkfaThGqxeTj0QTtrARw4rroxIIepf2kipn1nw%2FformResponse%3Fusp%3Dpp_url%26entry.1313582257%3D0091624427%26entry.1578404635%3DHadir</t>
  </si>
  <si>
    <t>0083876462</t>
  </si>
  <si>
    <t>https://quickchart.io/qr?size=250&amp;text=https%3A%2F%2Fdocs.google.com%2Fforms%2Fd%2Fe%2F1FAIpQLSeZ-R1GrWlAPkfaThGqxeTj0QTtrARw4rroxIIepf2kipn1nw%2FformResponse%3Fusp%3Dpp_url%26entry.1313582257%3D0083876462%26entry.1578404635%3DHadir</t>
  </si>
  <si>
    <t>0082604990</t>
  </si>
  <si>
    <t>https://quickchart.io/qr?size=250&amp;text=https%3A%2F%2Fdocs.google.com%2Fforms%2Fd%2Fe%2F1FAIpQLSeZ-R1GrWlAPkfaThGqxeTj0QTtrARw4rroxIIepf2kipn1nw%2FformResponse%3Fusp%3Dpp_url%26entry.1313582257%3D0082604990%26entry.1578404635%3DHadir</t>
  </si>
  <si>
    <t>0087043705</t>
  </si>
  <si>
    <t>https://quickchart.io/qr?size=250&amp;text=https%3A%2F%2Fdocs.google.com%2Fforms%2Fd%2Fe%2F1FAIpQLSeZ-R1GrWlAPkfaThGqxeTj0QTtrARw4rroxIIepf2kipn1nw%2FformResponse%3Fusp%3Dpp_url%26entry.1313582257%3D0087043705%26entry.1578404635%3DHadir</t>
  </si>
  <si>
    <t>0081683598</t>
  </si>
  <si>
    <t>https://quickchart.io/qr?size=250&amp;text=https%3A%2F%2Fdocs.google.com%2Fforms%2Fd%2Fe%2F1FAIpQLSeZ-R1GrWlAPkfaThGqxeTj0QTtrARw4rroxIIepf2kipn1nw%2FformResponse%3Fusp%3Dpp_url%26entry.1313582257%3D0081683598%26entry.1578404635%3DHadir</t>
  </si>
  <si>
    <t>0094092301</t>
  </si>
  <si>
    <t>https://quickchart.io/qr?size=250&amp;text=https%3A%2F%2Fdocs.google.com%2Fforms%2Fd%2Fe%2F1FAIpQLSeZ-R1GrWlAPkfaThGqxeTj0QTtrARw4rroxIIepf2kipn1nw%2FformResponse%3Fusp%3Dpp_url%26entry.1313582257%3D0094092301%26entry.1578404635%3DHadir</t>
  </si>
  <si>
    <t>0092685479</t>
  </si>
  <si>
    <t>https://quickchart.io/qr?size=250&amp;text=https%3A%2F%2Fdocs.google.com%2Fforms%2Fd%2Fe%2F1FAIpQLSeZ-R1GrWlAPkfaThGqxeTj0QTtrARw4rroxIIepf2kipn1nw%2FformResponse%3Fusp%3Dpp_url%26entry.1313582257%3D0092685479%26entry.1578404635%3DHadir</t>
  </si>
  <si>
    <t>0095319720</t>
  </si>
  <si>
    <t>https://quickchart.io/qr?size=250&amp;text=https%3A%2F%2Fdocs.google.com%2Fforms%2Fd%2Fe%2F1FAIpQLSeZ-R1GrWlAPkfaThGqxeTj0QTtrARw4rroxIIepf2kipn1nw%2FformResponse%3Fusp%3Dpp_url%26entry.1313582257%3D0095319720%26entry.1578404635%3DHadir</t>
  </si>
  <si>
    <t>0084006956</t>
  </si>
  <si>
    <t>https://quickchart.io/qr?size=250&amp;text=https%3A%2F%2Fdocs.google.com%2Fforms%2Fd%2Fe%2F1FAIpQLSeZ-R1GrWlAPkfaThGqxeTj0QTtrARw4rroxIIepf2kipn1nw%2FformResponse%3Fusp%3Dpp_url%26entry.1313582257%3D0084006956%26entry.1578404635%3DHadir</t>
  </si>
  <si>
    <t>0081827201</t>
  </si>
  <si>
    <t>ALYSSA MUTIARA SAPTIA</t>
  </si>
  <si>
    <t>31 - Master Class</t>
  </si>
  <si>
    <t xml:space="preserve"> XII A-1</t>
  </si>
  <si>
    <t>0075982034</t>
  </si>
  <si>
    <t>ARKANULIYA AKRAMINA</t>
  </si>
  <si>
    <t>0088752957</t>
  </si>
  <si>
    <t>ASYKAR HANDA AL MUNAWWAR</t>
  </si>
  <si>
    <t>0076649308</t>
  </si>
  <si>
    <t>ATHIYYA MUMTAZA</t>
  </si>
  <si>
    <t>0086952864</t>
  </si>
  <si>
    <t>AYU WIDYA NINGSIH</t>
  </si>
  <si>
    <t>0086406093</t>
  </si>
  <si>
    <t>ESSI ESTER ANJUANI MANIK</t>
  </si>
  <si>
    <t>0089042282</t>
  </si>
  <si>
    <t>FADILA KURNIA CAHYA</t>
  </si>
  <si>
    <t>0077858999</t>
  </si>
  <si>
    <t>GHAISANI SYIFA INDRIANI</t>
  </si>
  <si>
    <t>0076416354</t>
  </si>
  <si>
    <t>IZRA ELIZA</t>
  </si>
  <si>
    <t>0078188380</t>
  </si>
  <si>
    <t>JIHAN BALQISHA PUTRIANA</t>
  </si>
  <si>
    <t>0073915660</t>
  </si>
  <si>
    <t>LOVITA EMERY SAMUDRO</t>
  </si>
  <si>
    <t>0088226204</t>
  </si>
  <si>
    <t>MIRANDA PUTRI</t>
  </si>
  <si>
    <t>0073774316</t>
  </si>
  <si>
    <t>MONA PUTRI ARYATI</t>
  </si>
  <si>
    <t>0089985671</t>
  </si>
  <si>
    <t>MUHAMMAD AFIF ZARRAR P</t>
  </si>
  <si>
    <t>0077973166</t>
  </si>
  <si>
    <t>MUHAMMAD DAFA</t>
  </si>
  <si>
    <t>0074155023</t>
  </si>
  <si>
    <t>MUHAMMAD DZIKRI SETIAWAN</t>
  </si>
  <si>
    <t>0077309800</t>
  </si>
  <si>
    <t>MUHAMMAD FACHRI ADRIANSYAH</t>
  </si>
  <si>
    <t>0076238206</t>
  </si>
  <si>
    <t>NAILA AULIA SUPRIADI</t>
  </si>
  <si>
    <t>0081190471</t>
  </si>
  <si>
    <t>NAJLA HANIFAH ZULTANI</t>
  </si>
  <si>
    <t>0089749933</t>
  </si>
  <si>
    <t>NIKEISHA VIVIA INDRANI</t>
  </si>
  <si>
    <t>0074254843</t>
  </si>
  <si>
    <t>OKTAVIANI PUTRI SILALAHI</t>
  </si>
  <si>
    <t>0085561843</t>
  </si>
  <si>
    <t>PANNY CHANTIKA PASRA</t>
  </si>
  <si>
    <t>0088156626</t>
  </si>
  <si>
    <t>PUTRI INAYA KHAERANY</t>
  </si>
  <si>
    <t>0087854736</t>
  </si>
  <si>
    <t>RAFEYFA ASYLA</t>
  </si>
  <si>
    <t>0076913614</t>
  </si>
  <si>
    <t>RAIHAN GUSTI RAMADHAN</t>
  </si>
  <si>
    <t>0085216950</t>
  </si>
  <si>
    <t>RAVINA AMALYNA KYUMI</t>
  </si>
  <si>
    <t>0086654765</t>
  </si>
  <si>
    <t>RULA SALSABILAH LUBIS</t>
  </si>
  <si>
    <t>0089746012</t>
  </si>
  <si>
    <t>SALMA LATIEFAH NOER</t>
  </si>
  <si>
    <t>0082814532</t>
  </si>
  <si>
    <t>SHENDY AZIZAH ISNENLY</t>
  </si>
  <si>
    <t>0074140525</t>
  </si>
  <si>
    <t>SHYABILLA NISHRINA S.M</t>
  </si>
  <si>
    <t>0088426253</t>
  </si>
  <si>
    <t>SITI ZASKIYAH</t>
  </si>
  <si>
    <t>0083972733</t>
  </si>
  <si>
    <t>SUCI KAMILA</t>
  </si>
  <si>
    <t>0076246376</t>
  </si>
  <si>
    <t>SYAHRUL FIRDANI SUGANDA</t>
  </si>
  <si>
    <t>0088711881</t>
  </si>
  <si>
    <t>TAMARIN DARITRI NAYLA</t>
  </si>
  <si>
    <t>0088972080</t>
  </si>
  <si>
    <t>THEO RISQI MARLEY</t>
  </si>
  <si>
    <t>0083973195</t>
  </si>
  <si>
    <t>VERIL SATRIA MULYA</t>
  </si>
  <si>
    <t>0073886422</t>
  </si>
  <si>
    <t>AZMIRULA SYAHDA WAHADA G.</t>
  </si>
  <si>
    <t xml:space="preserve"> XII A-2</t>
  </si>
  <si>
    <t>0074944988</t>
  </si>
  <si>
    <t>CINTYA RAMADHANI S.</t>
  </si>
  <si>
    <t>0085137475</t>
  </si>
  <si>
    <t>CYRILLA ELVARETTA N.</t>
  </si>
  <si>
    <t>009441104</t>
  </si>
  <si>
    <t>DAFFA RIZKY DARMAWAN</t>
  </si>
  <si>
    <t>0089690398</t>
  </si>
  <si>
    <t>DIMAS RIZKY SATRIAWAN</t>
  </si>
  <si>
    <t>0084835292</t>
  </si>
  <si>
    <t>DINAR ADILLA MUFIDASARI</t>
  </si>
  <si>
    <t>0086173814</t>
  </si>
  <si>
    <t>ERIKA JULIA GRACIA SIHITE</t>
  </si>
  <si>
    <t>0078231851</t>
  </si>
  <si>
    <t>FARIS FAIZANNAJMY BASYIR</t>
  </si>
  <si>
    <t>0071804532</t>
  </si>
  <si>
    <t>FIRLY MAHESA HARDIANSYAH</t>
  </si>
  <si>
    <t>0086662749</t>
  </si>
  <si>
    <t>GEDE WIRA YUDISTIRA</t>
  </si>
  <si>
    <t>0088494554</t>
  </si>
  <si>
    <t>GRACE GLORYA MIRACLE Z.</t>
  </si>
  <si>
    <t>3071630815</t>
  </si>
  <si>
    <t>HASANI ZAHWAN A.</t>
  </si>
  <si>
    <t>0073641997</t>
  </si>
  <si>
    <t>KANAKA ABHINAYA ZAHRAN S.</t>
  </si>
  <si>
    <t>0089026118</t>
  </si>
  <si>
    <t>KAYLA SALSABIL MAJID</t>
  </si>
  <si>
    <t>0089140087</t>
  </si>
  <si>
    <t>MUHAMMMAD IBNI HADYAN N.</t>
  </si>
  <si>
    <t>0077119490</t>
  </si>
  <si>
    <t>MELANI PUTRI ANGRAINI</t>
  </si>
  <si>
    <t>0086455515</t>
  </si>
  <si>
    <t>NABILA ANGGRAINI</t>
  </si>
  <si>
    <t>0084931170</t>
  </si>
  <si>
    <t>NATASIYA SIHOMBING</t>
  </si>
  <si>
    <t>0085365990</t>
  </si>
  <si>
    <t>NATASYA PUTRI ERWINA</t>
  </si>
  <si>
    <t>0086117592</t>
  </si>
  <si>
    <t>NAUFAL AKHDAN ATHAFARHANI</t>
  </si>
  <si>
    <t>0084353121</t>
  </si>
  <si>
    <t>NAZWA AULIA</t>
  </si>
  <si>
    <t>0089082411</t>
  </si>
  <si>
    <t>NIKEN DWI INTAN SEPTI RAMADHANI</t>
  </si>
  <si>
    <t>0083397798</t>
  </si>
  <si>
    <t>NURUL SYIFA NAYLA</t>
  </si>
  <si>
    <t>0074122304</t>
  </si>
  <si>
    <t>ODILIA SEKAR AYU PRASISTA</t>
  </si>
  <si>
    <t>3066151902</t>
  </si>
  <si>
    <t>QISSYA ALICKA SYAKILA</t>
  </si>
  <si>
    <t>0089413785</t>
  </si>
  <si>
    <t>RAFA AQILA FARIHA</t>
  </si>
  <si>
    <t>0074283202</t>
  </si>
  <si>
    <t>RAISA NUR RIZKY RAMADHANI</t>
  </si>
  <si>
    <t>0105179031</t>
  </si>
  <si>
    <t>RESKYA PUTRI MUTIA</t>
  </si>
  <si>
    <t>0083722868</t>
  </si>
  <si>
    <t>RISKA YULIANTI</t>
  </si>
  <si>
    <t>0073792281</t>
  </si>
  <si>
    <t>SALMA ANJANI MARISSA</t>
  </si>
  <si>
    <t>0088818539</t>
  </si>
  <si>
    <t>SYARIFAH NOOR MAULIDA</t>
  </si>
  <si>
    <t>0085478066</t>
  </si>
  <si>
    <t>TALITA ADISTI PARAMITHA</t>
  </si>
  <si>
    <t>0088503224</t>
  </si>
  <si>
    <t>TIARA AZIZAH WIBOWO</t>
  </si>
  <si>
    <t>0082618272</t>
  </si>
  <si>
    <t>ZESICA KRISTI ANGGRAINY</t>
  </si>
  <si>
    <t>0088777397</t>
  </si>
  <si>
    <t>ZHERHA MAHARANI DJAINUN L.</t>
  </si>
  <si>
    <t>0074358286</t>
  </si>
  <si>
    <t>ADITYA FIRDAUS</t>
  </si>
  <si>
    <t xml:space="preserve"> XII B-1</t>
  </si>
  <si>
    <t>0081115983</t>
  </si>
  <si>
    <t>ADRIAN RIZKY ALGHIFARI</t>
  </si>
  <si>
    <t>0085814863</t>
  </si>
  <si>
    <t>ALISYA PUTRI KHAIRUNNISA</t>
  </si>
  <si>
    <t>0071912343</t>
  </si>
  <si>
    <t>AZIZ ADITYA PRATAMA</t>
  </si>
  <si>
    <t>0073986511</t>
  </si>
  <si>
    <t>CINDY NURKHALIFAH</t>
  </si>
  <si>
    <t>DIMAS SURYA PRATAMA</t>
  </si>
  <si>
    <t>0082783211</t>
  </si>
  <si>
    <t>FAUZAN HIBATULLAH SUTISNA</t>
  </si>
  <si>
    <t>0088151014</t>
  </si>
  <si>
    <t>HABIBURRAHMAN RYU H. A.</t>
  </si>
  <si>
    <t>0081109182</t>
  </si>
  <si>
    <t>HASYIR FAUZAN NUGRAHA</t>
  </si>
  <si>
    <t>0083253046</t>
  </si>
  <si>
    <t>IFTITA ARRASY KIANANTAN</t>
  </si>
  <si>
    <t>0074966766</t>
  </si>
  <si>
    <t>IRGIE APRILIANO GOTTARDI</t>
  </si>
  <si>
    <t>0087221356</t>
  </si>
  <si>
    <t>KANIA ARKHANINTHA PUTRI</t>
  </si>
  <si>
    <t>0084724823</t>
  </si>
  <si>
    <t>KARTIKA DJAJA NEGARA</t>
  </si>
  <si>
    <t>0097516066</t>
  </si>
  <si>
    <t>MALIA ARIFA YUMNA</t>
  </si>
  <si>
    <t>0075323827</t>
  </si>
  <si>
    <t>MAYZIED ALI LAZUARDI</t>
  </si>
  <si>
    <t>0086024046</t>
  </si>
  <si>
    <t>MEGANVA DIAN PUTRI H.</t>
  </si>
  <si>
    <t>0063725986</t>
  </si>
  <si>
    <t>MOHAMMAD ASYQAR RISQ</t>
  </si>
  <si>
    <t>0089743150</t>
  </si>
  <si>
    <t>MUHAMMAD FADHLAN DHAFIN</t>
  </si>
  <si>
    <t>0088222208</t>
  </si>
  <si>
    <t>MUTIARA PURNAMASARI</t>
  </si>
  <si>
    <t>0086388012</t>
  </si>
  <si>
    <t>NADIRA ADZRA AS SHOFA</t>
  </si>
  <si>
    <t>0083120324</t>
  </si>
  <si>
    <t>NAFILAH FAIRUZ HUMAIRA</t>
  </si>
  <si>
    <t>0082105748</t>
  </si>
  <si>
    <t>NAJLA HUMAIRA PUTRI HIDAYAT</t>
  </si>
  <si>
    <t>0079447699</t>
  </si>
  <si>
    <t>NAOMI AYUDIAH</t>
  </si>
  <si>
    <t>3074961191</t>
  </si>
  <si>
    <t>PEBRYAN ABDAL BAIS</t>
  </si>
  <si>
    <t>0073151784</t>
  </si>
  <si>
    <t>PUTRA GABE MARTOGI LUMBANBATU</t>
  </si>
  <si>
    <t>0076770572</t>
  </si>
  <si>
    <t>RAIHANA CITRA NUR RAMADHANTI</t>
  </si>
  <si>
    <t>0082964949</t>
  </si>
  <si>
    <t>RAKA SEPTIYAN HARJA KHAN</t>
  </si>
  <si>
    <t>0088634715</t>
  </si>
  <si>
    <t>RESTU HIDAYAT</t>
  </si>
  <si>
    <t>0073457714</t>
  </si>
  <si>
    <t>ROYYAN PRADITA</t>
  </si>
  <si>
    <t>0088511008</t>
  </si>
  <si>
    <t>SAFITRI ALI SUKARNO</t>
  </si>
  <si>
    <t>0081541137</t>
  </si>
  <si>
    <t>SEVIOLLA LUNA G.P.</t>
  </si>
  <si>
    <t>0071639715</t>
  </si>
  <si>
    <t>SHAZIA MELIKA</t>
  </si>
  <si>
    <t>0089057501</t>
  </si>
  <si>
    <t>VALEN FANANDA NAY</t>
  </si>
  <si>
    <t>0081997898</t>
  </si>
  <si>
    <t>VARISSA ALMAHAIRA AZRAKAYLA</t>
  </si>
  <si>
    <t>0072999565</t>
  </si>
  <si>
    <t>YURISKA ALYANDRA HUTOMO</t>
  </si>
  <si>
    <t>0082748882</t>
  </si>
  <si>
    <t>YUSSAFIRA</t>
  </si>
  <si>
    <t>0071203059</t>
  </si>
  <si>
    <t>ADAM RISTIAJI MACHFUDZ</t>
  </si>
  <si>
    <t xml:space="preserve"> XII B-2</t>
  </si>
  <si>
    <t>0071616096</t>
  </si>
  <si>
    <t>AHMAD ABDURRAHMAN A.</t>
  </si>
  <si>
    <t>3082802938</t>
  </si>
  <si>
    <t>ANDREA SALMA AISYA</t>
  </si>
  <si>
    <t>0086873536</t>
  </si>
  <si>
    <t>ARETHA ASYIFA NUR</t>
  </si>
  <si>
    <t>0089590530</t>
  </si>
  <si>
    <t>ARGISKA MARDIYANA</t>
  </si>
  <si>
    <t>0083547396</t>
  </si>
  <si>
    <t>ASFARO MUZAKKI</t>
  </si>
  <si>
    <t>0089083585</t>
  </si>
  <si>
    <t>AURELIA QUABYLA RAMADHANI</t>
  </si>
  <si>
    <t>0075739296</t>
  </si>
  <si>
    <t>DARYS DZAKIR</t>
  </si>
  <si>
    <t>DEANDRA IBNU KAFFA SOFYAN</t>
  </si>
  <si>
    <t>0081045908</t>
  </si>
  <si>
    <t>DINI</t>
  </si>
  <si>
    <t>0089711367</t>
  </si>
  <si>
    <t>ERICH RADITYA</t>
  </si>
  <si>
    <t>0074556688</t>
  </si>
  <si>
    <t>FAKHRI ARKANANTA</t>
  </si>
  <si>
    <t>0085174215</t>
  </si>
  <si>
    <t>FATHIYYA AZZAHRA</t>
  </si>
  <si>
    <t>0082379675</t>
  </si>
  <si>
    <t>FATIH M. ADIWANGSA</t>
  </si>
  <si>
    <t>0085636668</t>
  </si>
  <si>
    <t>FINA NAYLATUL IZZAH</t>
  </si>
  <si>
    <t>0079959291</t>
  </si>
  <si>
    <t>GAMALIEL GLORYAN CHICO C.</t>
  </si>
  <si>
    <t>0072465472</t>
  </si>
  <si>
    <t>INSANADILLA SALAFINA H.</t>
  </si>
  <si>
    <t>0086280673</t>
  </si>
  <si>
    <t>KEISYA AMANDA MEICA</t>
  </si>
  <si>
    <t>0088734774</t>
  </si>
  <si>
    <t>KEYLA WIDYADHANA RAISSA</t>
  </si>
  <si>
    <t>0084656439</t>
  </si>
  <si>
    <t>MAHESH ANDREAS SIAGIAN</t>
  </si>
  <si>
    <t>0084597945</t>
  </si>
  <si>
    <t>MARETTA MANDA MANGUNING P'</t>
  </si>
  <si>
    <t>0087686168</t>
  </si>
  <si>
    <t>MUHAMAD KHADAFI</t>
  </si>
  <si>
    <t>0074422009</t>
  </si>
  <si>
    <t>NABHILLA PUTRI ISNANDAR</t>
  </si>
  <si>
    <t>0079709738</t>
  </si>
  <si>
    <t>NABIL FATIH FIRJATULLAH A.</t>
  </si>
  <si>
    <t>0086298930</t>
  </si>
  <si>
    <t>NABILA DYAH PUSPITA</t>
  </si>
  <si>
    <t>0083025047</t>
  </si>
  <si>
    <t>NADIA CHERRYL AZKIYA</t>
  </si>
  <si>
    <t>0088549426</t>
  </si>
  <si>
    <t>NADYA SAFIRA SETYAWAN</t>
  </si>
  <si>
    <t>0072346516</t>
  </si>
  <si>
    <t>NARENDRA AGRU PRASETYO</t>
  </si>
  <si>
    <t>0084548323</t>
  </si>
  <si>
    <t>RAFA HAFIZH WARADANA</t>
  </si>
  <si>
    <t>0082499164</t>
  </si>
  <si>
    <t>RASHEESA FITRIA NURAINI</t>
  </si>
  <si>
    <t>0078997635</t>
  </si>
  <si>
    <t>SALSABILA FIRLI</t>
  </si>
  <si>
    <t>0084863899</t>
  </si>
  <si>
    <t>SYAFIRA AKHILA NAZIFA</t>
  </si>
  <si>
    <t>0074163475</t>
  </si>
  <si>
    <t>SYIFA AZ ZAHRA</t>
  </si>
  <si>
    <t>0077763943</t>
  </si>
  <si>
    <t>WENDYEA AKTAVIONA</t>
  </si>
  <si>
    <t>3083822721</t>
  </si>
  <si>
    <t>ZUHAIRY</t>
  </si>
  <si>
    <t>0082343172</t>
  </si>
  <si>
    <t>ZYEIRA SHAQUILLA FATIHATU R.</t>
  </si>
  <si>
    <t>0083566956</t>
  </si>
  <si>
    <t>ABIYU AHMAD ZAHRAN</t>
  </si>
  <si>
    <t xml:space="preserve">  XI C-1</t>
  </si>
  <si>
    <t xml:space="preserve"> XII C-1</t>
  </si>
  <si>
    <t>0086298653</t>
  </si>
  <si>
    <t>AISYAH SAUSAN AMANI</t>
  </si>
  <si>
    <t>0089560373</t>
  </si>
  <si>
    <t>ALISHA VENITA RAPHELLE ADHITYA</t>
  </si>
  <si>
    <t>0087432831</t>
  </si>
  <si>
    <t>ARYA INDRAWIJAYA</t>
  </si>
  <si>
    <t>0078031156</t>
  </si>
  <si>
    <t>AULIA EKA PUTRI BAKTI</t>
  </si>
  <si>
    <t>0082894035</t>
  </si>
  <si>
    <t>AURELLIO DEAN KEEFA</t>
  </si>
  <si>
    <t>0078575799</t>
  </si>
  <si>
    <t>AYU PUSPITA RAHMAN</t>
  </si>
  <si>
    <t>0078728769</t>
  </si>
  <si>
    <t>AYYASH ARDHANA SHIDDIEQY</t>
  </si>
  <si>
    <t>0087676418</t>
  </si>
  <si>
    <t>AZKA FAIZ ATAULLAH</t>
  </si>
  <si>
    <t>0078250040</t>
  </si>
  <si>
    <t>AZZAM FATHUR RAIHAN</t>
  </si>
  <si>
    <t>0087314689</t>
  </si>
  <si>
    <t>BINTANG PAMUNGKAS S.A.</t>
  </si>
  <si>
    <t>0081927424</t>
  </si>
  <si>
    <t>CALVIN JIREH PARASIAN PASARIBU</t>
  </si>
  <si>
    <t>0081115263</t>
  </si>
  <si>
    <t>CITRA NAYLA</t>
  </si>
  <si>
    <t>0081603311</t>
  </si>
  <si>
    <t>FARIS RIDHA KURNIAWAN</t>
  </si>
  <si>
    <t>0081613552</t>
  </si>
  <si>
    <t>FEBI IHSANUL AZMI</t>
  </si>
  <si>
    <t>0084956925</t>
  </si>
  <si>
    <t>GUNTUR ADIGUNA</t>
  </si>
  <si>
    <t>0083246118</t>
  </si>
  <si>
    <t>HUMAIRA PUTRI SETIAWAN</t>
  </si>
  <si>
    <t>0086919748</t>
  </si>
  <si>
    <t>KAYLA MAHESA PUTRI PRABINDARI</t>
  </si>
  <si>
    <t>0073646664</t>
  </si>
  <si>
    <t>KHANSA</t>
  </si>
  <si>
    <t>0084878741</t>
  </si>
  <si>
    <t>KHEYSHA NAZWA ADINDA</t>
  </si>
  <si>
    <t>0084894791</t>
  </si>
  <si>
    <t>LAVINDRA ANINDITO BUDI PRAMUDYA</t>
  </si>
  <si>
    <t>0079756255</t>
  </si>
  <si>
    <t>M. FAHMY PUTRA RAMADHAN</t>
  </si>
  <si>
    <t>0084967360</t>
  </si>
  <si>
    <t>MUHAMAD FEBRIZIO ALGHIFAHRI</t>
  </si>
  <si>
    <t>0086943552</t>
  </si>
  <si>
    <t>MUHAMAD FIRDAUS</t>
  </si>
  <si>
    <t>0087587189</t>
  </si>
  <si>
    <t>MUHAMMAD ARDIANSYAH</t>
  </si>
  <si>
    <t>0079137192</t>
  </si>
  <si>
    <t>MUHAMMAD IRFAN AHZANI</t>
  </si>
  <si>
    <t>0089011528</t>
  </si>
  <si>
    <t>MUHAMMAD SYAIHAN PRAMONO</t>
  </si>
  <si>
    <t>0082149467</t>
  </si>
  <si>
    <t>NASYWA LILYAN ELVARETTA</t>
  </si>
  <si>
    <t>0088868776</t>
  </si>
  <si>
    <t>RADEN ANTASENA KARTASASMITA</t>
  </si>
  <si>
    <t>0078211943</t>
  </si>
  <si>
    <t>RADIT GILBRAN VILLAREAL LUTVI</t>
  </si>
  <si>
    <t>0089661526</t>
  </si>
  <si>
    <t>RAIHANA SYAHLA YUSTIAJI</t>
  </si>
  <si>
    <t>0073911139</t>
  </si>
  <si>
    <t>REFAH SYAHIDAH</t>
  </si>
  <si>
    <t>0089819274</t>
  </si>
  <si>
    <t>RIFQI SAYUDHA</t>
  </si>
  <si>
    <t>0083315686</t>
  </si>
  <si>
    <t>VENEZIA GILDA SIHOMBING</t>
  </si>
  <si>
    <t>0088213091.</t>
  </si>
  <si>
    <t>ZAHIRA AQILA RABBANI</t>
  </si>
  <si>
    <t>0084336569</t>
  </si>
  <si>
    <t>ZYBA JARSIA BADELWAIR</t>
  </si>
  <si>
    <t>0079153075</t>
  </si>
  <si>
    <t>ADYATMA HUDA RAMDANI</t>
  </si>
  <si>
    <t xml:space="preserve">  XI C-2</t>
  </si>
  <si>
    <t xml:space="preserve"> XII C-2</t>
  </si>
  <si>
    <t>0086362939</t>
  </si>
  <si>
    <t>ALMAQHVIRA HAYDAR SISWOYO</t>
  </si>
  <si>
    <t>0087382551</t>
  </si>
  <si>
    <t>AQILA NAFISA</t>
  </si>
  <si>
    <t>0074340020</t>
  </si>
  <si>
    <t>ARFI ABDAN MUQIMASHAIM</t>
  </si>
  <si>
    <t>0084448990</t>
  </si>
  <si>
    <t>ARIEF DARMAWAN</t>
  </si>
  <si>
    <t>0088818985</t>
  </si>
  <si>
    <t>CALISTA DIANTI HUWAIDAH</t>
  </si>
  <si>
    <t>0088348251</t>
  </si>
  <si>
    <t>CALLYSTA ASTI ARBIA</t>
  </si>
  <si>
    <t>0086843117</t>
  </si>
  <si>
    <t>CESILIA D. ICHWANUDDIN</t>
  </si>
  <si>
    <t>0081133927</t>
  </si>
  <si>
    <t>DENIA ZEVIRA GENARA</t>
  </si>
  <si>
    <t>0078430432</t>
  </si>
  <si>
    <t>ELMA NURSARI</t>
  </si>
  <si>
    <t>0082023211</t>
  </si>
  <si>
    <t>FABIAN SYAFA RIZQULLAH</t>
  </si>
  <si>
    <t>FADHLURAHMAN KAMIL</t>
  </si>
  <si>
    <t>0078000989</t>
  </si>
  <si>
    <t>GHINA AFIAH UYARA</t>
  </si>
  <si>
    <t>0075935238</t>
  </si>
  <si>
    <t>HEINE KLAMMER  HASONANGAN SITORUS</t>
  </si>
  <si>
    <t>0079705331</t>
  </si>
  <si>
    <t>IRFAN BUDI SATRIO</t>
  </si>
  <si>
    <t>0081861577</t>
  </si>
  <si>
    <t>KAYLA FARRAH GINA</t>
  </si>
  <si>
    <t>0086351746</t>
  </si>
  <si>
    <t>KEISHA NABILA ANINDYA</t>
  </si>
  <si>
    <t>0081908416</t>
  </si>
  <si>
    <t>KEYSHA CAHAYA SETIAWAN</t>
  </si>
  <si>
    <t>0085502024</t>
  </si>
  <si>
    <t>LOUISE GARCIA LUMBAN GAOL</t>
  </si>
  <si>
    <t>0089487431</t>
  </si>
  <si>
    <t>MEDINTA PUTRI WIBOWO</t>
  </si>
  <si>
    <t>0086454949</t>
  </si>
  <si>
    <t>MIFTAHUL DAFFA KHOERUL BAHRI</t>
  </si>
  <si>
    <t>0082920514</t>
  </si>
  <si>
    <t>MUHAMAD FAHRI NURIHSAN</t>
  </si>
  <si>
    <t>0082065502</t>
  </si>
  <si>
    <t>MUHAMMAD ADITYA FAIRUZZAHRAN</t>
  </si>
  <si>
    <t>0082313320</t>
  </si>
  <si>
    <t>MUHAMMAD IRGHI</t>
  </si>
  <si>
    <t>0084544933</t>
  </si>
  <si>
    <t>MUHAMMAD RAVA ALI</t>
  </si>
  <si>
    <t>0097824876</t>
  </si>
  <si>
    <t>MUHAMMAD REVAN FADILLAH</t>
  </si>
  <si>
    <t>0076770851</t>
  </si>
  <si>
    <t>MUHAMMAD YUSUF HABIBIE</t>
  </si>
  <si>
    <t>0083435691</t>
  </si>
  <si>
    <t>NABIL KHAUFA ZAHRA</t>
  </si>
  <si>
    <t>0077789146</t>
  </si>
  <si>
    <t>RAFLY RESTU ADAM</t>
  </si>
  <si>
    <t>0072725258</t>
  </si>
  <si>
    <t>RANIA ADILA ERYAZTI</t>
  </si>
  <si>
    <t>0076414429</t>
  </si>
  <si>
    <t>RAZAN ZUFAR AHMAD</t>
  </si>
  <si>
    <t>0087450806</t>
  </si>
  <si>
    <t>RHEYNODY EZEKIELANO LOEKMAN</t>
  </si>
  <si>
    <t>0075522985</t>
  </si>
  <si>
    <t>RIMAIRA SANAURAIRBA MARGONO</t>
  </si>
  <si>
    <t>0082134650</t>
  </si>
  <si>
    <t>WIDIA PUTRI</t>
  </si>
  <si>
    <t>0073934144</t>
  </si>
  <si>
    <t>ZIYANDRA KHAIZURAN ALTAF</t>
  </si>
  <si>
    <t>0073043473</t>
  </si>
  <si>
    <t>ZAID MUHAMMAD NAASHIF</t>
  </si>
  <si>
    <t>0073412501</t>
  </si>
  <si>
    <t>ADNAN JULIANDYRA</t>
  </si>
  <si>
    <t xml:space="preserve"> XII D-1</t>
  </si>
  <si>
    <t>0089479917</t>
  </si>
  <si>
    <t>AISHA MADYSKA PUTRI</t>
  </si>
  <si>
    <t>0081852093</t>
  </si>
  <si>
    <t>ALEYNA NAJMIA SALMA EL HASSAN</t>
  </si>
  <si>
    <t>0074544714</t>
  </si>
  <si>
    <t>ANGGRAINI DISTI MEITASYAH</t>
  </si>
  <si>
    <t>0082121455</t>
  </si>
  <si>
    <t>ANNISA PEBRIANITA</t>
  </si>
  <si>
    <t>0087366796</t>
  </si>
  <si>
    <t>ARDYANTI PRATIWI G.R</t>
  </si>
  <si>
    <t>0075260025</t>
  </si>
  <si>
    <t>ARTANTI TALITHA DWIANA</t>
  </si>
  <si>
    <t>0081788097</t>
  </si>
  <si>
    <t>AULIA ASFARINA DHANY</t>
  </si>
  <si>
    <t>0087401101</t>
  </si>
  <si>
    <t>AZIZU ACHMAD FAUZAN</t>
  </si>
  <si>
    <t>0088748138</t>
  </si>
  <si>
    <t>BELELIA CINDIKIA DERA</t>
  </si>
  <si>
    <t>0081475471</t>
  </si>
  <si>
    <t>DEVI AMELIA</t>
  </si>
  <si>
    <t>0082277905</t>
  </si>
  <si>
    <t>DYO EL RIZQI KAMIL</t>
  </si>
  <si>
    <t>0088505733</t>
  </si>
  <si>
    <t>FADLAN RAMADHAN TUASIKAL</t>
  </si>
  <si>
    <t>0032420338</t>
  </si>
  <si>
    <t>FAJAR PRAYOGA W.</t>
  </si>
  <si>
    <t>0086431654</t>
  </si>
  <si>
    <t>FARISA TRIANDITA</t>
  </si>
  <si>
    <t>0077521823</t>
  </si>
  <si>
    <t>FIRDAUS WIRAKUSUMA ASY'ARI</t>
  </si>
  <si>
    <t>0088816160</t>
  </si>
  <si>
    <t>FITRI WULANDARI</t>
  </si>
  <si>
    <t>0079707237</t>
  </si>
  <si>
    <t>GABRIEL PERNANDO</t>
  </si>
  <si>
    <t>0088365281</t>
  </si>
  <si>
    <t>GENNEVA PUTRI SAMINGGAR</t>
  </si>
  <si>
    <t>0089128816</t>
  </si>
  <si>
    <t>HANIFAH NIZRINA RANIAH</t>
  </si>
  <si>
    <t>0088169936</t>
  </si>
  <si>
    <t>JEANETHA ROSMALA PUTERI</t>
  </si>
  <si>
    <t>0088389564</t>
  </si>
  <si>
    <t>JUNEETA MAHYA ATHARI</t>
  </si>
  <si>
    <t>008561826</t>
  </si>
  <si>
    <t>KAYLLA CHANDRIKA</t>
  </si>
  <si>
    <t>0088466451</t>
  </si>
  <si>
    <t>LUTHFIA AZZAHRA</t>
  </si>
  <si>
    <t>0079126834</t>
  </si>
  <si>
    <t>MUHAMAD RAFLI RAMADHAN</t>
  </si>
  <si>
    <t>00842645310</t>
  </si>
  <si>
    <t>MUZAKY KHAIRULLOH</t>
  </si>
  <si>
    <t>0089649558</t>
  </si>
  <si>
    <t>2425,11,436</t>
  </si>
  <si>
    <t>NANDA FIRDAUS</t>
  </si>
  <si>
    <t>0081989700</t>
  </si>
  <si>
    <t>NUR NAJMI NUHA CHAMSYAH SUTANDI</t>
  </si>
  <si>
    <t>0081324611</t>
  </si>
  <si>
    <t>RAFAEL MARIO JUSAG PRASETYO</t>
  </si>
  <si>
    <t>0074135122</t>
  </si>
  <si>
    <t>RASYA NAZIRA RADITIYA PUTRA</t>
  </si>
  <si>
    <t>0083428278</t>
  </si>
  <si>
    <t>RAYA THALITA HASNA ANJANI</t>
  </si>
  <si>
    <t>0087464626</t>
  </si>
  <si>
    <t>RAYYAN ALIFA RIVENA</t>
  </si>
  <si>
    <t>0079348283</t>
  </si>
  <si>
    <t>REFI DWI ZULIANTO</t>
  </si>
  <si>
    <t>0082716634</t>
  </si>
  <si>
    <t>SALSABILA AZIMA MAHMUDDIN</t>
  </si>
  <si>
    <t>0086805776</t>
  </si>
  <si>
    <t>SHASKIA ROVIQOH AZIZAH</t>
  </si>
  <si>
    <t>0088293283</t>
  </si>
  <si>
    <t>YONATHAN ZIRMI PUTRADI</t>
  </si>
  <si>
    <t>0079704726</t>
  </si>
  <si>
    <t>AHMAD MAULANA JIBAN</t>
  </si>
  <si>
    <t xml:space="preserve"> XII D-2</t>
  </si>
  <si>
    <t>0075379721</t>
  </si>
  <si>
    <t>ALLYSIA NURFAUZIYAH</t>
  </si>
  <si>
    <t>0074929411</t>
  </si>
  <si>
    <t>ANISA RIHHADATUL AISY</t>
  </si>
  <si>
    <t>0088718964</t>
  </si>
  <si>
    <t>ANNISA PUTRI SANDI</t>
  </si>
  <si>
    <t>0073128949</t>
  </si>
  <si>
    <t>ARDITA SEPTYANINGRUM</t>
  </si>
  <si>
    <t>0087858544</t>
  </si>
  <si>
    <t>ATHIFALUNA MUTIA DARMAWAN</t>
  </si>
  <si>
    <t>0073898605</t>
  </si>
  <si>
    <t>AUDYAH PUTRI MURNI N.</t>
  </si>
  <si>
    <t>0081012661</t>
  </si>
  <si>
    <t>232410 094</t>
  </si>
  <si>
    <t>DAFFA MUHAZZIB IBNI</t>
  </si>
  <si>
    <t>0074947139</t>
  </si>
  <si>
    <t>DEVINA KEYSA MAHARANI</t>
  </si>
  <si>
    <t>0076766099</t>
  </si>
  <si>
    <t>ELVIRA ECA MAHARANI</t>
  </si>
  <si>
    <t>EMERALD TSABBITA ADRISTI</t>
  </si>
  <si>
    <t>0081430092</t>
  </si>
  <si>
    <t>FAIZAH HAFIYYAN</t>
  </si>
  <si>
    <t>FARISHTA GAISHANI</t>
  </si>
  <si>
    <t>0074871623</t>
  </si>
  <si>
    <t>FAZRURRAHMAN TIJANI</t>
  </si>
  <si>
    <t>0083701424</t>
  </si>
  <si>
    <t>INDAH MUSTABAH</t>
  </si>
  <si>
    <t>0083458263</t>
  </si>
  <si>
    <t>KESYA YEMIMA</t>
  </si>
  <si>
    <t>0085806993</t>
  </si>
  <si>
    <t>KHAIRUNNISA AZZAHRA</t>
  </si>
  <si>
    <t>0072438987</t>
  </si>
  <si>
    <t>LUTHFI BINTANG BAYUAJI</t>
  </si>
  <si>
    <t>0086003612</t>
  </si>
  <si>
    <t>MUHAMMAD FARIS</t>
  </si>
  <si>
    <t>0081058742</t>
  </si>
  <si>
    <t>MUHAMMAD NIZAR AL GHIFARI</t>
  </si>
  <si>
    <t>0071752283</t>
  </si>
  <si>
    <t>NAJLA AZIZAH</t>
  </si>
  <si>
    <t>0081528613</t>
  </si>
  <si>
    <t>NAYLA WARNI RAHAYU</t>
  </si>
  <si>
    <t>0085234690</t>
  </si>
  <si>
    <t>NAZWA BALQIS ARLYA</t>
  </si>
  <si>
    <t>0085141191</t>
  </si>
  <si>
    <t>RAFIEL CAHAYA YUSUP</t>
  </si>
  <si>
    <t>0087422681</t>
  </si>
  <si>
    <t>RAJUWAA AMMARTAYUDA</t>
  </si>
  <si>
    <t>0089250161</t>
  </si>
  <si>
    <t>RAKHA ARIYANTO PRAWIRA</t>
  </si>
  <si>
    <t>0082371331</t>
  </si>
  <si>
    <t>RAKHA SURYANA</t>
  </si>
  <si>
    <t>0087055371</t>
  </si>
  <si>
    <t>REZKI BANYU MILLIE</t>
  </si>
  <si>
    <t>0081053691</t>
  </si>
  <si>
    <t>SALIKA NADINA</t>
  </si>
  <si>
    <t>202107115</t>
  </si>
  <si>
    <t>SALSABILA NASUTION</t>
  </si>
  <si>
    <t>0075416420</t>
  </si>
  <si>
    <t>SHEILA NAMIRA ZHEIN</t>
  </si>
  <si>
    <t>0085184663</t>
  </si>
  <si>
    <t>SYIFA AULIA GUMELAR</t>
  </si>
  <si>
    <t>0086007573</t>
  </si>
  <si>
    <t>SYIFA HANDAYANI</t>
  </si>
  <si>
    <t>0075671998</t>
  </si>
  <si>
    <t>WIANDRA ADYA PRADANA</t>
  </si>
  <si>
    <t>0086601525</t>
  </si>
  <si>
    <t>ZAHRA AULIA PUTRI</t>
  </si>
  <si>
    <t>0082804522</t>
  </si>
  <si>
    <t>ZASKYA NILAM EFASA</t>
  </si>
  <si>
    <t>0077130196</t>
  </si>
  <si>
    <t>ADITYA NUFAIL RIZQULLAH</t>
  </si>
  <si>
    <t xml:space="preserve">  XI E</t>
  </si>
  <si>
    <t xml:space="preserve"> XII E</t>
  </si>
  <si>
    <t>0071754993</t>
  </si>
  <si>
    <t>AHMAD HAIDAR ROSYIIQ</t>
  </si>
  <si>
    <t>0082671794</t>
  </si>
  <si>
    <t>ANDI NASYA KAMILA AZZAHRA</t>
  </si>
  <si>
    <t>0082250651</t>
  </si>
  <si>
    <t>CAHAYA EDINA JATMIKO</t>
  </si>
  <si>
    <t>0085508756</t>
  </si>
  <si>
    <t>DANIAL RIZKY JONSA</t>
  </si>
  <si>
    <t>0072931128</t>
  </si>
  <si>
    <t>DANIEL IHSAN</t>
  </si>
  <si>
    <t>DEF KHALIF YAZ</t>
  </si>
  <si>
    <t>0082994951</t>
  </si>
  <si>
    <t>EGALITA ADLIYAH</t>
  </si>
  <si>
    <t>0075133346</t>
  </si>
  <si>
    <t>FADRI</t>
  </si>
  <si>
    <t>0088442156</t>
  </si>
  <si>
    <t>FARDHAN ALIF RAYYANDI</t>
  </si>
  <si>
    <t>0072049089</t>
  </si>
  <si>
    <t>FERDINAN FEBRIANO</t>
  </si>
  <si>
    <t>0076185672</t>
  </si>
  <si>
    <t>HAFIZ ABDUL RASYID</t>
  </si>
  <si>
    <t>0072139972</t>
  </si>
  <si>
    <t>HANA SITI NAZWA</t>
  </si>
  <si>
    <t>0089640091</t>
  </si>
  <si>
    <t>HYPATIA ACHMAD</t>
  </si>
  <si>
    <t>0077850732</t>
  </si>
  <si>
    <t>JONATHAN STEFANUS MANURUNG</t>
  </si>
  <si>
    <t>0081254175</t>
  </si>
  <si>
    <t>JUNIKA NUR RIZQI</t>
  </si>
  <si>
    <t>0084177568</t>
  </si>
  <si>
    <t>MARCELL DAMIAN SETIAWAN</t>
  </si>
  <si>
    <t>0063252201</t>
  </si>
  <si>
    <t>MAULA SAFITA NAPITUPULU</t>
  </si>
  <si>
    <t>0084976190</t>
  </si>
  <si>
    <t>MAYA QUMAYIROH</t>
  </si>
  <si>
    <t>0071538496</t>
  </si>
  <si>
    <t>MUHAMMAD ZAKI NURHADI AHSYAR</t>
  </si>
  <si>
    <t>0076202597</t>
  </si>
  <si>
    <t>NADIA AYU PRAMESTI</t>
  </si>
  <si>
    <t>NAHLATU BILQIS</t>
  </si>
  <si>
    <t>0087444033</t>
  </si>
  <si>
    <t>NANDA PUTRI TANIA</t>
  </si>
  <si>
    <t>0084163507</t>
  </si>
  <si>
    <t>ODE IRVA KHUMAIRA</t>
  </si>
  <si>
    <t>0078628005</t>
  </si>
  <si>
    <t>RADEN DIRGHAM HANIFAN AL-BASYAM</t>
  </si>
  <si>
    <t>0078876556</t>
  </si>
  <si>
    <t>RADITYA DWI FAUZI</t>
  </si>
  <si>
    <t>0075735377</t>
  </si>
  <si>
    <t>RAHIL ALFAQIH</t>
  </si>
  <si>
    <t>0083428956</t>
  </si>
  <si>
    <t>RASHEED PUTRA KEYSHADI</t>
  </si>
  <si>
    <t>0075598356</t>
  </si>
  <si>
    <t>RATU NINDA TABINA</t>
  </si>
  <si>
    <t>3085105053</t>
  </si>
  <si>
    <t>REISYA AULIA RIZKY</t>
  </si>
  <si>
    <t>0079509100</t>
  </si>
  <si>
    <t>RIA HANDAYANI</t>
  </si>
  <si>
    <t>0084582856</t>
  </si>
  <si>
    <t>SHAKILANOVVA AL KANZ SAVVANA</t>
  </si>
  <si>
    <t>SYAFIQ AUNUR RAFI</t>
  </si>
  <si>
    <t>0072049142</t>
  </si>
  <si>
    <t>VERA INDRIANI SITORUS</t>
  </si>
  <si>
    <t>0086192710</t>
  </si>
  <si>
    <t>YOAS DHEO SANDIVO</t>
  </si>
  <si>
    <t>0083687023</t>
  </si>
  <si>
    <t>AGATRIE SELLA SIREGAR</t>
  </si>
  <si>
    <t xml:space="preserve">  XI F</t>
  </si>
  <si>
    <t xml:space="preserve"> XII F</t>
  </si>
  <si>
    <t>0082167999</t>
  </si>
  <si>
    <t>AISHAURA PUTRI DEA</t>
  </si>
  <si>
    <t>0084087226</t>
  </si>
  <si>
    <t>ALFATHAN RADITYA GUNARA</t>
  </si>
  <si>
    <t>0083473841</t>
  </si>
  <si>
    <t>ALICIA MARCELLA GULO</t>
  </si>
  <si>
    <t>0078342012</t>
  </si>
  <si>
    <t>ALIF NUR RIZKI</t>
  </si>
  <si>
    <t>0085520789</t>
  </si>
  <si>
    <t>ALLBIE AVICENNA</t>
  </si>
  <si>
    <t>0081088641</t>
  </si>
  <si>
    <t>ALMIRA MAULIDA PUTRI APSARI</t>
  </si>
  <si>
    <t>0082685366</t>
  </si>
  <si>
    <t>ANITA TRI ANGGRAINI</t>
  </si>
  <si>
    <t>0087823230</t>
  </si>
  <si>
    <t>ANNISA ALYA MAHARANI</t>
  </si>
  <si>
    <t>0079217224</t>
  </si>
  <si>
    <t>AYU ARYANI</t>
  </si>
  <si>
    <t>0082382091</t>
  </si>
  <si>
    <t>AYUDYA RACHMAWATI</t>
  </si>
  <si>
    <t>0072978615</t>
  </si>
  <si>
    <t>AZUAN PUTRA SATIA</t>
  </si>
  <si>
    <t>0071343192</t>
  </si>
  <si>
    <t>BIANCA INDHIRA HANUUN</t>
  </si>
  <si>
    <t>0081754947</t>
  </si>
  <si>
    <t>BILQIS AFRILIA NAZWA RANI</t>
  </si>
  <si>
    <t>0089112426</t>
  </si>
  <si>
    <t>CALLISTA DOMINIC LAURA GINTA</t>
  </si>
  <si>
    <t>0074316755</t>
  </si>
  <si>
    <t>CHECHILLIA AZZAHRA PUTRI KURNIADI</t>
  </si>
  <si>
    <t>0081348287</t>
  </si>
  <si>
    <t>DAFFA KHAIRU RAMADHAN</t>
  </si>
  <si>
    <t>0078189303</t>
  </si>
  <si>
    <t>DARY DZAKWAN PUTRA CAHYADI</t>
  </si>
  <si>
    <t>0087513149</t>
  </si>
  <si>
    <t>DIANDRA ZAHRA ADANI</t>
  </si>
  <si>
    <t>0087242889</t>
  </si>
  <si>
    <t>DIMAS ARIANSYAH SIAGIAN</t>
  </si>
  <si>
    <t>0061383159</t>
  </si>
  <si>
    <t>FIRDA AULIA RAMADHANI</t>
  </si>
  <si>
    <t>0081488517</t>
  </si>
  <si>
    <t>HERDICSON F. H. SIREGAR</t>
  </si>
  <si>
    <t>0079428976</t>
  </si>
  <si>
    <t>KAMILIA KEYSHA RAMADHANI</t>
  </si>
  <si>
    <t>0074872374</t>
  </si>
  <si>
    <t>LANA SHAFIRA</t>
  </si>
  <si>
    <t>0085658144</t>
  </si>
  <si>
    <t>MAYSARI HIDAYAH</t>
  </si>
  <si>
    <t>0077669643</t>
  </si>
  <si>
    <t>MUHAMMAD ALIF FAIZ ASSYAROF</t>
  </si>
  <si>
    <t>0084850250</t>
  </si>
  <si>
    <t>MUHAMMAD UMMUL LUHUR WISESA</t>
  </si>
  <si>
    <t>0076972929</t>
  </si>
  <si>
    <t>NAZWA NURUL ABIDA</t>
  </si>
  <si>
    <t>0084962687</t>
  </si>
  <si>
    <t>PERDI SYAFAR WAHYUDI</t>
  </si>
  <si>
    <t>0086511111</t>
  </si>
  <si>
    <t>RADEN DIFA AQILLAH LUKMAN</t>
  </si>
  <si>
    <t>0083825468</t>
  </si>
  <si>
    <t>RANDY MAIDYKA</t>
  </si>
  <si>
    <t>0073746046</t>
  </si>
  <si>
    <t>SITI KEYSHIA AZZAHRA</t>
  </si>
  <si>
    <t>0077430989</t>
  </si>
  <si>
    <t>SITI LATESA</t>
  </si>
  <si>
    <t>0077414689</t>
  </si>
  <si>
    <t>TEUNGKU MUHAMMAD AL-FACHRI SYAH JEUMPA</t>
  </si>
  <si>
    <t>0075574187</t>
  </si>
  <si>
    <t>ULLY ARTHA RAMADHANI SIMANJUNTAK</t>
  </si>
  <si>
    <t>0073779987</t>
  </si>
  <si>
    <t>WAFAA' SALSABILAH HARDIN</t>
  </si>
  <si>
    <t>0079539859</t>
  </si>
  <si>
    <t>ALMER ATHALLAH KHAIRY</t>
  </si>
  <si>
    <t xml:space="preserve">  XI G-1</t>
  </si>
  <si>
    <t xml:space="preserve"> XII G-1</t>
  </si>
  <si>
    <t>0078995367</t>
  </si>
  <si>
    <t>ALVIRA RACHMAT LESTARI</t>
  </si>
  <si>
    <t>00842784490</t>
  </si>
  <si>
    <t>ANDIKA PUTRA PRANATA</t>
  </si>
  <si>
    <t>0083437756</t>
  </si>
  <si>
    <t>AQILA SYADID</t>
  </si>
  <si>
    <t>0081289813</t>
  </si>
  <si>
    <t>AURA SCARLETTA JAYA</t>
  </si>
  <si>
    <t>0071596947</t>
  </si>
  <si>
    <t>BENAYA AMARASTI WIDIATMA</t>
  </si>
  <si>
    <t>0078600357</t>
  </si>
  <si>
    <t>BUNGA CLARESTA TUMANUNG</t>
  </si>
  <si>
    <t>0089816097</t>
  </si>
  <si>
    <t>FAKHIRA FIRLIZA AL KAF SAIFUDDIN</t>
  </si>
  <si>
    <t>0071169682</t>
  </si>
  <si>
    <t>FATHIA KHAIRAYA HASAN</t>
  </si>
  <si>
    <t>0086348628</t>
  </si>
  <si>
    <t>FATIHAH MORGIANA</t>
  </si>
  <si>
    <t>FEY NASYWA SYAHLI</t>
  </si>
  <si>
    <t>0088384581</t>
  </si>
  <si>
    <t>FIRYAL RAMADHANI</t>
  </si>
  <si>
    <t>0079609512</t>
  </si>
  <si>
    <t>GRACIA NATALIA NAPITUPULU</t>
  </si>
  <si>
    <t>0088363788</t>
  </si>
  <si>
    <t>HUMAM AHMAD MUSYAFFA</t>
  </si>
  <si>
    <t>0081424818</t>
  </si>
  <si>
    <t>KHAIRUNNISA NUR IBTIHAL</t>
  </si>
  <si>
    <t>0081039639</t>
  </si>
  <si>
    <t>MUHAMMAD FIKRI ADYA AULIA</t>
  </si>
  <si>
    <t>0068926505</t>
  </si>
  <si>
    <t>MUHAMMAD HISYAM SAURI RIFADI</t>
  </si>
  <si>
    <t>0086819831</t>
  </si>
  <si>
    <t>MUHAMMAD KSATRIA AL FARISI</t>
  </si>
  <si>
    <t>0073379114</t>
  </si>
  <si>
    <t>MUHAMMAD NAVIS AFIF ALKINDY</t>
  </si>
  <si>
    <t>0072045142</t>
  </si>
  <si>
    <t>NAJUWA KHAIRUNNISA</t>
  </si>
  <si>
    <t>0085513622</t>
  </si>
  <si>
    <t>NAYLA GHINA PRAMESTI</t>
  </si>
  <si>
    <t>0085449197</t>
  </si>
  <si>
    <t>NEYSA CALLUELA DHIYA ACHMAD</t>
  </si>
  <si>
    <t>0087937442</t>
  </si>
  <si>
    <t>ORCHIDA ADHIYA HANIN</t>
  </si>
  <si>
    <t>0074830715</t>
  </si>
  <si>
    <t>QIRRENT OCTAVIANT WARDHANI SADIMAN PUTRI</t>
  </si>
  <si>
    <t>0078307989</t>
  </si>
  <si>
    <t>RADEN AMANULLAH DHAIFULLAH</t>
  </si>
  <si>
    <t>0088424984</t>
  </si>
  <si>
    <t>RIVALDI FAATHIR</t>
  </si>
  <si>
    <t>0075217746</t>
  </si>
  <si>
    <t>SAFIRA KHAIRUNNISA</t>
  </si>
  <si>
    <t>0072367668</t>
  </si>
  <si>
    <t>SALMA NUR KAMILA</t>
  </si>
  <si>
    <t>0081167272</t>
  </si>
  <si>
    <t>SANIA JULIANA ENSAN</t>
  </si>
  <si>
    <t>0074239025</t>
  </si>
  <si>
    <t>SATRYA RANGGABARANI</t>
  </si>
  <si>
    <t>0097356455</t>
  </si>
  <si>
    <t>SEKAR KANAYA AZZAHRA</t>
  </si>
  <si>
    <t>0082578548</t>
  </si>
  <si>
    <t>STEPHEN HADY GUNAWAN</t>
  </si>
  <si>
    <t>0082118879</t>
  </si>
  <si>
    <t>SYAKIRA AMALIA ZULFA</t>
  </si>
  <si>
    <t>0089835538</t>
  </si>
  <si>
    <t>SYEIRAN ARESTIA PUTERI</t>
  </si>
  <si>
    <t>0088899762</t>
  </si>
  <si>
    <t>SYIFA SAKHIA SAFIRA</t>
  </si>
  <si>
    <t>0085635154</t>
  </si>
  <si>
    <t>WISNU FEBRIANSYAH</t>
  </si>
  <si>
    <t>0089244335</t>
  </si>
  <si>
    <t>ZASKYA NAURA KESUMAH PUTRI</t>
  </si>
  <si>
    <t>0079089082</t>
  </si>
  <si>
    <t>ADINDA HAIFA SYAHIDAH</t>
  </si>
  <si>
    <t xml:space="preserve">  XI G-2</t>
  </si>
  <si>
    <t xml:space="preserve"> XII G-2</t>
  </si>
  <si>
    <t>0072553223</t>
  </si>
  <si>
    <t>ADZKIA ALMA MUYASSAR</t>
  </si>
  <si>
    <t>0073885660</t>
  </si>
  <si>
    <t>ARMANITA DHIVA TRISNANINGTYAS</t>
  </si>
  <si>
    <t>0084711885</t>
  </si>
  <si>
    <t>ARVEN FADELTO WIRDA MUHANDAVA</t>
  </si>
  <si>
    <t>0076999190</t>
  </si>
  <si>
    <t>AUREL AMANDA SARI</t>
  </si>
  <si>
    <t>0087220996</t>
  </si>
  <si>
    <t>AVESENNA VIVALDI ZAHRI</t>
  </si>
  <si>
    <t>0073604299</t>
  </si>
  <si>
    <t>AZKIA RAYZANAYA PUTERI</t>
  </si>
  <si>
    <t>DEWA ARGA HARSONO PUTRO</t>
  </si>
  <si>
    <t>DIONISIUS EVANDRA</t>
  </si>
  <si>
    <t>0085950341</t>
  </si>
  <si>
    <t>FINA WULANDARI</t>
  </si>
  <si>
    <t>0085731780</t>
  </si>
  <si>
    <t>GITA ANJANI SANTOSO</t>
  </si>
  <si>
    <t>0076073444</t>
  </si>
  <si>
    <t>HANIF MUMTAAZAH</t>
  </si>
  <si>
    <t>0078040603</t>
  </si>
  <si>
    <t>IFFA</t>
  </si>
  <si>
    <t>0073006514</t>
  </si>
  <si>
    <t>JIHAN DZAKIYYAH AZHAAR</t>
  </si>
  <si>
    <t>0082272411</t>
  </si>
  <si>
    <t>JIHAN FAJRI</t>
  </si>
  <si>
    <t>0081731873</t>
  </si>
  <si>
    <t>KEMAL RIZKY RAMADHAN</t>
  </si>
  <si>
    <t>0086489600</t>
  </si>
  <si>
    <t>MINANDA RIZKI ZAKIYAH</t>
  </si>
  <si>
    <t>0085468607</t>
  </si>
  <si>
    <t>MUHAMMAD DYTRA AFIF</t>
  </si>
  <si>
    <t>0086957802</t>
  </si>
  <si>
    <t>MUHAMMAD FADLY SYAHDAN R.</t>
  </si>
  <si>
    <t>0079761330</t>
  </si>
  <si>
    <t>NABILA NURSHYFA</t>
  </si>
  <si>
    <t>0077898712</t>
  </si>
  <si>
    <t>NAFLAH DIVA NABILAH</t>
  </si>
  <si>
    <t>0077233887</t>
  </si>
  <si>
    <t>NAKAMURA RAMADHAN SANMOON</t>
  </si>
  <si>
    <t>0073457859</t>
  </si>
  <si>
    <t>NASYWA ADINDA PUTRI ROMLI</t>
  </si>
  <si>
    <t>0062516435</t>
  </si>
  <si>
    <t>NAZWA AULIA FITRAH</t>
  </si>
  <si>
    <t>0084342226</t>
  </si>
  <si>
    <t>NURIFA PUTRI IMANSYAH</t>
  </si>
  <si>
    <t>0076303224</t>
  </si>
  <si>
    <t>OLYMPIAS VIOLA ARTHA NATALLLY</t>
  </si>
  <si>
    <t>0083012680</t>
  </si>
  <si>
    <t>RADHIKA ESHAN SUSANTYA</t>
  </si>
  <si>
    <t>0082461362</t>
  </si>
  <si>
    <t>RAISYA MAURIZKA KURNIAWAN</t>
  </si>
  <si>
    <t>0099521398</t>
  </si>
  <si>
    <t>RASYA JIHAN</t>
  </si>
  <si>
    <t>0063349910</t>
  </si>
  <si>
    <t>REZA NURFALAH</t>
  </si>
  <si>
    <t>0088925273</t>
  </si>
  <si>
    <t>RIFELIA ALIB PUTRI KURNIAWAN</t>
  </si>
  <si>
    <t>0087777190</t>
  </si>
  <si>
    <t>RIZKY NURINA AZZAHRA</t>
  </si>
  <si>
    <t>0088460072</t>
  </si>
  <si>
    <t>SASIKIRANA ABHINAYA SUHARA</t>
  </si>
  <si>
    <t>0081048708</t>
  </si>
  <si>
    <t>SHAQUIL FATTAH ALCHAIR</t>
  </si>
  <si>
    <t>0084298957</t>
  </si>
  <si>
    <t>TEGAR WIBOWO</t>
  </si>
  <si>
    <t>0084693218</t>
  </si>
  <si>
    <t>ZAHARANI ERISKA DAMAYANTI</t>
  </si>
  <si>
    <t>0074421553</t>
  </si>
  <si>
    <t>ZAHRINA GHASSANI ISNA</t>
  </si>
  <si>
    <t>https://quickchart.io/qr?size=250&amp;text=https%3A%2F%2Fdocs.google.com%2Fforms%2Fd%2Fe%2F1FAIpQLSeZ-R1GrWlAPkfaThGqxeTj0QTtrARw4rroxIIepf2kipn1nw%2FformResponse%3Fusp%3Dpp_url%26entry.1313582257%3D%26entry.1578404635%3DHadir</t>
  </si>
  <si>
    <t>Mentor SMAVO 2025-2026</t>
  </si>
  <si>
    <t>Mentee</t>
  </si>
  <si>
    <t>Angkatan 33 (Kelas X)</t>
  </si>
  <si>
    <t>Total Siswa</t>
  </si>
  <si>
    <t>Boys</t>
  </si>
  <si>
    <t>Girls</t>
  </si>
  <si>
    <t>Ikhwan</t>
  </si>
  <si>
    <t>Jml Mentee</t>
  </si>
  <si>
    <t>Akhwat</t>
  </si>
  <si>
    <t xml:space="preserve">Mentor Grup 1 </t>
  </si>
  <si>
    <t>Mentor Grup 2</t>
  </si>
  <si>
    <t>Angkatan 31</t>
  </si>
  <si>
    <t>Rony</t>
  </si>
  <si>
    <t>Syifa</t>
  </si>
  <si>
    <t>Oshe (XI)</t>
  </si>
  <si>
    <t>Angkatan 32</t>
  </si>
  <si>
    <t>Joko</t>
  </si>
  <si>
    <t>Rania (XII)</t>
  </si>
  <si>
    <t>Nadine (XI)</t>
  </si>
  <si>
    <t>Angkatan 33</t>
  </si>
  <si>
    <t>Angga</t>
  </si>
  <si>
    <t>Hanin</t>
  </si>
  <si>
    <t>Zhafira (XI)</t>
  </si>
  <si>
    <t>Grant Total</t>
  </si>
  <si>
    <t>Arumbinang</t>
  </si>
  <si>
    <t>Najla</t>
  </si>
  <si>
    <t>Faliqa (XI)</t>
  </si>
  <si>
    <t>Topik &amp; Adrian</t>
  </si>
  <si>
    <t>Hana</t>
  </si>
  <si>
    <t>Sabika (XI)</t>
  </si>
  <si>
    <t>Rizki Putra</t>
  </si>
  <si>
    <t>Khairunnisa (XII)</t>
  </si>
  <si>
    <t>Bumi (XI)</t>
  </si>
  <si>
    <t>Rizza Al-Farisi</t>
  </si>
  <si>
    <t>Shafa</t>
  </si>
  <si>
    <t>Desya (XI)</t>
  </si>
  <si>
    <t>Teguh</t>
  </si>
  <si>
    <t>Sakina</t>
  </si>
  <si>
    <t>Arsyila (XI)</t>
  </si>
  <si>
    <t xml:space="preserve">Veril (XII) </t>
  </si>
  <si>
    <t>Tiara (XII)</t>
  </si>
  <si>
    <t>Almira (XI)</t>
  </si>
  <si>
    <t>Irghi (XII)</t>
  </si>
  <si>
    <t>Citra (XII)</t>
  </si>
  <si>
    <t>Lexa (XI)</t>
  </si>
  <si>
    <t>Khadafi (XII)</t>
  </si>
  <si>
    <t>Kusniawati</t>
  </si>
  <si>
    <t>Annisa Alya (XII)</t>
  </si>
  <si>
    <t>Almeer (XII)</t>
  </si>
  <si>
    <t>Ninda (XII)</t>
  </si>
  <si>
    <t>Fiona (XI)</t>
  </si>
  <si>
    <t>Xsumen1</t>
  </si>
  <si>
    <t>Pak Muhammad</t>
  </si>
  <si>
    <t>Ayun</t>
  </si>
  <si>
    <t>Xsumen2</t>
  </si>
  <si>
    <t>Rekhsa</t>
  </si>
  <si>
    <t>Iqlima</t>
  </si>
  <si>
    <t>Jumlah</t>
  </si>
  <si>
    <t>Angkatan 32 (Kelas XI)</t>
  </si>
  <si>
    <t>Supermentoring 32</t>
  </si>
  <si>
    <t>6-7/14</t>
  </si>
  <si>
    <t>Arya</t>
  </si>
  <si>
    <t>14/19</t>
  </si>
  <si>
    <t>Nia</t>
  </si>
  <si>
    <t>Randy</t>
  </si>
  <si>
    <t xml:space="preserve">Rafli (XII) </t>
  </si>
  <si>
    <t>15-16/21</t>
  </si>
  <si>
    <t>Iga</t>
  </si>
  <si>
    <t>Akhwat-1</t>
  </si>
  <si>
    <t>Ukhti</t>
  </si>
  <si>
    <t>8-10/12</t>
  </si>
  <si>
    <t>Taufik</t>
  </si>
  <si>
    <t>10-15/15</t>
  </si>
  <si>
    <t>Devi</t>
  </si>
  <si>
    <t>Akhwat-2</t>
  </si>
  <si>
    <t>Eka</t>
  </si>
  <si>
    <t>Nadira (XII)</t>
  </si>
  <si>
    <t>Ibrahim</t>
  </si>
  <si>
    <t>Amelia N</t>
  </si>
  <si>
    <t>Supermentoring 31</t>
  </si>
  <si>
    <t>Febryan (XII)</t>
  </si>
  <si>
    <t>13/20</t>
  </si>
  <si>
    <t>Zalika</t>
  </si>
  <si>
    <t>Ikhwan-1</t>
  </si>
  <si>
    <t>Hamzah</t>
  </si>
  <si>
    <t xml:space="preserve">Fadhlan (XII) </t>
  </si>
  <si>
    <t>Najmi (XII)</t>
  </si>
  <si>
    <t>Fahriya</t>
  </si>
  <si>
    <t>Amel (XII)</t>
  </si>
  <si>
    <t>Ikhwan-2</t>
  </si>
  <si>
    <t>Budi</t>
  </si>
  <si>
    <t>Belum terdata</t>
  </si>
  <si>
    <t>Abim Ibrahim</t>
  </si>
  <si>
    <t>Athaya</t>
  </si>
  <si>
    <t>Ulfi</t>
  </si>
  <si>
    <t>Dimas</t>
  </si>
  <si>
    <t>5-11/21</t>
  </si>
  <si>
    <t>3-4/9</t>
  </si>
  <si>
    <t>Kia (XII)</t>
  </si>
  <si>
    <t>Syafiq</t>
  </si>
  <si>
    <t>Farisa (XII)</t>
  </si>
  <si>
    <t>No.</t>
  </si>
  <si>
    <t>Nama</t>
  </si>
  <si>
    <t>P/L</t>
  </si>
  <si>
    <t>Asal Sekolah</t>
  </si>
  <si>
    <t>Tilawah &amp; Hafalan</t>
  </si>
  <si>
    <t>al matuq boarding school / 6 juz</t>
  </si>
  <si>
    <t>Lancar sesuai tajwid</t>
  </si>
  <si>
    <t>SMP AL Azhar Syifa Budi</t>
  </si>
  <si>
    <t>Lancar sesuai tajwid dan tartil</t>
  </si>
  <si>
    <t xml:space="preserve">SMP Al-Kahfi : 3 juz </t>
  </si>
  <si>
    <t>Bagus, Lancar bacaannya</t>
  </si>
  <si>
    <t>SMP Qur'an Assalam : 6 juz mutqin 3</t>
  </si>
  <si>
    <t>Lancar bacaannya sesuai tajwid</t>
  </si>
  <si>
    <t>MTS Nurul Furqon</t>
  </si>
  <si>
    <t>Lancar dengan tajwid suara bagus</t>
  </si>
  <si>
    <t>SMPIT Rahmaniyah : 5 juz</t>
  </si>
  <si>
    <t>Lancar dengan tajwid</t>
  </si>
  <si>
    <t>Pondok Umul Quro</t>
  </si>
  <si>
    <t>Lancar dengan tajwid dan tartil</t>
  </si>
  <si>
    <t>dari pondok pindah ke SMP / 5 juz</t>
  </si>
  <si>
    <t>Ponpes Idrisiyah</t>
  </si>
  <si>
    <t>SMPIT darul qur'an / 3juz</t>
  </si>
  <si>
    <t xml:space="preserve">SMP Ungulan Rarohman Sukabumi : 5 juz </t>
  </si>
  <si>
    <t>SMPIT Sinergi Islamic Boarding School / 3 juz</t>
  </si>
  <si>
    <t>Ponpes Rahmaniya / 3 juz</t>
  </si>
  <si>
    <t>Ponpes el tahfidh / 18 juz</t>
  </si>
  <si>
    <t>SMP Syifa Budi</t>
  </si>
  <si>
    <t>ponpes umul quro</t>
  </si>
  <si>
    <t xml:space="preserve">Lancar dengan tajwid suara bagus </t>
  </si>
  <si>
    <t>SMP IT Al Yasmin 2 Bogor</t>
  </si>
  <si>
    <t>Mahad AlFaruq : 4 juz</t>
  </si>
  <si>
    <t>SMPIT Umul Quro : 10 juz</t>
  </si>
  <si>
    <t>Pondok ma'had tahfidz Al=Qur'an Al=Imam Asy syathiby / 30 juz</t>
  </si>
  <si>
    <t>lancar sesuai tajwid</t>
  </si>
  <si>
    <t>SMP El Makmur / 3 juz</t>
  </si>
  <si>
    <t>SMP BINA INSAN MULIA 2 CIREBON : 5 JUZ</t>
  </si>
  <si>
    <t>SMPIT Rahmaniyah : 7 juz</t>
  </si>
  <si>
    <t>Ponpes Darul Qur'an (10 juz)</t>
  </si>
  <si>
    <t>Lancar dengan tajwid tartil dan suara bagus</t>
  </si>
  <si>
    <t>SMPIT al Iman</t>
  </si>
  <si>
    <t>Lancar dengan tajwid tartil</t>
  </si>
  <si>
    <t>Ponpes Rahmaniya / 5 juz</t>
  </si>
  <si>
    <t xml:space="preserve">Lancar dengan tajwid </t>
  </si>
  <si>
    <t>SMP Sains Whid Hasyim 11 juz</t>
  </si>
  <si>
    <t>SMP Bani Abdillah 8 juz</t>
  </si>
  <si>
    <t>SMPQ As Salam : 30 juz</t>
  </si>
  <si>
    <t>MTS MILBoS International 7 juz</t>
  </si>
  <si>
    <t>Lancar dengn tajwid</t>
  </si>
  <si>
    <t xml:space="preserve">SMPIT AMALIA / </t>
  </si>
  <si>
    <t>SMPIT AMALIA</t>
  </si>
  <si>
    <t>Ponpes Umul Quro</t>
  </si>
  <si>
    <t xml:space="preserve">SMP Al azhar syifa budi </t>
  </si>
  <si>
    <t>Lancar dengan tajwid, suara bagus</t>
  </si>
  <si>
    <t>SMP IT Al-Huda wonogiri</t>
  </si>
  <si>
    <t>Ponpes AlQur'an Al Furqon</t>
  </si>
  <si>
    <t>SMP Anugerah Insani</t>
  </si>
  <si>
    <t xml:space="preserve">Ponpes Assalam islamic boarding school </t>
  </si>
  <si>
    <t>SMP islam AMALIA</t>
  </si>
  <si>
    <t xml:space="preserve">SMPIT Al-Kahfi </t>
  </si>
  <si>
    <t>SMP AMALIA</t>
  </si>
  <si>
    <t>Lancar tanpa tajwid</t>
  </si>
  <si>
    <t>PONPES Darut Taqwa</t>
  </si>
  <si>
    <t>L:ancara dengan tajwid</t>
  </si>
  <si>
    <t>Lancar dengan</t>
  </si>
  <si>
    <t>PEMERINTAH DAERAH PROPINSI JAWA BARAT
DINAS PENDIDIKAN 
 SMA   NEGERI 2 CIBINONG
Jln. Karadenan No. 5 Cibinong Telp/Fax. ( 0251 ) 8654347 Bogor 16913
http://www.sman2-cibinong.sch.id    email: info@sman2-cibinong.sch.id</t>
  </si>
  <si>
    <t>DAFTAR SISWA KELAS X</t>
  </si>
  <si>
    <t xml:space="preserve">TAHUN PELAJARAN 2024/2025 </t>
  </si>
  <si>
    <t>KELAS  X-1</t>
  </si>
  <si>
    <t>Wali Kelas : Wawan Kurniawan, S.Pd.</t>
  </si>
  <si>
    <t>No</t>
  </si>
  <si>
    <t>Jumlah kehadiran siswa</t>
  </si>
  <si>
    <t>Total mentoring</t>
  </si>
  <si>
    <t>ADINDA KHAYLA</t>
  </si>
  <si>
    <t>AL GOFI PATRA</t>
  </si>
  <si>
    <t>ALMIRA TUNGGA DEWI</t>
  </si>
  <si>
    <t>AULYA MAWAL JUNIAR</t>
  </si>
  <si>
    <t>AURELLIA SYIFA HAFIANTI</t>
  </si>
  <si>
    <t>CHIARA NANDA SETIYO FAZRIA</t>
  </si>
  <si>
    <t>CINTIA ZAHFIRAH ASYIAH SIREGAR</t>
  </si>
  <si>
    <t>3081717964</t>
  </si>
  <si>
    <t>DISHA RAMANDA PUTRA</t>
  </si>
  <si>
    <t>ESKISAN OKTRI FEMISTA</t>
  </si>
  <si>
    <t>FAIZA RAMADHANI</t>
  </si>
  <si>
    <t>FAZA AZIMA WAALIDAEN</t>
  </si>
  <si>
    <t>FIRAS RIZQY WICAKSONO</t>
  </si>
  <si>
    <t>IRSYAD NABIHAN</t>
  </si>
  <si>
    <t>JUWINSYAH DWI ARGA</t>
  </si>
  <si>
    <t>KAMIILA PUTRI KHAIRUNNISA</t>
  </si>
  <si>
    <t>KAYLA DHEA NURMA FAUZIAH</t>
  </si>
  <si>
    <t>KEISHA JUAN</t>
  </si>
  <si>
    <t>KEVIN SITANGGANG</t>
  </si>
  <si>
    <t>M. FADLY FADILLAH</t>
  </si>
  <si>
    <t>MARCEL TRI HERMAWAN</t>
  </si>
  <si>
    <t>MUHAMMAD ABIDZAR</t>
  </si>
  <si>
    <t>3083447726</t>
  </si>
  <si>
    <t>MUHAMMAD DZAKY</t>
  </si>
  <si>
    <t>MUHAMMAD RIZKI SALIM</t>
  </si>
  <si>
    <t>NADYA FAYZA AULIA</t>
  </si>
  <si>
    <t>NI MADE NAZELA</t>
  </si>
  <si>
    <t>NI PUTU NAYAKA PRAKASAYATI PASEK</t>
  </si>
  <si>
    <t>NURI SABILATUL ASPIYA</t>
  </si>
  <si>
    <t>RAISYA MAULIDHINA</t>
  </si>
  <si>
    <t>RAMADITYA TANGGUH ALFIAN</t>
  </si>
  <si>
    <t>REYHAN SAPUTRA</t>
  </si>
  <si>
    <t>RIFQI ANINDYA PUTRA</t>
  </si>
  <si>
    <t>SABRINA FIRDAUS ZAHRATUS ZAKARIA</t>
  </si>
  <si>
    <t>SYADIEN KAMILLIA AGUSTIN</t>
  </si>
  <si>
    <t>TALITA PUTRIA CAHYANI</t>
  </si>
  <si>
    <t>TALITA SHAKI AULIA</t>
  </si>
  <si>
    <t>ZULFA LAILA MASHURAH</t>
  </si>
  <si>
    <t>LAKI - LAKI</t>
  </si>
  <si>
    <t>PEREMPUAN</t>
  </si>
  <si>
    <t>Cibinong,  Juli  2024</t>
  </si>
  <si>
    <t>JUMLAH</t>
  </si>
  <si>
    <t>Guru  Mata  Pelajaran,</t>
  </si>
  <si>
    <t>KELAS  X-2</t>
  </si>
  <si>
    <t>Wali Kelas : Dra. Kristina K, M.Pd</t>
  </si>
  <si>
    <t>AIRA EVA FAJARINA</t>
  </si>
  <si>
    <t>0095391975</t>
  </si>
  <si>
    <t>ALYA RAMADHANI</t>
  </si>
  <si>
    <t>AQILA KHAIRUNNISA PUTRI</t>
  </si>
  <si>
    <t>AULIA ERLIN MUMMAIZAH</t>
  </si>
  <si>
    <t>BAGUS SUGIHARTO</t>
  </si>
  <si>
    <t>CALLYSTA SADIRA RIZQULLAH KHANIZA</t>
  </si>
  <si>
    <t>DANISH ALGHIFARI</t>
  </si>
  <si>
    <t>DEANDRA NASHWAN DANISH</t>
  </si>
  <si>
    <t>ELLO SASMITHA JATI</t>
  </si>
  <si>
    <t>ELSAMONIC</t>
  </si>
  <si>
    <t>FAIDA ANNAILA ZAHRA</t>
  </si>
  <si>
    <t>FARIHA TIARA JINAANI</t>
  </si>
  <si>
    <t>FELLYSIA OKTAFIA FERNANDA</t>
  </si>
  <si>
    <t>HAIDAR AL FATHIN</t>
  </si>
  <si>
    <t>ISLAMIAN IKHSA FIRMAWAN</t>
  </si>
  <si>
    <t>0084382398</t>
  </si>
  <si>
    <t>JESSICA CALISTA DEWI</t>
  </si>
  <si>
    <t>KEISYA NURMAULIDA</t>
  </si>
  <si>
    <t>KESYA ARDELIA KUSUMA</t>
  </si>
  <si>
    <t>KEYSA NOVASARI</t>
  </si>
  <si>
    <t>MAYKAILA AINI SURYANINGTYAS TAMIN</t>
  </si>
  <si>
    <t>MUHAMAD AKBAR</t>
  </si>
  <si>
    <t>MUHAMMAD ATHA FAUZANSYAH</t>
  </si>
  <si>
    <t>MUHAMMAD HABIL MULYANA</t>
  </si>
  <si>
    <t>MUHAMMAD NAUFAL SURYADI</t>
  </si>
  <si>
    <t>MUHAMMAD ZAKI ARRAHMAN</t>
  </si>
  <si>
    <t>NAURAH KHANSA WIBAWA</t>
  </si>
  <si>
    <t>NURISYA AULIA SHABIIRA</t>
  </si>
  <si>
    <t>PUTERI KINNAYYA SAEPUDIN</t>
  </si>
  <si>
    <t>PUTRI WIDA AZ-ZAHRA</t>
  </si>
  <si>
    <t>RAIS ALIYAN</t>
  </si>
  <si>
    <t>RIZKY BAIHAQI</t>
  </si>
  <si>
    <t>SAVIRA OKTAVIA PRASETYO</t>
  </si>
  <si>
    <t>SHAYANG CAMILA AHSANIE</t>
  </si>
  <si>
    <t>TRI ANDIKA</t>
  </si>
  <si>
    <t>WANDA ZHAFIRAH</t>
  </si>
  <si>
    <t>ZHAFRAN RAMADHAN DRAJAT SUKMA</t>
  </si>
  <si>
    <t>KELAS  X-3</t>
  </si>
  <si>
    <t>Wali Kelas : Rr. Tatra Sudhawati, S.Pd., M.Pd</t>
  </si>
  <si>
    <t>AHMAD HUMAM RIFQI</t>
  </si>
  <si>
    <t>AISYAH NARA PURUSA NINGSA</t>
  </si>
  <si>
    <t>ANDIKA ARTHA KUSUMA</t>
  </si>
  <si>
    <t>ANNIDA KHAIRUNNISA</t>
  </si>
  <si>
    <t>ASHYA NAVISHA</t>
  </si>
  <si>
    <t>AULIA PUTRI SYAFIRA</t>
  </si>
  <si>
    <t>AULIA RAHMADITIA DANANG</t>
  </si>
  <si>
    <t>AYU WIDYANINGSIH</t>
  </si>
  <si>
    <t>BANUWARMAN</t>
  </si>
  <si>
    <t>CHELSY ASHYLA NAFIZA</t>
  </si>
  <si>
    <t>DANISY NAHDHAN PRATAMA</t>
  </si>
  <si>
    <t>DAVINA MUTIARA ARFI</t>
  </si>
  <si>
    <t>FAIZA ZALFA NADIFA</t>
  </si>
  <si>
    <t>FIONA WAHIDAH SALSABILA</t>
  </si>
  <si>
    <t>FX ARYA BIMA SAPUTRA</t>
  </si>
  <si>
    <t>3090828690</t>
  </si>
  <si>
    <t>HANAN DZUL HILMI</t>
  </si>
  <si>
    <t>HANIF AULIA RIFQY</t>
  </si>
  <si>
    <t>KAYLA PELANGI HARUPI</t>
  </si>
  <si>
    <t>KIRANA NUR'AINI</t>
  </si>
  <si>
    <t>LINA AMELIA DWI ANJANI</t>
  </si>
  <si>
    <t>LUVIYANI</t>
  </si>
  <si>
    <t>M. FAUZAN AIFA HAFIZH</t>
  </si>
  <si>
    <t>MALIKAH PUTRI RAFAN</t>
  </si>
  <si>
    <t>MUHAMMAD AQILA ZHAFRAN KHAIR</t>
  </si>
  <si>
    <t>MUHAMMAD DAFFA KHAIRY MUFID</t>
  </si>
  <si>
    <t>MUHAMMAD ROYYAN</t>
  </si>
  <si>
    <t>MUHAMMAD SYAWAL</t>
  </si>
  <si>
    <t>NI KADEK MASAYU SAVITAR HANDAYANI</t>
  </si>
  <si>
    <t>RAIHANNA ZAHRA AQILAH</t>
  </si>
  <si>
    <t>RAUFAN NABIH FIRMANSYAH</t>
  </si>
  <si>
    <t>ROSLIANI SARRAH</t>
  </si>
  <si>
    <t>SAKINAH NASUTION</t>
  </si>
  <si>
    <t>SALWA AMANDA PUTRI</t>
  </si>
  <si>
    <t>TROY RHEZKY LEMBONG</t>
  </si>
  <si>
    <t>WINDY KENEZ AYU PRAMESTY</t>
  </si>
  <si>
    <t>ZAFARANI AMALIA PUTRI</t>
  </si>
  <si>
    <t>KELAS  X-4</t>
  </si>
  <si>
    <t>Wali Kelas : Dra. Nani Suryani, M.Pd</t>
  </si>
  <si>
    <t>ABHIPRAYA FAHIM GHAZAL ADHIATMA</t>
  </si>
  <si>
    <t>ALIFIA RADYA PRAMESTI</t>
  </si>
  <si>
    <t>ALTHAFUNISA RADISTY SAMIADJI</t>
  </si>
  <si>
    <t>ANINDYA ZHAFIRA SANI</t>
  </si>
  <si>
    <t>ANNEIRA HENDRYTO</t>
  </si>
  <si>
    <t>ANNISA NUR FAJRIYA</t>
  </si>
  <si>
    <t>ARSYILA KAYYISAH BIYANTO</t>
  </si>
  <si>
    <t>ASRI FATIMA AZZAHRA</t>
  </si>
  <si>
    <t>BILAL KAKA PRATAMA HARTOYO</t>
  </si>
  <si>
    <t>DELLA WIDYA WATI</t>
  </si>
  <si>
    <t>DEVI NURAINI</t>
  </si>
  <si>
    <t>FALIQA HAQ HASANAH</t>
  </si>
  <si>
    <t>HIBBAN ABDURRAHMAN</t>
  </si>
  <si>
    <t>JANUAR OBED HOLAND SITOPU</t>
  </si>
  <si>
    <t>JESIKA NAIN CAHAYA SIRINGO RINGO</t>
  </si>
  <si>
    <t>KEISHA EDSEL DARMAWAN</t>
  </si>
  <si>
    <t>KEZIA AULIA HATTALAIBESSIJ</t>
  </si>
  <si>
    <t>KHAIRA RABBANI TSALASA</t>
  </si>
  <si>
    <t>KIRANA AURA AZZAHRA PERMANA</t>
  </si>
  <si>
    <t>KIRANI AIRA SALSABILA PERMANA</t>
  </si>
  <si>
    <t>LAIS YUSUF GHAZALI</t>
  </si>
  <si>
    <t>LEXA EL SOHBIA</t>
  </si>
  <si>
    <t>MIRZA FAIZ AL RAZAK</t>
  </si>
  <si>
    <t>MUHAMMAD ALFIANSYAH</t>
  </si>
  <si>
    <t>MUHAMMAD AMMAR FIRDAUS PUTRA</t>
  </si>
  <si>
    <t>0092210321</t>
  </si>
  <si>
    <t>MUHAMMAD NABIL MA'RUF</t>
  </si>
  <si>
    <t>MUHAMMAD RIFQI HADZAMI</t>
  </si>
  <si>
    <t>MUHAMMAD YUSRIL IHZA BUSTOMI</t>
  </si>
  <si>
    <t>NABILLA ALYA ROHHADI</t>
  </si>
  <si>
    <t>NAZWA MUFIDA</t>
  </si>
  <si>
    <t>RIFKY AKBAR MAULANA</t>
  </si>
  <si>
    <t>SANTIKA FEBYANTI</t>
  </si>
  <si>
    <t>SAVRYA ALWI AMANI</t>
  </si>
  <si>
    <t>SYIFA SEPTIA PUTRI</t>
  </si>
  <si>
    <t>ZAINA HUSNIYATI HAMDANI</t>
  </si>
  <si>
    <t>KELAS  X-5</t>
  </si>
  <si>
    <t>Wali Kelas : Helfy M Ilfa, S.Pd., M.Pd</t>
  </si>
  <si>
    <t>AINI NUR FAUZIAH GUNAWAN</t>
  </si>
  <si>
    <t>ALEX SAPUTRA SURANTA TARIGAN</t>
  </si>
  <si>
    <t>ALEXIA LUIGI LIAN</t>
  </si>
  <si>
    <t>ALLAYDA CINDY ADDRIAN</t>
  </si>
  <si>
    <t>ALOYSIUS ARTHUR SINURAT</t>
  </si>
  <si>
    <t>ANDI ALMAGHFIRA SHABILA SAWERIGADING</t>
  </si>
  <si>
    <t>ANINDITA NARANISA JATI</t>
  </si>
  <si>
    <t>ARIIJ ARRIYAD</t>
  </si>
  <si>
    <t>ARYASATYA TRIDAYA ALAM</t>
  </si>
  <si>
    <t>ATHALIA MAYROSSA KENZIE</t>
  </si>
  <si>
    <t>3086190678</t>
  </si>
  <si>
    <t>BAGASKARA ARYA PERKASA</t>
  </si>
  <si>
    <t>DAFFA DIAZ ARSYA BASHARI</t>
  </si>
  <si>
    <t>DEIVAR BRIMANTARA</t>
  </si>
  <si>
    <t>ECHA PUTRI RAMADHANI</t>
  </si>
  <si>
    <t>FADHILAH DWI SABRINA NUGRAHANING PUTRI</t>
  </si>
  <si>
    <t>FAUZAN NUR HAIDAR</t>
  </si>
  <si>
    <t>FEYZA ALYA MUKHBITA</t>
  </si>
  <si>
    <t>HUSNA ILA KAMIL</t>
  </si>
  <si>
    <t>KHOMAIRAH</t>
  </si>
  <si>
    <t>MAZAYA KAMILAH MANIK</t>
  </si>
  <si>
    <t>MUHAMAD IKMAL</t>
  </si>
  <si>
    <t>MUHAMAD RIZKI SAPUTRA</t>
  </si>
  <si>
    <t>MUHAMAD ZIDAN</t>
  </si>
  <si>
    <t>MUHAMMAD FAIQ ABDURRAHMAN</t>
  </si>
  <si>
    <t>MUSYAFFA NURESHAN PAHLEVI</t>
  </si>
  <si>
    <t>NAILATUL ULLYA</t>
  </si>
  <si>
    <t>NAYSHILA DHIYA ADZKIA</t>
  </si>
  <si>
    <t>NAZUA RISTIYANA VIRAGUPTI</t>
  </si>
  <si>
    <t>PRATAMAYOGA DANISHWARA LESTIYO</t>
  </si>
  <si>
    <t>RADEN DEVAN ALANZULFIAN</t>
  </si>
  <si>
    <t>3098805753</t>
  </si>
  <si>
    <t>RANIA SALSABILA</t>
  </si>
  <si>
    <t>RAZAN MUHAMMAD IHSAN SOLIHIN</t>
  </si>
  <si>
    <t>RIZKA RANA NAILA</t>
  </si>
  <si>
    <t>SALSABILA ALFEEANSYAH PUTRI</t>
  </si>
  <si>
    <t>ZASKYA RISQITA ANDRIANI</t>
  </si>
  <si>
    <t>ZHALIDA DAUMIXY MORA SIREGAR</t>
  </si>
  <si>
    <t>KELAS  X-6</t>
  </si>
  <si>
    <t>Wali Kelas : Dwi Lestari, S.Pd</t>
  </si>
  <si>
    <t>ABHISTA ANGGORO PURNOMO</t>
  </si>
  <si>
    <t>AGISHA MELANDRI</t>
  </si>
  <si>
    <t>AKRAM DIKA SETIAWAN</t>
  </si>
  <si>
    <t>ANANDIO ALFATHIR SUHERMAN</t>
  </si>
  <si>
    <t>ANINDITO PANDU FAHRINUGROHO</t>
  </si>
  <si>
    <t>CHEYSA DARA MAHARANI</t>
  </si>
  <si>
    <t>DESYA MAULIDA</t>
  </si>
  <si>
    <t>0084629336</t>
  </si>
  <si>
    <t>DIANDRA AULIA WANDA</t>
  </si>
  <si>
    <t>DISYA CAHAYA CARRISA</t>
  </si>
  <si>
    <t>FIQUITA NAPU</t>
  </si>
  <si>
    <t>HASNA AZMALEA RADHINA SANTOSA</t>
  </si>
  <si>
    <t>HAYKAL WISNU BAYU WIEMANJI</t>
  </si>
  <si>
    <t>HILWA ZAKIYYAH</t>
  </si>
  <si>
    <t>KHANSA NABILAH FATIN</t>
  </si>
  <si>
    <t>KHANSAA DHIYAA AQIILAA</t>
  </si>
  <si>
    <t>KHOFIFAH ASRINING PANGASTUTI</t>
  </si>
  <si>
    <t>LANGLANG SYAHADAT PULUNG JATI</t>
  </si>
  <si>
    <t>LINGGA ARGAN ZINGGARA</t>
  </si>
  <si>
    <t>MUHAMAD RISKI ADITIYA</t>
  </si>
  <si>
    <t>MUHAMMAD BAGUS HARYO PRATAMA</t>
  </si>
  <si>
    <t>MUHAMMAD NOVAL IRFANDI</t>
  </si>
  <si>
    <t>MUTHIA JASMINE MUTHMA INNAH</t>
  </si>
  <si>
    <t>NABILAH KHOIRUNNISAA</t>
  </si>
  <si>
    <t>NADIAN PUTRI SYAFINA</t>
  </si>
  <si>
    <t>NAURA PRAPRINCESS ANANDA ANBIYA</t>
  </si>
  <si>
    <t>NIKEN ZAHROTHUL SITA</t>
  </si>
  <si>
    <t>RAFA IBNU KANAKA</t>
  </si>
  <si>
    <t>RAHEL ESRA RATUA MANURUNG</t>
  </si>
  <si>
    <t>RAYA FITRI ANJAINI</t>
  </si>
  <si>
    <t>RIFZKI YUSRIN</t>
  </si>
  <si>
    <t>SALWA AISYA PUTRI</t>
  </si>
  <si>
    <t>SAMUEL SAHAT VITO SIREGAR</t>
  </si>
  <si>
    <t>SHINTA AULIA</t>
  </si>
  <si>
    <t>TIARA THALITA DZAKY</t>
  </si>
  <si>
    <t>ZAHRA TALITA DZAKIRA</t>
  </si>
  <si>
    <t>ZIKRA ARIB ROZAAN</t>
  </si>
  <si>
    <t>KELAS  X-7</t>
  </si>
  <si>
    <t>Wali Kelas : Ai Siti Rohimah, S.Pd</t>
  </si>
  <si>
    <t>AHMAD RIYAD SUGIARTO</t>
  </si>
  <si>
    <t>AINA NISA ASYIFA</t>
  </si>
  <si>
    <t>ALDY PRATAMA</t>
  </si>
  <si>
    <t>ALMA DESTIANTI</t>
  </si>
  <si>
    <t>ALYA MUKHBITA HENDRIANA</t>
  </si>
  <si>
    <t>ANIDA DEWI ANJANI</t>
  </si>
  <si>
    <t>AUFA SYAFIQ DISASTRA</t>
  </si>
  <si>
    <t>AURA HUMAIRA PUTRI GUNAWAN</t>
  </si>
  <si>
    <t>AURELI VALENCY ACHILES</t>
  </si>
  <si>
    <t>DANIA ANINDITA TUNGGADEWI</t>
  </si>
  <si>
    <t>DONITA AULIA RAMADHANI</t>
  </si>
  <si>
    <t>ELIZABETH FRANSISKA SIREGAR</t>
  </si>
  <si>
    <t>FATHAN MUBINA</t>
  </si>
  <si>
    <t>GRACEYA FELISYA SINURAT</t>
  </si>
  <si>
    <t>HILMA SANDRIA</t>
  </si>
  <si>
    <t>IRSYAD ABRIAN AL-WARID</t>
  </si>
  <si>
    <t>KEZIA FEODORA SIMARNALA CIBERRO</t>
  </si>
  <si>
    <t>LUKMAN HARUN ADITYA</t>
  </si>
  <si>
    <t>MOCHAMAD LEWIS BATMOMOLIN</t>
  </si>
  <si>
    <t>MUHAMMAD RAYZA IJUDIN</t>
  </si>
  <si>
    <t>NAFIS SYAHRI RAMADHAN</t>
  </si>
  <si>
    <t>QUEEN AQILA ALTHAFUNNISA</t>
  </si>
  <si>
    <t>QUEENSHA ANJANI SUDRAJAT</t>
  </si>
  <si>
    <t>RAY ANITA NATASYA</t>
  </si>
  <si>
    <t>RIZKI MAULANA FADILLAH</t>
  </si>
  <si>
    <t>SABIKA ZAURA KHUMAIRO</t>
  </si>
  <si>
    <t>SAMY ABDURRAHMAN ROMDHONY</t>
  </si>
  <si>
    <t>SANDRIA SALSALINA SEMBIRING KEMBAREN</t>
  </si>
  <si>
    <t>0095672527</t>
  </si>
  <si>
    <t>SYARIFAH KULTSUM SALSABILA</t>
  </si>
  <si>
    <t>SYIFA APRILIA</t>
  </si>
  <si>
    <t>TUMPAL DAVID HOTBONARDO NAPITUPULU</t>
  </si>
  <si>
    <t>WIN MAHARA KUSWANTO</t>
  </si>
  <si>
    <t>WINDA MAHARANI</t>
  </si>
  <si>
    <t>WINTANG HIKMAH KUSUMA DEWI</t>
  </si>
  <si>
    <t>ZAIDAN ALIFAHRIDHO KOESWANTO</t>
  </si>
  <si>
    <t>ZALFA ANAYA PUTRI</t>
  </si>
  <si>
    <t>KELAS  X-8</t>
  </si>
  <si>
    <t>Wali Kelas : Dian Chaerunisa, S.Pd.</t>
  </si>
  <si>
    <t>f</t>
  </si>
  <si>
    <t>ABIMANYU CAKRANINGRAT</t>
  </si>
  <si>
    <t>ADINDA QUEENA MAHESWARI</t>
  </si>
  <si>
    <t>AL-HABI SYEHAR IRAWAN</t>
  </si>
  <si>
    <t>ALWINSA SUGIHARTO</t>
  </si>
  <si>
    <t>0094538769</t>
  </si>
  <si>
    <t>ALYSHA FARRAS</t>
  </si>
  <si>
    <t>ATMA PERTIWI</t>
  </si>
  <si>
    <t>CEMARA ANGGRAENY</t>
  </si>
  <si>
    <t>DAFFA IQRAM AL FACHREZA</t>
  </si>
  <si>
    <t>DINDA SYAFANA ALFATIHA .N .R .K</t>
  </si>
  <si>
    <t>DZAKIRA AFTANI HERDIANTO</t>
  </si>
  <si>
    <t>FADEL MALIQ FATHANI</t>
  </si>
  <si>
    <t>0087585288</t>
  </si>
  <si>
    <t>FUTRI HANDAYANI</t>
  </si>
  <si>
    <t>GAN MUHAMMAD RIZKY</t>
  </si>
  <si>
    <t>GEDE AIRA SAGITA PUTRI KSY</t>
  </si>
  <si>
    <t>INTAN TANIA</t>
  </si>
  <si>
    <t>KARIMAH BASSAM FARIS SAWAFTAH</t>
  </si>
  <si>
    <t>KESYA LARASATI</t>
  </si>
  <si>
    <t>KHANSA MAKAILA KAYYASAH</t>
  </si>
  <si>
    <t>MUHAMAD DAFFA SUGIANTO</t>
  </si>
  <si>
    <t>MUHAMMAD FIKRA BURHAMZAH</t>
  </si>
  <si>
    <t>MUHAMMAD RIZQULLAH SALIM WIBOWO</t>
  </si>
  <si>
    <t>MUHAMMAD SHAFA</t>
  </si>
  <si>
    <t>NADINE KIRANA SARASWATI</t>
  </si>
  <si>
    <t>NADYA PUTRI</t>
  </si>
  <si>
    <t>NASYWA NENO FAUZIAH</t>
  </si>
  <si>
    <t>NATANAEL NADAPDAP</t>
  </si>
  <si>
    <t>NUR SYIFA AZ ZAHRA</t>
  </si>
  <si>
    <t>PUTRI DITA APRILIYA</t>
  </si>
  <si>
    <t>PUTRI KEYSHA M. C</t>
  </si>
  <si>
    <t>QATRUN NADA TANNAQI</t>
  </si>
  <si>
    <t>RIZIEQ ZIDAN RIZAL</t>
  </si>
  <si>
    <t>SHAFIRA GHASSANI</t>
  </si>
  <si>
    <t>SULAIM APENINO ABDULHAQ</t>
  </si>
  <si>
    <t>SYAKIRA</t>
  </si>
  <si>
    <t>VALENTINO AZKA FEBRIAN PUTRA</t>
  </si>
  <si>
    <t>YASMIN SAKURA ARMAWAN</t>
  </si>
  <si>
    <t>KELAS  X-9</t>
  </si>
  <si>
    <t>Wali Kelas : Syamsi Jawawi, S.Pd</t>
  </si>
  <si>
    <t>ABDURRAHMAN SYAUQI</t>
  </si>
  <si>
    <t>AISYAH SYUJA LARASATI SIGIT</t>
  </si>
  <si>
    <t>0094510551</t>
  </si>
  <si>
    <t>ALIFAH KHAIRANI SAWALUDIN</t>
  </si>
  <si>
    <t>ANJAR RAUF FAHRIZAL</t>
  </si>
  <si>
    <t>AYUDIAS RAINA ZARA</t>
  </si>
  <si>
    <t>BUMI RAFFAH AL ISLAHI</t>
  </si>
  <si>
    <t>GIZELLA ANGGRIETTA</t>
  </si>
  <si>
    <t>GRASELA RIYANTI</t>
  </si>
  <si>
    <t>HADAYA BASSAM FARIS SAWAFTAH</t>
  </si>
  <si>
    <t>INTAN ZAHIRA AULIA</t>
  </si>
  <si>
    <t>KESYA RASHAN SYILBIYY FIRDAUS</t>
  </si>
  <si>
    <t>KHAIRUNNISA RAHADATUL AISY</t>
  </si>
  <si>
    <t>MADINA SILVANA DEWI</t>
  </si>
  <si>
    <t>MALIKA NURZAHIRA</t>
  </si>
  <si>
    <t>MAYSA KHUMAIRA</t>
  </si>
  <si>
    <t>MEYDINA KHALIILAH BRAMANTYA</t>
  </si>
  <si>
    <t>MIRZA MUHAMMAD RAFI HANIFALDIN</t>
  </si>
  <si>
    <t>MOCHAMAD FARID REZA</t>
  </si>
  <si>
    <t>MOEHAMAD PUTRA AULIA</t>
  </si>
  <si>
    <t>MOHAMMED ALVARO FAUZAN PURNOMO</t>
  </si>
  <si>
    <t>MUHAMMAD DAFFA RIFAI</t>
  </si>
  <si>
    <t>MUHAMMAD GHAIZYAN ATHAR</t>
  </si>
  <si>
    <t>MUHAMMAD GHIFARAIDOSATA SUWONDO</t>
  </si>
  <si>
    <t>NAZHERA IRBA IWEL</t>
  </si>
  <si>
    <t>NURRY QURATA'AYUN MASTIAR</t>
  </si>
  <si>
    <t>PRITA SELIANA</t>
  </si>
  <si>
    <t>PUTI PELANGI MAHARANI</t>
  </si>
  <si>
    <t>RADHWA KADZIA SALSABILA</t>
  </si>
  <si>
    <t>RADIF ZIYAN MARYONO</t>
  </si>
  <si>
    <t>SAKILA NASUTION</t>
  </si>
  <si>
    <t>SYAHRUL RAMADHAN</t>
  </si>
  <si>
    <t>0800902092</t>
  </si>
  <si>
    <t>TEGAR HERMAWAN ANGGORO</t>
  </si>
  <si>
    <t>VINDY APRILIA KHANAYA</t>
  </si>
  <si>
    <t>VIOLA ANINDITA KURNIAWAN</t>
  </si>
  <si>
    <t>ZAHARA ROMADHONA</t>
  </si>
  <si>
    <t>KELAS  X-10</t>
  </si>
  <si>
    <t>Wali Kelas : Airis Rizkia,  S.Pd.</t>
  </si>
  <si>
    <t>ADITYA NARAYAN</t>
  </si>
  <si>
    <t>AISHA SYAKIRA PUTRI</t>
  </si>
  <si>
    <t>ALMIRA CHAIRUNNISA IMAWAN</t>
  </si>
  <si>
    <t>ALUNA KALILA FAUZAN</t>
  </si>
  <si>
    <t>ANDREA KAIRA NEZZA</t>
  </si>
  <si>
    <t>ARDHITO HIMAWAN DWANTARA</t>
  </si>
  <si>
    <t>ARINDA KHALISHA PAMBUDI</t>
  </si>
  <si>
    <t>ATHA REZKY RIYANSYAH</t>
  </si>
  <si>
    <t>BINTANG ALIF PUTRA SATRIYA</t>
  </si>
  <si>
    <t>CHAERANI YULIANTI</t>
  </si>
  <si>
    <t>DHIYAUL AQLAN ABQORY</t>
  </si>
  <si>
    <t>DIAZ PRADANA PUTRA</t>
  </si>
  <si>
    <t>EVANDIKA JULIANDI</t>
  </si>
  <si>
    <t>FAJRA ANIQ KHALISHA</t>
  </si>
  <si>
    <t>HINEZTA NAILAH SANMAGHFIRAH</t>
  </si>
  <si>
    <t>ILMA NUR AGNIA</t>
  </si>
  <si>
    <t>IMAM AL ASHFIA PRASTOMO</t>
  </si>
  <si>
    <t>JUAN TRI ALEXANDRO IMMANUEL</t>
  </si>
  <si>
    <t>KAHLA MULIA</t>
  </si>
  <si>
    <t>KIREINA ZAHRA YASMAINI</t>
  </si>
  <si>
    <t>M. BINTANG ALIANSYAH TUKUBOYA</t>
  </si>
  <si>
    <t>MUHAMAD GATFAN SURYABAKTI</t>
  </si>
  <si>
    <t>NAUFAL ALGHIFARY ZULYA</t>
  </si>
  <si>
    <t>NAZIRA MEISA</t>
  </si>
  <si>
    <t>NEISHA ARINTA PUTRI SARJANA</t>
  </si>
  <si>
    <t>QUENNA VALENCIA</t>
  </si>
  <si>
    <t>QUINSHA NAURA ADITY</t>
  </si>
  <si>
    <t>QUINTANIA AURA PUTRI</t>
  </si>
  <si>
    <t>RANIA SALSABILLA</t>
  </si>
  <si>
    <t>RIZKY ABDUL BASHIR TUHAREA</t>
  </si>
  <si>
    <t>SAFA ADALIA</t>
  </si>
  <si>
    <t>SANLIA MORANDA BR SILABAN</t>
  </si>
  <si>
    <t>SATRIA ANDHIKA RAISSA</t>
  </si>
  <si>
    <t>SYAIRA FAKHRUDINA PUTRI</t>
  </si>
  <si>
    <t>SYAVIRA DINAR HANDAYANI</t>
  </si>
  <si>
    <t>VIRA APRILIA PUTRI</t>
  </si>
  <si>
    <t>KELAS  X-11</t>
  </si>
  <si>
    <t>Wali Kelas :  Lina Yudiastuti, S.Pd</t>
  </si>
  <si>
    <t>AGIL UMAR</t>
  </si>
  <si>
    <t>AISYAH NUR IZZAH</t>
  </si>
  <si>
    <t>ALMIRA DIAN PRATIWI</t>
  </si>
  <si>
    <t>AMORA ROMADEARNI SINAGA</t>
  </si>
  <si>
    <t>AURELLIA ODELINA ASKANAH HAN</t>
  </si>
  <si>
    <t>AYUKI NIRWASITA SAPUTRO</t>
  </si>
  <si>
    <t>BILQIST AYU WULANDARI</t>
  </si>
  <si>
    <t>3092678408</t>
  </si>
  <si>
    <t>DEVIN ANANDYA SYUJA</t>
  </si>
  <si>
    <t>DZAKIA FITRI</t>
  </si>
  <si>
    <t>ERZAN FAUZY ZULKARNAEN</t>
  </si>
  <si>
    <t>EXCELLITA MAYDA NURUSSYFA</t>
  </si>
  <si>
    <t>FARREL LUTHFI ARVIANSYAH</t>
  </si>
  <si>
    <t>GLENN HUBERT JONATHAN HAHOLONGAN SIMANUNGKALIT</t>
  </si>
  <si>
    <t>HAFIZHOH MARYAM AZ-ZUHAELY</t>
  </si>
  <si>
    <t>JAVASANDA PUTRA PERDANA</t>
  </si>
  <si>
    <t>KAYLA RAHMAH MUMTAZAH</t>
  </si>
  <si>
    <t>KHALISTA BISI ELMYRA</t>
  </si>
  <si>
    <t>MARITZA ALISHA FATHI</t>
  </si>
  <si>
    <t>MAULANA YUSUF PURNAMA</t>
  </si>
  <si>
    <t>MUHAMAD ZAHRAN RAMADHAN</t>
  </si>
  <si>
    <t>MUHAMMAD DALFIN SYAWALDI PUTRA SETIAWAN</t>
  </si>
  <si>
    <t>MUHAMMAD IRGI AVICENNA FACHRIDHO PUTRA</t>
  </si>
  <si>
    <t>OSHE BILQIS NADHIFAH</t>
  </si>
  <si>
    <t>PUTRI ALLYSIA YUSUP</t>
  </si>
  <si>
    <t>PUTRI KHAILA AZZAHRA</t>
  </si>
  <si>
    <t>RAFFA MEYZAIDAN</t>
  </si>
  <si>
    <t>REVALIA SABRINA SAFA</t>
  </si>
  <si>
    <t>SALSABILA PUTRI</t>
  </si>
  <si>
    <t>0081915133</t>
  </si>
  <si>
    <t>SATRIA AHMAD NURFAISAL ARIYANTO</t>
  </si>
  <si>
    <t>SILA NUR FAUZIAH</t>
  </si>
  <si>
    <t>SYAHRENA PITA PINASIH</t>
  </si>
  <si>
    <t>0083624999</t>
  </si>
  <si>
    <t>TRISTAN MUHAMMAD JIBRIL</t>
  </si>
  <si>
    <t>VALETA FEBIOLA IRMADANI</t>
  </si>
  <si>
    <t>WADDIA FAZILA PERMANA</t>
  </si>
  <si>
    <t>ZAHISA RAUDHATUL JANNAH</t>
  </si>
  <si>
    <t>ZASKIA AULIA PUTRI</t>
  </si>
  <si>
    <t>KELAS  X-12</t>
  </si>
  <si>
    <t>Wali Kelas :  Ichsan, S.Pd</t>
  </si>
  <si>
    <t>ALYA ATIFA EDFIYANTI</t>
  </si>
  <si>
    <t>ARYA MUHAMMAD RAIHAN</t>
  </si>
  <si>
    <t>AURELIA SYIFA FIANDRA</t>
  </si>
  <si>
    <t>AZKA  ABIDAH SUKMA CAHYANI</t>
  </si>
  <si>
    <t>BAREP AGHA RIOYO</t>
  </si>
  <si>
    <t>BILQIS KHUMAIRAH PUTRI</t>
  </si>
  <si>
    <t>CAESY APRILIA BAUSIR</t>
  </si>
  <si>
    <t>CHIARA ANGGUN DAMEYANTI SIRAIT</t>
  </si>
  <si>
    <t>DICKY MAULANA</t>
  </si>
  <si>
    <t>EVANIA SARAH ILMIRA</t>
  </si>
  <si>
    <t>FAIZ ALFARIZ</t>
  </si>
  <si>
    <t>GHINA YUMNA</t>
  </si>
  <si>
    <t>GIAN FABRIZIO</t>
  </si>
  <si>
    <t>HERU KURNIA</t>
  </si>
  <si>
    <t>MALA NIRMALA</t>
  </si>
  <si>
    <t>MAULIDA AZ ZAHRA NURRAYANI</t>
  </si>
  <si>
    <t>MAULIDA MAFTUHAH</t>
  </si>
  <si>
    <t>MEYSA YOSI SALSABILA</t>
  </si>
  <si>
    <t>MUHAMMAD FAIRUZ PRATAMA</t>
  </si>
  <si>
    <t>MUHAMMAD FAISAL GHANI</t>
  </si>
  <si>
    <t>MUHAMMAD HIROSHI ALI MUZAFFAR</t>
  </si>
  <si>
    <t>MUHAMMAD SALMAN IRIANSAR</t>
  </si>
  <si>
    <t>NURAFNI MAISA</t>
  </si>
  <si>
    <t>PIONA ABIGAIL ZAMAR SINAGA</t>
  </si>
  <si>
    <t>RACHMAT SAIDI KOES MULYANA</t>
  </si>
  <si>
    <t>RAISSA ZAHRA HIDAYAT</t>
  </si>
  <si>
    <t>RAMA AR RIFATUL ANBIYA</t>
  </si>
  <si>
    <t>RHADITIA FAJAR KASYAHVANI</t>
  </si>
  <si>
    <t>SALSABILA MAULANI</t>
  </si>
  <si>
    <t>SHANAZ MUFIDA</t>
  </si>
  <si>
    <t>SHERYN VALENTIA</t>
  </si>
  <si>
    <t>SURYA RANGGA WISUTA</t>
  </si>
  <si>
    <t>SYAIKHAH ANBAR</t>
  </si>
  <si>
    <t>VINNY VIONITA</t>
  </si>
  <si>
    <t>YASMIN DIVA NURFIQRA</t>
  </si>
  <si>
    <t>ZHAFIRA FATHIN ILMIRA</t>
  </si>
  <si>
    <t>Veril (XII)</t>
  </si>
  <si>
    <t>31 - SUMEN1 BC</t>
  </si>
  <si>
    <t>31 - SUMEN2 BC</t>
  </si>
  <si>
    <t>31 - SUMEN1 GC</t>
  </si>
  <si>
    <t>Ayun/Fahriya</t>
  </si>
  <si>
    <t>31 - SUMEN2 GC</t>
  </si>
  <si>
    <t>32 - SUMEN2 BC</t>
  </si>
  <si>
    <t>32 - SUMEN1 GC</t>
  </si>
  <si>
    <t>32 - SUMEN2 GC</t>
  </si>
  <si>
    <t>Rafli (XII)</t>
  </si>
  <si>
    <t>32 - BC X-3</t>
  </si>
  <si>
    <t>32 - BC X-4</t>
  </si>
  <si>
    <t>32 - BC X-5</t>
  </si>
  <si>
    <t>32 - BC X-6</t>
  </si>
  <si>
    <t>32 - BC X-7</t>
  </si>
  <si>
    <t>Fadhlan (XII)</t>
  </si>
  <si>
    <t>32 - BC X-8</t>
  </si>
  <si>
    <t>32 - BC X-9</t>
  </si>
  <si>
    <t>32 - BC X-10</t>
  </si>
  <si>
    <t>Nadira</t>
  </si>
  <si>
    <t>Amel</t>
  </si>
  <si>
    <t>TAHUN PELAJARAN 2025-2026</t>
  </si>
  <si>
    <t>Wali Kelas : Selly Amalia, S.Hum</t>
  </si>
  <si>
    <t>NO</t>
  </si>
  <si>
    <t>0099038184</t>
  </si>
  <si>
    <t>Azalia Maheswari Christabel</t>
  </si>
  <si>
    <t>0109256207</t>
  </si>
  <si>
    <t>Jesslyn Quinn Gabrielle Sitorus</t>
  </si>
  <si>
    <t>0108537666</t>
  </si>
  <si>
    <t>Johanes Satria Yudha</t>
  </si>
  <si>
    <t>0106690766</t>
  </si>
  <si>
    <t>Kariswan Wahyudi</t>
  </si>
  <si>
    <t>0098409943</t>
  </si>
  <si>
    <t>Maria Rica Stefany Demu</t>
  </si>
  <si>
    <t>0094677765</t>
  </si>
  <si>
    <t>Michael Mazmur Hatorangan Hutabarat</t>
  </si>
  <si>
    <t>Perempuan</t>
  </si>
  <si>
    <t>Laki laki</t>
  </si>
  <si>
    <t>Wali Kelas : Muhammad, S.Pd</t>
  </si>
  <si>
    <t>0109904498</t>
  </si>
  <si>
    <t>Arfan Kristian Perlindungan Harefa</t>
  </si>
  <si>
    <t>0107723856</t>
  </si>
  <si>
    <t>Fatimah Ayu Sekarsari</t>
  </si>
  <si>
    <t>0109361118</t>
  </si>
  <si>
    <t>Lionel Boanerges Raffles Simangunsong</t>
  </si>
  <si>
    <t>0102495325</t>
  </si>
  <si>
    <t>Oryza Angelina Sitohang</t>
  </si>
  <si>
    <t>0105816582</t>
  </si>
  <si>
    <t>Ruth Rafanela Syeby Siregar</t>
  </si>
  <si>
    <t>0109156472</t>
  </si>
  <si>
    <t>Florencia Ivana</t>
  </si>
  <si>
    <t>0098064041</t>
  </si>
  <si>
    <t>Fricilia Aprilyani Cardoso</t>
  </si>
  <si>
    <t>0113691116</t>
  </si>
  <si>
    <t>Gerald Samuel Sitanggang</t>
  </si>
  <si>
    <t>0098772505</t>
  </si>
  <si>
    <t>Keynia Louis Cristin Harianja</t>
  </si>
  <si>
    <t>0103272603</t>
  </si>
  <si>
    <t>Laura Aubrey Gracia Lubis</t>
  </si>
  <si>
    <t>0092154795</t>
  </si>
  <si>
    <t>Muhammad Rizzieq Yusuf Natakusumah</t>
  </si>
  <si>
    <t>Dwi Lestari, S.Pd</t>
  </si>
  <si>
    <t>0103461516</t>
  </si>
  <si>
    <t>Priscilia Michelle Pasau</t>
  </si>
  <si>
    <t>Deden Nur hasanah, S.E</t>
  </si>
  <si>
    <t>3104392139</t>
  </si>
  <si>
    <t>0102488739</t>
  </si>
  <si>
    <t>Wali Kelas : Raden Rara Tatra Sudhawati, S.Pd, M.Pd</t>
  </si>
  <si>
    <t>0096316890</t>
  </si>
  <si>
    <t>Achmad Firza Ghibran</t>
  </si>
  <si>
    <t>0091825991</t>
  </si>
  <si>
    <t>Adi Pati Jaya Prana</t>
  </si>
  <si>
    <t>0109520546</t>
  </si>
  <si>
    <t>Bernala Baratama Sirait</t>
  </si>
  <si>
    <t>0081552525</t>
  </si>
  <si>
    <t>Defrino Viernadi Laitnis Yusfa</t>
  </si>
  <si>
    <t>0091620147</t>
  </si>
  <si>
    <t>Faiha Raqilla Darmawan</t>
  </si>
  <si>
    <t>0096185979</t>
  </si>
  <si>
    <t>Farhan Benzema</t>
  </si>
  <si>
    <t>0105199862</t>
  </si>
  <si>
    <t>Joceline Sisca Lumongga Manurung</t>
  </si>
  <si>
    <t>0098356514</t>
  </si>
  <si>
    <t>Kasih Yuliana Putri</t>
  </si>
  <si>
    <t>0094583694</t>
  </si>
  <si>
    <t>Kharisma Zahra Tiara Putri</t>
  </si>
  <si>
    <t>0095079380</t>
  </si>
  <si>
    <t>Mentari Dwi Anggraeni</t>
  </si>
  <si>
    <t>0108710844</t>
  </si>
  <si>
    <t>Muhammad Hafizh Arrantisi</t>
  </si>
  <si>
    <t>0103242050</t>
  </si>
  <si>
    <t>Muhammad Musyaffa Latief</t>
  </si>
  <si>
    <t>0101582567</t>
  </si>
  <si>
    <t>Quinsha Rizkya Irawan</t>
  </si>
  <si>
    <t>0107445789</t>
  </si>
  <si>
    <t>Raditya Rafa Abdillah</t>
  </si>
  <si>
    <t>0094690365</t>
  </si>
  <si>
    <t>Raynar Abiyu Diera</t>
  </si>
  <si>
    <t>0107096617</t>
  </si>
  <si>
    <t>Taufik Hidayah</t>
  </si>
  <si>
    <t>Wali Kelas : Dian Hairunnisa, S.Pd</t>
  </si>
  <si>
    <t>0094004131</t>
  </si>
  <si>
    <t>Enzo Asido Rama Raditya</t>
  </si>
  <si>
    <t>Wali Kelas : Fatmawati, S.Pd</t>
  </si>
  <si>
    <t>0101801767</t>
  </si>
  <si>
    <t>Gracia Valen Manik</t>
  </si>
  <si>
    <t>Wali Kelas : Eva Fauziah, S.Pd</t>
  </si>
  <si>
    <t>0094286208</t>
  </si>
  <si>
    <t>Claudia Dominique Gabriella Torus</t>
  </si>
  <si>
    <t>0107943430</t>
  </si>
  <si>
    <t>Jeremia Geraldo Siregar</t>
  </si>
  <si>
    <t>0106941532</t>
  </si>
  <si>
    <t>Nava Marietta Siahaan</t>
  </si>
  <si>
    <t>0093324313</t>
  </si>
  <si>
    <t>Vincentius Daniel Ornando</t>
  </si>
  <si>
    <t>Wali Kelas : Rahmalia Dewi, S.Si</t>
  </si>
  <si>
    <t>0109934428</t>
  </si>
  <si>
    <t>Chntya Serlin Armedta Hia</t>
  </si>
  <si>
    <t>0107182013</t>
  </si>
  <si>
    <t>Henokh Prada Dhanendra Prasada</t>
  </si>
  <si>
    <t>0106044416</t>
  </si>
  <si>
    <t>Weny Meylieneke Sianipar</t>
  </si>
  <si>
    <t>0108569165</t>
  </si>
  <si>
    <t>Yoanne Mulin Averina</t>
  </si>
  <si>
    <t>Wali Kelas : Sari Rahayu, S.Pd, M.Pd</t>
  </si>
  <si>
    <t>0096011114</t>
  </si>
  <si>
    <t>Avemarianne Ninetrie Septiane</t>
  </si>
  <si>
    <t>0106434110</t>
  </si>
  <si>
    <t>Maria Agatha Cherlin Christiani</t>
  </si>
  <si>
    <t>0108592067</t>
  </si>
  <si>
    <t>Ni Putu Anjani Dewi Diningrat</t>
  </si>
  <si>
    <t>0095623487</t>
  </si>
  <si>
    <t>Olivia Desvita Sari</t>
  </si>
  <si>
    <t>PEMERINTAH DAERAH PROPINSI JAWA BARAT
DINAS PENDIDIKAN 
 SMA NEGERI 2 CIBINONG
Jln. Karadenan No. 5 Cibinong Telp/Fax. ( 0251 ) 8654347 Bogor 16913
http://www.sman2-cibinong.sch.id    email: info@sman2-cibinong.sch.id</t>
  </si>
  <si>
    <t>Column 1</t>
  </si>
  <si>
    <t>Column 2</t>
  </si>
  <si>
    <t>Column 3</t>
  </si>
  <si>
    <t>Column 4</t>
  </si>
  <si>
    <t>Column 5</t>
  </si>
  <si>
    <t>DAFTAR SISWA KELAS XI</t>
  </si>
  <si>
    <t>KELAS  XI A-1</t>
  </si>
  <si>
    <t>Wali Kelas :  Rizki, S.Pd</t>
  </si>
  <si>
    <t>2324.10.405</t>
  </si>
  <si>
    <t>KELAS  XI A-2</t>
  </si>
  <si>
    <t>Wali Kelas : Dwi Rohmiyatun, S.Pd.</t>
  </si>
  <si>
    <t>2324.10.298</t>
  </si>
  <si>
    <t>KELAS  XI B-1</t>
  </si>
  <si>
    <t>Wali Kelas :  Ilmia Fatonah, S.Pd., M.Pd</t>
  </si>
  <si>
    <t>2324.10.069</t>
  </si>
  <si>
    <t>2324.10.402</t>
  </si>
  <si>
    <t>2324.10.413</t>
  </si>
  <si>
    <t>2324.10.414</t>
  </si>
  <si>
    <t>KELAS  XI B-2</t>
  </si>
  <si>
    <t>Wali Kelas : Srie Endang W, S.Pd., M.Pd</t>
  </si>
  <si>
    <t>2324.10.099</t>
  </si>
  <si>
    <t>2324.10.128</t>
  </si>
  <si>
    <t>2324.10.135</t>
  </si>
  <si>
    <t>2324.10.136</t>
  </si>
  <si>
    <t>2324.10.143</t>
  </si>
  <si>
    <t>2324.10.151</t>
  </si>
  <si>
    <t>2324.10.175</t>
  </si>
  <si>
    <t>2324.10.197</t>
  </si>
  <si>
    <t>2324.10.200</t>
  </si>
  <si>
    <t>2324.10.213</t>
  </si>
  <si>
    <t>2324.10.216</t>
  </si>
  <si>
    <t>2324.10.233</t>
  </si>
  <si>
    <t>2324.10.259</t>
  </si>
  <si>
    <t>2324.10.260</t>
  </si>
  <si>
    <t>2324.10.262</t>
  </si>
  <si>
    <t>2324.10.265</t>
  </si>
  <si>
    <t>2324.10.267</t>
  </si>
  <si>
    <t>2324.10.279</t>
  </si>
  <si>
    <t>2324.10.316</t>
  </si>
  <si>
    <t>2324.10.334</t>
  </si>
  <si>
    <t>2324.10.365</t>
  </si>
  <si>
    <t>2324.10.373</t>
  </si>
  <si>
    <t>2324.10.391</t>
  </si>
  <si>
    <t>2324.10.407</t>
  </si>
  <si>
    <t>2324.10.425</t>
  </si>
  <si>
    <t>2324.10.426</t>
  </si>
  <si>
    <t>KELAS  XI C-1</t>
  </si>
  <si>
    <t>Wali Kelas : Raharjo, S.Pd</t>
  </si>
  <si>
    <t>232410001</t>
  </si>
  <si>
    <t>2324.10.016</t>
  </si>
  <si>
    <t>2324.10.021</t>
  </si>
  <si>
    <t>2324.10.051</t>
  </si>
  <si>
    <t>2324.10.059</t>
  </si>
  <si>
    <t>2324.10.063</t>
  </si>
  <si>
    <t>2324.10.065</t>
  </si>
  <si>
    <t>2324.10.068</t>
  </si>
  <si>
    <t>2324.10.071</t>
  </si>
  <si>
    <t>2324.10.075</t>
  </si>
  <si>
    <t>2324.10.080</t>
  </si>
  <si>
    <t>2324.10.086</t>
  </si>
  <si>
    <t>2324.10.091</t>
  </si>
  <si>
    <t>2324.10.131</t>
  </si>
  <si>
    <t>2324.10.140</t>
  </si>
  <si>
    <t>2324.10.159</t>
  </si>
  <si>
    <t>2324.10.169</t>
  </si>
  <si>
    <t>2324.10.193</t>
  </si>
  <si>
    <t>2324.10.203</t>
  </si>
  <si>
    <t>2324.10.204</t>
  </si>
  <si>
    <t>2324.10.207</t>
  </si>
  <si>
    <t>2324.10.232</t>
  </si>
  <si>
    <t>2324.10.238</t>
  </si>
  <si>
    <t>2324.10.247</t>
  </si>
  <si>
    <t>2324.10.281</t>
  </si>
  <si>
    <t>2324.10.310</t>
  </si>
  <si>
    <t>2324.10.313</t>
  </si>
  <si>
    <t>2324.10.324</t>
  </si>
  <si>
    <t>2324.10.342</t>
  </si>
  <si>
    <t>2324.10.351</t>
  </si>
  <si>
    <t>2324.10.403</t>
  </si>
  <si>
    <t>2324.10.416</t>
  </si>
  <si>
    <t>2324.10.438</t>
  </si>
  <si>
    <t>KELAS  XI C-2</t>
  </si>
  <si>
    <t>Wali Kelas : Nur Adillawati, M.Pd</t>
  </si>
  <si>
    <t>2324.10.008</t>
  </si>
  <si>
    <t>2324.10.025</t>
  </si>
  <si>
    <t>2324.10.039</t>
  </si>
  <si>
    <t>2324.10.044</t>
  </si>
  <si>
    <t>2324.10.046</t>
  </si>
  <si>
    <t>2324.10.083</t>
  </si>
  <si>
    <t>2324.10.085</t>
  </si>
  <si>
    <t>2324.10.087</t>
  </si>
  <si>
    <t>2324.10.102</t>
  </si>
  <si>
    <t>2324.10.115</t>
  </si>
  <si>
    <t>2324.10.120</t>
  </si>
  <si>
    <t>2324.10.121</t>
  </si>
  <si>
    <t>2324.10.155</t>
  </si>
  <si>
    <t>2324.10.167</t>
  </si>
  <si>
    <t>2324.10.176</t>
  </si>
  <si>
    <t>2324.10.192</t>
  </si>
  <si>
    <t>2324.10.196</t>
  </si>
  <si>
    <t>2324.10.437</t>
  </si>
  <si>
    <t>2324.10.208</t>
  </si>
  <si>
    <t>2324.10.221</t>
  </si>
  <si>
    <t>2324.10.224</t>
  </si>
  <si>
    <t>2324.10.230</t>
  </si>
  <si>
    <t>2324.10.235</t>
  </si>
  <si>
    <t>2324.10.248</t>
  </si>
  <si>
    <t>2324.10.252</t>
  </si>
  <si>
    <t>2324.10.253</t>
  </si>
  <si>
    <t>2324.10.255</t>
  </si>
  <si>
    <t>2324.10.261</t>
  </si>
  <si>
    <t>2324.10.320</t>
  </si>
  <si>
    <t>2324.10.332</t>
  </si>
  <si>
    <t>2324.10.341</t>
  </si>
  <si>
    <t>2324.10.348</t>
  </si>
  <si>
    <t>2324.10.352</t>
  </si>
  <si>
    <t>2324.10.409</t>
  </si>
  <si>
    <t>2324.10.424</t>
  </si>
  <si>
    <t>2425.11.438</t>
  </si>
  <si>
    <t>KELAS  XI D-1</t>
  </si>
  <si>
    <t>Wali Kelas : Cony Nugraheni, S.Pd</t>
  </si>
  <si>
    <t>2324.10.006</t>
  </si>
  <si>
    <t>2324.10.014</t>
  </si>
  <si>
    <t>2324.10.018</t>
  </si>
  <si>
    <t>2324.10.033</t>
  </si>
  <si>
    <t>2324.10.037</t>
  </si>
  <si>
    <t>2324.10.042</t>
  </si>
  <si>
    <t>2324.10.049</t>
  </si>
  <si>
    <t>2324.10.058</t>
  </si>
  <si>
    <t>2324.10.070</t>
  </si>
  <si>
    <t>2324.10.076</t>
  </si>
  <si>
    <t>2324.10.103</t>
  </si>
  <si>
    <t>2324.10.113</t>
  </si>
  <si>
    <t>2324.10.123</t>
  </si>
  <si>
    <t>2324.10.126</t>
  </si>
  <si>
    <t>2324.10.132</t>
  </si>
  <si>
    <t>2324.10.146</t>
  </si>
  <si>
    <t>2324.10.149</t>
  </si>
  <si>
    <t>2324.10.150</t>
  </si>
  <si>
    <t>2324.10.153</t>
  </si>
  <si>
    <t>2324.10.164</t>
  </si>
  <si>
    <t>2324.10.179</t>
  </si>
  <si>
    <t>2324.10.186</t>
  </si>
  <si>
    <t>2324.10.195</t>
  </si>
  <si>
    <t>2324.10.211</t>
  </si>
  <si>
    <t>2324.10.234</t>
  </si>
  <si>
    <t>2324.10.258</t>
  </si>
  <si>
    <t>2324.10.294</t>
  </si>
  <si>
    <t>2324.10.317</t>
  </si>
  <si>
    <t>2324.10.336</t>
  </si>
  <si>
    <t>2324.10.339</t>
  </si>
  <si>
    <t>2324.10.340</t>
  </si>
  <si>
    <t>2324.10.343</t>
  </si>
  <si>
    <t>2324.10.364</t>
  </si>
  <si>
    <t>2324.10.375</t>
  </si>
  <si>
    <t>KELAS  XI D-2</t>
  </si>
  <si>
    <t>Wali Kelas : Fatasya Kamal, S.Pd.</t>
  </si>
  <si>
    <t>2324.10.013</t>
  </si>
  <si>
    <t>2324.10.024</t>
  </si>
  <si>
    <t>2324.10.038</t>
  </si>
  <si>
    <t>2324.10.041</t>
  </si>
  <si>
    <t>2324.10.055</t>
  </si>
  <si>
    <t>2324.10.057</t>
  </si>
  <si>
    <t>2324.10 .094</t>
  </si>
  <si>
    <t>2324.10.104</t>
  </si>
  <si>
    <t>2324.10.116</t>
  </si>
  <si>
    <t>2324.10.117</t>
  </si>
  <si>
    <t>2324.10.125</t>
  </si>
  <si>
    <t>2324.10.133</t>
  </si>
  <si>
    <t>2324.10.139</t>
  </si>
  <si>
    <t>2324.10.174</t>
  </si>
  <si>
    <t>2324.10.199</t>
  </si>
  <si>
    <t>2324.10.201</t>
  </si>
  <si>
    <t>2324.10.210</t>
  </si>
  <si>
    <t>2324.10.439</t>
  </si>
  <si>
    <t>2324.10.251</t>
  </si>
  <si>
    <t>2324.10.305</t>
  </si>
  <si>
    <t>2324.10.286</t>
  </si>
  <si>
    <t>2324.10.289</t>
  </si>
  <si>
    <t>2324.10.319</t>
  </si>
  <si>
    <t>2324.10.327</t>
  </si>
  <si>
    <t>2324.10.329</t>
  </si>
  <si>
    <t>2423.10.330</t>
  </si>
  <si>
    <t>2324.10.347</t>
  </si>
  <si>
    <t>2324.10.360</t>
  </si>
  <si>
    <t>2324.10.366</t>
  </si>
  <si>
    <t>2324.10.377</t>
  </si>
  <si>
    <t>2324.10.394</t>
  </si>
  <si>
    <t>2324.10.392</t>
  </si>
  <si>
    <t>2324.10.422</t>
  </si>
  <si>
    <t>2324.10.421</t>
  </si>
  <si>
    <t>KELAS  XI E</t>
  </si>
  <si>
    <t>Wali Kelas : Dewi Rahmawati, S.Pd</t>
  </si>
  <si>
    <t>2324.10.005</t>
  </si>
  <si>
    <t>2324.10.012</t>
  </si>
  <si>
    <t>2324.10.031</t>
  </si>
  <si>
    <t>2324.10.082</t>
  </si>
  <si>
    <t>2324.10.096</t>
  </si>
  <si>
    <t>2324.10.097</t>
  </si>
  <si>
    <t>2324.10.101</t>
  </si>
  <si>
    <t>2324.10.114</t>
  </si>
  <si>
    <t>2324.10.124</t>
  </si>
  <si>
    <t>2324.10.129</t>
  </si>
  <si>
    <t>2324.10.141</t>
  </si>
  <si>
    <t>2324.10.161</t>
  </si>
  <si>
    <t>2324.10.162</t>
  </si>
  <si>
    <t>2324.10.171</t>
  </si>
  <si>
    <t>2324.10.185</t>
  </si>
  <si>
    <t>2324.10.187</t>
  </si>
  <si>
    <t>2324.10.215</t>
  </si>
  <si>
    <t>2324.10.217</t>
  </si>
  <si>
    <t>2324.10.218</t>
  </si>
  <si>
    <t>2324.10.256</t>
  </si>
  <si>
    <t>2324.10.264</t>
  </si>
  <si>
    <t>2324.10.270</t>
  </si>
  <si>
    <t>2324.10.277</t>
  </si>
  <si>
    <t>2324.10.297</t>
  </si>
  <si>
    <t>2324.10.312</t>
  </si>
  <si>
    <t>2324.10.314</t>
  </si>
  <si>
    <t>2324.10.321</t>
  </si>
  <si>
    <t>2324.10.333</t>
  </si>
  <si>
    <t>2324.10.337</t>
  </si>
  <si>
    <t>2324.10.344</t>
  </si>
  <si>
    <t>2324.10.349</t>
  </si>
  <si>
    <t>2324.10.385</t>
  </si>
  <si>
    <t>2324.10.404</t>
  </si>
  <si>
    <t>2324.10.411</t>
  </si>
  <si>
    <t>KELAS  XI F</t>
  </si>
  <si>
    <t>2324.10.010</t>
  </si>
  <si>
    <t>2324.10.015</t>
  </si>
  <si>
    <t>2324.10.017</t>
  </si>
  <si>
    <t>2324.10.019</t>
  </si>
  <si>
    <t>2324.10.020</t>
  </si>
  <si>
    <t>2324.10.023</t>
  </si>
  <si>
    <t>2324.10.027</t>
  </si>
  <si>
    <t>2324.10.035</t>
  </si>
  <si>
    <t>2324.10.036</t>
  </si>
  <si>
    <t>2324.10.064</t>
  </si>
  <si>
    <t>2324.10.067</t>
  </si>
  <si>
    <t>2324.10.074</t>
  </si>
  <si>
    <t>2324.10.078</t>
  </si>
  <si>
    <t>2324.10.079</t>
  </si>
  <si>
    <t>2324.10.084</t>
  </si>
  <si>
    <t>2324.10.088</t>
  </si>
  <si>
    <t>2324.10.093</t>
  </si>
  <si>
    <t>2324.10.098</t>
  </si>
  <si>
    <t>2324.10.106</t>
  </si>
  <si>
    <t>2324.10.107</t>
  </si>
  <si>
    <t>2324.10.145</t>
  </si>
  <si>
    <t>2324.10.168</t>
  </si>
  <si>
    <t>2324.10.188</t>
  </si>
  <si>
    <t>2324.10.206</t>
  </si>
  <si>
    <t>2324.10.219</t>
  </si>
  <si>
    <t>2324.10.237</t>
  </si>
  <si>
    <t>2324.10.254</t>
  </si>
  <si>
    <t>2324.10.290</t>
  </si>
  <si>
    <t>2324.10.304</t>
  </si>
  <si>
    <t>2324.10.311</t>
  </si>
  <si>
    <t>2324.10.331</t>
  </si>
  <si>
    <t>2324.10.380</t>
  </si>
  <si>
    <t>2324.10.381</t>
  </si>
  <si>
    <t>2324.10.397</t>
  </si>
  <si>
    <t>2324.10.400</t>
  </si>
  <si>
    <t>2324.10.406</t>
  </si>
  <si>
    <t>KELAS  XI G-1</t>
  </si>
  <si>
    <t>2324.10.026</t>
  </si>
  <si>
    <t>2324.10.029</t>
  </si>
  <si>
    <t>2324.10.040</t>
  </si>
  <si>
    <t>2324.10.060</t>
  </si>
  <si>
    <t>2324.10.077</t>
  </si>
  <si>
    <t>2324.10.081</t>
  </si>
  <si>
    <t>2324.10.127</t>
  </si>
  <si>
    <t>2324.10.134</t>
  </si>
  <si>
    <t>2324.10.137</t>
  </si>
  <si>
    <t>2324.10.142</t>
  </si>
  <si>
    <t>2324.10.148</t>
  </si>
  <si>
    <t>2324.10.158</t>
  </si>
  <si>
    <t>2324.10.170</t>
  </si>
  <si>
    <t>2324.10.202</t>
  </si>
  <si>
    <t>2324.10.244</t>
  </si>
  <si>
    <t>2324.10.245</t>
  </si>
  <si>
    <t>2324.10.249</t>
  </si>
  <si>
    <t>2324.10.250</t>
  </si>
  <si>
    <t>2324.10.275</t>
  </si>
  <si>
    <t>2324.10.285</t>
  </si>
  <si>
    <t>2324.10.291</t>
  </si>
  <si>
    <t>2324.10.301</t>
  </si>
  <si>
    <t>2324.10.307</t>
  </si>
  <si>
    <t>2324.10.309</t>
  </si>
  <si>
    <t>2324.10.354</t>
  </si>
  <si>
    <t>2324.10.358</t>
  </si>
  <si>
    <t>2324.10.368</t>
  </si>
  <si>
    <t>2324.10.370</t>
  </si>
  <si>
    <t>2324.10.371</t>
  </si>
  <si>
    <t>2324.10.383</t>
  </si>
  <si>
    <t>2324.10.387</t>
  </si>
  <si>
    <t>2324.10.389</t>
  </si>
  <si>
    <t>2324.10.393</t>
  </si>
  <si>
    <t>2324.10.410</t>
  </si>
  <si>
    <t>2324.10.420</t>
  </si>
  <si>
    <t>KELAS  XI G-2</t>
  </si>
  <si>
    <t>Wali Kelas : Imania Bidari, S.Pd</t>
  </si>
  <si>
    <t>2324.10.003</t>
  </si>
  <si>
    <t>2324.10.009</t>
  </si>
  <si>
    <t>2324.10.048</t>
  </si>
  <si>
    <t>2324.10.050</t>
  </si>
  <si>
    <t>2324.10.061</t>
  </si>
  <si>
    <t>2324.10.435</t>
  </si>
  <si>
    <t>2324.10.072</t>
  </si>
  <si>
    <t>2324.10.105</t>
  </si>
  <si>
    <t>2324.10.112</t>
  </si>
  <si>
    <t>2324.10.144</t>
  </si>
  <si>
    <t>2324.10.156</t>
  </si>
  <si>
    <t>2324.10.163</t>
  </si>
  <si>
    <t>2324.10.172</t>
  </si>
  <si>
    <t>2324.10.183</t>
  </si>
  <si>
    <t>2324.10.184</t>
  </si>
  <si>
    <t>2324.10.198</t>
  </si>
  <si>
    <t>2324.10.225</t>
  </si>
  <si>
    <t>2324.10.239</t>
  </si>
  <si>
    <t>2324.10.242</t>
  </si>
  <si>
    <t>2324.10.263</t>
  </si>
  <si>
    <t>2324.10.269</t>
  </si>
  <si>
    <t>2324.10.276</t>
  </si>
  <si>
    <t>2324.10.280</t>
  </si>
  <si>
    <t>2324.10.288</t>
  </si>
  <si>
    <t>2324.10.295</t>
  </si>
  <si>
    <t>2324.10.300</t>
  </si>
  <si>
    <t>2324.10.440</t>
  </si>
  <si>
    <t>2324.10.326</t>
  </si>
  <si>
    <t>2324.10.335</t>
  </si>
  <si>
    <t>2122.10.341</t>
  </si>
  <si>
    <t>2324.10.350</t>
  </si>
  <si>
    <t>2324.10.355</t>
  </si>
  <si>
    <t>2324.10.369</t>
  </si>
  <si>
    <t>2324.10.374</t>
  </si>
  <si>
    <t>2324.10.396</t>
  </si>
  <si>
    <t>2324.10.415</t>
  </si>
  <si>
    <t>2324.10.419</t>
  </si>
  <si>
    <t>Column 21</t>
  </si>
  <si>
    <t>Column 6</t>
  </si>
  <si>
    <t>Column 7</t>
  </si>
  <si>
    <t>Column 8</t>
  </si>
  <si>
    <t>Column 9</t>
  </si>
  <si>
    <t>Column 11</t>
  </si>
  <si>
    <t>Column 12</t>
  </si>
  <si>
    <t>Column 13</t>
  </si>
  <si>
    <t>Column 14</t>
  </si>
  <si>
    <t>Column 15</t>
  </si>
  <si>
    <t>Column 16</t>
  </si>
  <si>
    <t>Column 17</t>
  </si>
  <si>
    <t>Column 18</t>
  </si>
  <si>
    <t>Column 19</t>
  </si>
  <si>
    <t>JML</t>
  </si>
  <si>
    <t>S</t>
  </si>
  <si>
    <t>I</t>
  </si>
  <si>
    <t>A</t>
  </si>
  <si>
    <r>
      <rPr>
        <rFont val="Calibri"/>
        <color theme="1"/>
        <sz val="10.0"/>
      </rPr>
      <t>L</t>
    </r>
  </si>
  <si>
    <r>
      <rPr>
        <rFont val="Calibri"/>
        <color theme="1"/>
        <sz val="10.0"/>
      </rPr>
      <t>L</t>
    </r>
  </si>
  <si>
    <r>
      <rPr>
        <rFont val="Calibri"/>
        <color theme="1"/>
        <sz val="10.0"/>
      </rPr>
      <t>P</t>
    </r>
  </si>
  <si>
    <r>
      <rPr>
        <rFont val="Calibri"/>
        <color theme="1"/>
        <sz val="10.0"/>
      </rPr>
      <t>P</t>
    </r>
  </si>
  <si>
    <r>
      <rPr>
        <rFont val="Calibri"/>
        <color theme="1"/>
        <sz val="10.0"/>
      </rPr>
      <t>P</t>
    </r>
  </si>
  <si>
    <r>
      <rPr>
        <rFont val="Calibri"/>
        <color theme="1"/>
        <sz val="10.0"/>
      </rPr>
      <t>L</t>
    </r>
  </si>
  <si>
    <r>
      <rPr>
        <rFont val="Calibri"/>
        <color theme="1"/>
        <sz val="10.0"/>
      </rPr>
      <t>P</t>
    </r>
  </si>
  <si>
    <r>
      <rPr>
        <rFont val="Calibri"/>
        <color theme="1"/>
        <sz val="10.0"/>
      </rPr>
      <t>L</t>
    </r>
  </si>
  <si>
    <r>
      <rPr>
        <rFont val="Calibri"/>
        <color theme="1"/>
        <sz val="10.0"/>
      </rPr>
      <t>L</t>
    </r>
  </si>
  <si>
    <r>
      <rPr>
        <rFont val="Calibri"/>
        <color theme="1"/>
        <sz val="10.0"/>
      </rPr>
      <t>L</t>
    </r>
  </si>
  <si>
    <r>
      <rPr>
        <rFont val="Calibri"/>
        <color theme="1"/>
        <sz val="10.0"/>
      </rPr>
      <t>P</t>
    </r>
  </si>
  <si>
    <r>
      <rPr>
        <rFont val="Calibri"/>
        <color theme="1"/>
        <sz val="10.0"/>
      </rPr>
      <t>P</t>
    </r>
  </si>
  <si>
    <r>
      <rPr>
        <rFont val="Calibri"/>
        <color theme="1"/>
        <sz val="10.0"/>
      </rPr>
      <t>L</t>
    </r>
  </si>
  <si>
    <r>
      <rPr>
        <rFont val="Calibri"/>
        <color theme="1"/>
        <sz val="10.0"/>
      </rPr>
      <t>L</t>
    </r>
  </si>
  <si>
    <r>
      <rPr>
        <rFont val="Calibri"/>
        <color theme="1"/>
        <sz val="10.0"/>
      </rPr>
      <t>P</t>
    </r>
  </si>
  <si>
    <r>
      <rPr>
        <rFont val="Calibri"/>
        <color theme="1"/>
        <sz val="10.0"/>
      </rPr>
      <t>P</t>
    </r>
  </si>
  <si>
    <r>
      <rPr>
        <rFont val="Calibri"/>
        <color theme="1"/>
        <sz val="10.0"/>
      </rPr>
      <t>P</t>
    </r>
  </si>
  <si>
    <r>
      <rPr>
        <rFont val="Calibri"/>
        <color theme="1"/>
        <sz val="10.0"/>
      </rPr>
      <t>P</t>
    </r>
  </si>
  <si>
    <r>
      <rPr>
        <rFont val="Calibri"/>
        <color theme="1"/>
        <sz val="10.0"/>
      </rPr>
      <t>P</t>
    </r>
  </si>
  <si>
    <r>
      <rPr>
        <rFont val="Calibri"/>
        <color theme="1"/>
        <sz val="10.0"/>
      </rPr>
      <t>P</t>
    </r>
  </si>
  <si>
    <r>
      <rPr>
        <rFont val="Calibri"/>
        <color theme="1"/>
        <sz val="10.0"/>
      </rPr>
      <t>P</t>
    </r>
  </si>
  <si>
    <r>
      <rPr>
        <rFont val="Calibri"/>
        <color theme="1"/>
        <sz val="10.0"/>
      </rPr>
      <t>L</t>
    </r>
  </si>
  <si>
    <r>
      <rPr>
        <rFont val="Calibri"/>
        <color theme="1"/>
        <sz val="10.0"/>
      </rPr>
      <t>L</t>
    </r>
  </si>
  <si>
    <r>
      <rPr>
        <rFont val="Calibri"/>
        <color theme="1"/>
        <sz val="10.0"/>
      </rPr>
      <t>P</t>
    </r>
  </si>
  <si>
    <r>
      <rPr>
        <rFont val="Calibri"/>
        <color theme="1"/>
        <sz val="10.0"/>
      </rPr>
      <t>P</t>
    </r>
  </si>
  <si>
    <r>
      <rPr>
        <rFont val="Calibri"/>
        <color theme="1"/>
        <sz val="10.0"/>
      </rPr>
      <t>P</t>
    </r>
  </si>
  <si>
    <r>
      <rPr>
        <rFont val="Calibri"/>
        <color theme="1"/>
        <sz val="10.0"/>
      </rPr>
      <t>P</t>
    </r>
  </si>
  <si>
    <r>
      <rPr>
        <rFont val="Calibri"/>
        <color theme="1"/>
        <sz val="10.0"/>
      </rPr>
      <t>P</t>
    </r>
  </si>
  <si>
    <r>
      <rPr>
        <rFont val="Calibri"/>
        <color theme="1"/>
        <sz val="10.0"/>
      </rPr>
      <t>P</t>
    </r>
  </si>
  <si>
    <r>
      <rPr>
        <rFont val="Calibri"/>
        <color theme="1"/>
        <sz val="10.0"/>
      </rPr>
      <t>L</t>
    </r>
  </si>
  <si>
    <r>
      <rPr>
        <rFont val="Calibri"/>
        <color theme="1"/>
        <sz val="10.0"/>
      </rPr>
      <t>P</t>
    </r>
  </si>
  <si>
    <r>
      <rPr>
        <rFont val="Calibri"/>
        <color theme="1"/>
        <sz val="10.0"/>
      </rPr>
      <t>P</t>
    </r>
  </si>
  <si>
    <r>
      <rPr>
        <rFont val="Calibri"/>
        <color theme="1"/>
        <sz val="10.0"/>
      </rPr>
      <t>P</t>
    </r>
  </si>
  <si>
    <r>
      <rPr>
        <rFont val="Calibri"/>
        <color theme="1"/>
        <sz val="10.0"/>
      </rPr>
      <t>P</t>
    </r>
  </si>
  <si>
    <r>
      <rPr>
        <rFont val="Calibri"/>
        <color theme="1"/>
        <sz val="10.0"/>
      </rPr>
      <t>P</t>
    </r>
  </si>
  <si>
    <r>
      <rPr>
        <rFont val="Calibri"/>
        <color theme="1"/>
        <sz val="10.0"/>
      </rPr>
      <t>P</t>
    </r>
  </si>
  <si>
    <t>Cibinong,  Juli  2025</t>
  </si>
  <si>
    <t>242510395</t>
  </si>
  <si>
    <t>242510421</t>
  </si>
  <si>
    <t>Mentor:</t>
  </si>
  <si>
    <t>Oshe (XII)</t>
  </si>
  <si>
    <t>Job ID</t>
  </si>
  <si>
    <t>Job Name</t>
  </si>
  <si>
    <t>Template ID</t>
  </si>
  <si>
    <t>Data Sheet ID</t>
  </si>
  <si>
    <t>Header Row</t>
  </si>
  <si>
    <t>First Data Row</t>
  </si>
  <si>
    <t>File Name</t>
  </si>
  <si>
    <t>File Type</t>
  </si>
  <si>
    <t>Share As</t>
  </si>
  <si>
    <t>Folders</t>
  </si>
  <si>
    <t>Dynamic Folder Reference</t>
  </si>
  <si>
    <t>Conditionals</t>
  </si>
  <si>
    <t>Mode</t>
  </si>
  <si>
    <t>Append Breaks</t>
  </si>
  <si>
    <t>Tags</t>
  </si>
  <si>
    <t>Run On Time Trigger</t>
  </si>
  <si>
    <t>Time Trigger Frequency</t>
  </si>
  <si>
    <t>Run On Form Trigger</t>
  </si>
  <si>
    <t>Send Email And Share</t>
  </si>
  <si>
    <t>Email To</t>
  </si>
  <si>
    <t>Email CC</t>
  </si>
  <si>
    <t>Email BCC</t>
  </si>
  <si>
    <t>Email Reply To</t>
  </si>
  <si>
    <t>Email No Reply</t>
  </si>
  <si>
    <t>Email Subject</t>
  </si>
  <si>
    <t>Email Body</t>
  </si>
  <si>
    <t>Prevent Resharing</t>
  </si>
  <si>
    <t>Time Trigger Timestamp</t>
  </si>
  <si>
    <t>Form Trigger Timestamp</t>
  </si>
  <si>
    <t>_1757397122811</t>
  </si>
  <si>
    <t>Kartu QR Code</t>
  </si>
  <si>
    <t>12Ogl_11nKQwIMq8xOQM2amG3tEYiJT0N7e6jAyPnP6I</t>
  </si>
  <si>
    <t>&lt;&lt;ANGKATAN&gt;&gt; - &lt;&lt;KELAS TA&gt;&gt; - &lt;&lt;NAMA&gt;&gt;</t>
  </si>
  <si>
    <t>PDF</t>
  </si>
  <si>
    <t>["1ze5tdMBTBjagJyUYAPtuuJtvShVNKlll"]</t>
  </si>
  <si>
    <t>[]</t>
  </si>
  <si>
    <t>[{"headerMap":"NISN / NISN","value":"NOT NULL"}]</t>
  </si>
  <si>
    <t>MULTIPLE_OUTPUT</t>
  </si>
  <si>
    <t>[{"tag":"QR Code","type":"IMAGE","details":{"isUnmapped":false,"headerMap":"QR Code"}},{"tag":"Gen","type":"STANDARD","details":{"isUnmapped":false,"headerMap":"ANGKATAN"}},{"tag":"Kelas","type":"STANDARD","details":{"headerMap":"KELAS TA","isUnmapped":false}},{"tag":"Nama Lengkap","type":"STANDARD","details":{"isUnmapped":false,"headerMap":"NAMA"}},{"tag":"NISN","type":"STANDARD","details":{"headerMap":"NISN / NISN","isUnmapped":false}}]</t>
  </si>
  <si>
    <t>Laki-laki</t>
  </si>
  <si>
    <t>TAHUN PELAJARAN 2025/2026</t>
  </si>
  <si>
    <t xml:space="preserve">Perempuan </t>
  </si>
  <si>
    <t>Wali Kelas :  Dwi Rokhmiatun, S.Pd</t>
  </si>
  <si>
    <t>ABSENSI SISWA</t>
  </si>
  <si>
    <t>BULAN ………. / Pertemuan Ke- …….</t>
  </si>
  <si>
    <r>
      <rPr>
        <rFont val="Calibri"/>
        <color theme="1"/>
        <sz val="10.0"/>
      </rPr>
      <t>L</t>
    </r>
  </si>
  <si>
    <r>
      <rPr>
        <rFont val="Calibri"/>
        <color theme="1"/>
        <sz val="10.0"/>
      </rPr>
      <t>L</t>
    </r>
  </si>
  <si>
    <r>
      <rPr>
        <rFont val="Calibri"/>
        <color theme="1"/>
        <sz val="10.0"/>
      </rPr>
      <t>P</t>
    </r>
  </si>
  <si>
    <r>
      <rPr>
        <rFont val="Calibri"/>
        <color theme="1"/>
        <sz val="10.0"/>
      </rPr>
      <t>P</t>
    </r>
  </si>
  <si>
    <r>
      <rPr>
        <rFont val="Calibri"/>
        <color theme="1"/>
        <sz val="10.0"/>
      </rPr>
      <t>P</t>
    </r>
  </si>
  <si>
    <r>
      <rPr>
        <rFont val="Calibri"/>
        <color theme="1"/>
        <sz val="10.0"/>
      </rPr>
      <t>L</t>
    </r>
  </si>
  <si>
    <r>
      <rPr>
        <rFont val="Calibri"/>
        <color theme="1"/>
        <sz val="10.0"/>
      </rPr>
      <t>P</t>
    </r>
  </si>
  <si>
    <r>
      <rPr>
        <rFont val="Calibri"/>
        <color theme="1"/>
        <sz val="10.0"/>
      </rPr>
      <t>L</t>
    </r>
  </si>
  <si>
    <r>
      <rPr>
        <rFont val="Calibri"/>
        <color theme="1"/>
        <sz val="10.0"/>
      </rPr>
      <t>L</t>
    </r>
  </si>
  <si>
    <r>
      <rPr>
        <rFont val="Calibri"/>
        <color theme="1"/>
        <sz val="10.0"/>
      </rPr>
      <t>L</t>
    </r>
  </si>
  <si>
    <r>
      <rPr>
        <rFont val="Calibri"/>
        <color theme="1"/>
        <sz val="10.0"/>
      </rPr>
      <t>P</t>
    </r>
  </si>
  <si>
    <r>
      <rPr>
        <rFont val="Calibri"/>
        <color theme="1"/>
        <sz val="10.0"/>
      </rPr>
      <t>P</t>
    </r>
  </si>
  <si>
    <r>
      <rPr>
        <rFont val="Calibri"/>
        <color theme="1"/>
        <sz val="10.0"/>
      </rPr>
      <t>L</t>
    </r>
  </si>
  <si>
    <r>
      <rPr>
        <rFont val="Calibri"/>
        <color theme="1"/>
        <sz val="10.0"/>
      </rPr>
      <t>L</t>
    </r>
  </si>
  <si>
    <r>
      <rPr>
        <rFont val="Calibri"/>
        <color theme="1"/>
        <sz val="10.0"/>
      </rPr>
      <t>P</t>
    </r>
  </si>
  <si>
    <r>
      <rPr>
        <rFont val="Calibri"/>
        <color theme="1"/>
        <sz val="10.0"/>
      </rPr>
      <t>P</t>
    </r>
  </si>
  <si>
    <r>
      <rPr>
        <rFont val="Calibri"/>
        <color theme="1"/>
        <sz val="10.0"/>
      </rPr>
      <t>P</t>
    </r>
  </si>
  <si>
    <r>
      <rPr>
        <rFont val="Calibri"/>
        <color theme="1"/>
        <sz val="10.0"/>
      </rPr>
      <t>P</t>
    </r>
  </si>
  <si>
    <r>
      <rPr>
        <rFont val="Calibri"/>
        <color theme="1"/>
        <sz val="10.0"/>
      </rPr>
      <t>P</t>
    </r>
  </si>
  <si>
    <r>
      <rPr>
        <rFont val="Calibri"/>
        <color theme="1"/>
        <sz val="10.0"/>
      </rPr>
      <t>P</t>
    </r>
  </si>
  <si>
    <r>
      <rPr>
        <rFont val="Calibri"/>
        <color theme="1"/>
        <sz val="10.0"/>
      </rPr>
      <t>P</t>
    </r>
  </si>
  <si>
    <r>
      <rPr>
        <rFont val="Calibri"/>
        <color theme="1"/>
        <sz val="10.0"/>
      </rPr>
      <t>L</t>
    </r>
  </si>
  <si>
    <r>
      <rPr>
        <rFont val="Calibri"/>
        <color theme="1"/>
        <sz val="10.0"/>
      </rPr>
      <t>L</t>
    </r>
  </si>
  <si>
    <r>
      <rPr>
        <rFont val="Calibri"/>
        <color theme="1"/>
        <sz val="10.0"/>
      </rPr>
      <t>P</t>
    </r>
  </si>
  <si>
    <r>
      <rPr>
        <rFont val="Calibri"/>
        <color theme="1"/>
        <sz val="10.0"/>
      </rPr>
      <t>P</t>
    </r>
  </si>
  <si>
    <r>
      <rPr>
        <rFont val="Calibri"/>
        <color theme="1"/>
        <sz val="10.0"/>
      </rPr>
      <t>P</t>
    </r>
  </si>
  <si>
    <r>
      <rPr>
        <rFont val="Calibri"/>
        <color theme="1"/>
        <sz val="10.0"/>
      </rPr>
      <t>P</t>
    </r>
  </si>
  <si>
    <r>
      <rPr>
        <rFont val="Calibri"/>
        <color theme="1"/>
        <sz val="10.0"/>
      </rPr>
      <t>P</t>
    </r>
  </si>
  <si>
    <r>
      <rPr>
        <rFont val="Calibri"/>
        <color theme="1"/>
        <sz val="10.0"/>
      </rPr>
      <t>P</t>
    </r>
  </si>
  <si>
    <r>
      <rPr>
        <rFont val="Calibri"/>
        <color theme="1"/>
        <sz val="10.0"/>
      </rPr>
      <t>L</t>
    </r>
  </si>
  <si>
    <r>
      <rPr>
        <rFont val="Calibri"/>
        <color theme="1"/>
        <sz val="10.0"/>
      </rPr>
      <t>P</t>
    </r>
  </si>
  <si>
    <r>
      <rPr>
        <rFont val="Calibri"/>
        <color theme="1"/>
        <sz val="10.0"/>
      </rPr>
      <t>P</t>
    </r>
  </si>
  <si>
    <r>
      <rPr>
        <rFont val="Calibri"/>
        <color theme="1"/>
        <sz val="10.0"/>
      </rPr>
      <t>P</t>
    </r>
  </si>
  <si>
    <r>
      <rPr>
        <rFont val="Calibri"/>
        <color theme="1"/>
        <sz val="10.0"/>
      </rPr>
      <t>P</t>
    </r>
  </si>
  <si>
    <r>
      <rPr>
        <rFont val="Calibri"/>
        <color theme="1"/>
        <sz val="10.0"/>
      </rPr>
      <t>P</t>
    </r>
  </si>
  <si>
    <r>
      <rPr>
        <rFont val="Calibri"/>
        <color theme="1"/>
        <sz val="10.0"/>
      </rPr>
      <t>P</t>
    </r>
  </si>
  <si>
    <t>Wali Kelas : Ichsan, S.Pd</t>
  </si>
  <si>
    <t xml:space="preserve">TAHUN PELAJARAN 2025/2026 </t>
  </si>
  <si>
    <t>Wali Kelas : Ilmia Fatinah, S.Pd, M.Pd</t>
  </si>
  <si>
    <t>Wali Kelas : Dijah Noeringtyas, M.Pd</t>
  </si>
  <si>
    <t>KELAS  XI C</t>
  </si>
  <si>
    <t>Wali Kelas : Teguh Satya Pratama, S.Pd</t>
  </si>
  <si>
    <t>Wali Kelas : Dra. Kristiana K, M.Pd</t>
  </si>
  <si>
    <t>Wali Kelas : Rizki, S.Pd</t>
  </si>
  <si>
    <t>KELAS  XI D-3</t>
  </si>
  <si>
    <t>Wali Kelas : Tintin Sugiharti, M.Pd</t>
  </si>
  <si>
    <t>KELAS  XI E-1</t>
  </si>
  <si>
    <t>KELAS  XI E-2</t>
  </si>
  <si>
    <t>Wali Kelas : Margaretha Sumartining, S.Pd</t>
  </si>
  <si>
    <t>KELAS  XI F-1</t>
  </si>
  <si>
    <t>Wali Kelas : Nur Adillawati, S.Pd, M.Pd</t>
  </si>
  <si>
    <t>KELAS  XI F-2</t>
  </si>
  <si>
    <t>Wali Kelas : Airis Rizkia, S.Pd</t>
  </si>
  <si>
    <t>LAKI-LAKI</t>
  </si>
  <si>
    <t>=</t>
  </si>
  <si>
    <t xml:space="preserve"> </t>
  </si>
  <si>
    <t>DAFTAR CAPAIAN PEMBELAJARAN SEMESTER 1</t>
  </si>
  <si>
    <t>TAHUN PELAJARAN 2025 - 2026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</si>
</sst>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/d/yyyy h:mm:ss"/>
    <numFmt numFmtId="165" formatCode="#"/>
    <numFmt numFmtId="166" formatCode="m/d"/>
    <numFmt numFmtId="167" formatCode="m-d"/>
  </numFmts>
  <fonts count="40">
    <font>
      <sz val="10.0"/>
      <color rgb="FF000000"/>
      <name val="Arial"/>
      <scheme val="minor"/>
    </font>
    <font>
      <color theme="1"/>
      <name val="Arial"/>
      <scheme val="minor"/>
    </font>
    <font>
      <sz val="9.0"/>
      <color theme="1"/>
      <name val="Arial"/>
    </font>
    <font>
      <b/>
      <i/>
      <sz val="9.0"/>
      <color rgb="FF000000"/>
      <name val="Arial"/>
    </font>
    <font>
      <u/>
      <sz val="9.0"/>
      <color rgb="FF0000FF"/>
      <name val="Arial"/>
    </font>
    <font>
      <u/>
      <sz val="9.0"/>
      <color rgb="FF0000FF"/>
      <name val="Arial"/>
    </font>
    <font>
      <sz val="9.0"/>
      <color rgb="FF1F1F1F"/>
      <name val="Arial"/>
    </font>
    <font>
      <b/>
      <sz val="9.0"/>
      <color theme="1"/>
      <name val="Arial"/>
    </font>
    <font>
      <b/>
      <sz val="18.0"/>
      <color theme="1"/>
      <name val="Arial"/>
    </font>
    <font>
      <color theme="1"/>
      <name val="Arial"/>
    </font>
    <font>
      <b/>
      <color theme="1"/>
      <name val="Arial"/>
    </font>
    <font>
      <b/>
      <color theme="1"/>
      <name val="Arial"/>
      <scheme val="minor"/>
    </font>
    <font>
      <sz val="11.0"/>
      <color theme="1"/>
      <name val="Calibri"/>
    </font>
    <font>
      <b/>
      <sz val="11.0"/>
      <color theme="1"/>
      <name val="Calibri"/>
    </font>
    <font/>
    <font>
      <b/>
      <sz val="11.0"/>
      <color theme="1"/>
      <name val="Arial"/>
    </font>
    <font>
      <b/>
      <sz val="12.0"/>
      <color theme="1"/>
      <name val="Arial"/>
    </font>
    <font>
      <color rgb="FF1E293B"/>
      <name val="Arial"/>
    </font>
    <font>
      <sz val="11.0"/>
      <color theme="1"/>
      <name val="Arial"/>
    </font>
    <font>
      <sz val="12.0"/>
      <color theme="1"/>
      <name val="Calibri"/>
    </font>
    <font>
      <sz val="8.0"/>
      <color theme="1"/>
      <name val="Arial"/>
    </font>
    <font>
      <b/>
      <sz val="10.0"/>
      <color theme="1"/>
      <name val="Arial"/>
    </font>
    <font>
      <sz val="10.0"/>
      <color rgb="FF000000"/>
      <name val="Arial"/>
    </font>
    <font>
      <b/>
      <sz val="11.0"/>
      <color rgb="FF000000"/>
      <name val="Arial"/>
    </font>
    <font>
      <b/>
      <sz val="12.0"/>
      <color rgb="FF000000"/>
      <name val="Arial"/>
    </font>
    <font>
      <b/>
      <sz val="10.0"/>
      <color rgb="FF000000"/>
      <name val="Arial"/>
    </font>
    <font>
      <b/>
      <sz val="9.0"/>
      <color rgb="FF000000"/>
      <name val="Arial"/>
    </font>
    <font>
      <sz val="9.0"/>
      <color rgb="FF000000"/>
      <name val="Arial"/>
    </font>
    <font>
      <sz val="10.0"/>
      <color theme="1"/>
      <name val="Calibri"/>
    </font>
    <font>
      <sz val="10.0"/>
      <color theme="1"/>
      <name val="Arial"/>
    </font>
    <font>
      <sz val="11.0"/>
      <color rgb="FF000000"/>
      <name val="Calibri"/>
    </font>
    <font>
      <sz val="11.0"/>
      <color rgb="FF000000"/>
      <name val="Arial"/>
    </font>
    <font>
      <sz val="10.0"/>
      <color rgb="FF4386F4"/>
      <name val="Arial"/>
    </font>
    <font>
      <sz val="11.0"/>
      <color rgb="FFE94333"/>
      <name val="Arial"/>
    </font>
    <font>
      <sz val="9.0"/>
      <color rgb="FFE94333"/>
      <name val="Arial"/>
    </font>
    <font>
      <sz val="9.0"/>
      <color rgb="FF4386F4"/>
      <name val="Arial"/>
    </font>
    <font>
      <sz val="11.0"/>
      <color rgb="FF4386F4"/>
      <name val="Arial"/>
    </font>
    <font>
      <b/>
      <sz val="15.0"/>
      <color theme="1"/>
      <name val="Calibri"/>
    </font>
    <font>
      <sz val="10.0"/>
      <color rgb="FF1F1F1F"/>
      <name val="Calibri"/>
    </font>
    <font>
      <b/>
      <sz val="10.0"/>
      <color theme="1"/>
      <name val="Calibri"/>
    </font>
  </fonts>
  <fills count="12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  <fill>
      <patternFill patternType="solid">
        <fgColor rgb="FF3D85C6"/>
        <bgColor rgb="FF3D85C6"/>
      </patternFill>
    </fill>
    <fill>
      <patternFill patternType="solid">
        <fgColor rgb="FFEFEFEF"/>
        <bgColor rgb="FFEFEFEF"/>
      </patternFill>
    </fill>
    <fill>
      <patternFill patternType="solid">
        <fgColor rgb="FFCFE2F3"/>
        <bgColor rgb="FFCFE2F3"/>
      </patternFill>
    </fill>
    <fill>
      <patternFill patternType="solid">
        <fgColor rgb="FFFFFFFF"/>
        <bgColor rgb="FFFFFFFF"/>
      </patternFill>
    </fill>
    <fill>
      <patternFill patternType="solid">
        <fgColor rgb="FFFCE5CD"/>
        <bgColor rgb="FFFCE5CD"/>
      </patternFill>
    </fill>
    <fill>
      <patternFill patternType="solid">
        <fgColor rgb="FFFF0000"/>
        <bgColor rgb="FFFF0000"/>
      </patternFill>
    </fill>
    <fill>
      <patternFill patternType="solid">
        <fgColor rgb="FFBFBFBF"/>
        <bgColor rgb="FFBFBFBF"/>
      </patternFill>
    </fill>
    <fill>
      <patternFill patternType="solid">
        <fgColor rgb="FFB7B7B7"/>
        <bgColor rgb="FFB7B7B7"/>
      </patternFill>
    </fill>
    <fill>
      <patternFill patternType="solid">
        <fgColor theme="0"/>
        <bgColor theme="0"/>
      </patternFill>
    </fill>
  </fills>
  <borders count="3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bottom style="double">
        <color rgb="FF000000"/>
      </bottom>
    </border>
    <border>
      <left/>
      <bottom/>
    </border>
    <border>
      <bottom/>
    </border>
    <border>
      <right/>
      <bottom/>
    </border>
    <border>
      <left/>
      <top/>
      <bottom/>
    </border>
    <border>
      <top/>
      <bottom/>
    </border>
    <border>
      <right/>
      <top/>
      <bottom/>
    </border>
    <border>
      <left/>
      <right/>
      <top/>
    </border>
    <border>
      <left/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/>
      <top style="double">
        <color rgb="FF000000"/>
      </top>
      <bottom/>
    </border>
    <border>
      <top style="double">
        <color rgb="FF000000"/>
      </top>
      <bottom/>
    </border>
    <border>
      <right/>
      <top style="double">
        <color rgb="FF000000"/>
      </top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bottom/>
    </border>
    <border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double">
        <color rgb="FF000000"/>
      </bottom>
    </border>
    <border>
      <left/>
      <top style="thin">
        <color rgb="FF000000"/>
      </top>
      <bottom/>
    </border>
    <border>
      <top style="thin">
        <color rgb="FF000000"/>
      </top>
      <bottom/>
    </border>
    <border>
      <right/>
      <top style="thin">
        <color rgb="FF000000"/>
      </top>
      <bottom/>
    </border>
  </borders>
  <cellStyleXfs count="1">
    <xf borderId="0" fillId="0" fontId="0" numFmtId="0" applyAlignment="1" applyFont="1"/>
  </cellStyleXfs>
  <cellXfs count="38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quotePrefix="1"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/>
    </xf>
    <xf borderId="0" fillId="0" fontId="2" numFmtId="0" xfId="0" applyAlignment="1" applyFont="1">
      <alignment horizontal="left" readingOrder="0" shrinkToFit="0" vertical="bottom" wrapText="0"/>
    </xf>
    <xf borderId="0" fillId="0" fontId="2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2" numFmtId="49" xfId="0" applyAlignment="1" applyFont="1" applyNumberFormat="1">
      <alignment horizontal="left" readingOrder="0" shrinkToFit="0" vertical="center" wrapText="0"/>
    </xf>
    <xf borderId="0" fillId="2" fontId="2" numFmtId="49" xfId="0" applyAlignment="1" applyFill="1" applyFont="1" applyNumberFormat="1">
      <alignment horizontal="left" readingOrder="0" shrinkToFit="0" vertical="center" wrapText="0"/>
    </xf>
    <xf borderId="0" fillId="3" fontId="2" numFmtId="49" xfId="0" applyAlignment="1" applyFill="1" applyFont="1" applyNumberFormat="1">
      <alignment horizontal="left" readingOrder="0" shrinkToFit="0" vertical="center" wrapText="0"/>
    </xf>
    <xf borderId="0" fillId="4" fontId="3" numFmtId="0" xfId="0" applyAlignment="1" applyFill="1" applyFont="1">
      <alignment horizontal="left" readingOrder="0" shrinkToFit="0" vertical="center" wrapText="0"/>
    </xf>
    <xf borderId="0" fillId="0" fontId="1" numFmtId="10" xfId="0" applyAlignment="1" applyFont="1" applyNumberFormat="1">
      <alignment readingOrder="0"/>
    </xf>
    <xf borderId="0" fillId="0" fontId="2" numFmtId="0" xfId="0" applyAlignment="1" applyFont="1">
      <alignment horizontal="left" readingOrder="0" shrinkToFit="0" vertical="bottom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horizontal="left" shrinkToFit="0" vertical="center" wrapText="0"/>
    </xf>
    <xf borderId="0" fillId="0" fontId="2" numFmtId="0" xfId="0" applyAlignment="1" applyFont="1">
      <alignment horizontal="left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4" numFmtId="0" xfId="0" applyAlignment="1" applyFont="1">
      <alignment horizontal="left" readingOrder="0" shrinkToFit="0" vertical="center" wrapText="0"/>
    </xf>
    <xf borderId="0" fillId="0" fontId="5" numFmtId="0" xfId="0" applyAlignment="1" applyFont="1">
      <alignment horizontal="left" readingOrder="0" shrinkToFit="0" vertical="center" wrapText="0"/>
    </xf>
    <xf borderId="0" fillId="0" fontId="1" numFmtId="0" xfId="0" applyFont="1"/>
    <xf borderId="0" fillId="0" fontId="1" numFmtId="10" xfId="0" applyFont="1" applyNumberFormat="1"/>
    <xf borderId="0" fillId="0" fontId="2" numFmtId="0" xfId="0" applyAlignment="1" applyFont="1">
      <alignment horizontal="left" readingOrder="0" shrinkToFit="0" vertical="bottom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1" xfId="0" applyAlignment="1" applyFont="1" applyNumberFormat="1">
      <alignment horizontal="left" readingOrder="0" shrinkToFit="0" vertical="bottom" wrapText="0"/>
    </xf>
    <xf borderId="0" fillId="0" fontId="2" numFmtId="0" xfId="0" applyAlignment="1" applyFont="1">
      <alignment horizontal="left" shrinkToFit="0" vertical="bottom" wrapText="0"/>
    </xf>
    <xf borderId="0" fillId="0" fontId="2" numFmtId="0" xfId="0" applyAlignment="1" applyFont="1">
      <alignment horizontal="left" shrinkToFit="0" vertical="bottom" wrapText="0"/>
    </xf>
    <xf borderId="0" fillId="5" fontId="2" numFmtId="0" xfId="0" applyAlignment="1" applyFill="1" applyFont="1">
      <alignment readingOrder="0" shrinkToFit="0" vertical="center" wrapText="0"/>
    </xf>
    <xf borderId="0" fillId="5" fontId="2" numFmtId="0" xfId="0" applyAlignment="1" applyFont="1">
      <alignment horizontal="left" readingOrder="0" shrinkToFit="0" vertical="center" wrapText="0"/>
    </xf>
    <xf borderId="0" fillId="5" fontId="2" numFmtId="0" xfId="0" applyAlignment="1" applyFont="1">
      <alignment readingOrder="0" shrinkToFit="0" vertical="center" wrapText="0"/>
    </xf>
    <xf borderId="0" fillId="0" fontId="2" numFmtId="0" xfId="0" applyAlignment="1" applyFont="1">
      <alignment horizontal="left" shrinkToFit="0" vertical="bottom" wrapText="0"/>
    </xf>
    <xf borderId="0" fillId="0" fontId="2" numFmtId="0" xfId="0" applyAlignment="1" applyFont="1">
      <alignment horizontal="left" shrinkToFit="0" vertical="bottom" wrapText="0"/>
    </xf>
    <xf borderId="0" fillId="6" fontId="6" numFmtId="0" xfId="0" applyAlignment="1" applyFill="1" applyFont="1">
      <alignment horizontal="left" shrinkToFit="0" vertical="bottom" wrapText="0"/>
    </xf>
    <xf borderId="0" fillId="0" fontId="2" numFmtId="0" xfId="0" applyAlignment="1" applyFont="1">
      <alignment horizontal="left" readingOrder="0" shrinkToFit="0" vertical="center" wrapText="0"/>
    </xf>
    <xf borderId="0" fillId="6" fontId="2" numFmtId="0" xfId="0" applyAlignment="1" applyFont="1">
      <alignment horizontal="left" shrinkToFit="0" vertical="bottom" wrapText="0"/>
    </xf>
    <xf borderId="0" fillId="0" fontId="2" numFmtId="3" xfId="0" applyAlignment="1" applyFont="1" applyNumberFormat="1">
      <alignment horizontal="left" shrinkToFit="0" vertical="bottom" wrapText="0"/>
    </xf>
    <xf borderId="0" fillId="0" fontId="2" numFmtId="1" xfId="0" applyAlignment="1" applyFont="1" applyNumberFormat="1">
      <alignment horizontal="left" shrinkToFit="0" vertical="bottom" wrapText="0"/>
    </xf>
    <xf borderId="0" fillId="0" fontId="2" numFmtId="0" xfId="0" applyAlignment="1" applyFont="1">
      <alignment horizontal="left" readingOrder="0" shrinkToFit="0" vertical="center" wrapText="0"/>
    </xf>
    <xf borderId="0" fillId="0" fontId="1" numFmtId="0" xfId="0" applyFont="1"/>
    <xf borderId="0" fillId="0" fontId="2" numFmtId="49" xfId="0" applyAlignment="1" applyFont="1" applyNumberFormat="1">
      <alignment horizontal="center" readingOrder="0" shrinkToFit="0" vertical="center" wrapText="0"/>
    </xf>
    <xf borderId="0" fillId="0" fontId="2" numFmtId="0" xfId="0" applyAlignment="1" applyFont="1">
      <alignment horizontal="left" shrinkToFit="0" vertical="bottom" wrapText="0"/>
    </xf>
    <xf borderId="0" fillId="0" fontId="2" numFmtId="165" xfId="0" applyAlignment="1" applyFont="1" applyNumberFormat="1">
      <alignment shrinkToFit="0" vertical="bottom" wrapText="0"/>
    </xf>
    <xf borderId="0" fillId="0" fontId="2" numFmtId="0" xfId="0" applyAlignment="1" applyFont="1">
      <alignment horizontal="center" readingOrder="0" shrinkToFit="0" vertical="center" wrapText="0"/>
    </xf>
    <xf borderId="0" fillId="7" fontId="2" numFmtId="0" xfId="0" applyAlignment="1" applyFill="1" applyFont="1">
      <alignment horizontal="left" shrinkToFit="0" vertical="center" wrapText="0"/>
    </xf>
    <xf borderId="0" fillId="7" fontId="2" numFmtId="0" xfId="0" applyAlignment="1" applyFont="1">
      <alignment horizontal="left" readingOrder="0" shrinkToFit="0" vertical="center" wrapText="0"/>
    </xf>
    <xf quotePrefix="1" borderId="0" fillId="0" fontId="2" numFmtId="0" xfId="0" applyAlignment="1" applyFont="1">
      <alignment horizontal="left" shrinkToFit="0" vertical="bottom" wrapText="0"/>
    </xf>
    <xf borderId="0" fillId="0" fontId="2" numFmtId="165" xfId="0" applyAlignment="1" applyFont="1" applyNumberFormat="1">
      <alignment shrinkToFit="0" vertical="bottom" wrapText="0"/>
    </xf>
    <xf quotePrefix="1" borderId="0" fillId="0" fontId="2" numFmtId="1" xfId="0" applyAlignment="1" applyFont="1" applyNumberFormat="1">
      <alignment horizontal="left" shrinkToFit="0" vertical="bottom" wrapText="0"/>
    </xf>
    <xf borderId="0" fillId="0" fontId="2" numFmtId="165" xfId="0" applyAlignment="1" applyFont="1" applyNumberFormat="1">
      <alignment readingOrder="0" shrinkToFit="0" vertical="bottom" wrapText="0"/>
    </xf>
    <xf borderId="0" fillId="0" fontId="2" numFmtId="1" xfId="0" applyAlignment="1" applyFont="1" applyNumberFormat="1">
      <alignment horizontal="left" shrinkToFit="0" vertical="bottom" wrapText="0"/>
    </xf>
    <xf borderId="0" fillId="0" fontId="2" numFmtId="165" xfId="0" applyAlignment="1" applyFont="1" applyNumberFormat="1">
      <alignment shrinkToFit="0" vertical="center" wrapText="0"/>
    </xf>
    <xf borderId="0" fillId="0" fontId="2" numFmtId="0" xfId="0" applyAlignment="1" applyFont="1">
      <alignment horizontal="center" shrinkToFit="0" vertical="center" wrapText="0"/>
    </xf>
    <xf borderId="0" fillId="7" fontId="1" numFmtId="0" xfId="0" applyAlignment="1" applyFont="1">
      <alignment readingOrder="0" shrinkToFit="0" vertical="center" wrapText="0"/>
    </xf>
    <xf quotePrefix="1" borderId="0" fillId="0" fontId="2" numFmtId="0" xfId="0" applyAlignment="1" applyFont="1">
      <alignment horizontal="left" shrinkToFit="0" vertical="bottom" wrapText="0"/>
    </xf>
    <xf borderId="0" fillId="0" fontId="2" numFmtId="165" xfId="0" applyAlignment="1" applyFont="1" applyNumberFormat="1">
      <alignment readingOrder="0" shrinkToFit="0" vertical="bottom" wrapText="0"/>
    </xf>
    <xf borderId="0" fillId="0" fontId="7" numFmtId="165" xfId="0" applyAlignment="1" applyFont="1" applyNumberFormat="1">
      <alignment shrinkToFit="0" vertical="bottom" wrapText="0"/>
    </xf>
    <xf quotePrefix="1" borderId="0" fillId="6" fontId="2" numFmtId="0" xfId="0" applyAlignment="1" applyFont="1">
      <alignment horizontal="left" shrinkToFit="0" vertical="bottom" wrapText="0"/>
    </xf>
    <xf borderId="0" fillId="6" fontId="2" numFmtId="165" xfId="0" applyAlignment="1" applyFont="1" applyNumberFormat="1">
      <alignment shrinkToFit="0" vertical="bottom" wrapText="0"/>
    </xf>
    <xf borderId="0" fillId="6" fontId="2" numFmtId="165" xfId="0" applyAlignment="1" applyFont="1" applyNumberFormat="1">
      <alignment readingOrder="0" shrinkToFit="0" vertical="bottom" wrapText="0"/>
    </xf>
    <xf quotePrefix="1" borderId="0" fillId="0" fontId="2" numFmtId="3" xfId="0" applyAlignment="1" applyFont="1" applyNumberFormat="1">
      <alignment horizontal="left" shrinkToFit="0" vertical="bottom" wrapText="0"/>
    </xf>
    <xf quotePrefix="1" borderId="0" fillId="0" fontId="2" numFmtId="1" xfId="0" applyAlignment="1" applyFont="1" applyNumberFormat="1">
      <alignment horizontal="left" shrinkToFit="0" vertical="bottom" wrapText="0"/>
    </xf>
    <xf quotePrefix="1" borderId="0" fillId="0" fontId="2" numFmtId="0" xfId="0" applyAlignment="1" applyFont="1">
      <alignment horizontal="left" readingOrder="0" shrinkToFit="0" vertical="center" wrapText="0"/>
    </xf>
    <xf borderId="0" fillId="0" fontId="8" numFmtId="0" xfId="0" applyAlignment="1" applyFont="1">
      <alignment vertical="bottom"/>
    </xf>
    <xf borderId="0" fillId="0" fontId="8" numFmtId="0" xfId="0" applyAlignment="1" applyFont="1">
      <alignment readingOrder="0" vertical="bottom"/>
    </xf>
    <xf borderId="0" fillId="0" fontId="9" numFmtId="0" xfId="0" applyAlignment="1" applyFont="1">
      <alignment vertical="bottom"/>
    </xf>
    <xf borderId="0" fillId="0" fontId="10" numFmtId="0" xfId="0" applyAlignment="1" applyFont="1">
      <alignment vertical="bottom"/>
    </xf>
    <xf borderId="0" fillId="0" fontId="11" numFmtId="0" xfId="0" applyAlignment="1" applyFont="1">
      <alignment horizontal="left"/>
    </xf>
    <xf borderId="0" fillId="0" fontId="11" numFmtId="0" xfId="0" applyAlignment="1" applyFont="1">
      <alignment horizontal="left" readingOrder="0"/>
    </xf>
    <xf borderId="1" fillId="0" fontId="10" numFmtId="0" xfId="0" applyAlignment="1" applyBorder="1" applyFont="1">
      <alignment vertical="bottom"/>
    </xf>
    <xf borderId="1" fillId="0" fontId="10" numFmtId="0" xfId="0" applyAlignment="1" applyBorder="1" applyFont="1">
      <alignment readingOrder="0" vertical="bottom"/>
    </xf>
    <xf borderId="0" fillId="0" fontId="10" numFmtId="0" xfId="0" applyAlignment="1" applyFont="1">
      <alignment horizontal="left" readingOrder="0" vertical="bottom"/>
    </xf>
    <xf borderId="1" fillId="0" fontId="9" numFmtId="0" xfId="0" applyAlignment="1" applyBorder="1" applyFont="1">
      <alignment vertical="bottom"/>
    </xf>
    <xf borderId="1" fillId="0" fontId="9" numFmtId="0" xfId="0" applyAlignment="1" applyBorder="1" applyFont="1">
      <alignment readingOrder="0" vertical="bottom"/>
    </xf>
    <xf borderId="1" fillId="0" fontId="10" numFmtId="0" xfId="0" applyAlignment="1" applyBorder="1" applyFont="1">
      <alignment vertical="bottom"/>
    </xf>
    <xf borderId="2" fillId="0" fontId="10" numFmtId="0" xfId="0" applyAlignment="1" applyBorder="1" applyFont="1">
      <alignment vertical="bottom"/>
    </xf>
    <xf borderId="3" fillId="0" fontId="10" numFmtId="0" xfId="0" applyAlignment="1" applyBorder="1" applyFont="1">
      <alignment readingOrder="0" vertical="bottom"/>
    </xf>
    <xf borderId="0" fillId="0" fontId="9" numFmtId="0" xfId="0" applyAlignment="1" applyFont="1">
      <alignment readingOrder="0" vertical="bottom"/>
    </xf>
    <xf borderId="4" fillId="0" fontId="10" numFmtId="0" xfId="0" applyAlignment="1" applyBorder="1" applyFont="1">
      <alignment vertical="bottom"/>
    </xf>
    <xf borderId="5" fillId="0" fontId="10" numFmtId="0" xfId="0" applyAlignment="1" applyBorder="1" applyFont="1">
      <alignment vertical="bottom"/>
    </xf>
    <xf borderId="1" fillId="0" fontId="9" numFmtId="0" xfId="0" applyAlignment="1" applyBorder="1" applyFont="1">
      <alignment horizontal="right" vertical="bottom"/>
    </xf>
    <xf borderId="2" fillId="0" fontId="10" numFmtId="0" xfId="0" applyAlignment="1" applyBorder="1" applyFont="1">
      <alignment vertical="bottom"/>
    </xf>
    <xf borderId="1" fillId="0" fontId="9" numFmtId="166" xfId="0" applyAlignment="1" applyBorder="1" applyFont="1" applyNumberFormat="1">
      <alignment horizontal="right" vertical="bottom"/>
    </xf>
    <xf borderId="2" fillId="0" fontId="10" numFmtId="0" xfId="0" applyAlignment="1" applyBorder="1" applyFont="1">
      <alignment readingOrder="0" vertical="bottom"/>
    </xf>
    <xf borderId="1" fillId="0" fontId="9" numFmtId="167" xfId="0" applyAlignment="1" applyBorder="1" applyFont="1" applyNumberFormat="1">
      <alignment horizontal="right" vertical="bottom"/>
    </xf>
    <xf borderId="0" fillId="0" fontId="1" numFmtId="0" xfId="0" applyAlignment="1" applyFont="1">
      <alignment horizontal="center"/>
    </xf>
    <xf borderId="1" fillId="0" fontId="1" numFmtId="0" xfId="0" applyAlignment="1" applyBorder="1" applyFont="1">
      <alignment horizontal="center" readingOrder="0"/>
    </xf>
    <xf borderId="1" fillId="0" fontId="12" numFmtId="0" xfId="0" applyAlignment="1" applyBorder="1" applyFont="1">
      <alignment horizontal="center" vertical="bottom"/>
    </xf>
    <xf borderId="1" fillId="0" fontId="13" numFmtId="0" xfId="0" applyAlignment="1" applyBorder="1" applyFont="1">
      <alignment vertical="bottom"/>
    </xf>
    <xf borderId="1" fillId="0" fontId="12" numFmtId="0" xfId="0" applyAlignment="1" applyBorder="1" applyFont="1">
      <alignment vertical="bottom"/>
    </xf>
    <xf borderId="1" fillId="0" fontId="1" numFmtId="0" xfId="0" applyAlignment="1" applyBorder="1" applyFont="1">
      <alignment horizontal="center"/>
    </xf>
    <xf borderId="1" fillId="8" fontId="12" numFmtId="0" xfId="0" applyAlignment="1" applyBorder="1" applyFill="1" applyFont="1">
      <alignment horizontal="center" vertical="bottom"/>
    </xf>
    <xf borderId="6" fillId="0" fontId="10" numFmtId="0" xfId="0" applyAlignment="1" applyBorder="1" applyFont="1">
      <alignment horizontal="center" shrinkToFit="0" wrapText="1"/>
    </xf>
    <xf borderId="6" fillId="0" fontId="14" numFmtId="0" xfId="0" applyBorder="1" applyFont="1"/>
    <xf borderId="7" fillId="6" fontId="15" numFmtId="0" xfId="0" applyAlignment="1" applyBorder="1" applyFont="1">
      <alignment horizontal="center" vertical="bottom"/>
    </xf>
    <xf borderId="8" fillId="6" fontId="15" numFmtId="0" xfId="0" applyAlignment="1" applyBorder="1" applyFont="1">
      <alignment horizontal="center" vertical="bottom"/>
    </xf>
    <xf borderId="9" fillId="6" fontId="15" numFmtId="0" xfId="0" applyAlignment="1" applyBorder="1" applyFont="1">
      <alignment horizontal="center" vertical="bottom"/>
    </xf>
    <xf borderId="10" fillId="6" fontId="15" numFmtId="0" xfId="0" applyAlignment="1" applyBorder="1" applyFont="1">
      <alignment horizontal="center" vertical="bottom"/>
    </xf>
    <xf borderId="11" fillId="6" fontId="15" numFmtId="0" xfId="0" applyAlignment="1" applyBorder="1" applyFont="1">
      <alignment horizontal="center" vertical="bottom"/>
    </xf>
    <xf borderId="12" fillId="6" fontId="15" numFmtId="0" xfId="0" applyAlignment="1" applyBorder="1" applyFont="1">
      <alignment horizontal="center" vertical="bottom"/>
    </xf>
    <xf borderId="10" fillId="6" fontId="16" numFmtId="0" xfId="0" applyAlignment="1" applyBorder="1" applyFont="1">
      <alignment horizontal="center"/>
    </xf>
    <xf borderId="11" fillId="6" fontId="16" numFmtId="0" xfId="0" applyAlignment="1" applyBorder="1" applyFont="1">
      <alignment horizontal="center"/>
    </xf>
    <xf borderId="12" fillId="6" fontId="16" numFmtId="0" xfId="0" applyAlignment="1" applyBorder="1" applyFont="1">
      <alignment horizontal="center"/>
    </xf>
    <xf borderId="13" fillId="6" fontId="10" numFmtId="0" xfId="0" applyBorder="1" applyFont="1"/>
    <xf borderId="13" fillId="6" fontId="12" numFmtId="0" xfId="0" applyBorder="1" applyFont="1"/>
    <xf borderId="14" fillId="6" fontId="12" numFmtId="0" xfId="0" applyBorder="1" applyFont="1"/>
    <xf borderId="15" fillId="9" fontId="7" numFmtId="0" xfId="0" applyAlignment="1" applyBorder="1" applyFill="1" applyFont="1">
      <alignment horizontal="center"/>
    </xf>
    <xf borderId="16" fillId="9" fontId="7" numFmtId="0" xfId="0" applyAlignment="1" applyBorder="1" applyFont="1">
      <alignment horizontal="center" shrinkToFit="0" wrapText="1"/>
    </xf>
    <xf borderId="15" fillId="10" fontId="11" numFmtId="0" xfId="0" applyAlignment="1" applyBorder="1" applyFill="1" applyFont="1">
      <alignment readingOrder="0"/>
    </xf>
    <xf borderId="17" fillId="10" fontId="11" numFmtId="0" xfId="0" applyAlignment="1" applyBorder="1" applyFont="1">
      <alignment readingOrder="0"/>
    </xf>
    <xf borderId="3" fillId="9" fontId="7" numFmtId="0" xfId="0" applyAlignment="1" applyBorder="1" applyFont="1">
      <alignment horizontal="center"/>
    </xf>
    <xf borderId="18" fillId="9" fontId="7" numFmtId="0" xfId="0" applyAlignment="1" applyBorder="1" applyFont="1">
      <alignment horizontal="center" shrinkToFit="0" wrapText="1"/>
    </xf>
    <xf borderId="3" fillId="10" fontId="1" numFmtId="0" xfId="0" applyBorder="1" applyFont="1"/>
    <xf borderId="19" fillId="10" fontId="1" numFmtId="0" xfId="0" applyBorder="1" applyFont="1"/>
    <xf borderId="2" fillId="9" fontId="7" numFmtId="0" xfId="0" applyAlignment="1" applyBorder="1" applyFont="1">
      <alignment horizontal="center"/>
    </xf>
    <xf borderId="20" fillId="9" fontId="7" numFmtId="0" xfId="0" applyAlignment="1" applyBorder="1" applyFont="1">
      <alignment horizontal="center" shrinkToFit="0" wrapText="1"/>
    </xf>
    <xf borderId="2" fillId="10" fontId="1" numFmtId="0" xfId="0" applyAlignment="1" applyBorder="1" applyFont="1">
      <alignment readingOrder="0"/>
    </xf>
    <xf borderId="21" fillId="10" fontId="1" numFmtId="0" xfId="0" applyAlignment="1" applyBorder="1" applyFont="1">
      <alignment readingOrder="0"/>
    </xf>
    <xf borderId="1" fillId="0" fontId="2" numFmtId="0" xfId="0" applyAlignment="1" applyBorder="1" applyFont="1">
      <alignment horizontal="center"/>
    </xf>
    <xf borderId="1" fillId="0" fontId="12" numFmtId="0" xfId="0" applyAlignment="1" applyBorder="1" applyFont="1">
      <alignment horizontal="right" vertical="bottom"/>
    </xf>
    <xf borderId="1" fillId="0" fontId="12" numFmtId="0" xfId="0" applyAlignment="1" applyBorder="1" applyFont="1">
      <alignment horizontal="center" readingOrder="0" vertical="bottom"/>
    </xf>
    <xf borderId="2" fillId="0" fontId="1" numFmtId="0" xfId="0" applyBorder="1" applyFont="1"/>
    <xf borderId="1" fillId="0" fontId="12" numFmtId="0" xfId="0" applyBorder="1" applyFont="1"/>
    <xf borderId="1" fillId="0" fontId="1" numFmtId="0" xfId="0" applyBorder="1" applyFont="1"/>
    <xf borderId="0" fillId="0" fontId="12" numFmtId="0" xfId="0" applyFont="1"/>
    <xf quotePrefix="1" borderId="0" fillId="0" fontId="2" numFmtId="0" xfId="0" applyAlignment="1" applyFont="1">
      <alignment horizontal="center"/>
    </xf>
    <xf borderId="0" fillId="0" fontId="2" numFmtId="0" xfId="0" applyAlignment="1" applyFont="1">
      <alignment horizontal="center"/>
    </xf>
    <xf borderId="10" fillId="6" fontId="9" numFmtId="0" xfId="0" applyAlignment="1" applyBorder="1" applyFont="1">
      <alignment vertical="bottom"/>
    </xf>
    <xf borderId="11" fillId="6" fontId="9" numFmtId="0" xfId="0" applyAlignment="1" applyBorder="1" applyFont="1">
      <alignment vertical="bottom"/>
    </xf>
    <xf borderId="12" fillId="6" fontId="9" numFmtId="0" xfId="0" applyAlignment="1" applyBorder="1" applyFont="1">
      <alignment vertical="bottom"/>
    </xf>
    <xf borderId="22" fillId="6" fontId="15" numFmtId="0" xfId="0" applyAlignment="1" applyBorder="1" applyFont="1">
      <alignment horizontal="center" vertical="bottom"/>
    </xf>
    <xf borderId="23" fillId="6" fontId="15" numFmtId="0" xfId="0" applyAlignment="1" applyBorder="1" applyFont="1">
      <alignment horizontal="center" vertical="bottom"/>
    </xf>
    <xf borderId="24" fillId="6" fontId="15" numFmtId="0" xfId="0" applyAlignment="1" applyBorder="1" applyFont="1">
      <alignment horizontal="center" vertical="bottom"/>
    </xf>
    <xf borderId="15" fillId="9" fontId="7" numFmtId="0" xfId="0" applyAlignment="1" applyBorder="1" applyFont="1">
      <alignment horizontal="center" shrinkToFit="0" wrapText="1"/>
    </xf>
    <xf borderId="3" fillId="9" fontId="7" numFmtId="0" xfId="0" applyAlignment="1" applyBorder="1" applyFont="1">
      <alignment horizontal="center" shrinkToFit="0" wrapText="1"/>
    </xf>
    <xf borderId="2" fillId="9" fontId="7" numFmtId="0" xfId="0" applyAlignment="1" applyBorder="1" applyFont="1">
      <alignment horizontal="center" shrinkToFit="0" wrapText="1"/>
    </xf>
    <xf borderId="25" fillId="6" fontId="12" numFmtId="0" xfId="0" applyAlignment="1" applyBorder="1" applyFont="1">
      <alignment vertical="bottom"/>
    </xf>
    <xf borderId="1" fillId="6" fontId="2" numFmtId="0" xfId="0" applyAlignment="1" applyBorder="1" applyFont="1">
      <alignment horizontal="center"/>
    </xf>
    <xf borderId="1" fillId="6" fontId="12" numFmtId="0" xfId="0" applyBorder="1" applyFont="1"/>
    <xf borderId="25" fillId="6" fontId="9" numFmtId="0" xfId="0" applyAlignment="1" applyBorder="1" applyFont="1">
      <alignment vertical="bottom"/>
    </xf>
    <xf borderId="26" fillId="9" fontId="7" numFmtId="0" xfId="0" applyAlignment="1" applyBorder="1" applyFont="1">
      <alignment horizontal="center"/>
    </xf>
    <xf borderId="2" fillId="0" fontId="2" numFmtId="0" xfId="0" applyAlignment="1" applyBorder="1" applyFont="1">
      <alignment horizontal="center"/>
    </xf>
    <xf quotePrefix="1" borderId="1" fillId="0" fontId="12" numFmtId="0" xfId="0" applyAlignment="1" applyBorder="1" applyFont="1">
      <alignment vertical="bottom"/>
    </xf>
    <xf borderId="1" fillId="0" fontId="17" numFmtId="0" xfId="0" applyAlignment="1" applyBorder="1" applyFont="1">
      <alignment horizontal="right" vertical="bottom"/>
    </xf>
    <xf quotePrefix="1" borderId="1" fillId="0" fontId="17" numFmtId="0" xfId="0" applyAlignment="1" applyBorder="1" applyFont="1">
      <alignment vertical="bottom"/>
    </xf>
    <xf borderId="1" fillId="0" fontId="12" numFmtId="0" xfId="0" applyAlignment="1" applyBorder="1" applyFont="1">
      <alignment horizontal="center" readingOrder="0"/>
    </xf>
    <xf borderId="0" fillId="0" fontId="12" numFmtId="0" xfId="0" applyAlignment="1" applyFont="1">
      <alignment vertical="bottom"/>
    </xf>
    <xf borderId="0" fillId="0" fontId="11" numFmtId="0" xfId="0" applyAlignment="1" applyFont="1">
      <alignment readingOrder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9" numFmtId="0" xfId="0" applyAlignment="1" applyFont="1">
      <alignment readingOrder="0" vertical="bottom"/>
    </xf>
    <xf borderId="0" fillId="0" fontId="12" numFmtId="0" xfId="0" applyAlignment="1" applyFont="1">
      <alignment horizontal="center" vertical="center"/>
    </xf>
    <xf borderId="27" fillId="0" fontId="18" numFmtId="0" xfId="0" applyAlignment="1" applyBorder="1" applyFont="1">
      <alignment shrinkToFit="0" vertical="bottom" wrapText="0"/>
    </xf>
    <xf borderId="27" fillId="0" fontId="18" numFmtId="0" xfId="0" applyAlignment="1" applyBorder="1" applyFont="1">
      <alignment vertical="bottom"/>
    </xf>
    <xf borderId="27" fillId="0" fontId="18" numFmtId="0" xfId="0" applyAlignment="1" applyBorder="1" applyFont="1">
      <alignment readingOrder="0" vertical="bottom"/>
    </xf>
    <xf borderId="2" fillId="0" fontId="19" numFmtId="0" xfId="0" applyAlignment="1" applyBorder="1" applyFont="1">
      <alignment horizontal="center"/>
    </xf>
    <xf borderId="21" fillId="0" fontId="19" numFmtId="0" xfId="0" applyAlignment="1" applyBorder="1" applyFont="1">
      <alignment horizontal="center"/>
    </xf>
    <xf borderId="1" fillId="6" fontId="11" numFmtId="0" xfId="0" applyAlignment="1" applyBorder="1" applyFont="1">
      <alignment readingOrder="0"/>
    </xf>
    <xf borderId="5" fillId="6" fontId="11" numFmtId="0" xfId="0" applyAlignment="1" applyBorder="1" applyFont="1">
      <alignment readingOrder="0"/>
    </xf>
    <xf borderId="2" fillId="0" fontId="12" numFmtId="0" xfId="0" applyAlignment="1" applyBorder="1" applyFont="1">
      <alignment horizontal="center" vertical="bottom"/>
    </xf>
    <xf borderId="21" fillId="0" fontId="12" numFmtId="0" xfId="0" applyAlignment="1" applyBorder="1" applyFont="1">
      <alignment horizontal="center" vertical="bottom"/>
    </xf>
    <xf borderId="21" fillId="0" fontId="12" numFmtId="0" xfId="0" applyAlignment="1" applyBorder="1" applyFont="1">
      <alignment vertical="bottom"/>
    </xf>
    <xf borderId="0" fillId="0" fontId="18" numFmtId="0" xfId="0" applyAlignment="1" applyFont="1">
      <alignment vertical="bottom"/>
    </xf>
    <xf borderId="19" fillId="0" fontId="18" numFmtId="0" xfId="0" applyAlignment="1" applyBorder="1" applyFont="1">
      <alignment vertical="bottom"/>
    </xf>
    <xf borderId="21" fillId="0" fontId="12" numFmtId="0" xfId="0" applyAlignment="1" applyBorder="1" applyFont="1">
      <alignment horizontal="right" vertical="bottom"/>
    </xf>
    <xf borderId="21" fillId="0" fontId="13" numFmtId="0" xfId="0" applyAlignment="1" applyBorder="1" applyFont="1">
      <alignment vertical="bottom"/>
    </xf>
    <xf borderId="21" fillId="0" fontId="12" numFmtId="0" xfId="0" applyAlignment="1" applyBorder="1" applyFont="1">
      <alignment horizontal="center" readingOrder="0" vertical="bottom"/>
    </xf>
    <xf borderId="21" fillId="0" fontId="18" numFmtId="0" xfId="0" applyAlignment="1" applyBorder="1" applyFont="1">
      <alignment vertical="bottom"/>
    </xf>
    <xf borderId="0" fillId="0" fontId="10" numFmtId="0" xfId="0" applyAlignment="1" applyFont="1">
      <alignment horizontal="center" readingOrder="0" shrinkToFit="0" vertical="bottom" wrapText="0"/>
    </xf>
    <xf borderId="0" fillId="0" fontId="9" numFmtId="0" xfId="0" applyAlignment="1" applyFont="1">
      <alignment horizontal="left"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10" fillId="6" fontId="15" numFmtId="0" xfId="0" applyAlignment="1" applyBorder="1" applyFont="1">
      <alignment horizontal="center" shrinkToFit="0" vertical="bottom" wrapText="0"/>
    </xf>
    <xf borderId="11" fillId="6" fontId="9" numFmtId="0" xfId="0" applyAlignment="1" applyBorder="1" applyFont="1">
      <alignment shrinkToFit="0" vertical="bottom" wrapText="0"/>
    </xf>
    <xf borderId="10" fillId="6" fontId="16" numFmtId="0" xfId="0" applyAlignment="1" applyBorder="1" applyFont="1">
      <alignment horizontal="center" shrinkToFit="0" vertical="bottom" wrapText="0"/>
    </xf>
    <xf borderId="13" fillId="6" fontId="10" numFmtId="0" xfId="0" applyAlignment="1" applyBorder="1" applyFont="1">
      <alignment shrinkToFit="0" vertical="bottom" wrapText="0"/>
    </xf>
    <xf borderId="13" fillId="6" fontId="9" numFmtId="0" xfId="0" applyAlignment="1" applyBorder="1" applyFont="1">
      <alignment shrinkToFit="0" vertical="bottom" wrapText="0"/>
    </xf>
    <xf borderId="15" fillId="9" fontId="7" numFmtId="0" xfId="0" applyAlignment="1" applyBorder="1" applyFont="1">
      <alignment horizontal="center" shrinkToFit="0" vertical="bottom" wrapText="0"/>
    </xf>
    <xf borderId="3" fillId="9" fontId="9" numFmtId="0" xfId="0" applyAlignment="1" applyBorder="1" applyFont="1">
      <alignment shrinkToFit="0" vertical="bottom" wrapText="0"/>
    </xf>
    <xf borderId="2" fillId="9" fontId="9" numFmtId="0" xfId="0" applyAlignment="1" applyBorder="1" applyFont="1">
      <alignment shrinkToFit="0" vertical="bottom" wrapText="0"/>
    </xf>
    <xf borderId="1" fillId="0" fontId="2" numFmtId="0" xfId="0" applyAlignment="1" applyBorder="1" applyFont="1">
      <alignment horizontal="center" shrinkToFit="0" vertical="bottom" wrapText="0"/>
    </xf>
    <xf borderId="1" fillId="0" fontId="2" numFmtId="0" xfId="0" applyAlignment="1" applyBorder="1" applyFont="1">
      <alignment shrinkToFit="0" vertical="bottom" wrapText="0"/>
    </xf>
    <xf quotePrefix="1" borderId="1" fillId="0" fontId="2" numFmtId="0" xfId="0" applyAlignment="1" applyBorder="1" applyFont="1">
      <alignment horizontal="center" shrinkToFit="0" vertical="bottom" wrapText="0"/>
    </xf>
    <xf borderId="25" fillId="6" fontId="6" numFmtId="0" xfId="0" applyAlignment="1" applyBorder="1" applyFont="1">
      <alignment shrinkToFit="0" vertical="bottom" wrapText="0"/>
    </xf>
    <xf borderId="0" fillId="0" fontId="9" numFmtId="0" xfId="0" applyAlignment="1" applyFont="1">
      <alignment shrinkToFit="0" vertical="bottom" wrapText="0"/>
    </xf>
    <xf quotePrefix="1" borderId="0" fillId="0" fontId="2" numFmtId="0" xfId="0" applyAlignment="1" applyFont="1">
      <alignment horizontal="center" shrinkToFit="0" vertical="bottom" wrapText="0"/>
    </xf>
    <xf borderId="0" fillId="0" fontId="2" numFmtId="0" xfId="0" applyAlignment="1" applyFont="1">
      <alignment horizontal="center" shrinkToFit="0" vertical="bottom" wrapText="0"/>
    </xf>
    <xf borderId="6" fillId="0" fontId="10" numFmtId="0" xfId="0" applyAlignment="1" applyBorder="1" applyFont="1">
      <alignment horizontal="center" shrinkToFit="0" vertical="bottom" wrapText="0"/>
    </xf>
    <xf borderId="6" fillId="0" fontId="9" numFmtId="0" xfId="0" applyAlignment="1" applyBorder="1" applyFont="1">
      <alignment shrinkToFit="0" vertical="bottom" wrapText="0"/>
    </xf>
    <xf borderId="22" fillId="6" fontId="15" numFmtId="0" xfId="0" applyAlignment="1" applyBorder="1" applyFont="1">
      <alignment horizontal="center" shrinkToFit="0" vertical="bottom" wrapText="0"/>
    </xf>
    <xf borderId="23" fillId="6" fontId="9" numFmtId="0" xfId="0" applyAlignment="1" applyBorder="1" applyFont="1">
      <alignment shrinkToFit="0" vertical="bottom" wrapText="0"/>
    </xf>
    <xf quotePrefix="1" borderId="0" fillId="0" fontId="2" numFmtId="0" xfId="0" applyAlignment="1" applyFont="1">
      <alignment shrinkToFit="0" vertical="bottom" wrapText="0"/>
    </xf>
    <xf borderId="1" fillId="0" fontId="7" numFmtId="0" xfId="0" applyAlignment="1" applyBorder="1" applyFont="1">
      <alignment horizontal="center" shrinkToFit="0" vertical="bottom" wrapText="0"/>
    </xf>
    <xf borderId="1" fillId="0" fontId="9" numFmtId="0" xfId="0" applyAlignment="1" applyBorder="1" applyFont="1">
      <alignment shrinkToFit="0" vertical="bottom" wrapText="0"/>
    </xf>
    <xf borderId="25" fillId="6" fontId="2" numFmtId="0" xfId="0" applyAlignment="1" applyBorder="1" applyFont="1">
      <alignment horizontal="center" shrinkToFit="0" vertical="bottom" wrapText="0"/>
    </xf>
    <xf quotePrefix="1" borderId="1" fillId="6" fontId="2" numFmtId="0" xfId="0" applyAlignment="1" applyBorder="1" applyFont="1">
      <alignment horizontal="center" shrinkToFit="0" vertical="bottom" wrapText="0"/>
    </xf>
    <xf borderId="1" fillId="6" fontId="2" numFmtId="0" xfId="0" applyAlignment="1" applyBorder="1" applyFont="1">
      <alignment shrinkToFit="0" vertical="bottom" wrapText="0"/>
    </xf>
    <xf borderId="1" fillId="6" fontId="2" numFmtId="0" xfId="0" applyAlignment="1" applyBorder="1" applyFont="1">
      <alignment horizontal="center" shrinkToFit="0" vertical="bottom" wrapText="0"/>
    </xf>
    <xf borderId="1" fillId="0" fontId="20" numFmtId="0" xfId="0" applyAlignment="1" applyBorder="1" applyFont="1">
      <alignment shrinkToFit="0" vertical="bottom" wrapText="0"/>
    </xf>
    <xf borderId="26" fillId="9" fontId="9" numFmtId="0" xfId="0" applyAlignment="1" applyBorder="1" applyFont="1">
      <alignment shrinkToFit="0" vertical="bottom" wrapText="0"/>
    </xf>
    <xf borderId="2" fillId="0" fontId="2" numFmtId="0" xfId="0" applyAlignment="1" applyBorder="1" applyFont="1">
      <alignment horizontal="center" shrinkToFit="0" vertical="bottom" wrapText="0"/>
    </xf>
    <xf quotePrefix="1" borderId="3" fillId="0" fontId="2" numFmtId="0" xfId="0" applyAlignment="1" applyBorder="1" applyFont="1">
      <alignment horizontal="center" shrinkToFit="0" vertical="bottom" wrapText="0"/>
    </xf>
    <xf borderId="28" fillId="0" fontId="2" numFmtId="0" xfId="0" applyAlignment="1" applyBorder="1" applyFont="1">
      <alignment horizontal="center" shrinkToFit="0" vertical="bottom" wrapText="0"/>
    </xf>
    <xf borderId="1" fillId="0" fontId="2" numFmtId="3" xfId="0" applyAlignment="1" applyBorder="1" applyFont="1" applyNumberFormat="1">
      <alignment horizontal="center" shrinkToFit="0" vertical="bottom" wrapText="0"/>
    </xf>
    <xf quotePrefix="1" borderId="1" fillId="6" fontId="2" numFmtId="0" xfId="0" applyAlignment="1" applyBorder="1" applyFont="1">
      <alignment shrinkToFit="0" vertical="bottom" wrapText="0"/>
    </xf>
    <xf borderId="29" fillId="6" fontId="2" numFmtId="0" xfId="0" applyAlignment="1" applyBorder="1" applyFont="1">
      <alignment shrinkToFit="0" vertical="bottom" wrapText="0"/>
    </xf>
    <xf quotePrefix="1" borderId="1" fillId="0" fontId="2" numFmtId="3" xfId="0" applyAlignment="1" applyBorder="1" applyFont="1" applyNumberFormat="1">
      <alignment horizontal="center" shrinkToFit="0" vertical="bottom" wrapText="0"/>
    </xf>
    <xf quotePrefix="1" borderId="1" fillId="0" fontId="2" numFmtId="1" xfId="0" applyAlignment="1" applyBorder="1" applyFont="1" applyNumberFormat="1">
      <alignment horizontal="center" shrinkToFit="0" vertical="bottom" wrapText="0"/>
    </xf>
    <xf borderId="1" fillId="0" fontId="9" numFmtId="0" xfId="0" applyAlignment="1" applyBorder="1" applyFont="1">
      <alignment horizontal="center" shrinkToFit="0" vertical="bottom" wrapText="0"/>
    </xf>
    <xf borderId="15" fillId="0" fontId="2" numFmtId="0" xfId="0" applyAlignment="1" applyBorder="1" applyFont="1">
      <alignment horizontal="center" shrinkToFit="0" vertical="bottom" wrapText="0"/>
    </xf>
    <xf borderId="4" fillId="0" fontId="2" numFmtId="0" xfId="0" applyAlignment="1" applyBorder="1" applyFont="1">
      <alignment horizontal="center" shrinkToFit="0" vertical="bottom" wrapText="0"/>
    </xf>
    <xf quotePrefix="1" borderId="29" fillId="6" fontId="2" numFmtId="0" xfId="0" applyAlignment="1" applyBorder="1" applyFont="1">
      <alignment horizontal="center" shrinkToFit="0" vertical="bottom" wrapText="0"/>
    </xf>
    <xf borderId="0" fillId="0" fontId="21" numFmtId="0" xfId="0" applyAlignment="1" applyFont="1">
      <alignment horizontal="center" readingOrder="0" shrinkToFit="0" vertical="center" wrapText="1"/>
    </xf>
    <xf borderId="0" fillId="0" fontId="22" numFmtId="0" xfId="0" applyAlignment="1" applyFont="1">
      <alignment vertical="bottom"/>
    </xf>
    <xf borderId="0" fillId="6" fontId="23" numFmtId="0" xfId="0" applyAlignment="1" applyFont="1">
      <alignment horizontal="center" readingOrder="0" shrinkToFit="0" vertical="bottom" wrapText="0"/>
    </xf>
    <xf borderId="7" fillId="6" fontId="23" numFmtId="0" xfId="0" applyAlignment="1" applyBorder="1" applyFont="1">
      <alignment horizontal="center" shrinkToFit="0" vertical="bottom" wrapText="0"/>
    </xf>
    <xf borderId="8" fillId="6" fontId="23" numFmtId="0" xfId="0" applyAlignment="1" applyBorder="1" applyFont="1">
      <alignment horizontal="center" shrinkToFit="0" vertical="bottom" wrapText="0"/>
    </xf>
    <xf borderId="9" fillId="6" fontId="23" numFmtId="0" xfId="0" applyAlignment="1" applyBorder="1" applyFont="1">
      <alignment horizontal="center" shrinkToFit="0" vertical="bottom" wrapText="0"/>
    </xf>
    <xf borderId="10" fillId="6" fontId="23" numFmtId="0" xfId="0" applyAlignment="1" applyBorder="1" applyFont="1">
      <alignment horizontal="center" shrinkToFit="0" vertical="bottom" wrapText="0"/>
    </xf>
    <xf borderId="11" fillId="6" fontId="23" numFmtId="0" xfId="0" applyAlignment="1" applyBorder="1" applyFont="1">
      <alignment horizontal="center" shrinkToFit="0" vertical="bottom" wrapText="0"/>
    </xf>
    <xf borderId="12" fillId="6" fontId="23" numFmtId="0" xfId="0" applyAlignment="1" applyBorder="1" applyFont="1">
      <alignment horizontal="center" shrinkToFit="0" vertical="bottom" wrapText="0"/>
    </xf>
    <xf borderId="10" fillId="6" fontId="24" numFmtId="0" xfId="0" applyAlignment="1" applyBorder="1" applyFont="1">
      <alignment horizontal="center" shrinkToFit="0" vertical="center" wrapText="0"/>
    </xf>
    <xf borderId="11" fillId="6" fontId="24" numFmtId="0" xfId="0" applyAlignment="1" applyBorder="1" applyFont="1">
      <alignment horizontal="center" shrinkToFit="0" vertical="center" wrapText="0"/>
    </xf>
    <xf borderId="12" fillId="6" fontId="24" numFmtId="0" xfId="0" applyAlignment="1" applyBorder="1" applyFont="1">
      <alignment horizontal="center" shrinkToFit="0" vertical="center" wrapText="0"/>
    </xf>
    <xf borderId="13" fillId="6" fontId="25" numFmtId="0" xfId="0" applyAlignment="1" applyBorder="1" applyFont="1">
      <alignment horizontal="left" shrinkToFit="0" vertical="center" wrapText="0"/>
    </xf>
    <xf borderId="13" fillId="6" fontId="24" numFmtId="0" xfId="0" applyAlignment="1" applyBorder="1" applyFont="1">
      <alignment horizontal="center" shrinkToFit="0" vertical="center" wrapText="0"/>
    </xf>
    <xf borderId="14" fillId="6" fontId="24" numFmtId="0" xfId="0" applyAlignment="1" applyBorder="1" applyFont="1">
      <alignment horizontal="center" shrinkToFit="0" vertical="center" wrapText="0"/>
    </xf>
    <xf borderId="15" fillId="9" fontId="26" numFmtId="0" xfId="0" applyAlignment="1" applyBorder="1" applyFont="1">
      <alignment horizontal="center" shrinkToFit="0" vertical="center" wrapText="0"/>
    </xf>
    <xf borderId="15" fillId="9" fontId="26" numFmtId="0" xfId="0" applyAlignment="1" applyBorder="1" applyFont="1">
      <alignment horizontal="center" shrinkToFit="0" vertical="center" wrapText="1"/>
    </xf>
    <xf borderId="4" fillId="9" fontId="27" numFmtId="0" xfId="0" applyAlignment="1" applyBorder="1" applyFont="1">
      <alignment horizontal="center" shrinkToFit="0" vertical="center" wrapText="0"/>
    </xf>
    <xf borderId="30" fillId="9" fontId="27" numFmtId="0" xfId="0" applyAlignment="1" applyBorder="1" applyFont="1">
      <alignment horizontal="center" shrinkToFit="0" vertical="center" wrapText="0"/>
    </xf>
    <xf borderId="31" fillId="9" fontId="27" numFmtId="0" xfId="0" applyAlignment="1" applyBorder="1" applyFont="1">
      <alignment horizontal="center" shrinkToFit="0" vertical="center" wrapText="0"/>
    </xf>
    <xf borderId="3" fillId="9" fontId="26" numFmtId="0" xfId="0" applyAlignment="1" applyBorder="1" applyFont="1">
      <alignment horizontal="center" shrinkToFit="0" vertical="center" wrapText="0"/>
    </xf>
    <xf borderId="3" fillId="9" fontId="26" numFmtId="0" xfId="0" applyAlignment="1" applyBorder="1" applyFont="1">
      <alignment horizontal="center" shrinkToFit="0" vertical="center" wrapText="1"/>
    </xf>
    <xf borderId="4" fillId="9" fontId="27" numFmtId="0" xfId="0" applyAlignment="1" applyBorder="1" applyFont="1">
      <alignment shrinkToFit="0" vertical="center" wrapText="0"/>
    </xf>
    <xf borderId="30" fillId="9" fontId="27" numFmtId="0" xfId="0" applyAlignment="1" applyBorder="1" applyFont="1">
      <alignment shrinkToFit="0" vertical="center" wrapText="0"/>
    </xf>
    <xf borderId="5" fillId="9" fontId="27" numFmtId="0" xfId="0" applyAlignment="1" applyBorder="1" applyFont="1">
      <alignment shrinkToFit="0" vertical="center" wrapText="0"/>
    </xf>
    <xf borderId="2" fillId="9" fontId="26" numFmtId="0" xfId="0" applyAlignment="1" applyBorder="1" applyFont="1">
      <alignment horizontal="center" shrinkToFit="0" vertical="center" wrapText="0"/>
    </xf>
    <xf borderId="2" fillId="9" fontId="26" numFmtId="0" xfId="0" applyAlignment="1" applyBorder="1" applyFont="1">
      <alignment horizontal="center" shrinkToFit="0" vertical="center" wrapText="1"/>
    </xf>
    <xf borderId="32" fillId="9" fontId="27" numFmtId="0" xfId="0" applyAlignment="1" applyBorder="1" applyFont="1">
      <alignment horizontal="center" shrinkToFit="0" vertical="center" wrapText="0"/>
    </xf>
    <xf borderId="33" fillId="9" fontId="27" numFmtId="0" xfId="0" applyAlignment="1" applyBorder="1" applyFont="1">
      <alignment horizontal="center" shrinkToFit="0" vertical="center" wrapText="0"/>
    </xf>
    <xf borderId="1" fillId="0" fontId="27" numFmtId="0" xfId="0" applyAlignment="1" applyBorder="1" applyFont="1">
      <alignment horizontal="center" shrinkToFit="0" vertical="center" wrapText="0"/>
    </xf>
    <xf quotePrefix="1" borderId="1" fillId="0" fontId="28" numFmtId="0" xfId="0" applyAlignment="1" applyBorder="1" applyFont="1">
      <alignment horizontal="left" shrinkToFit="0" vertical="top" wrapText="1"/>
    </xf>
    <xf borderId="1" fillId="0" fontId="29" numFmtId="0" xfId="0" applyAlignment="1" applyBorder="1" applyFont="1">
      <alignment horizontal="left" shrinkToFit="0" vertical="top" wrapText="1"/>
    </xf>
    <xf borderId="1" fillId="0" fontId="28" numFmtId="0" xfId="0" applyAlignment="1" applyBorder="1" applyFont="1">
      <alignment horizontal="center" shrinkToFit="0" vertical="top" wrapText="1"/>
    </xf>
    <xf borderId="1" fillId="0" fontId="27" numFmtId="0" xfId="0" applyAlignment="1" applyBorder="1" applyFont="1">
      <alignment shrinkToFit="0" vertical="center" wrapText="0"/>
    </xf>
    <xf borderId="1" fillId="0" fontId="2" numFmtId="0" xfId="0" applyAlignment="1" applyBorder="1" applyFont="1">
      <alignment horizontal="center" shrinkToFit="0" vertical="center" wrapText="0"/>
    </xf>
    <xf borderId="1" fillId="0" fontId="28" numFmtId="0" xfId="0" applyAlignment="1" applyBorder="1" applyFont="1">
      <alignment horizontal="left" shrinkToFit="0" vertical="top" wrapText="1"/>
    </xf>
    <xf borderId="0" fillId="0" fontId="22" numFmtId="0" xfId="0" applyAlignment="1" applyFont="1">
      <alignment horizontal="center" shrinkToFit="0" vertical="center" wrapText="0"/>
    </xf>
    <xf borderId="0" fillId="0" fontId="27" numFmtId="0" xfId="0" applyAlignment="1" applyFont="1">
      <alignment horizontal="center" shrinkToFit="0" vertical="center" wrapText="0"/>
    </xf>
    <xf borderId="0" fillId="0" fontId="22" numFmtId="0" xfId="0" applyAlignment="1" applyFont="1">
      <alignment shrinkToFit="0" vertical="center" wrapText="0"/>
    </xf>
    <xf borderId="10" fillId="6" fontId="22" numFmtId="0" xfId="0" applyAlignment="1" applyBorder="1" applyFont="1">
      <alignment shrinkToFit="0" vertical="bottom" wrapText="0"/>
    </xf>
    <xf borderId="11" fillId="6" fontId="22" numFmtId="0" xfId="0" applyAlignment="1" applyBorder="1" applyFont="1">
      <alignment shrinkToFit="0" vertical="bottom" wrapText="0"/>
    </xf>
    <xf borderId="12" fillId="6" fontId="22" numFmtId="0" xfId="0" applyAlignment="1" applyBorder="1" applyFont="1">
      <alignment shrinkToFit="0" vertical="bottom" wrapText="0"/>
    </xf>
    <xf borderId="10" fillId="6" fontId="22" numFmtId="0" xfId="0" applyAlignment="1" applyBorder="1" applyFont="1">
      <alignment horizontal="left" shrinkToFit="0" vertical="bottom" wrapText="0"/>
    </xf>
    <xf borderId="11" fillId="6" fontId="22" numFmtId="0" xfId="0" applyAlignment="1" applyBorder="1" applyFont="1">
      <alignment horizontal="left" shrinkToFit="0" vertical="bottom" wrapText="0"/>
    </xf>
    <xf borderId="12" fillId="6" fontId="22" numFmtId="0" xfId="0" applyAlignment="1" applyBorder="1" applyFont="1">
      <alignment horizontal="left" shrinkToFit="0" vertical="bottom" wrapText="0"/>
    </xf>
    <xf borderId="6" fillId="0" fontId="25" numFmtId="0" xfId="0" applyAlignment="1" applyBorder="1" applyFont="1">
      <alignment horizontal="center" shrinkToFit="0" vertical="center" wrapText="1"/>
    </xf>
    <xf borderId="22" fillId="6" fontId="23" numFmtId="0" xfId="0" applyAlignment="1" applyBorder="1" applyFont="1">
      <alignment horizontal="center" shrinkToFit="0" vertical="bottom" wrapText="0"/>
    </xf>
    <xf borderId="23" fillId="6" fontId="23" numFmtId="0" xfId="0" applyAlignment="1" applyBorder="1" applyFont="1">
      <alignment horizontal="center" shrinkToFit="0" vertical="bottom" wrapText="0"/>
    </xf>
    <xf borderId="24" fillId="6" fontId="23" numFmtId="0" xfId="0" applyAlignment="1" applyBorder="1" applyFont="1">
      <alignment horizontal="center" shrinkToFit="0" vertical="bottom" wrapText="0"/>
    </xf>
    <xf quotePrefix="1" borderId="1" fillId="0" fontId="30" numFmtId="1" xfId="0" applyAlignment="1" applyBorder="1" applyFont="1" applyNumberFormat="1">
      <alignment horizontal="left" shrinkToFit="0" vertical="bottom" wrapText="0"/>
    </xf>
    <xf borderId="1" fillId="0" fontId="12" numFmtId="0" xfId="0" applyAlignment="1" applyBorder="1" applyFont="1">
      <alignment shrinkToFit="0" vertical="center" wrapText="0"/>
    </xf>
    <xf borderId="1" fillId="0" fontId="12" numFmtId="0" xfId="0" applyAlignment="1" applyBorder="1" applyFont="1">
      <alignment horizontal="center" shrinkToFit="0" vertical="center" wrapText="0"/>
    </xf>
    <xf borderId="1" fillId="0" fontId="31" numFmtId="0" xfId="0" applyAlignment="1" applyBorder="1" applyFont="1">
      <alignment shrinkToFit="0" vertical="center" wrapText="0"/>
    </xf>
    <xf borderId="1" fillId="0" fontId="22" numFmtId="0" xfId="0" applyAlignment="1" applyBorder="1" applyFont="1">
      <alignment shrinkToFit="0" vertical="center" wrapText="0"/>
    </xf>
    <xf borderId="1" fillId="6" fontId="12" numFmtId="0" xfId="0" applyAlignment="1" applyBorder="1" applyFont="1">
      <alignment shrinkToFit="0" vertical="center" wrapText="0"/>
    </xf>
    <xf borderId="1" fillId="6" fontId="12" numFmtId="0" xfId="0" applyAlignment="1" applyBorder="1" applyFont="1">
      <alignment horizontal="center" shrinkToFit="0" vertical="center" wrapText="0"/>
    </xf>
    <xf borderId="0" fillId="0" fontId="2" numFmtId="0" xfId="0" applyAlignment="1" applyFont="1">
      <alignment shrinkToFit="0" vertical="center" wrapText="0"/>
    </xf>
    <xf borderId="1" fillId="0" fontId="31" numFmtId="0" xfId="0" applyAlignment="1" applyBorder="1" applyFont="1">
      <alignment horizontal="center" shrinkToFit="0" vertical="center" wrapText="0"/>
    </xf>
    <xf borderId="1" fillId="6" fontId="31" numFmtId="0" xfId="0" applyAlignment="1" applyBorder="1" applyFont="1">
      <alignment shrinkToFit="0" vertical="center" wrapText="0"/>
    </xf>
    <xf borderId="1" fillId="0" fontId="22" numFmtId="0" xfId="0" applyAlignment="1" applyBorder="1" applyFont="1">
      <alignment horizontal="center" shrinkToFit="0" vertical="center" wrapText="0"/>
    </xf>
    <xf borderId="1" fillId="0" fontId="12" numFmtId="0" xfId="0" applyAlignment="1" applyBorder="1" applyFont="1">
      <alignment shrinkToFit="0" vertical="bottom" wrapText="0"/>
    </xf>
    <xf borderId="1" fillId="0" fontId="12" numFmtId="0" xfId="0" applyAlignment="1" applyBorder="1" applyFont="1">
      <alignment horizontal="center" shrinkToFit="0" vertical="bottom" wrapText="0"/>
    </xf>
    <xf borderId="0" fillId="0" fontId="32" numFmtId="0" xfId="0" applyAlignment="1" applyFont="1">
      <alignment horizontal="center" shrinkToFit="0" vertical="center" wrapText="0"/>
    </xf>
    <xf quotePrefix="1" borderId="1" fillId="0" fontId="30" numFmtId="1" xfId="0" applyAlignment="1" applyBorder="1" applyFont="1" applyNumberFormat="1">
      <alignment horizontal="center" shrinkToFit="0" vertical="bottom" wrapText="0"/>
    </xf>
    <xf borderId="1" fillId="6" fontId="12" numFmtId="0" xfId="0" applyAlignment="1" applyBorder="1" applyFont="1">
      <alignment shrinkToFit="0" vertical="bottom" wrapText="0"/>
    </xf>
    <xf borderId="1" fillId="6" fontId="12" numFmtId="0" xfId="0" applyAlignment="1" applyBorder="1" applyFont="1">
      <alignment horizontal="center" shrinkToFit="0" vertical="bottom" wrapText="0"/>
    </xf>
    <xf borderId="1" fillId="0" fontId="33" numFmtId="0" xfId="0" applyAlignment="1" applyBorder="1" applyFont="1">
      <alignment horizontal="center" shrinkToFit="0" vertical="center" wrapText="0"/>
    </xf>
    <xf borderId="1" fillId="0" fontId="34" numFmtId="0" xfId="0" applyAlignment="1" applyBorder="1" applyFont="1">
      <alignment horizontal="left" shrinkToFit="0" vertical="center" wrapText="0"/>
    </xf>
    <xf borderId="1" fillId="11" fontId="27" numFmtId="0" xfId="0" applyAlignment="1" applyBorder="1" applyFill="1" applyFont="1">
      <alignment horizontal="center" shrinkToFit="0" vertical="center" wrapText="0"/>
    </xf>
    <xf borderId="1" fillId="11" fontId="34" numFmtId="0" xfId="0" applyAlignment="1" applyBorder="1" applyFont="1">
      <alignment horizontal="left" shrinkToFit="0" vertical="center" wrapText="0"/>
    </xf>
    <xf borderId="1" fillId="11" fontId="33" numFmtId="0" xfId="0" applyAlignment="1" applyBorder="1" applyFont="1">
      <alignment horizontal="center" shrinkToFit="0" vertical="center" wrapText="0"/>
    </xf>
    <xf borderId="1" fillId="11" fontId="22" numFmtId="0" xfId="0" applyAlignment="1" applyBorder="1" applyFont="1">
      <alignment shrinkToFit="0" vertical="center" wrapText="0"/>
    </xf>
    <xf borderId="0" fillId="0" fontId="2" numFmtId="0" xfId="0" applyAlignment="1" applyFont="1">
      <alignment horizontal="center" shrinkToFit="0" vertical="center" wrapText="0"/>
    </xf>
    <xf quotePrefix="1" borderId="1" fillId="0" fontId="27" numFmtId="0" xfId="0" applyAlignment="1" applyBorder="1" applyFont="1">
      <alignment horizontal="center" shrinkToFit="0" vertical="center" wrapText="0"/>
    </xf>
    <xf borderId="34" fillId="6" fontId="22" numFmtId="0" xfId="0" applyAlignment="1" applyBorder="1" applyFont="1">
      <alignment horizontal="left" shrinkToFit="0" vertical="center" wrapText="0"/>
    </xf>
    <xf borderId="35" fillId="6" fontId="22" numFmtId="0" xfId="0" applyAlignment="1" applyBorder="1" applyFont="1">
      <alignment horizontal="left" shrinkToFit="0" vertical="center" wrapText="0"/>
    </xf>
    <xf borderId="36" fillId="6" fontId="22" numFmtId="0" xfId="0" applyAlignment="1" applyBorder="1" applyFont="1">
      <alignment horizontal="left" shrinkToFit="0" vertical="center" wrapText="0"/>
    </xf>
    <xf borderId="0" fillId="0" fontId="29" numFmtId="0" xfId="0" applyAlignment="1" applyFont="1">
      <alignment shrinkToFit="0" vertical="center" wrapText="0"/>
    </xf>
    <xf borderId="25" fillId="6" fontId="22" numFmtId="0" xfId="0" applyAlignment="1" applyBorder="1" applyFont="1">
      <alignment horizontal="left" shrinkToFit="0" vertical="bottom" wrapText="0"/>
    </xf>
    <xf borderId="26" fillId="9" fontId="26" numFmtId="0" xfId="0" applyAlignment="1" applyBorder="1" applyFont="1">
      <alignment horizontal="center" shrinkToFit="0" vertical="center" wrapText="0"/>
    </xf>
    <xf borderId="2" fillId="0" fontId="27" numFmtId="0" xfId="0" applyAlignment="1" applyBorder="1" applyFont="1">
      <alignment horizontal="center" shrinkToFit="0" vertical="center" wrapText="0"/>
    </xf>
    <xf quotePrefix="1" borderId="4" fillId="0" fontId="30" numFmtId="1" xfId="0" applyAlignment="1" applyBorder="1" applyFont="1" applyNumberFormat="1">
      <alignment horizontal="center" shrinkToFit="0" vertical="bottom" wrapText="0"/>
    </xf>
    <xf borderId="5" fillId="0" fontId="30" numFmtId="1" xfId="0" applyAlignment="1" applyBorder="1" applyFont="1" applyNumberFormat="1">
      <alignment horizontal="center" shrinkToFit="0" vertical="bottom" wrapText="0"/>
    </xf>
    <xf quotePrefix="1" borderId="4" fillId="0" fontId="22" numFmtId="0" xfId="0" applyAlignment="1" applyBorder="1" applyFont="1">
      <alignment horizontal="center" shrinkToFit="0" vertical="bottom" wrapText="0"/>
    </xf>
    <xf borderId="5" fillId="0" fontId="22" numFmtId="0" xfId="0" applyAlignment="1" applyBorder="1" applyFont="1">
      <alignment horizontal="center" shrinkToFit="0" vertical="bottom" wrapText="0"/>
    </xf>
    <xf borderId="1" fillId="0" fontId="22" numFmtId="0" xfId="0" applyAlignment="1" applyBorder="1" applyFont="1">
      <alignment shrinkToFit="0" vertical="bottom" wrapText="0"/>
    </xf>
    <xf quotePrefix="1" borderId="16" fillId="0" fontId="30" numFmtId="1" xfId="0" applyAlignment="1" applyBorder="1" applyFont="1" applyNumberFormat="1">
      <alignment horizontal="center" shrinkToFit="0" vertical="bottom" wrapText="0"/>
    </xf>
    <xf borderId="17" fillId="0" fontId="30" numFmtId="1" xfId="0" applyAlignment="1" applyBorder="1" applyFont="1" applyNumberFormat="1">
      <alignment horizontal="center" shrinkToFit="0" vertical="bottom" wrapText="0"/>
    </xf>
    <xf quotePrefix="1" borderId="20" fillId="0" fontId="30" numFmtId="1" xfId="0" applyAlignment="1" applyBorder="1" applyFont="1" applyNumberFormat="1">
      <alignment horizontal="center" shrinkToFit="0" vertical="bottom" wrapText="0"/>
    </xf>
    <xf borderId="21" fillId="0" fontId="30" numFmtId="1" xfId="0" applyAlignment="1" applyBorder="1" applyFont="1" applyNumberFormat="1">
      <alignment horizontal="center" shrinkToFit="0" vertical="bottom" wrapText="0"/>
    </xf>
    <xf borderId="1" fillId="0" fontId="22" numFmtId="0" xfId="0" applyAlignment="1" applyBorder="1" applyFont="1">
      <alignment horizontal="center" shrinkToFit="0" vertical="bottom" wrapText="0"/>
    </xf>
    <xf borderId="10" fillId="6" fontId="22" numFmtId="0" xfId="0" applyAlignment="1" applyBorder="1" applyFont="1">
      <alignment horizontal="left" shrinkToFit="0" vertical="center" wrapText="0"/>
    </xf>
    <xf borderId="11" fillId="6" fontId="22" numFmtId="0" xfId="0" applyAlignment="1" applyBorder="1" applyFont="1">
      <alignment horizontal="left" shrinkToFit="0" vertical="center" wrapText="0"/>
    </xf>
    <xf borderId="12" fillId="6" fontId="22" numFmtId="0" xfId="0" applyAlignment="1" applyBorder="1" applyFont="1">
      <alignment horizontal="left" shrinkToFit="0" vertical="center" wrapText="0"/>
    </xf>
    <xf quotePrefix="1" borderId="18" fillId="0" fontId="30" numFmtId="1" xfId="0" applyAlignment="1" applyBorder="1" applyFont="1" applyNumberFormat="1">
      <alignment horizontal="center" shrinkToFit="0" vertical="bottom" wrapText="0"/>
    </xf>
    <xf borderId="19" fillId="0" fontId="30" numFmtId="1" xfId="0" applyAlignment="1" applyBorder="1" applyFont="1" applyNumberFormat="1">
      <alignment horizontal="center" shrinkToFit="0" vertical="bottom" wrapText="0"/>
    </xf>
    <xf quotePrefix="1" borderId="20" fillId="0" fontId="30" numFmtId="0" xfId="0" applyAlignment="1" applyBorder="1" applyFont="1">
      <alignment horizontal="center" shrinkToFit="0" vertical="bottom" wrapText="0"/>
    </xf>
    <xf borderId="21" fillId="0" fontId="30" numFmtId="0" xfId="0" applyAlignment="1" applyBorder="1" applyFont="1">
      <alignment horizontal="center" shrinkToFit="0" vertical="bottom" wrapText="0"/>
    </xf>
    <xf borderId="15" fillId="0" fontId="12" numFmtId="0" xfId="0" applyAlignment="1" applyBorder="1" applyFont="1">
      <alignment shrinkToFit="0" vertical="center" wrapText="0"/>
    </xf>
    <xf borderId="15" fillId="0" fontId="12" numFmtId="0" xfId="0" applyAlignment="1" applyBorder="1" applyFont="1">
      <alignment horizontal="center" shrinkToFit="0" vertical="center" wrapText="0"/>
    </xf>
    <xf borderId="1" fillId="0" fontId="12" numFmtId="0" xfId="0" applyAlignment="1" applyBorder="1" applyFont="1">
      <alignment horizontal="center" shrinkToFit="0" vertical="center" wrapText="1"/>
    </xf>
    <xf borderId="1" fillId="0" fontId="27" numFmtId="0" xfId="0" applyAlignment="1" applyBorder="1" applyFont="1">
      <alignment horizontal="left" shrinkToFit="0" vertical="center" wrapText="0"/>
    </xf>
    <xf borderId="4" fillId="0" fontId="27" numFmtId="0" xfId="0" applyAlignment="1" applyBorder="1" applyFont="1">
      <alignment horizontal="center" shrinkToFit="0" vertical="center" wrapText="0"/>
    </xf>
    <xf borderId="2" fillId="0" fontId="12" numFmtId="0" xfId="0" applyAlignment="1" applyBorder="1" applyFont="1">
      <alignment shrinkToFit="0" vertical="center" wrapText="0"/>
    </xf>
    <xf borderId="2" fillId="0" fontId="12" numFmtId="0" xfId="0" applyAlignment="1" applyBorder="1" applyFont="1">
      <alignment horizontal="center" shrinkToFit="0" vertical="center" wrapText="0"/>
    </xf>
    <xf borderId="2" fillId="0" fontId="22" numFmtId="0" xfId="0" applyAlignment="1" applyBorder="1" applyFont="1">
      <alignment shrinkToFit="0" vertical="center" wrapText="0"/>
    </xf>
    <xf borderId="1" fillId="0" fontId="35" numFmtId="0" xfId="0" applyAlignment="1" applyBorder="1" applyFont="1">
      <alignment horizontal="center" shrinkToFit="0" vertical="center" wrapText="0"/>
    </xf>
    <xf borderId="1" fillId="0" fontId="36" numFmtId="0" xfId="0" applyAlignment="1" applyBorder="1" applyFont="1">
      <alignment horizontal="center" shrinkToFit="0" vertical="center" wrapText="0"/>
    </xf>
    <xf borderId="1" fillId="0" fontId="36" numFmtId="0" xfId="0" applyAlignment="1" applyBorder="1" applyFont="1">
      <alignment shrinkToFit="0" vertical="center" wrapText="0"/>
    </xf>
    <xf borderId="1" fillId="0" fontId="32" numFmtId="0" xfId="0" applyAlignment="1" applyBorder="1" applyFont="1">
      <alignment shrinkToFit="0" vertical="center" wrapText="0"/>
    </xf>
    <xf borderId="1" fillId="11" fontId="35" numFmtId="0" xfId="0" applyAlignment="1" applyBorder="1" applyFont="1">
      <alignment horizontal="center" shrinkToFit="0" vertical="center" wrapText="0"/>
    </xf>
    <xf borderId="1" fillId="11" fontId="36" numFmtId="0" xfId="0" applyAlignment="1" applyBorder="1" applyFont="1">
      <alignment horizontal="center" shrinkToFit="0" vertical="center" wrapText="0"/>
    </xf>
    <xf borderId="1" fillId="11" fontId="36" numFmtId="0" xfId="0" applyAlignment="1" applyBorder="1" applyFont="1">
      <alignment shrinkToFit="0" vertical="center" wrapText="0"/>
    </xf>
    <xf borderId="1" fillId="11" fontId="32" numFmtId="0" xfId="0" applyAlignment="1" applyBorder="1" applyFont="1">
      <alignment shrinkToFit="0" vertical="center" wrapText="0"/>
    </xf>
    <xf borderId="4" fillId="0" fontId="30" numFmtId="0" xfId="0" applyAlignment="1" applyBorder="1" applyFont="1">
      <alignment horizontal="center" shrinkToFit="0" vertical="bottom" wrapText="0"/>
    </xf>
    <xf borderId="5" fillId="0" fontId="30" numFmtId="0" xfId="0" applyAlignment="1" applyBorder="1" applyFont="1">
      <alignment horizontal="center" shrinkToFit="0" vertical="bottom" wrapText="0"/>
    </xf>
    <xf borderId="0" fillId="0" fontId="27" numFmtId="0" xfId="0" applyAlignment="1" applyFont="1">
      <alignment horizontal="left" shrinkToFit="0" vertical="center" wrapText="0"/>
    </xf>
    <xf borderId="25" fillId="6" fontId="22" numFmtId="0" xfId="0" applyAlignment="1" applyBorder="1" applyFont="1">
      <alignment shrinkToFit="0" vertical="bottom" wrapText="0"/>
    </xf>
    <xf borderId="20" fillId="0" fontId="27" numFmtId="0" xfId="0" applyAlignment="1" applyBorder="1" applyFont="1">
      <alignment horizontal="center" shrinkToFit="0" vertical="center" wrapText="0"/>
    </xf>
    <xf quotePrefix="1" borderId="4" fillId="0" fontId="30" numFmtId="0" xfId="0" applyAlignment="1" applyBorder="1" applyFont="1">
      <alignment horizontal="center" shrinkToFit="0" vertical="bottom" wrapText="0"/>
    </xf>
    <xf borderId="1" fillId="0" fontId="12" numFmtId="0" xfId="0" applyAlignment="1" applyBorder="1" applyFont="1">
      <alignment horizontal="left" shrinkToFit="0" vertical="bottom" wrapText="0"/>
    </xf>
    <xf borderId="1" fillId="0" fontId="12" numFmtId="0" xfId="0" applyAlignment="1" applyBorder="1" applyFont="1">
      <alignment horizontal="left" shrinkToFit="0" vertical="top" wrapText="0"/>
    </xf>
    <xf borderId="10" fillId="6" fontId="22" numFmtId="0" xfId="0" applyAlignment="1" applyBorder="1" applyFont="1">
      <alignment horizontal="center" shrinkToFit="0" vertical="bottom" wrapText="0"/>
    </xf>
    <xf borderId="11" fillId="6" fontId="22" numFmtId="0" xfId="0" applyAlignment="1" applyBorder="1" applyFont="1">
      <alignment horizontal="center" shrinkToFit="0" vertical="bottom" wrapText="0"/>
    </xf>
    <xf borderId="12" fillId="6" fontId="22" numFmtId="0" xfId="0" applyAlignment="1" applyBorder="1" applyFont="1">
      <alignment horizontal="center" shrinkToFit="0" vertical="bottom" wrapText="0"/>
    </xf>
    <xf quotePrefix="1" borderId="4" fillId="0" fontId="12" numFmtId="0" xfId="0" applyAlignment="1" applyBorder="1" applyFont="1">
      <alignment horizontal="center" shrinkToFit="0" vertical="center" wrapText="0"/>
    </xf>
    <xf borderId="5" fillId="0" fontId="12" numFmtId="0" xfId="0" applyAlignment="1" applyBorder="1" applyFont="1">
      <alignment horizontal="center" shrinkToFit="0" vertical="center" wrapText="0"/>
    </xf>
    <xf borderId="5" fillId="0" fontId="22" numFmtId="0" xfId="0" applyAlignment="1" applyBorder="1" applyFont="1">
      <alignment shrinkToFit="0" vertical="center" wrapText="0"/>
    </xf>
    <xf borderId="0" fillId="0" fontId="22" numFmtId="0" xfId="0" applyAlignment="1" applyFont="1">
      <alignment shrinkToFit="0" vertical="bottom" wrapText="0"/>
    </xf>
    <xf borderId="0" fillId="0" fontId="27" numFmtId="0" xfId="0" applyAlignment="1" applyFont="1">
      <alignment shrinkToFit="0" vertical="center" wrapText="0"/>
    </xf>
    <xf borderId="0" fillId="6" fontId="15" numFmtId="0" xfId="0" applyAlignment="1" applyFont="1">
      <alignment horizontal="center" readingOrder="0" shrinkToFit="0" vertical="bottom" wrapText="0"/>
    </xf>
    <xf borderId="0" fillId="6" fontId="16" numFmtId="0" xfId="0" applyAlignment="1" applyFont="1">
      <alignment horizontal="center" readingOrder="0" shrinkToFit="0" vertical="bottom" wrapText="0"/>
    </xf>
    <xf borderId="0" fillId="6" fontId="10" numFmtId="0" xfId="0" applyAlignment="1" applyFont="1">
      <alignment readingOrder="0" shrinkToFit="0" vertical="bottom" wrapText="0"/>
    </xf>
    <xf borderId="0" fillId="9" fontId="7" numFmtId="0" xfId="0" applyAlignment="1" applyFont="1">
      <alignment horizontal="center" readingOrder="0" shrinkToFit="0" vertical="bottom" wrapText="0"/>
    </xf>
    <xf borderId="0" fillId="9" fontId="9" numFmtId="0" xfId="0" applyAlignment="1" applyFont="1">
      <alignment readingOrder="0" shrinkToFit="0" vertical="bottom" wrapText="0"/>
    </xf>
    <xf borderId="0" fillId="0" fontId="2" numFmtId="0" xfId="0" applyAlignment="1" applyFont="1">
      <alignment horizontal="center" readingOrder="0" shrinkToFit="0" vertical="bottom" wrapText="0"/>
    </xf>
    <xf borderId="0" fillId="0" fontId="9" numFmtId="0" xfId="0" applyAlignment="1" applyFont="1">
      <alignment readingOrder="0" shrinkToFit="0" vertical="bottom" wrapText="0"/>
    </xf>
    <xf borderId="0" fillId="0" fontId="10" numFmtId="0" xfId="0" applyAlignment="1" applyFont="1">
      <alignment horizontal="center" readingOrder="0" shrinkToFit="0" vertical="bottom" wrapText="0"/>
    </xf>
    <xf borderId="0" fillId="0" fontId="18" numFmtId="0" xfId="0" applyAlignment="1" applyFont="1">
      <alignment vertical="bottom"/>
    </xf>
    <xf borderId="1" fillId="0" fontId="19" numFmtId="0" xfId="0" applyAlignment="1" applyBorder="1" applyFont="1">
      <alignment horizontal="center"/>
    </xf>
    <xf borderId="1" fillId="0" fontId="19" numFmtId="0" xfId="0" applyAlignment="1" applyBorder="1" applyFont="1">
      <alignment horizontal="center"/>
    </xf>
    <xf borderId="1" fillId="0" fontId="12" numFmtId="0" xfId="0" applyAlignment="1" applyBorder="1" applyFont="1">
      <alignment horizontal="center" vertical="bottom"/>
    </xf>
    <xf borderId="1" fillId="0" fontId="18" numFmtId="0" xfId="0" applyAlignment="1" applyBorder="1" applyFont="1">
      <alignment vertical="bottom"/>
    </xf>
    <xf borderId="1" fillId="0" fontId="12" numFmtId="0" xfId="0" applyAlignment="1" applyBorder="1" applyFont="1">
      <alignment readingOrder="0" vertical="bottom"/>
    </xf>
    <xf quotePrefix="1" borderId="1" fillId="2" fontId="12" numFmtId="0" xfId="0" applyAlignment="1" applyBorder="1" applyFont="1">
      <alignment horizontal="center" readingOrder="0" vertical="bottom"/>
    </xf>
    <xf borderId="0" fillId="0" fontId="12" numFmtId="0" xfId="0" applyAlignment="1" applyFont="1">
      <alignment horizontal="left" readingOrder="0" shrinkToFit="0" vertical="bottom" wrapText="0"/>
    </xf>
    <xf borderId="1" fillId="0" fontId="12" numFmtId="0" xfId="0" applyAlignment="1" applyBorder="1" applyFont="1">
      <alignment shrinkToFit="0" vertical="bottom" wrapText="0"/>
    </xf>
    <xf borderId="0" fillId="0" fontId="12" numFmtId="0" xfId="0" applyAlignment="1" applyFont="1">
      <alignment shrinkToFit="0" vertical="bottom" wrapText="0"/>
    </xf>
    <xf borderId="1" fillId="0" fontId="19" numFmtId="0" xfId="0" applyAlignment="1" applyBorder="1" applyFont="1">
      <alignment horizontal="center" shrinkToFit="0" vertical="center" wrapText="0"/>
    </xf>
    <xf borderId="1" fillId="0" fontId="18" numFmtId="0" xfId="0" applyAlignment="1" applyBorder="1" applyFont="1">
      <alignment shrinkToFit="0" vertical="bottom" wrapText="0"/>
    </xf>
    <xf borderId="0" fillId="0" fontId="18" numFmtId="0" xfId="0" applyAlignment="1" applyFont="1">
      <alignment shrinkToFit="0" vertical="bottom" wrapText="0"/>
    </xf>
    <xf borderId="0" fillId="0" fontId="1" numFmtId="0" xfId="0" applyAlignment="1" applyFont="1">
      <alignment readingOrder="0"/>
    </xf>
    <xf quotePrefix="1" borderId="0" fillId="0" fontId="27" numFmtId="0" xfId="0" applyAlignment="1" applyFont="1">
      <alignment horizontal="center" shrinkToFit="0" vertical="center" wrapText="0"/>
    </xf>
    <xf borderId="6" fillId="0" fontId="28" numFmtId="0" xfId="0" applyAlignment="1" applyBorder="1" applyFont="1">
      <alignment horizontal="center" shrinkToFit="0" vertical="bottom" wrapText="1"/>
    </xf>
    <xf borderId="6" fillId="0" fontId="28" numFmtId="0" xfId="0" applyAlignment="1" applyBorder="1" applyFont="1">
      <alignment horizontal="center" readingOrder="0" shrinkToFit="0" vertical="bottom" wrapText="1"/>
    </xf>
    <xf borderId="0" fillId="0" fontId="37" numFmtId="0" xfId="0" applyAlignment="1" applyFont="1">
      <alignment horizontal="center" vertical="bottom"/>
    </xf>
    <xf borderId="0" fillId="6" fontId="12" numFmtId="0" xfId="0" applyAlignment="1" applyFont="1">
      <alignment vertical="bottom"/>
    </xf>
    <xf borderId="0" fillId="6" fontId="16" numFmtId="0" xfId="0" applyAlignment="1" applyFont="1">
      <alignment horizontal="center" vertical="bottom"/>
    </xf>
    <xf borderId="0" fillId="6" fontId="15" numFmtId="0" xfId="0" applyAlignment="1" applyFont="1">
      <alignment horizontal="center" vertical="bottom"/>
    </xf>
    <xf borderId="1" fillId="0" fontId="28" numFmtId="0" xfId="0" applyAlignment="1" applyBorder="1" applyFont="1">
      <alignment horizontal="center" vertical="bottom"/>
    </xf>
    <xf borderId="1" fillId="0" fontId="28" numFmtId="0" xfId="0" applyAlignment="1" applyBorder="1" applyFont="1">
      <alignment horizontal="center" readingOrder="0" vertical="bottom"/>
    </xf>
    <xf borderId="1" fillId="0" fontId="28" numFmtId="0" xfId="0" applyAlignment="1" applyBorder="1" applyFont="1">
      <alignment vertical="bottom"/>
    </xf>
    <xf borderId="1" fillId="0" fontId="28" numFmtId="0" xfId="0" applyAlignment="1" applyBorder="1" applyFont="1">
      <alignment horizontal="left" readingOrder="0" vertical="bottom"/>
    </xf>
    <xf borderId="1" fillId="0" fontId="28" numFmtId="0" xfId="0" applyAlignment="1" applyBorder="1" applyFont="1">
      <alignment horizontal="left" vertical="bottom"/>
    </xf>
    <xf borderId="1" fillId="6" fontId="38" numFmtId="0" xfId="0" applyAlignment="1" applyBorder="1" applyFont="1">
      <alignment vertical="bottom"/>
    </xf>
    <xf borderId="1" fillId="0" fontId="28" numFmtId="0" xfId="0" applyAlignment="1" applyBorder="1" applyFont="1">
      <alignment shrinkToFit="0" vertical="bottom" wrapText="1"/>
    </xf>
    <xf borderId="1" fillId="0" fontId="39" numFmtId="0" xfId="0" applyAlignment="1" applyBorder="1" applyFont="1">
      <alignment vertical="bottom"/>
    </xf>
    <xf borderId="1" fillId="6" fontId="28" numFmtId="0" xfId="0" applyAlignment="1" applyBorder="1" applyFont="1">
      <alignment vertical="bottom"/>
    </xf>
    <xf borderId="1" fillId="6" fontId="28" numFmtId="0" xfId="0" applyAlignment="1" applyBorder="1" applyFont="1">
      <alignment horizontal="left" vertical="bottom"/>
    </xf>
    <xf borderId="1" fillId="6" fontId="28" numFmtId="0" xfId="0" applyAlignment="1" applyBorder="1" applyFont="1">
      <alignment horizontal="left" readingOrder="0" vertical="bottom"/>
    </xf>
    <xf borderId="1" fillId="0" fontId="28" numFmtId="3" xfId="0" applyAlignment="1" applyBorder="1" applyFont="1" applyNumberFormat="1">
      <alignment vertical="bottom"/>
    </xf>
    <xf borderId="1" fillId="0" fontId="28" numFmtId="1" xfId="0" applyAlignment="1" applyBorder="1" applyFont="1" applyNumberFormat="1">
      <alignment vertical="bottom"/>
    </xf>
    <xf borderId="1" fillId="0" fontId="28" numFmtId="0" xfId="0" applyAlignment="1" applyBorder="1" applyFont="1">
      <alignment readingOrder="0" vertical="bottom"/>
    </xf>
  </cellXfs>
  <cellStyles count="1">
    <cellStyle xfId="0" name="Normal" builtinId="0"/>
  </cellStyles>
  <dxfs count="11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CE5CD"/>
          <bgColor rgb="FFFCE5CD"/>
        </patternFill>
      </fill>
      <border/>
    </dxf>
    <dxf>
      <font/>
      <fill>
        <patternFill patternType="solid">
          <fgColor rgb="FFCFE2F3"/>
          <bgColor rgb="FFCFE2F3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</dxfs>
  <tableStyles count="9">
    <tableStyle count="4" pivot="0" name="Form Presensi SCC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atabase Presensi SCC-style">
      <tableStyleElement dxfId="5" type="headerRow"/>
      <tableStyleElement dxfId="2" type="firstRowStripe"/>
      <tableStyleElement dxfId="6" type="secondRowStripe"/>
      <tableStyleElement dxfId="4" size="0" type="wholeTable"/>
    </tableStyle>
    <tableStyle count="4" pivot="0" name="Database Presensi SCC_Lama-style">
      <tableStyleElement dxfId="5" type="headerRow"/>
      <tableStyleElement dxfId="2" type="firstRowStripe"/>
      <tableStyleElement dxfId="6" type="secondRowStripe"/>
      <tableStyleElement dxfId="4" size="0" type="wholeTable"/>
    </tableStyle>
    <tableStyle count="2" pivot="0" name="Database Grup SCC-style">
      <tableStyleElement dxfId="2" type="firstRowStripe"/>
      <tableStyleElement dxfId="6" type="secondRowStripe"/>
    </tableStyle>
    <tableStyle count="4" pivot="0" name="Data Siswa Mentah 31-style">
      <tableStyleElement dxfId="5" type="headerRow"/>
      <tableStyleElement dxfId="2" type="firstRowStripe"/>
      <tableStyleElement dxfId="6" type="secondRowStripe"/>
      <tableStyleElement dxfId="4" size="0" type="wholeTable"/>
    </tableStyle>
    <tableStyle count="4" pivot="0" name="Data Siswa Mentan 32 (Cleaning)-style">
      <tableStyleElement dxfId="5" type="headerRow"/>
      <tableStyleElement dxfId="2" type="firstRowStripe"/>
      <tableStyleElement dxfId="6" type="secondRowStripe"/>
      <tableStyleElement dxfId="4" size="0" type="wholeTable"/>
    </tableStyle>
    <tableStyle count="4" pivot="0" name="Data Siswa Mentah 31 (Cleaning)-style">
      <tableStyleElement dxfId="5" type="headerRow"/>
      <tableStyleElement dxfId="2" type="firstRowStripe"/>
      <tableStyleElement dxfId="6" type="secondRowStripe"/>
      <tableStyleElement dxfId="4" size="0" type="wholeTable"/>
    </tableStyle>
    <tableStyle count="4" pivot="0" name="Sheet8-style">
      <tableStyleElement dxfId="5" type="headerRow"/>
      <tableStyleElement dxfId="2" type="firstRowStripe"/>
      <tableStyleElement dxfId="6" type="secondRowStripe"/>
      <tableStyleElement dxfId="4" size="0" type="wholeTable"/>
    </tableStyle>
    <tableStyle count="4" pivot="0" name="Data Siswa Mentan 32-style">
      <tableStyleElement dxfId="5" type="headerRow"/>
      <tableStyleElement dxfId="2" type="firstRowStripe"/>
      <tableStyleElement dxfId="6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7" Type="http://schemas.openxmlformats.org/officeDocument/2006/relationships/worksheet" Target="worksheets/sheet23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Relationship Id="rId3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95250</xdr:colOff>
      <xdr:row>0</xdr:row>
      <xdr:rowOff>104775</xdr:rowOff>
    </xdr:from>
    <xdr:ext cx="695325" cy="676275"/>
    <xdr:pic>
      <xdr:nvPicPr>
        <xdr:cNvPr descr="LOGO JABAR ---.png"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142875</xdr:colOff>
      <xdr:row>47</xdr:row>
      <xdr:rowOff>190500</xdr:rowOff>
    </xdr:from>
    <xdr:ext cx="695325" cy="628650"/>
    <xdr:pic>
      <xdr:nvPicPr>
        <xdr:cNvPr descr="LOGO JABAR ---.png"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142875</xdr:colOff>
      <xdr:row>94</xdr:row>
      <xdr:rowOff>190500</xdr:rowOff>
    </xdr:from>
    <xdr:ext cx="676275" cy="723900"/>
    <xdr:pic>
      <xdr:nvPicPr>
        <xdr:cNvPr descr="LOGO JABAR ---.png"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76200</xdr:colOff>
      <xdr:row>141</xdr:row>
      <xdr:rowOff>95250</xdr:rowOff>
    </xdr:from>
    <xdr:ext cx="676275" cy="723900"/>
    <xdr:pic>
      <xdr:nvPicPr>
        <xdr:cNvPr descr="LOGO JABAR ---.png"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104775</xdr:colOff>
      <xdr:row>235</xdr:row>
      <xdr:rowOff>104775</xdr:rowOff>
    </xdr:from>
    <xdr:ext cx="676275" cy="723900"/>
    <xdr:pic>
      <xdr:nvPicPr>
        <xdr:cNvPr descr="LOGO JABAR ---.png"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95250</xdr:colOff>
      <xdr:row>282</xdr:row>
      <xdr:rowOff>200025</xdr:rowOff>
    </xdr:from>
    <xdr:ext cx="771525" cy="790575"/>
    <xdr:pic>
      <xdr:nvPicPr>
        <xdr:cNvPr descr="LOGO JABAR ---.png"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152400</xdr:colOff>
      <xdr:row>329</xdr:row>
      <xdr:rowOff>95250</xdr:rowOff>
    </xdr:from>
    <xdr:ext cx="676275" cy="723900"/>
    <xdr:pic>
      <xdr:nvPicPr>
        <xdr:cNvPr descr="LOGO JABAR ---.png"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95250</xdr:colOff>
      <xdr:row>376</xdr:row>
      <xdr:rowOff>152400</xdr:rowOff>
    </xdr:from>
    <xdr:ext cx="714375" cy="771525"/>
    <xdr:pic>
      <xdr:nvPicPr>
        <xdr:cNvPr descr="LOGO JABAR ---.png"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104775</xdr:colOff>
      <xdr:row>423</xdr:row>
      <xdr:rowOff>123825</xdr:rowOff>
    </xdr:from>
    <xdr:ext cx="723900" cy="723900"/>
    <xdr:pic>
      <xdr:nvPicPr>
        <xdr:cNvPr descr="LOGO JABAR ---.png"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142875</xdr:colOff>
      <xdr:row>470</xdr:row>
      <xdr:rowOff>123825</xdr:rowOff>
    </xdr:from>
    <xdr:ext cx="676275" cy="723900"/>
    <xdr:pic>
      <xdr:nvPicPr>
        <xdr:cNvPr descr="LOGO JABAR ---.png"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152400</xdr:colOff>
      <xdr:row>517</xdr:row>
      <xdr:rowOff>104775</xdr:rowOff>
    </xdr:from>
    <xdr:ext cx="676275" cy="723900"/>
    <xdr:pic>
      <xdr:nvPicPr>
        <xdr:cNvPr descr="LOGO JABAR ---.png"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95250</xdr:colOff>
      <xdr:row>188</xdr:row>
      <xdr:rowOff>123825</xdr:rowOff>
    </xdr:from>
    <xdr:ext cx="676275" cy="723900"/>
    <xdr:pic>
      <xdr:nvPicPr>
        <xdr:cNvPr descr="LOGO JABAR ---.png"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M371" displayName="Form_Responses" name="Form_Responses" id="1">
  <tableColumns count="13">
    <tableColumn name="Timestamp" id="1"/>
    <tableColumn name="NISN" id="2"/>
    <tableColumn name="Status" id="3"/>
    <tableColumn name="Email Address" id="4"/>
    <tableColumn name="Nama Lengkap" id="5"/>
    <tableColumn name="L/P" id="6"/>
    <tableColumn name="Angkatan" id="7"/>
    <tableColumn name="Kelas" id="8"/>
    <tableColumn name="Grup" id="9"/>
    <tableColumn name="Mentor" id="10"/>
    <tableColumn name="Tanggal Mentoring" id="11"/>
    <tableColumn name="Tahun Ajaran" id="12"/>
    <tableColumn name="Pertemuan Grup" id="13"/>
  </tableColumns>
  <tableStyleInfo name="Form Presensi SCC-style" showColumnStripes="0" showFirstColumn="1" showLastColumn="1" showRowStripes="1"/>
</table>
</file>

<file path=xl/tables/table2.xml><?xml version="1.0" encoding="utf-8"?>
<table xmlns="http://schemas.openxmlformats.org/spreadsheetml/2006/main" ref="A1:U1382" displayName="Table3_2" name="Table3_2" id="2">
  <autoFilter ref="$A$1:$U$1382"/>
  <tableColumns count="21">
    <tableColumn name="NO URUT" id="1"/>
    <tableColumn name="NO ABSEN" id="2"/>
    <tableColumn name="NISN / NIS" id="3"/>
    <tableColumn name="NAMA" id="4"/>
    <tableColumn name="L/P" id="5"/>
    <tableColumn name="ANGKATAN" id="6"/>
    <tableColumn name="KELAS TA" id="7"/>
    <tableColumn name="Grup TA" id="8"/>
    <tableColumn name="Mentor TA" id="9"/>
    <tableColumn name="Kelas X" id="10"/>
    <tableColumn name="Kelas XI" id="11"/>
    <tableColumn name="Kelas XII" id="12"/>
    <tableColumn name="Grup X" id="13"/>
    <tableColumn name="Grup XI" id="14"/>
    <tableColumn name="Grup XII" id="15"/>
    <tableColumn name="Link Presensi" id="16"/>
    <tableColumn name="QR Code" id="17"/>
    <tableColumn name="Merged Doc ID - Kartu QR Code" id="18"/>
    <tableColumn name="Merged Doc URL - Kartu QR Code" id="19"/>
    <tableColumn name="Link to merged Doc - Kartu QR Code" id="20"/>
    <tableColumn name="Document Merge Status - Kartu QR Code" id="21"/>
  </tableColumns>
  <tableStyleInfo name="Database Presensi SCC-style" showColumnStripes="0" showFirstColumn="1" showLastColumn="1" showRowStripes="1"/>
</table>
</file>

<file path=xl/tables/table3.xml><?xml version="1.0" encoding="utf-8"?>
<table xmlns="http://schemas.openxmlformats.org/spreadsheetml/2006/main" ref="A1:V1382" displayName="Table3" name="Table3" id="3">
  <tableColumns count="22">
    <tableColumn name="Column 10" id="1"/>
    <tableColumn name="NO ABSEN" id="2"/>
    <tableColumn name="NISN" id="3"/>
    <tableColumn name="NIS" id="4"/>
    <tableColumn name="NAMA" id="5"/>
    <tableColumn name="L/P" id="6"/>
    <tableColumn name="Angkatan" id="7"/>
    <tableColumn name="Kelas TA" id="8"/>
    <tableColumn name="Grup TA" id="9"/>
    <tableColumn name="Mentor TA" id="10"/>
    <tableColumn name="Kelas X" id="11"/>
    <tableColumn name="Kelas XI" id="12"/>
    <tableColumn name="Kelas XII" id="13"/>
    <tableColumn name="Grup X" id="14"/>
    <tableColumn name="Grup XI" id="15"/>
    <tableColumn name="Grup XII" id="16"/>
    <tableColumn name="Link Presensi" id="17"/>
    <tableColumn name="QR Code" id="18"/>
    <tableColumn name="Merged Doc ID - Kartu QR Code" id="19"/>
    <tableColumn name="Merged Doc URL - Kartu QR Code" id="20"/>
    <tableColumn name="Link to merged Doc - Kartu QR Code" id="21"/>
    <tableColumn name="Document Merge Status - Kartu QR Code" id="22"/>
  </tableColumns>
  <tableStyleInfo name="Database Presensi SCC_Lama-style" showColumnStripes="0" showFirstColumn="1" showLastColumn="1" showRowStripes="1"/>
</table>
</file>

<file path=xl/tables/table4.xml><?xml version="1.0" encoding="utf-8"?>
<table xmlns="http://schemas.openxmlformats.org/spreadsheetml/2006/main" headerRowCount="0" ref="A2:C72" displayName="Table_1" name="Table_1" id="4">
  <tableColumns count="3">
    <tableColumn name="Column1" id="1"/>
    <tableColumn name="Column2" id="2"/>
    <tableColumn name="Column3" id="3"/>
  </tableColumns>
  <tableStyleInfo name="Database Grup SCC-style" showColumnStripes="0" showFirstColumn="1" showLastColumn="1" showRowStripes="1"/>
</table>
</file>

<file path=xl/tables/table5.xml><?xml version="1.0" encoding="utf-8"?>
<table xmlns="http://schemas.openxmlformats.org/spreadsheetml/2006/main" ref="A1:F1000" displayName="Table5" name="Table5" id="5">
  <autoFilter ref="$A$1:$F$1000">
    <filterColumn colId="0">
      <filters>
        <filter val="KELAS  XI B-1"/>
        <filter val="KELAS  XI D-2"/>
        <filter val="KELAS  XI B-2"/>
        <filter val="KELAS  XI D-1"/>
        <filter val="KELAS  XI G-2"/>
        <filter val="KELAS  XI G-1"/>
        <filter val="KELAS  XI F"/>
        <filter val="KELAS  XI E"/>
        <filter val="KELAS  XI A-1"/>
        <filter val="KELAS  XI A-2"/>
        <filter val="KELAS  XI C-1"/>
        <filter val="KELAS  XI C-2"/>
      </filters>
    </filterColumn>
  </autoFilter>
  <tableColumns count="6">
    <tableColumn name="PEMERINTAH DAERAH PROPINSI JAWA BARAT_x000a_DINAS PENDIDIKAN _x000a_ SMA NEGERI 2 CIBINONG_x000a_Jln. Karadenan No. 5 Cibinong Telp/Fax. ( 0251 ) 8654347 Bogor 16913_x000a_http://www.sman2-cibinong.sch.id    email: info@sman2-cibinong.sch.id" id="1"/>
    <tableColumn name="Column 1" id="2"/>
    <tableColumn name="Column 2" id="3"/>
    <tableColumn name="Column 3" id="4"/>
    <tableColumn name="Column 4" id="5"/>
    <tableColumn name="Column 5" id="6"/>
  </tableColumns>
  <tableStyleInfo name="Data Siswa Mentah 31-style" showColumnStripes="0" showFirstColumn="1" showLastColumn="1" showRowStripes="1"/>
</table>
</file>

<file path=xl/tables/table6.xml><?xml version="1.0" encoding="utf-8"?>
<table xmlns="http://schemas.openxmlformats.org/spreadsheetml/2006/main" ref="A1:U1000" displayName="Table4" name="Table4" id="6">
  <autoFilter ref="$A$1:$U$1000">
    <filterColumn colId="1">
      <filters>
        <filter val="22"/>
        <filter val="23"/>
        <filter val="24"/>
        <filter val="25"/>
        <filter val="26"/>
        <filter val="27"/>
        <filter val="28"/>
        <filter val="29"/>
        <filter val="30"/>
        <filter val="31"/>
        <filter val="10"/>
        <filter val="32"/>
        <filter val="11"/>
        <filter val="33"/>
        <filter val="12"/>
        <filter val="34"/>
        <filter val="13"/>
        <filter val="35"/>
        <filter val="14"/>
        <filter val="36"/>
        <filter val="15"/>
        <filter val="37"/>
        <filter val="16"/>
        <filter val="17"/>
        <filter val="18"/>
        <filter val="19"/>
        <filter val="1"/>
        <filter val="2"/>
        <filter val="3"/>
        <filter val="4"/>
        <filter val="5"/>
        <filter val="6"/>
        <filter val="7"/>
        <filter val="8"/>
        <filter val="9"/>
        <filter val="20"/>
        <filter val="21"/>
      </filters>
    </filterColumn>
  </autoFilter>
  <tableColumns count="21">
    <tableColumn name="Column 21" id="1"/>
    <tableColumn name="PEMERINTAH DAERAH PROPINSI JAWA BARAT_x000a_DINAS PENDIDIKAN _x000a_ SMA   NEGERI 2 CIBINONG_x000a_Jln. Karadenan No. 5 Cibinong Telp/Fax. ( 0251 ) 8654347 Bogor 16913_x000a_http://www.sman2-cibinong.sch.id    email: info@sman2-cibinong.sch.id" id="2"/>
    <tableColumn name="Column 1" id="3"/>
    <tableColumn name="Column 2" id="4"/>
    <tableColumn name="Column 3" id="5"/>
    <tableColumn name="Column 4" id="6"/>
    <tableColumn name="Column 5" id="7"/>
    <tableColumn name="Column 6" id="8"/>
    <tableColumn name="Column 7" id="9"/>
    <tableColumn name="Column 8" id="10"/>
    <tableColumn name="Column 9" id="11"/>
    <tableColumn name="Column 10" id="12"/>
    <tableColumn name="Column 11" id="13"/>
    <tableColumn name="Column 12" id="14"/>
    <tableColumn name="Column 13" id="15"/>
    <tableColumn name="Column 14" id="16"/>
    <tableColumn name="Column 15" id="17"/>
    <tableColumn name="Column 16" id="18"/>
    <tableColumn name="Column 17" id="19"/>
    <tableColumn name="Column 18" id="20"/>
    <tableColumn name="Column 19" id="21"/>
  </tableColumns>
  <tableStyleInfo name="Data Siswa Mentan 32 (Cleaning)-style" showColumnStripes="0" showFirstColumn="1" showLastColumn="1" showRowStripes="1"/>
</table>
</file>

<file path=xl/tables/table7.xml><?xml version="1.0" encoding="utf-8"?>
<table xmlns="http://schemas.openxmlformats.org/spreadsheetml/2006/main" ref="A1:F1000" displayName="Table1" name="Table1" id="7">
  <autoFilter ref="$A$1:$F$1000">
    <filterColumn colId="1">
      <filters>
        <filter val="22"/>
        <filter val="23"/>
        <filter val="24"/>
        <filter val="25"/>
        <filter val="26"/>
        <filter val="27"/>
        <filter val="28"/>
        <filter val="29"/>
        <filter val="30"/>
        <filter val="31"/>
        <filter val="10"/>
        <filter val="32"/>
        <filter val="11"/>
        <filter val="33"/>
        <filter val="12"/>
        <filter val="34"/>
        <filter val="13"/>
        <filter val="35"/>
        <filter val="14"/>
        <filter val="36"/>
        <filter val="15"/>
        <filter val="37"/>
        <filter val="16"/>
        <filter val="17"/>
        <filter val="18"/>
        <filter val="19"/>
        <filter val="1"/>
        <filter val="2"/>
        <filter val="3"/>
        <filter val="4"/>
        <filter val="5"/>
        <filter val="6"/>
        <filter val="7"/>
        <filter val="8"/>
        <filter val="9"/>
        <filter val="20"/>
        <filter val="21"/>
      </filters>
    </filterColumn>
  </autoFilter>
  <tableColumns count="6">
    <tableColumn name="Column 6" id="1"/>
    <tableColumn name="A" id="2"/>
    <tableColumn name="Column 1" id="3"/>
    <tableColumn name="Column 2" id="4"/>
    <tableColumn name="Column 3" id="5"/>
    <tableColumn name="Column 4" id="6"/>
  </tableColumns>
  <tableStyleInfo name="Data Siswa Mentah 31 (Cleaning)-style" showColumnStripes="0" showFirstColumn="1" showLastColumn="1" showRowStripes="1"/>
</table>
</file>

<file path=xl/tables/table8.xml><?xml version="1.0" encoding="utf-8"?>
<table xmlns="http://schemas.openxmlformats.org/spreadsheetml/2006/main" ref="A1:A1001" displayName="Table2" name="Table2" id="8">
  <tableColumns count="1">
    <tableColumn name="Nama" id="1"/>
  </tableColumns>
  <tableStyleInfo name="Sheet8-style" showColumnStripes="0" showFirstColumn="1" showLastColumn="1" showRowStripes="1"/>
</table>
</file>

<file path=xl/tables/table9.xml><?xml version="1.0" encoding="utf-8"?>
<table xmlns="http://schemas.openxmlformats.org/spreadsheetml/2006/main" ref="A1:T1000" displayName="Table6" name="Table6" id="9">
  <autoFilter ref="$A$1:$T$1000">
    <filterColumn colId="1">
      <filters>
        <filter val="0084998907 / 242510273"/>
        <filter val="0099205215 / 242510002"/>
        <filter val="0091972857 / 242510003"/>
        <filter val="0094260903"/>
        <filter val="0092434039 / 242510410"/>
        <filter val="0084865750 / 242510075"/>
        <filter val="0081936585 / 242510185"/>
        <filter val="0091126559"/>
        <filter val="0098762657 / 242510048"/>
        <filter val="0093390743"/>
        <filter val="0093523017"/>
        <filter val="0089608543 / 242510309"/>
        <filter val="0096065165 / 242510072"/>
        <filter val="0081265372"/>
        <filter val="3091944997 / 242510210"/>
        <filter val="0086293694 / 242510229"/>
        <filter val="0072787144"/>
        <filter val="0092622229"/>
        <filter val="0099423367 / 242510332"/>
        <filter val="0086270372 / 242510271"/>
        <filter val="0084845522 / 242510200"/>
        <filter val="0083434779 / 252611571"/>
        <filter val="0098951883"/>
        <filter val="0093513380 / 242510383"/>
        <filter val="0082590495"/>
        <filter val="0093778675"/>
        <filter val="2093857917 / 242510061"/>
        <filter val="0087043705 / 242510307"/>
        <filter val="0082284975 / 242510115"/>
        <filter val="0087766031 / 252611568"/>
        <filter val="0093423349 / 242510245"/>
        <filter val="0098122055"/>
        <filter val="0094686903 / 242510362"/>
        <filter val="0098177122 / 242510370"/>
        <filter val="0096109567 / 242510084"/>
        <filter val="0098835028 / 242510334"/>
        <filter val="0098666843 / 242510101"/>
        <filter val="0097660827 / 242510081"/>
        <filter val="0091530728"/>
        <filter val="0081317101 / 242510043"/>
        <filter val="0097062478"/>
        <filter val="0094092301 / 252611572"/>
        <filter val="0086778655 / 242510386"/>
        <filter val="0085904748 / 242510401"/>
        <filter val="0089659957 / 242510418"/>
        <filter val="3087304976 / 242510389"/>
        <filter val="0073027831 / 242510356"/>
        <filter val="0099988861 / 242510021"/>
        <filter val="0091519291 / 242510109"/>
        <filter val="0097798929 / 242510045"/>
        <filter val="3084804073 / 252611570"/>
        <filter val="0098889247 / 242510133"/>
        <filter val="0099130384 / 242510073"/>
        <filter val="0082670071"/>
        <filter val="0098268916 / 242510239"/>
        <filter val="0094465097 / 242510294"/>
        <filter val="0092685479 / 252611573"/>
        <filter val="0094252138 / 242510134"/>
        <filter val="0083876462 / 242510267"/>
        <filter val="0095546511"/>
        <filter val="0085675402"/>
        <filter val="0095059901"/>
        <filter val="0087035501 / 242510131"/>
        <filter val="0096738562 / 242510014"/>
        <filter val="0093266742 / 242510320"/>
        <filter val="0096224183 / 242510299"/>
        <filter val="0097253280 / 242510415"/>
        <filter val="0097044189 / 242510065"/>
        <filter val="0097494303 / 242510150"/>
        <filter val="0087242368 / 242510112"/>
        <filter val="0087551985 / 242510122"/>
        <filter val="0081683598 / 242510316"/>
        <filter val="0081527579 / 242510147"/>
        <filter val="0091736459 / 242510143"/>
        <filter val="0097202517"/>
        <filter val="0084218795 / 242510016"/>
        <filter val="0099920490"/>
        <filter val="0088667313 / 242510236"/>
        <filter val="0086863385"/>
        <filter val="0094865307"/>
        <filter val="0092205557 / 242510345"/>
        <filter val="0092707821"/>
        <filter val="0094008926 / 242510425"/>
        <filter val="3095174589"/>
        <filter val="0086360763"/>
        <filter val="3088903236 / 242510154"/>
        <filter val="3097356141 / 242510353"/>
        <filter val="0087500688 / 242510399"/>
        <filter val="0092834368 / 242510198"/>
        <filter val="0095029451 / 242510255"/>
        <filter val="0095872117 / 242510207"/>
        <filter val="3091238165 / 242510015"/>
        <filter val="0096851574"/>
        <filter val="0083111399 / 242510305"/>
        <filter val="0085534034 / 242510086"/>
        <filter val="0086688060 / 242510135"/>
        <filter val="0094394514 / 242510082"/>
        <filter val="0084357788 / 242510411"/>
        <filter val="3081754398 / 242510219"/>
        <filter val="0084114869 / 242510322"/>
        <filter val="0095420383"/>
        <filter val="0081916428"/>
        <filter val="0092577014 / 242510330"/>
        <filter val="3092678408"/>
        <filter val="0095117423 / 242510380"/>
        <filter val="0091681862 / 242510088"/>
        <filter val="0091012038"/>
        <filter val="0094057771 / 242510199"/>
        <filter val="0087939718 / 242510217"/>
        <filter val="0099674979 / 242510268"/>
        <filter val="0083691625 / 242510013"/>
        <filter val="0091356987 / 242510392"/>
        <filter val="0097101002 / 242510186"/>
        <filter val="0098495672 / 242510327"/>
        <filter val="0099551790 / 242510296"/>
        <filter val="0097830870"/>
        <filter val="0093831279 / 242510066"/>
        <filter val="0092463348 / 242510100"/>
        <filter val="0092260536 / 242510063"/>
        <filter val="0091537746 / 242510407"/>
        <filter val="0091257095 / 242510312"/>
        <filter val="0081177343 / 242510057"/>
        <filter val="0096026876 / 242510137"/>
        <filter val="0094935892"/>
        <filter val="0092821103 / 242510174"/>
        <filter val="0088260272 / 242510056"/>
        <filter val="0094551974 / 242510212"/>
        <filter val="0084789093"/>
        <filter val="0089115919 / 242510194"/>
        <filter val="0093504759 / 242510251"/>
        <filter val="0097313548"/>
        <filter val="0098773886 / 242510223"/>
        <filter val="0088976294"/>
        <filter val="0097736512"/>
        <filter val="0094946777"/>
        <filter val="0083440916 / 242510182"/>
        <filter val="0095657800"/>
        <filter val="0085378932"/>
        <filter val="0082256467 / 242510145"/>
        <filter val="0087777223 / 242510130"/>
        <filter val="0086078004"/>
        <filter val="0099561898 / 242510071"/>
        <filter val="0087745551"/>
        <filter val="0094079262"/>
        <filter val="0087374524 / 242510358"/>
        <filter val="0096998389 / 242510428"/>
        <filter val="0091234811 / 242510090"/>
        <filter val="0089373986 / 242510076"/>
        <filter val="0095848946 / 242510423"/>
        <filter val="0085011294"/>
        <filter val="0098908539"/>
        <filter val="0087408326 / 242510149"/>
        <filter val="0096488875"/>
        <filter val="0094722345"/>
        <filter val="0084290235"/>
        <filter val="0099851224 / 242510085"/>
        <filter val="0082151570 / 242510026"/>
        <filter val="0094698679"/>
        <filter val="0089954401 / 242510367"/>
        <filter val="0099954531"/>
        <filter val="0093555544 / 242510030"/>
        <filter val="0083503418 / 242510092"/>
        <filter val="0092184814 / 242510369"/>
        <filter val="0083833819"/>
        <filter val="0081501338 / 242510042"/>
        <filter val="0087172262 / 242510346"/>
        <filter val="0091624427 / 242510249"/>
        <filter val="3098805753"/>
        <filter val="0092827580"/>
        <filter val="0094232336"/>
        <filter val="0083473619 / 242510151"/>
        <filter val="0091225757 / 242510288"/>
        <filter val="0096990480 / 242510044"/>
        <filter val="0098965422 / 242510431"/>
        <filter val="0091633107 / 242510168"/>
        <filter val="0095556013"/>
        <filter val="0097734463 / 242510394"/>
        <filter val="0092385645"/>
        <filter val="0083667654"/>
        <filter val="0083951567 / 242510221"/>
        <filter val="0099130256 / 242510385"/>
        <filter val="0082690807 / 242510140"/>
        <filter val="0098438052"/>
        <filter val="0098700438 / 242510156"/>
        <filter val="0092223653 / 242510142"/>
        <filter val="0087588818 / 242510050"/>
        <filter val="0082766789 / 242510317"/>
        <filter val="0084316906 / 242510413"/>
        <filter val="3081717964"/>
        <filter val="0083510857 / 242510205"/>
        <filter val="0084361496"/>
        <filter val="0082747470"/>
        <filter val="3090828690"/>
        <filter val="3097947979 / 242510280"/>
        <filter val="0093801090"/>
        <filter val="0082910392 / 242510119"/>
        <filter val="3083447726"/>
        <filter val="3092211203"/>
        <filter val="0087189022 / 242510326"/>
        <filter val="0087540462 / 242510365"/>
        <filter val="0098848130 / 242510228"/>
        <filter val="0084693493 / 242510158"/>
        <filter val="0091325828 / 242510155"/>
        <filter val="0085278931 / 242510165"/>
        <filter val="0099375029 / 242510019"/>
        <filter val="0083550559 / 242510422"/>
        <filter val="0093505380"/>
        <filter val="0083048491 / 242510303"/>
        <filter val="0092027940 / 242510034"/>
        <filter val="0095504110"/>
        <filter val="0092343794"/>
        <filter val="0093969715"/>
        <filter val="0097482971 / 242510118"/>
        <filter val="0082222599 / 242510270"/>
        <filter val="0095965332 / 242510202"/>
        <filter val="0095501589 / 242510318"/>
        <filter val="0084614966 / 242510167"/>
        <filter val="0088101729"/>
        <filter val="0083076557"/>
        <filter val="0083317171 / 242510203"/>
        <filter val="0083216448 / 242510340"/>
        <filter val="0092697249"/>
        <filter val="3108459157 / 242510368"/>
        <filter val="0096704827 / 242510295"/>
        <filter val="0097311898 / 242510379"/>
        <filter val="0094414485 / 242510315"/>
        <filter val="0097179421 / 242510163"/>
        <filter val="0098451979 / 242510161"/>
        <filter val="0096931224 / 242510290"/>
        <filter val="0091944011"/>
        <filter val="0095159012 / 242510166"/>
        <filter val="0094864081 / 242510250"/>
        <filter val="0091524851"/>
        <filter val="0097500016 / 242510138"/>
        <filter val="0095386380 / 242510314"/>
        <filter val="0085930059"/>
        <filter val="0091228007 / 242510363"/>
        <filter val="3094653721 / 242510157"/>
        <filter val="0086733881"/>
        <filter val="0098256549"/>
        <filter val="0098775856"/>
        <filter val="0084584228"/>
        <filter val="0082898817 / 242510293"/>
        <filter val="0083924202 / 242510139"/>
        <filter val="0095691756"/>
        <filter val="0082650076"/>
        <filter val="0095788052"/>
        <filter val="0094095735 / 242510339"/>
        <filter val="0097193046"/>
        <filter val="0096304229"/>
        <filter val="3094789704 / 242510357"/>
        <filter val="0091989218 / 242510017"/>
        <filter val="0093907013"/>
        <filter val="0095554126 / 242510253"/>
        <filter val="0082539116"/>
        <filter val="0092404259 / 242510067"/>
        <filter val="0094087712 / 242510287"/>
        <filter val="0084182636 / 242510376"/>
        <filter val="0083352872"/>
        <filter val="0084468197 / 242510246"/>
        <filter val="0095319720 / 242510364"/>
        <filter val="0092348709 / 242510096"/>
        <filter val="0096589760 / 242510152"/>
        <filter val="0087336074 / 242510195"/>
        <filter val="0098621054"/>
        <filter val="0084548048"/>
        <filter val="0082185766"/>
        <filter val="0092786372"/>
        <filter val="0083016159"/>
        <filter val="0096213576"/>
        <filter val="0088625335 / 242510062"/>
        <filter val="0087033208 / 242510335"/>
        <filter val="0096872219 / 242510106"/>
        <filter val="0099087317 / 242510099"/>
        <filter val="0098849381"/>
        <filter val="0095916190 / 242510033"/>
        <filter val="0096176025 / 242510004"/>
        <filter val="0099056940 / 242510077"/>
        <filter val="3097549496 / 242510258"/>
        <filter val="0096383417 / 242510089"/>
        <filter val="0094412664"/>
        <filter val="0085108715"/>
        <filter val="0099463036 / 242510012"/>
        <filter val="0096763243"/>
        <filter val="0099418331 / 242510190"/>
        <filter val="0094989387"/>
        <filter val="3086429713 / 242510256"/>
        <filter val="0097295872 / 242510292"/>
        <filter val="0096643467 / 242510272"/>
        <filter val="0096947097 / 242510277"/>
        <filter val="0098994125 / 252611567"/>
        <filter val="0094015905 / 242510074"/>
        <filter val="0083581318"/>
        <filter val="0085208150 / 242510192"/>
        <filter val="0086404055"/>
        <filter val="0099940887"/>
        <filter val="0093556204"/>
        <filter val="0086508497 / 242510241"/>
        <filter val="3092559431 / 242510282"/>
        <filter val="0093311941 / 242510107"/>
        <filter val="0083634869 / 242510301"/>
        <filter val="0094484878 / 242510403"/>
        <filter val="0091447390"/>
        <filter val="0099030651"/>
        <filter val="0086475767 / 242510068"/>
        <filter val="0083641645"/>
        <filter val="0096321568 / 242510148"/>
        <filter val="0089204896"/>
        <filter val="0098812831"/>
        <filter val="0093479168"/>
        <filter val="0095610000 / 242510359"/>
        <filter val="0085027044"/>
        <filter val="0087441371 / 242510226"/>
        <filter val="3092618789 / 242510170"/>
        <filter val="0088535031 / 242510391"/>
        <filter val="0092053150 / 242510248"/>
        <filter val="0095657957 / 242510132"/>
        <filter val="0091072005 / 242510080"/>
        <filter val="0081976297 / 242510351"/>
        <filter val="0092889165 / 242510121"/>
        <filter val="0089925170 / 242510124"/>
        <filter val="0093298242 / 242510319"/>
        <filter val="0093616890 / 242510097"/>
        <filter val="0089237233"/>
        <filter val="0097959305"/>
        <filter val="3095285309"/>
        <filter val="0096820534 / 242510382"/>
        <filter val="0096689975 / 242510341"/>
        <filter val="0091089933 / 242510284"/>
        <filter val="0093240247 / 242510049"/>
        <filter val="0092533632 / 242510397"/>
        <filter val="0087718590 / 242510060"/>
        <filter val="0099505768"/>
        <filter val="0093772011 / 242510125"/>
        <filter val="0089737965 / 242510247"/>
        <filter val="3089802088 / 242510204"/>
        <filter val="0095163025"/>
        <filter val="3083166460 / 242510344"/>
        <filter val="0084616257 / 242510420"/>
        <filter val="0089493881 / 242510384"/>
        <filter val="0098191015 / 242510191"/>
        <filter val="0087298416"/>
        <filter val="0097029152 / 242510001"/>
        <filter val="0088924007"/>
        <filter val="0093270004 / 242510040"/>
        <filter val="0084006956 / 242510400"/>
        <filter val="0093623036"/>
        <filter val="0081271561 / 242510054"/>
        <filter val="0083558880 / 242510215"/>
        <filter val="0094272879 / 242510349"/>
        <filter val="0086771046 / 242510427"/>
        <filter val="3094028221 / 242510171"/>
        <filter val="0092593035 / 242510178"/>
        <filter val="0091342789 / 242510094"/>
        <filter val="0082646713 / 242510398"/>
        <filter val="0098551657 / 242510020"/>
        <filter val="0091033788"/>
        <filter val="0093262366"/>
        <filter val="0094510551"/>
        <filter val="2081404817"/>
        <filter val="0099524653 / 242510324"/>
        <filter val="0096304188 / 242510289"/>
        <filter val="0083597126 / 242510127"/>
        <filter val="0099332666"/>
        <filter val="0083949375 / 242510009"/>
        <filter val="3086190678"/>
        <filter val="3097669813"/>
        <filter val="0089992734 / 242510348"/>
        <filter val="0086704012"/>
        <filter val="0081476668"/>
        <filter val="0098437864"/>
        <filter val="3099484913 / 242510237"/>
        <filter val="0093167605 / 242510093"/>
        <filter val="0097111779 / 242510058"/>
        <filter val="0088243290 / 242510285"/>
        <filter val="0094995394 / 242510176"/>
        <filter val="0084853605 / 242510164"/>
        <filter val="0082801587"/>
        <filter val="0085348468 / 242510024"/>
        <filter val="0085810407 / 242510279"/>
        <filter val="0082472809 / 242510177"/>
        <filter val="0096480588"/>
        <filter val="0107494938 / 242510311"/>
        <filter val="0092404318"/>
        <filter val="0098656322"/>
        <filter val="0089202112 / 242510055"/>
        <filter val="0098415432 / 242510196"/>
        <filter val="0095154966 / 242510036"/>
        <filter val="0107163370"/>
        <filter val="0094807008 / 242510331"/>
        <filter val="3082881499 / 242510243"/>
        <filter val="0087176231 / 242510218"/>
        <filter val="0095136014 / 242510102"/>
        <filter val="0094426892"/>
        <filter val="0088807404 / 242510264"/>
        <filter val="0094647744 / 242510396"/>
        <filter val="0096344538"/>
        <filter val="0084373144 / 242510032"/>
        <filter val="0099224342 / 242510214"/>
        <filter val="0099310873"/>
        <filter val="0094596470"/>
        <filter val="0082604990 / 242510276"/>
        <filter val="0093123066 / 242510105"/>
        <filter val="3099271994"/>
        <filter val="0081855086 / 242510220"/>
        <filter val="0097408336 / 242510169"/>
        <filter val="0098715904 / 242510023"/>
        <filter val="0096418415 / 242510078"/>
        <filter val="0091061057"/>
        <filter val="0094958254"/>
        <filter val="0084745418 / 242510091"/>
        <filter val="0088791024 / 242510172"/>
        <filter val="0087551275"/>
        <filter val="0099880719 / 242510027"/>
        <filter val="0093286737"/>
        <filter val="0081087411 / 242510224"/>
        <filter val="0083638898"/>
        <filter val="0087522984 / 252611569"/>
        <filter val="0091626296 / 242510254"/>
        <filter val="0083974334"/>
        <filter val="0094494926 / 242510419"/>
        <filter val="0098441334 / 242510029"/>
        <filter val="0089191714 / 242510372"/>
        <filter val="0093441573 / 242510381"/>
        <filter val="0095937371 / 242510263"/>
        <filter val="0089336981 / 242510361"/>
        <filter val="0085437129"/>
        <filter val="0093570911 / 242510321"/>
        <filter val="0093137843"/>
        <filter val="0095745176 / 242510087"/>
        <filter val="0092388902 / 242510053"/>
      </filters>
    </filterColumn>
  </autoFilter>
  <tableColumns count="20">
    <tableColumn name="PEMERINTAH DAERAH PROPINSI JAWA BARAT_x000a_DINAS PENDIDIKAN _x000a_ SMA   NEGERI 2 CIBINONG_x000a_Jln. Karadenan No. 5 Cibinong Telp/Fax. ( 0251 ) 8654347 Bogor 16913_x000a_http://www.sman2-cibinong.sch.id    email: info@sman2-cibinong.sch.id" id="1"/>
    <tableColumn name="Column 1" id="2"/>
    <tableColumn name="Column 2" id="3"/>
    <tableColumn name="Column 3" id="4"/>
    <tableColumn name="Column 4" id="5"/>
    <tableColumn name="Column 5" id="6"/>
    <tableColumn name="Column 6" id="7"/>
    <tableColumn name="Column 7" id="8"/>
    <tableColumn name="Column 8" id="9"/>
    <tableColumn name="Column 9" id="10"/>
    <tableColumn name="Column 10" id="11"/>
    <tableColumn name="Column 11" id="12"/>
    <tableColumn name="Column 12" id="13"/>
    <tableColumn name="Column 13" id="14"/>
    <tableColumn name="Column 14" id="15"/>
    <tableColumn name="Column 15" id="16"/>
    <tableColumn name="Column 16" id="17"/>
    <tableColumn name="Column 17" id="18"/>
    <tableColumn name="Column 18" id="19"/>
    <tableColumn name="Column 19" id="20"/>
  </tableColumns>
  <tableStyleInfo name="Data Siswa Mentan 32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392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9900563%20%2F%20252610123%26entry.1578404635%3DHadir" TargetMode="External"/><Relationship Id="rId391" Type="http://schemas.openxmlformats.org/officeDocument/2006/relationships/hyperlink" Target="https://drive.google.com/file/d/1tCRH-XrECEuTZLc7ZMfwMKwmMeEhSEhM/view?usp=drivesdk" TargetMode="External"/><Relationship Id="rId390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3274791%20%2F%20252610115%26entry.1578404635%3DHadir" TargetMode="External"/><Relationship Id="rId1" Type="http://schemas.openxmlformats.org/officeDocument/2006/relationships/hyperlink" Target="https://drive.google.com/file/d/1vT3CS4iZFqZLg_tEljBkkpZG9JMocT_A/view?usp=drivesdk" TargetMode="External"/><Relationship Id="rId2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3103201253%20%2F%20252610048%26entry.1578404635%3DHadir" TargetMode="External"/><Relationship Id="rId3" Type="http://schemas.openxmlformats.org/officeDocument/2006/relationships/hyperlink" Target="https://drive.google.com/file/d/1mKmnVoLnZHVkK0DIF_UMnaayEkobf0l1/view?usp=drivesdk" TargetMode="External"/><Relationship Id="rId4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2149444%20%2F%20252610053%26entry.1578404635%3DHadir" TargetMode="External"/><Relationship Id="rId9" Type="http://schemas.openxmlformats.org/officeDocument/2006/relationships/hyperlink" Target="https://drive.google.com/file/d/1IvfC4ixA8_XmXd4iM5ff5AmblC3pElr0/view?usp=drivesdk" TargetMode="External"/><Relationship Id="rId385" Type="http://schemas.openxmlformats.org/officeDocument/2006/relationships/hyperlink" Target="https://drive.google.com/file/d/10UbH2FS8D9Dc0z7becyNeTsiiZzDkDuA/view?usp=drivesdk" TargetMode="External"/><Relationship Id="rId384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4825356%20%2F%20252610057%26entry.1578404635%3DHadir" TargetMode="External"/><Relationship Id="rId383" Type="http://schemas.openxmlformats.org/officeDocument/2006/relationships/hyperlink" Target="https://drive.google.com/file/d/1kg-VuXMgfAsLENAS6FW3F_B3juYm7Sdx/view?usp=drivesdk" TargetMode="External"/><Relationship Id="rId382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4459637%20%2F%20252610055%26entry.1578404635%3DHadir" TargetMode="External"/><Relationship Id="rId5" Type="http://schemas.openxmlformats.org/officeDocument/2006/relationships/hyperlink" Target="https://drive.google.com/file/d/1d7U49CQ9RJNH2-hBQjzC_hHvscAAXvsr/view?usp=drivesdk" TargetMode="External"/><Relationship Id="rId389" Type="http://schemas.openxmlformats.org/officeDocument/2006/relationships/hyperlink" Target="https://drive.google.com/file/d/1xaQ_pDWRLn74uycy_Dwc7YosCFa2bT7S/view?usp=drivesdk" TargetMode="External"/><Relationship Id="rId6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5992391%20%2F%20252610082%26entry.1578404635%3DHadir" TargetMode="External"/><Relationship Id="rId388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8197227%20%2F%20252610067%26entry.1578404635%3DHadir" TargetMode="External"/><Relationship Id="rId7" Type="http://schemas.openxmlformats.org/officeDocument/2006/relationships/hyperlink" Target="https://drive.google.com/file/d/1LNiRTYHv6w9YVnhAR2HLyIcVFJQpcjze/view?usp=drivesdk" TargetMode="External"/><Relationship Id="rId387" Type="http://schemas.openxmlformats.org/officeDocument/2006/relationships/hyperlink" Target="https://drive.google.com/file/d/1QQMBSSp0hjH26n5PJhZktYcVAmUH3fFR/view?usp=drivesdk" TargetMode="External"/><Relationship Id="rId8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6142601%20%2F%20252610083%26entry.1578404635%3DHadir" TargetMode="External"/><Relationship Id="rId386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9339799%20%2F%20252610060%26entry.1578404635%3DHadir" TargetMode="External"/><Relationship Id="rId381" Type="http://schemas.openxmlformats.org/officeDocument/2006/relationships/hyperlink" Target="https://drive.google.com/file/d/1IVbGAZfbHbpS3QcBVlzM4jaQNIFSS0cv/view?usp=drivesdk" TargetMode="External"/><Relationship Id="rId380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2993208%20%2F%20252610043%26entry.1578404635%3DHadir" TargetMode="External"/><Relationship Id="rId379" Type="http://schemas.openxmlformats.org/officeDocument/2006/relationships/hyperlink" Target="https://drive.google.com/file/d/1gT3AeSc0ECkO2_n_pLT2UwUUWiXxRMVs/view?usp=drivesdk" TargetMode="External"/><Relationship Id="rId374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9540724%20%2F%20252610022%26entry.1578404635%3DHadir" TargetMode="External"/><Relationship Id="rId373" Type="http://schemas.openxmlformats.org/officeDocument/2006/relationships/hyperlink" Target="https://drive.google.com/file/d/1_b_FwnzYorCDRBowxuasQGiqZV99FGcV/view?usp=drivesdk" TargetMode="External"/><Relationship Id="rId372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3108509756%20%2F%20252610013%26entry.1578404635%3DHadir" TargetMode="External"/><Relationship Id="rId371" Type="http://schemas.openxmlformats.org/officeDocument/2006/relationships/hyperlink" Target="https://drive.google.com/file/d/1R8J3i5ODxAk_Mi-KqnIck1iD3zkhySRL/view?usp=drivesdk" TargetMode="External"/><Relationship Id="rId378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9668827%20%2F%20252610034%26entry.1578404635%3DHadir" TargetMode="External"/><Relationship Id="rId377" Type="http://schemas.openxmlformats.org/officeDocument/2006/relationships/hyperlink" Target="https://drive.google.com/file/d/1ZrrNrOkfkuKtlXEBMl0EQBydPNY9ZjEF/view?usp=drivesdk" TargetMode="External"/><Relationship Id="rId376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7934430%20%2F%20252610024%26entry.1578404635%3DHadir" TargetMode="External"/><Relationship Id="rId375" Type="http://schemas.openxmlformats.org/officeDocument/2006/relationships/hyperlink" Target="https://drive.google.com/file/d/1dOzvpo-GSj80MxMzC-wEXuc6KfWmO4dI/view?usp=drivesdk" TargetMode="External"/><Relationship Id="rId396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3105062394%20%2F%20252610166%26entry.1578404635%3DHadir" TargetMode="External"/><Relationship Id="rId395" Type="http://schemas.openxmlformats.org/officeDocument/2006/relationships/hyperlink" Target="https://drive.google.com/file/d/17lBggHUrNb83oet9Ciw55aOwXvXVmQr8/view?usp=drivesdk" TargetMode="External"/><Relationship Id="rId394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2597384%20%2F%20252610163%26entry.1578404635%3DHadir" TargetMode="External"/><Relationship Id="rId393" Type="http://schemas.openxmlformats.org/officeDocument/2006/relationships/hyperlink" Target="https://drive.google.com/file/d/1-fDT1hwZqjRxco2mVgk1yOFQ5FZswAgh/view?usp=drivesdk" TargetMode="External"/><Relationship Id="rId399" Type="http://schemas.openxmlformats.org/officeDocument/2006/relationships/hyperlink" Target="https://drive.google.com/file/d/1o76-C1TfkCDDe8duicbX7xlhTWlNtWwP/view?usp=drivesdk" TargetMode="External"/><Relationship Id="rId398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3139137%20%2F%20252610205%26entry.1578404635%3DHadir" TargetMode="External"/><Relationship Id="rId397" Type="http://schemas.openxmlformats.org/officeDocument/2006/relationships/hyperlink" Target="https://drive.google.com/file/d/1cgTXdX16JTvr6wb7d1HXoYT42ppvfOp8/view?usp=drivesdk" TargetMode="External"/><Relationship Id="rId1730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4596470%20%2F%20242510262%26entry.1578404635%3DHadir" TargetMode="External"/><Relationship Id="rId1731" Type="http://schemas.openxmlformats.org/officeDocument/2006/relationships/hyperlink" Target="https://drive.google.com/file/d/15fOrAyfRHazxzzd1q7SelrX5y8jU6vlc/view?usp=drivesdk" TargetMode="External"/><Relationship Id="rId1732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2404318%20%2F%20242510265%26entry.1578404635%3DHadir" TargetMode="External"/><Relationship Id="rId1733" Type="http://schemas.openxmlformats.org/officeDocument/2006/relationships/hyperlink" Target="https://drive.google.com/file/d/10surubyoUJhZ2jqBjceqBydsHQ7tf45n/view?usp=drivesdk" TargetMode="External"/><Relationship Id="rId1734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5059901%20%2F%20242510266%26entry.1578404635%3DHadir" TargetMode="External"/><Relationship Id="rId1735" Type="http://schemas.openxmlformats.org/officeDocument/2006/relationships/hyperlink" Target="https://drive.google.com/file/d/1gm9-diKlL_z7Lct9EcEtKRn6pblVRHsB/view?usp=drivesdk" TargetMode="External"/><Relationship Id="rId1736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8122055%20%2F%20242510275%26entry.1578404635%3DHadir" TargetMode="External"/><Relationship Id="rId1737" Type="http://schemas.openxmlformats.org/officeDocument/2006/relationships/hyperlink" Target="https://drive.google.com/file/d/16FpK_Dd2qEcjipLWG0nfznbAhWYxYxMf/view?usp=drivesdk" TargetMode="External"/><Relationship Id="rId1738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86863385%20%2F%20242510300%26entry.1578404635%3DHadir" TargetMode="External"/><Relationship Id="rId1739" Type="http://schemas.openxmlformats.org/officeDocument/2006/relationships/hyperlink" Target="https://drive.google.com/file/d/1kh9__IMtcUNME4QI6lRKnZgL7M_UYLQY/view?usp=drivesdk" TargetMode="External"/><Relationship Id="rId1720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85378932%20%2F%20242510240%26entry.1578404635%3DHadir" TargetMode="External"/><Relationship Id="rId1721" Type="http://schemas.openxmlformats.org/officeDocument/2006/relationships/hyperlink" Target="https://drive.google.com/file/d/1-IdIF3Q0cXW2iuaDQTP9ZIQGBWoXDeic/view?usp=drivesdk" TargetMode="External"/><Relationship Id="rId1722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86404055%20%2F%20242510242%26entry.1578404635%3DHadir" TargetMode="External"/><Relationship Id="rId1723" Type="http://schemas.openxmlformats.org/officeDocument/2006/relationships/hyperlink" Target="https://drive.google.com/file/d/1lVckxmJpLwHeYbT51I2471ZMvX7-8fk_/view?usp=drivesdk" TargetMode="External"/><Relationship Id="rId1724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86360763%20%2F%20242510252%26entry.1578404635%3DHadir" TargetMode="External"/><Relationship Id="rId1725" Type="http://schemas.openxmlformats.org/officeDocument/2006/relationships/hyperlink" Target="https://drive.google.com/file/d/1IZAQ5X8aCSoGn79XR1lz9aohoX_6r_PE/view?usp=drivesdk" TargetMode="External"/><Relationship Id="rId1726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88924007%20%2F%20242510259%26entry.1578404635%3DHadir" TargetMode="External"/><Relationship Id="rId1727" Type="http://schemas.openxmlformats.org/officeDocument/2006/relationships/hyperlink" Target="https://drive.google.com/file/d/1n1w759UJ0EChcarGPaIR9W6voyU1mNrp/view?usp=drivesdk" TargetMode="External"/><Relationship Id="rId1728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1944011%20%2F%20242510260%26entry.1578404635%3DHadir" TargetMode="External"/><Relationship Id="rId1729" Type="http://schemas.openxmlformats.org/officeDocument/2006/relationships/hyperlink" Target="https://drive.google.com/file/d/1NYNbiCP3uoVCCBV3Q3agIxh8Ni6Sf-9x/view?usp=drivesdk" TargetMode="External"/><Relationship Id="rId1752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3523017%20%2F%20242510378%26entry.1578404635%3DHadir" TargetMode="External"/><Relationship Id="rId1753" Type="http://schemas.openxmlformats.org/officeDocument/2006/relationships/hyperlink" Target="https://drive.google.com/file/d/1aVhX0IgTPRQnddFGS5jvYEZoxiZJRkod/view?usp=drivesdk" TargetMode="External"/><Relationship Id="rId1754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4426892%20%2F%20242510424%26entry.1578404635%3DHadir" TargetMode="External"/><Relationship Id="rId1755" Type="http://schemas.openxmlformats.org/officeDocument/2006/relationships/hyperlink" Target="https://drive.google.com/file/d/12iRdDLuey0AT8hGCbmjbGwismRy1YS7H/view?usp=drivesdk" TargetMode="External"/><Relationship Id="rId1756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82670071%20%2F%20242510429%26entry.1578404635%3DHadir" TargetMode="External"/><Relationship Id="rId1757" Type="http://schemas.openxmlformats.org/officeDocument/2006/relationships/hyperlink" Target="https://drive.google.com/file/d/13BycR4r7YOfLAH0RG3K0x6kQOMoQ0kXG/view?usp=drivesdk" TargetMode="External"/><Relationship Id="rId1758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8441334%20%2F%20242510029%26entry.1578404635%3DHadir" TargetMode="External"/><Relationship Id="rId1759" Type="http://schemas.openxmlformats.org/officeDocument/2006/relationships/hyperlink" Target="https://drive.google.com/file/d/1Xt_rW_n81kCMfMmc_Gs7Xilslp4vxer-/view?usp=drivesdk" TargetMode="External"/><Relationship Id="rId808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6245820%20%2F%20252610457%26entry.1578404635%3DHadir" TargetMode="External"/><Relationship Id="rId807" Type="http://schemas.openxmlformats.org/officeDocument/2006/relationships/hyperlink" Target="https://drive.google.com/file/d/1smeZuWDuoSwzTsT-xwWPLiF-Vm3jqtf-/view?usp=drivesdk" TargetMode="External"/><Relationship Id="rId806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1134035%20%2F%20252610441%26entry.1578404635%3DHadir" TargetMode="External"/><Relationship Id="rId805" Type="http://schemas.openxmlformats.org/officeDocument/2006/relationships/hyperlink" Target="https://drive.google.com/file/d/1FjHY3KyiP0GPComHVmbW72AX871bfXmF/view?usp=drivesdk" TargetMode="External"/><Relationship Id="rId809" Type="http://schemas.openxmlformats.org/officeDocument/2006/relationships/hyperlink" Target="https://drive.google.com/file/d/1KtSwTqzFrCRW4OJXDjQM_8ogpipWCd3C/view?usp=drivesdk" TargetMode="External"/><Relationship Id="rId800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6882416%20%2F%20252610372%26entry.1578404635%3DHadir" TargetMode="External"/><Relationship Id="rId804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7910400%20%2F%20252610425%26entry.1578404635%3DHadir" TargetMode="External"/><Relationship Id="rId803" Type="http://schemas.openxmlformats.org/officeDocument/2006/relationships/hyperlink" Target="https://drive.google.com/file/d/1OGVICJsQP16V-rzwdRnW9UKpMn4YGv39/view?usp=drivesdk" TargetMode="External"/><Relationship Id="rId802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3640113%20%2F%20252610397%26entry.1578404635%3DHadir" TargetMode="External"/><Relationship Id="rId801" Type="http://schemas.openxmlformats.org/officeDocument/2006/relationships/hyperlink" Target="https://drive.google.com/file/d/1x31mvtUKznWytCHe7btCQ_q4hZuHtFM2/view?usp=drivesdk" TargetMode="External"/><Relationship Id="rId1750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4865307%20%2F%20242510360%26entry.1578404635%3DHadir" TargetMode="External"/><Relationship Id="rId1751" Type="http://schemas.openxmlformats.org/officeDocument/2006/relationships/hyperlink" Target="https://drive.google.com/file/d/1O76srXVMJSdqsw7C_QNEob8FIiTSj0cU/view?usp=drivesdk" TargetMode="External"/><Relationship Id="rId1741" Type="http://schemas.openxmlformats.org/officeDocument/2006/relationships/hyperlink" Target="https://drive.google.com/file/d/1WH8SsUrYNdm9tTHnh28EYYLmsZ5iLO5v/view?usp=drivesdk" TargetMode="External"/><Relationship Id="rId1742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6488875%20%2F%20242510333%26entry.1578404635%3DHadir" TargetMode="External"/><Relationship Id="rId1743" Type="http://schemas.openxmlformats.org/officeDocument/2006/relationships/hyperlink" Target="https://drive.google.com/file/d/1ggkzVz76iCtK1L8WDULUe03vDOY_CS-i/view?usp=drivesdk" TargetMode="External"/><Relationship Id="rId1744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1126559%20%2F%20242510337%26entry.1578404635%3DHadir" TargetMode="External"/><Relationship Id="rId1745" Type="http://schemas.openxmlformats.org/officeDocument/2006/relationships/hyperlink" Target="https://drive.google.com/file/d/1Mtajdy3Caw8fqFZH893bc-zKtbH-EQGC/view?usp=drivesdk" TargetMode="External"/><Relationship Id="rId1746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4232336%20%2F%20242510347%26entry.1578404635%3DHadir" TargetMode="External"/><Relationship Id="rId1747" Type="http://schemas.openxmlformats.org/officeDocument/2006/relationships/hyperlink" Target="https://drive.google.com/file/d/1ovZtpX5nXcH0fiST6_vsZIVtGIHW5VGA/view?usp=drivesdk" TargetMode="External"/><Relationship Id="rId1748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9920490%20%2F%20242510352%26entry.1578404635%3DHadir" TargetMode="External"/><Relationship Id="rId1749" Type="http://schemas.openxmlformats.org/officeDocument/2006/relationships/hyperlink" Target="https://drive.google.com/file/d/1cZHYkvOARKkdAjNzleWpB2At6mawGY5A/view?usp=drivesdk" TargetMode="External"/><Relationship Id="rId1740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85675402%20%2F%20242510302%26entry.1578404635%3DHadir" TargetMode="External"/><Relationship Id="rId1710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82185766%20%2F%20242510181%26entry.1578404635%3DHadir" TargetMode="External"/><Relationship Id="rId1711" Type="http://schemas.openxmlformats.org/officeDocument/2006/relationships/hyperlink" Target="https://drive.google.com/file/d/1oW43k7HS20eBIEU83NUpd-zEmYW54ss3/view?usp=drivesdk" TargetMode="External"/><Relationship Id="rId1712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87551275%20%2F%20242510211%26entry.1578404635%3DHadir" TargetMode="External"/><Relationship Id="rId1713" Type="http://schemas.openxmlformats.org/officeDocument/2006/relationships/hyperlink" Target="https://drive.google.com/file/d/1HgXpNlAxobakjSsB9EJdFa21vRRrBh12/view?usp=drivesdk" TargetMode="External"/><Relationship Id="rId1714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3479168%20%2F%20242510225%26entry.1578404635%3DHadir" TargetMode="External"/><Relationship Id="rId1715" Type="http://schemas.openxmlformats.org/officeDocument/2006/relationships/hyperlink" Target="https://drive.google.com/file/d/1Uiu5n0FoIcXAb3dRg00_2KU2cO3zYE1Y/view?usp=drivesdk" TargetMode="External"/><Relationship Id="rId1716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2786372%20%2F%20242510234%26entry.1578404635%3DHadir" TargetMode="External"/><Relationship Id="rId1717" Type="http://schemas.openxmlformats.org/officeDocument/2006/relationships/hyperlink" Target="https://drive.google.com/file/d/1Jxh-iJbpoGgAsQMsnR19jwww6-BpMLmv/view?usp=drivesdk" TargetMode="External"/><Relationship Id="rId1718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1530728%20%2F%20242510235%26entry.1578404635%3DHadir" TargetMode="External"/><Relationship Id="rId1719" Type="http://schemas.openxmlformats.org/officeDocument/2006/relationships/hyperlink" Target="https://drive.google.com/file/d/1G-dkgXMpvLOxy5PJtmsYc1iY89IiASDQ/view?usp=drivesdk" TargetMode="External"/><Relationship Id="rId1700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83352872%20%2F%20242510098%26entry.1578404635%3DHadir" TargetMode="External"/><Relationship Id="rId1701" Type="http://schemas.openxmlformats.org/officeDocument/2006/relationships/hyperlink" Target="https://drive.google.com/file/d/1GgLGkTgIb4bV_r0CR4tuXVOsyGrDdO1n/view?usp=drivesdk" TargetMode="External"/><Relationship Id="rId1702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86078004%20%2F%20242510103%26entry.1578404635%3DHadir" TargetMode="External"/><Relationship Id="rId1703" Type="http://schemas.openxmlformats.org/officeDocument/2006/relationships/hyperlink" Target="https://drive.google.com/file/d/1YC6XYt7FNhpwEhcsvjsKQWGFVb5nxT3b/view?usp=drivesdk" TargetMode="External"/><Relationship Id="rId1704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8775856%20%2F%20242510123%26entry.1578404635%3DHadir" TargetMode="External"/><Relationship Id="rId1705" Type="http://schemas.openxmlformats.org/officeDocument/2006/relationships/hyperlink" Target="https://drive.google.com/file/d/1QHdQOaSUn8t2Oc42KKb_TAHYO0RumHeI/view?usp=drivesdk" TargetMode="External"/><Relationship Id="rId1706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3969715%20%2F%20242510128%26entry.1578404635%3DHadir" TargetMode="External"/><Relationship Id="rId1707" Type="http://schemas.openxmlformats.org/officeDocument/2006/relationships/hyperlink" Target="https://drive.google.com/file/d/1nptwo0mEA84_TKU60uv4hnnGDczeS1Zk/view?usp=drivesdk" TargetMode="External"/><Relationship Id="rId1708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7062478%20%2F%20242510175%26entry.1578404635%3DHadir" TargetMode="External"/><Relationship Id="rId1709" Type="http://schemas.openxmlformats.org/officeDocument/2006/relationships/hyperlink" Target="https://drive.google.com/file/d/1eJJuBlBC6iK8oSeyAzz_w1rbpr-zOc1m/view?usp=drivesdk" TargetMode="External"/><Relationship Id="rId40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9256207%20%2F%20252610244%26entry.1578404635%3DHadir" TargetMode="External"/><Relationship Id="rId1334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85534034%20%2F%20242510086%26entry.1578404635%3DHadir" TargetMode="External"/><Relationship Id="rId1335" Type="http://schemas.openxmlformats.org/officeDocument/2006/relationships/hyperlink" Target="https://drive.google.com/file/d/1w40iXLtxzCjedo2118_c0LbtEEvIxEaU/view?usp=drivesdk" TargetMode="External"/><Relationship Id="rId42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3648473%20%2F%20252610246%26entry.1578404635%3DHadir" TargetMode="External"/><Relationship Id="rId1336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84745418%20%2F%20242510091%26entry.1578404635%3DHadir" TargetMode="External"/><Relationship Id="rId41" Type="http://schemas.openxmlformats.org/officeDocument/2006/relationships/hyperlink" Target="https://drive.google.com/file/d/12uQAsBzgjDVCNB2aXCt2Qqlq8_hb85oB/view?usp=drivesdk" TargetMode="External"/><Relationship Id="rId1337" Type="http://schemas.openxmlformats.org/officeDocument/2006/relationships/hyperlink" Target="https://drive.google.com/file/d/1ckgG57xEMjICzyFt1t6jxBwjobRF-hcH/view?usp=drivesdk" TargetMode="External"/><Relationship Id="rId44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8537666%20%2F%20252610250%26entry.1578404635%3DHadir" TargetMode="External"/><Relationship Id="rId1338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5136014%20%2F%20242510102%26entry.1578404635%3DHadir" TargetMode="External"/><Relationship Id="rId43" Type="http://schemas.openxmlformats.org/officeDocument/2006/relationships/hyperlink" Target="https://drive.google.com/file/d/1HOHvM3vFSGTw7CrqlBE9JjKk3PveT9N4/view?usp=drivesdk" TargetMode="External"/><Relationship Id="rId1339" Type="http://schemas.openxmlformats.org/officeDocument/2006/relationships/hyperlink" Target="https://drive.google.com/file/d/1kNm2FJHkDsCg3iiG9Ra3i_CBd7vufmtW/view?usp=drivesdk" TargetMode="External"/><Relationship Id="rId46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8409943%20%2F%20252610304%26entry.1578404635%3DHadir" TargetMode="External"/><Relationship Id="rId45" Type="http://schemas.openxmlformats.org/officeDocument/2006/relationships/hyperlink" Target="https://drive.google.com/file/d/12UktbM36EnKr45A3BRaTHCnYcQKipFoh/view?usp=drivesdk" TargetMode="External"/><Relationship Id="rId745" Type="http://schemas.openxmlformats.org/officeDocument/2006/relationships/hyperlink" Target="https://drive.google.com/file/d/1qaRQfRwnDD-aNQ5nq_E-OtM7qewROZMO/view?usp=drivesdk" TargetMode="External"/><Relationship Id="rId744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3111697965%20%2F%20252610073%26entry.1578404635%3DHadir" TargetMode="External"/><Relationship Id="rId743" Type="http://schemas.openxmlformats.org/officeDocument/2006/relationships/hyperlink" Target="https://drive.google.com/file/d/1sRI7clE8Ov-jESP9D5wjmO63sB4hghRn/view?usp=drivesdk" TargetMode="External"/><Relationship Id="rId742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3799489%20%2F%20252610071%26entry.1578404635%3DHadir" TargetMode="External"/><Relationship Id="rId749" Type="http://schemas.openxmlformats.org/officeDocument/2006/relationships/hyperlink" Target="https://drive.google.com/file/d/1NJBzI7pihsm7DAdteAsM3pO72QnpeDKz/view?usp=drivesdk" TargetMode="External"/><Relationship Id="rId748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9452000%20%2F%20252610086%26entry.1578404635%3DHadir" TargetMode="External"/><Relationship Id="rId747" Type="http://schemas.openxmlformats.org/officeDocument/2006/relationships/hyperlink" Target="https://drive.google.com/file/d/1-ii8k60hcKBrcI_SaCntR1HN58UBQrbC/view?usp=drivesdk" TargetMode="External"/><Relationship Id="rId746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2592413%20%2F%20252610078%26entry.1578404635%3DHadir" TargetMode="External"/><Relationship Id="rId48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2985486%20%2F%20252610311%26entry.1578404635%3DHadir" TargetMode="External"/><Relationship Id="rId47" Type="http://schemas.openxmlformats.org/officeDocument/2006/relationships/hyperlink" Target="https://drive.google.com/file/d/136MyB6rX3s1kqMNIIeqtTu6JwDGBkWlO/view?usp=drivesdk" TargetMode="External"/><Relationship Id="rId49" Type="http://schemas.openxmlformats.org/officeDocument/2006/relationships/hyperlink" Target="https://drive.google.com/file/d/1SGFJCN2vvOney4NApARqhB73iCOgk7PP/view?usp=drivesdk" TargetMode="External"/><Relationship Id="rId741" Type="http://schemas.openxmlformats.org/officeDocument/2006/relationships/hyperlink" Target="https://drive.google.com/file/d/1taw6m-k3cF-q68BiOqDwq6DpGqUG_ACs/view?usp=drivesdk" TargetMode="External"/><Relationship Id="rId1330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8715904%20%2F%20242510023%26entry.1578404635%3DHadir" TargetMode="External"/><Relationship Id="rId740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5339420%20%2F%20252610027%26entry.1578404635%3DHadir" TargetMode="External"/><Relationship Id="rId1331" Type="http://schemas.openxmlformats.org/officeDocument/2006/relationships/hyperlink" Target="https://drive.google.com/file/d/1YotAU3gE8y5p-3-WXuGdIYWZEnT-MNck/view?usp=drivesdk" TargetMode="External"/><Relationship Id="rId1332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81501338%20%2F%20242510042%26entry.1578404635%3DHadir" TargetMode="External"/><Relationship Id="rId1333" Type="http://schemas.openxmlformats.org/officeDocument/2006/relationships/hyperlink" Target="https://drive.google.com/file/d/1bB2Z9rd9VksmlYzY8k3VdzIo0a7xrIuB/view?usp=drivesdk" TargetMode="External"/><Relationship Id="rId1323" Type="http://schemas.openxmlformats.org/officeDocument/2006/relationships/hyperlink" Target="https://drive.google.com/file/d/12sB6QVPqJsQqbiz_meDJeY1gpEFarZ0E/view?usp=drivesdk" TargetMode="External"/><Relationship Id="rId1324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82801587%20%2F%20242510421%26entry.1578404635%3DHadir" TargetMode="External"/><Relationship Id="rId31" Type="http://schemas.openxmlformats.org/officeDocument/2006/relationships/hyperlink" Target="https://drive.google.com/file/d/1DkiMBRJidCu4rpARd_sGeCMxkHoE_dEf/view?usp=drivesdk" TargetMode="External"/><Relationship Id="rId1325" Type="http://schemas.openxmlformats.org/officeDocument/2006/relationships/hyperlink" Target="https://drive.google.com/file/d/1iljQwOk8LwT13xguKu8RHuo-SdPEIVWF/view?usp=drivesdk" TargetMode="External"/><Relationship Id="rId30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2644442%20%2F%20252610193%26entry.1578404635%3DHadir" TargetMode="External"/><Relationship Id="rId1326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1989218%20%2F%20242510017%26entry.1578404635%3DHadir" TargetMode="External"/><Relationship Id="rId33" Type="http://schemas.openxmlformats.org/officeDocument/2006/relationships/hyperlink" Target="https://drive.google.com/file/d/1Qoz2BWw-WzedC8leFgPiQ4Ljuz6FTB4b/view?usp=drivesdk" TargetMode="External"/><Relationship Id="rId1327" Type="http://schemas.openxmlformats.org/officeDocument/2006/relationships/hyperlink" Target="https://drive.google.com/file/d/1KRxFYh37aantIyJ-DrSDoORYEEaBvyVp/view?usp=drivesdk" TargetMode="External"/><Relationship Id="rId32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7657965%20%2F%20252610202%26entry.1578404635%3DHadir" TargetMode="External"/><Relationship Id="rId1328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87766031%20%2F%20252611568%26entry.1578404635%3DHadir" TargetMode="External"/><Relationship Id="rId35" Type="http://schemas.openxmlformats.org/officeDocument/2006/relationships/hyperlink" Target="https://drive.google.com/file/d/1SXGJ8Fa5qpDhxnKbC01wKIyMtkQ0FLnG/view?usp=drivesdk" TargetMode="External"/><Relationship Id="rId1329" Type="http://schemas.openxmlformats.org/officeDocument/2006/relationships/hyperlink" Target="https://drive.google.com/file/d/1zy_Tb5tueQGMh-MiHUQxYo8wJY1o3WxA/view?usp=drivesdk" TargetMode="External"/><Relationship Id="rId34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5023834%20%2F%20252610206%26entry.1578404635%3DHadir" TargetMode="External"/><Relationship Id="rId739" Type="http://schemas.openxmlformats.org/officeDocument/2006/relationships/hyperlink" Target="https://drive.google.com/file/d/1Y8iiO9EePoMj_IrHjG70vAHyi8T3trnx/view?usp=drivesdk" TargetMode="External"/><Relationship Id="rId734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4438921%20%2F%20252610558%26entry.1578404635%3DHadir" TargetMode="External"/><Relationship Id="rId733" Type="http://schemas.openxmlformats.org/officeDocument/2006/relationships/hyperlink" Target="https://drive.google.com/file/d/1NzaWcxaQy_N8_CdwIVE1urjpXjgwAckE/view?usp=drivesdk" TargetMode="External"/><Relationship Id="rId732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8340159%20%2F%20252610548%26entry.1578404635%3DHadir" TargetMode="External"/><Relationship Id="rId731" Type="http://schemas.openxmlformats.org/officeDocument/2006/relationships/hyperlink" Target="https://drive.google.com/file/d/1pQB9M6v0-jO29FdyEoWWC5qXFo-0ytGa/view?usp=drivesdk" TargetMode="External"/><Relationship Id="rId738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8974704%20%2F%20252610019%26entry.1578404635%3DHadir" TargetMode="External"/><Relationship Id="rId737" Type="http://schemas.openxmlformats.org/officeDocument/2006/relationships/hyperlink" Target="https://drive.google.com/file/d/1oAZVOO7paNfWLOOgWDYZbyKS86clKSmL/view?usp=drivesdk" TargetMode="External"/><Relationship Id="rId736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6681838%20%2F%20252610003%26entry.1578404635%3DHadir" TargetMode="External"/><Relationship Id="rId735" Type="http://schemas.openxmlformats.org/officeDocument/2006/relationships/hyperlink" Target="https://drive.google.com/file/d/1btAHPECatGgvh-CKWDVVOQVVLsYv1jGi/view?usp=drivesdk" TargetMode="External"/><Relationship Id="rId37" Type="http://schemas.openxmlformats.org/officeDocument/2006/relationships/hyperlink" Target="https://drive.google.com/file/d/15IXPQVUuOt8H540EqjLVe6zzkm15WpLl/view?usp=drivesdk" TargetMode="External"/><Relationship Id="rId36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4631117%20%2F%20252610224%26entry.1578404635%3DHadir" TargetMode="External"/><Relationship Id="rId39" Type="http://schemas.openxmlformats.org/officeDocument/2006/relationships/hyperlink" Target="https://drive.google.com/file/d/1EGzdBFstUsXDWTMpSUXHrpW133xlD9yz/view?usp=drivesdk" TargetMode="External"/><Relationship Id="rId38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2679798%20%2F%20252610239%26entry.1578404635%3DHadir" TargetMode="External"/><Relationship Id="rId730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3433461%20%2F%20252610536%26entry.1578404635%3DHadir" TargetMode="External"/><Relationship Id="rId1320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89237233%20%2F%20242510409%26entry.1578404635%3DHadir" TargetMode="External"/><Relationship Id="rId1321" Type="http://schemas.openxmlformats.org/officeDocument/2006/relationships/hyperlink" Target="https://drive.google.com/file/d/1gvE0j3LwDE-vS4xSJISMJIlM8FCJ61sZ/view?usp=drivesdk" TargetMode="External"/><Relationship Id="rId1322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8438052%20%2F%20242510417%26entry.1578404635%3DHadir" TargetMode="External"/><Relationship Id="rId1356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4995394%20%2F%20242510176%26entry.1578404635%3DHadir" TargetMode="External"/><Relationship Id="rId1357" Type="http://schemas.openxmlformats.org/officeDocument/2006/relationships/hyperlink" Target="https://drive.google.com/file/d/1S8QMS6IKFpKqnFU4AvZKplS9Fg1WyHRZ/view?usp=drivesdk" TargetMode="External"/><Relationship Id="rId20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6477713%20%2F%20252610122%26entry.1578404635%3DHadir" TargetMode="External"/><Relationship Id="rId1358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81936585%20%2F%20242510185%26entry.1578404635%3DHadir" TargetMode="External"/><Relationship Id="rId1359" Type="http://schemas.openxmlformats.org/officeDocument/2006/relationships/hyperlink" Target="https://drive.google.com/file/d/1EVJsreOe9DVM6zd949JxbuUdFpY1h1op/view?usp=drivesdk" TargetMode="External"/><Relationship Id="rId22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6995291%20%2F%20252610126%26entry.1578404635%3DHadir" TargetMode="External"/><Relationship Id="rId21" Type="http://schemas.openxmlformats.org/officeDocument/2006/relationships/hyperlink" Target="https://drive.google.com/file/d/1tS8oCGyjXE_iUjrmtYwoF0c6IxPj5bwe/view?usp=drivesdk" TargetMode="External"/><Relationship Id="rId24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4126705%20%2F%20252610130%26entry.1578404635%3DHadir" TargetMode="External"/><Relationship Id="rId23" Type="http://schemas.openxmlformats.org/officeDocument/2006/relationships/hyperlink" Target="https://drive.google.com/file/d/1EmJkPoxdTJ-gQWZdii-D138hhWBcspG4/view?usp=drivesdk" TargetMode="External"/><Relationship Id="rId767" Type="http://schemas.openxmlformats.org/officeDocument/2006/relationships/hyperlink" Target="https://drive.google.com/file/d/1W5Wk145cGHRbGE9ZOR_NsqOK2PjYlL5L/view?usp=drivesdk" TargetMode="External"/><Relationship Id="rId766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9535255%20%2F%20252610212%26entry.1578404635%3DHadir" TargetMode="External"/><Relationship Id="rId765" Type="http://schemas.openxmlformats.org/officeDocument/2006/relationships/hyperlink" Target="https://drive.google.com/file/d/1PwDmhAx1dBR9tZk2sVJsj9NwJSnl6mY_/view?usp=drivesdk" TargetMode="External"/><Relationship Id="rId764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7946386%20%2F%20252610211%26entry.1578404635%3DHadir" TargetMode="External"/><Relationship Id="rId769" Type="http://schemas.openxmlformats.org/officeDocument/2006/relationships/hyperlink" Target="https://drive.google.com/file/d/1srWhqPtQwnZRFo0c4SA0x_klS-1rKk7a/view?usp=drivesdk" TargetMode="External"/><Relationship Id="rId768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4573200%20%2F%20252610220%26entry.1578404635%3DHadir" TargetMode="External"/><Relationship Id="rId26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5914504%20%2F%20252610171%26entry.1578404635%3DHadir" TargetMode="External"/><Relationship Id="rId25" Type="http://schemas.openxmlformats.org/officeDocument/2006/relationships/hyperlink" Target="https://drive.google.com/file/d/1V36ZPnUswM9ug8uwlwbe7s6iXPAB3HIh/view?usp=drivesdk" TargetMode="External"/><Relationship Id="rId28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2097491%20%2F%20252610175%26entry.1578404635%3DHadir" TargetMode="External"/><Relationship Id="rId1350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84614966%20%2F%20242510167%26entry.1578404635%3DHadir" TargetMode="External"/><Relationship Id="rId27" Type="http://schemas.openxmlformats.org/officeDocument/2006/relationships/hyperlink" Target="https://drive.google.com/file/d/1Y17P9BaSObYaTN9WA1Z9-poUfGpD2LLP/view?usp=drivesdk" TargetMode="External"/><Relationship Id="rId1351" Type="http://schemas.openxmlformats.org/officeDocument/2006/relationships/hyperlink" Target="https://drive.google.com/file/d/1Fae-AWhk0pJ2OZt2XxNkypQ7xGAcAjpn/view?usp=drivesdk" TargetMode="External"/><Relationship Id="rId763" Type="http://schemas.openxmlformats.org/officeDocument/2006/relationships/hyperlink" Target="https://drive.google.com/file/d/1M--UR7nMOBDn3QNZY27CpLLl9LR5HkPl/view?usp=drivesdk" TargetMode="External"/><Relationship Id="rId1352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7408336%20%2F%20242510169%26entry.1578404635%3DHadir" TargetMode="External"/><Relationship Id="rId29" Type="http://schemas.openxmlformats.org/officeDocument/2006/relationships/hyperlink" Target="https://drive.google.com/file/d/1gdHQkc3oC094D12II38YKtMKEBJWo6Sv/view?usp=drivesdk" TargetMode="External"/><Relationship Id="rId762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8673369%20%2F%20252610178%26entry.1578404635%3DHadir" TargetMode="External"/><Relationship Id="rId1353" Type="http://schemas.openxmlformats.org/officeDocument/2006/relationships/hyperlink" Target="https://drive.google.com/file/d/1mXjaVC0LQ-aWsKaMA-6s6CBkHFtq216l/view?usp=drivesdk" TargetMode="External"/><Relationship Id="rId761" Type="http://schemas.openxmlformats.org/officeDocument/2006/relationships/hyperlink" Target="https://drive.google.com/file/d/10_IKFjUjMchCzwTlNDI4M0yjcDo6okEh/view?usp=drivesdk" TargetMode="External"/><Relationship Id="rId1354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3094028221%20%2F%20242510171%26entry.1578404635%3DHadir" TargetMode="External"/><Relationship Id="rId760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1254694%20%2F%20252610146%26entry.1578404635%3DHadir" TargetMode="External"/><Relationship Id="rId1355" Type="http://schemas.openxmlformats.org/officeDocument/2006/relationships/hyperlink" Target="https://drive.google.com/file/d/1Ea1OMREMpvK-0hsE7U1NhhuhFZaWPULD/view?usp=drivesdk" TargetMode="External"/><Relationship Id="rId1345" Type="http://schemas.openxmlformats.org/officeDocument/2006/relationships/hyperlink" Target="https://drive.google.com/file/d/1PpOR9x4Q_mWKQ273alsPUFhJ0bV5PHIP/view?usp=drivesdk" TargetMode="External"/><Relationship Id="rId1346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2223653%20%2F%20242510142%26entry.1578404635%3DHadir" TargetMode="External"/><Relationship Id="rId1347" Type="http://schemas.openxmlformats.org/officeDocument/2006/relationships/hyperlink" Target="https://drive.google.com/file/d/18117Gft4rArKzynyIHaZ6FgeV0RfGIu2/view?usp=drivesdk" TargetMode="External"/><Relationship Id="rId1348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85278931%20%2F%20242510165%26entry.1578404635%3DHadir" TargetMode="External"/><Relationship Id="rId11" Type="http://schemas.openxmlformats.org/officeDocument/2006/relationships/hyperlink" Target="https://drive.google.com/file/d/10upqMCystGLOOuj8IXeBYoCPDfZ9BeId/view?usp=drivesdk" TargetMode="External"/><Relationship Id="rId1349" Type="http://schemas.openxmlformats.org/officeDocument/2006/relationships/hyperlink" Target="https://drive.google.com/file/d/1GOm9TpJobyTg4EqmU8bdud1FtCadNR9p/view?usp=drivesdk" TargetMode="External"/><Relationship Id="rId10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8104548%20%2F%20252610087%26entry.1578404635%3DHadir" TargetMode="External"/><Relationship Id="rId13" Type="http://schemas.openxmlformats.org/officeDocument/2006/relationships/hyperlink" Target="https://drive.google.com/file/d/1ZImG2x2uc38nnR6zZWUTE7w5Gq5qaqVc/view?usp=drivesdk" TargetMode="External"/><Relationship Id="rId12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3045473%20%2F%20252610088%26entry.1578404635%3DHadir" TargetMode="External"/><Relationship Id="rId756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4378571%20%2F%20252610133%26entry.1578404635%3DHadir" TargetMode="External"/><Relationship Id="rId755" Type="http://schemas.openxmlformats.org/officeDocument/2006/relationships/hyperlink" Target="https://drive.google.com/file/d/1H1Pyf_FgOrqUJk1Lc9ZMH0kwkCuKWLxm/view?usp=drivesdk" TargetMode="External"/><Relationship Id="rId754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8974038%20%2F%20252610117%26entry.1578404635%3DHadir" TargetMode="External"/><Relationship Id="rId753" Type="http://schemas.openxmlformats.org/officeDocument/2006/relationships/hyperlink" Target="https://drive.google.com/file/d/1BPHZmO4oXoh2t6ooeG5Yrcj2mVls6rL5/view?usp=drivesdk" TargetMode="External"/><Relationship Id="rId759" Type="http://schemas.openxmlformats.org/officeDocument/2006/relationships/hyperlink" Target="https://drive.google.com/file/d/1Ce3gEQxuGFYrNiLHhwFXOj0IbbwaDBm8/view?usp=drivesdk" TargetMode="External"/><Relationship Id="rId758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7900663%20%2F%20252610135%26entry.1578404635%3DHadir" TargetMode="External"/><Relationship Id="rId757" Type="http://schemas.openxmlformats.org/officeDocument/2006/relationships/hyperlink" Target="https://drive.google.com/file/d/1n9T1k_I0OxO7JRtGgrvkVXBNwf4nSclS/view?usp=drivesdk" TargetMode="External"/><Relationship Id="rId15" Type="http://schemas.openxmlformats.org/officeDocument/2006/relationships/hyperlink" Target="https://drive.google.com/file/d/1rvQo4Ey68VFrcETscC7InUaTRI1kIUWw/view?usp=drivesdk" TargetMode="External"/><Relationship Id="rId14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9105725%20%2F%20252610100%26entry.1578404635%3DHadir" TargetMode="External"/><Relationship Id="rId17" Type="http://schemas.openxmlformats.org/officeDocument/2006/relationships/hyperlink" Target="https://drive.google.com/file/d/1b-GDSmMzqildFBtX8OSafkbnN90HrSEe/view?usp=drivesdk" TargetMode="External"/><Relationship Id="rId16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6394871%20%2F%20252610101%26entry.1578404635%3DHadir" TargetMode="External"/><Relationship Id="rId1340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8889247%20%2F%20242510133%26entry.1578404635%3DHadir" TargetMode="External"/><Relationship Id="rId19" Type="http://schemas.openxmlformats.org/officeDocument/2006/relationships/hyperlink" Target="https://drive.google.com/file/d/1yx3LelcXw_e83FhlIETtKt3gLFBbBxee/view?usp=drivesdk" TargetMode="External"/><Relationship Id="rId752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2924778%20%2F%20252610095%26entry.1578404635%3DHadir" TargetMode="External"/><Relationship Id="rId1341" Type="http://schemas.openxmlformats.org/officeDocument/2006/relationships/hyperlink" Target="https://drive.google.com/file/d/17LSPCBMufN0Oa7HwYsCr7vnP0i_drNVL/view?usp=drivesdk" TargetMode="External"/><Relationship Id="rId18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9038184%20%2F%20252610109%26entry.1578404635%3DHadir" TargetMode="External"/><Relationship Id="rId751" Type="http://schemas.openxmlformats.org/officeDocument/2006/relationships/hyperlink" Target="https://drive.google.com/file/d/1v6rT5CvNhcnK-f3d6yTDQ6OAoWhRmayl/view?usp=drivesdk" TargetMode="External"/><Relationship Id="rId1342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4252138%20%2F%20242510134%26entry.1578404635%3DHadir" TargetMode="External"/><Relationship Id="rId750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3343311%20%2F%20252610092%26entry.1578404635%3DHadir" TargetMode="External"/><Relationship Id="rId1343" Type="http://schemas.openxmlformats.org/officeDocument/2006/relationships/hyperlink" Target="https://drive.google.com/file/d/1OqLNnrMTVJDNqGU87BL6DRtZ3KoUZu9E/view?usp=drivesdk" TargetMode="External"/><Relationship Id="rId1344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86688060%20%2F%20242510135%26entry.1578404635%3DHadir" TargetMode="External"/><Relationship Id="rId84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3151970%20%2F%20252610489%26entry.1578404635%3DHadir" TargetMode="External"/><Relationship Id="rId1774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3616890%20%2F%20242510097%26entry.1578404635%3DHadir" TargetMode="External"/><Relationship Id="rId83" Type="http://schemas.openxmlformats.org/officeDocument/2006/relationships/hyperlink" Target="https://drive.google.com/file/d/1JbcPYQ0l0vEtkx5ek4Kx6DAJuSIxAaGO/view?usp=drivesdk" TargetMode="External"/><Relationship Id="rId1775" Type="http://schemas.openxmlformats.org/officeDocument/2006/relationships/hyperlink" Target="https://drive.google.com/file/d/1NFQBlu1hsjHvHqDKeeHNLI_oZ8L0zBJd/view?usp=drivesdk" TargetMode="External"/><Relationship Id="rId86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7644165%20%2F%20252610508%26entry.1578404635%3DHadir" TargetMode="External"/><Relationship Id="rId1776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2463348%20%2F%20242510100%26entry.1578404635%3DHadir" TargetMode="External"/><Relationship Id="rId85" Type="http://schemas.openxmlformats.org/officeDocument/2006/relationships/hyperlink" Target="https://drive.google.com/file/d/1P_ZTXFd8PwAfiaGJvdH2bqIephNdGRUM/view?usp=drivesdk" TargetMode="External"/><Relationship Id="rId1777" Type="http://schemas.openxmlformats.org/officeDocument/2006/relationships/hyperlink" Target="https://drive.google.com/file/d/1slsHehc1AtOGnPip_MOUVki-zDbuk9hm/view?usp=drivesdk" TargetMode="External"/><Relationship Id="rId88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2657659%20%2F%20252610513%26entry.1578404635%3DHadir" TargetMode="External"/><Relationship Id="rId1778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87035501%20%2F%20242510131%26entry.1578404635%3DHadir" TargetMode="External"/><Relationship Id="rId87" Type="http://schemas.openxmlformats.org/officeDocument/2006/relationships/hyperlink" Target="https://drive.google.com/file/d/1jvfMZ9DFM2ChktrYbXoRfRskNFsqfx7r/view?usp=drivesdk" TargetMode="External"/><Relationship Id="rId1779" Type="http://schemas.openxmlformats.org/officeDocument/2006/relationships/hyperlink" Target="https://drive.google.com/file/d/1suNvSmntCf1cn2mwNPDxHih3jLk3WwO1/view?usp=drivesdk" TargetMode="External"/><Relationship Id="rId89" Type="http://schemas.openxmlformats.org/officeDocument/2006/relationships/hyperlink" Target="https://drive.google.com/file/d/18eppwSX6bUHvs7XyHW02LIyqngUPAuhZ/view?usp=drivesdk" TargetMode="External"/><Relationship Id="rId709" Type="http://schemas.openxmlformats.org/officeDocument/2006/relationships/hyperlink" Target="https://drive.google.com/file/d/1fqbxmKjqlPlA8kK_tH7RUkmWAUqJ7fpL/view?usp=drivesdk" TargetMode="External"/><Relationship Id="rId708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1281050%20%2F%20252610399%26entry.1578404635%3DHadir" TargetMode="External"/><Relationship Id="rId707" Type="http://schemas.openxmlformats.org/officeDocument/2006/relationships/hyperlink" Target="https://drive.google.com/file/d/1bdfxmOIeQEMgdKnVmgRoOFPfTlu3JJPm/view?usp=drivesdk" TargetMode="External"/><Relationship Id="rId706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3109348901%20%2F%20252610395%26entry.1578404635%3DHadir" TargetMode="External"/><Relationship Id="rId80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2135851%20%2F%20252610476%26entry.1578404635%3DHadir" TargetMode="External"/><Relationship Id="rId82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2605198%20%2F%20252610477%26entry.1578404635%3DHadir" TargetMode="External"/><Relationship Id="rId81" Type="http://schemas.openxmlformats.org/officeDocument/2006/relationships/hyperlink" Target="https://drive.google.com/file/d/1r3GD1QzO045NUEebd-1uJ_YrkUVOjDM2/view?usp=drivesdk" TargetMode="External"/><Relationship Id="rId701" Type="http://schemas.openxmlformats.org/officeDocument/2006/relationships/hyperlink" Target="https://drive.google.com/file/d/1YGojwgli3PbdcwzRUHY1KAPqWj4opfpI/view?usp=drivesdk" TargetMode="External"/><Relationship Id="rId700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1031385%20%2F%20252610364%26entry.1578404635%3DHadir" TargetMode="External"/><Relationship Id="rId705" Type="http://schemas.openxmlformats.org/officeDocument/2006/relationships/hyperlink" Target="https://drive.google.com/file/d/1M4mjV0HRr116PMe1kVwrKa0iNu76Usny/view?usp=drivesdk" TargetMode="External"/><Relationship Id="rId704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8938532%20%2F%20252610392%26entry.1578404635%3DHadir" TargetMode="External"/><Relationship Id="rId703" Type="http://schemas.openxmlformats.org/officeDocument/2006/relationships/hyperlink" Target="https://drive.google.com/file/d/15DOjJAAI_WTVaUSbDeSpWyP4x8Pc_07Q/view?usp=drivesdk" TargetMode="External"/><Relationship Id="rId702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11220217%20%2F%20252610376%26entry.1578404635%3DHadir" TargetMode="External"/><Relationship Id="rId1770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89373986%20%2F%20242510076%26entry.1578404635%3DHadir" TargetMode="External"/><Relationship Id="rId1771" Type="http://schemas.openxmlformats.org/officeDocument/2006/relationships/hyperlink" Target="https://drive.google.com/file/d/1iFxPF4N0XlMvOeGj9t9uDE-yBhSjAENQ/view?usp=drivesdk" TargetMode="External"/><Relationship Id="rId1772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4394514%20%2F%20242510082%26entry.1578404635%3DHadir" TargetMode="External"/><Relationship Id="rId1773" Type="http://schemas.openxmlformats.org/officeDocument/2006/relationships/hyperlink" Target="https://drive.google.com/file/d/19Dr09uD3xETFgc14JAHReeX2x6F1hmsv/view?usp=drivesdk" TargetMode="External"/><Relationship Id="rId73" Type="http://schemas.openxmlformats.org/officeDocument/2006/relationships/hyperlink" Target="https://drive.google.com/file/d/1NkYk1mzO36BrpmFMNmWG0E23Kt180dcP/view?usp=drivesdk" TargetMode="External"/><Relationship Id="rId1763" Type="http://schemas.openxmlformats.org/officeDocument/2006/relationships/hyperlink" Target="https://drive.google.com/file/d/1DO2pdbAWWgshqwnwG9Dws5wjlY6SzvtR/view?usp=drivesdk" TargetMode="External"/><Relationship Id="rId72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3105045%20%2F%20252610424%26entry.1578404635%3DHadir" TargetMode="External"/><Relationship Id="rId1764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81317101%20%2F%20242510043%26entry.1578404635%3DHadir" TargetMode="External"/><Relationship Id="rId75" Type="http://schemas.openxmlformats.org/officeDocument/2006/relationships/hyperlink" Target="https://drive.google.com/file/d/1n8G_y0n2UNS1r9qU99EPhaluwpebdXU2/view?usp=drivesdk" TargetMode="External"/><Relationship Id="rId1765" Type="http://schemas.openxmlformats.org/officeDocument/2006/relationships/hyperlink" Target="https://drive.google.com/file/d/1fQFAIhvobiZZ4oPQ6RVhVBjAb26M_Hm1/view?usp=drivesdk" TargetMode="External"/><Relationship Id="rId74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5438030%20%2F%20252610436%26entry.1578404635%3DHadir" TargetMode="External"/><Relationship Id="rId1766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88625335%20%2F%20242510062%26entry.1578404635%3DHadir" TargetMode="External"/><Relationship Id="rId77" Type="http://schemas.openxmlformats.org/officeDocument/2006/relationships/hyperlink" Target="https://drive.google.com/file/d/1vyybGg2I_y0EeSocpKMdZZvnZmLckHie/view?usp=drivesdk" TargetMode="External"/><Relationship Id="rId1767" Type="http://schemas.openxmlformats.org/officeDocument/2006/relationships/hyperlink" Target="https://drive.google.com/file/d/1httiINK5dzCL9mNbKnHRuDM5VlGaB5xD/view?usp=drivesdk" TargetMode="External"/><Relationship Id="rId76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7914534%20%2F%20252610452%26entry.1578404635%3DHadir" TargetMode="External"/><Relationship Id="rId1768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84865750%20%2F%20242510075%26entry.1578404635%3DHadir" TargetMode="External"/><Relationship Id="rId79" Type="http://schemas.openxmlformats.org/officeDocument/2006/relationships/hyperlink" Target="https://drive.google.com/file/d/1UPHxh1IW7HIZJar99iSVkFIQLUsWyPzV/view?usp=drivesdk" TargetMode="External"/><Relationship Id="rId1769" Type="http://schemas.openxmlformats.org/officeDocument/2006/relationships/hyperlink" Target="https://drive.google.com/file/d/1xb50nhCspslf9akIQb2lrsQ3hTh74N-6/view?usp=drivesdk" TargetMode="External"/><Relationship Id="rId78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7963483%20%2F%20252610454%26entry.1578404635%3DHadir" TargetMode="External"/><Relationship Id="rId71" Type="http://schemas.openxmlformats.org/officeDocument/2006/relationships/hyperlink" Target="https://drive.google.com/file/d/122ujRpdl36x6kaMiqL-5rkF40v2zMA3b/view?usp=drivesdk" TargetMode="External"/><Relationship Id="rId70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7858274%20%2F%20252610423%26entry.1578404635%3DHadir" TargetMode="External"/><Relationship Id="rId1760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5916190%20%2F%20242510033%26entry.1578404635%3DHadir" TargetMode="External"/><Relationship Id="rId1761" Type="http://schemas.openxmlformats.org/officeDocument/2006/relationships/hyperlink" Target="https://drive.google.com/file/d/1EbaA-kSfz5VI7Qc2LVkufID815mSKMBD/view?usp=drivesdk" TargetMode="External"/><Relationship Id="rId1762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3270004%20%2F%20242510040%26entry.1578404635%3DHadir" TargetMode="External"/><Relationship Id="rId62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8107461%20%2F%20252610369%26entry.1578404635%3DHadir" TargetMode="External"/><Relationship Id="rId1312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6344538%20%2F%20242510373%26entry.1578404635%3DHadir" TargetMode="External"/><Relationship Id="rId1796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5937371%20%2F%20242510263%26entry.1578404635%3DHadir" TargetMode="External"/><Relationship Id="rId61" Type="http://schemas.openxmlformats.org/officeDocument/2006/relationships/hyperlink" Target="https://drive.google.com/file/d/1FK6nuT5kuh1PkAwodKSoBvRM2HMA8KS7/view?usp=drivesdk" TargetMode="External"/><Relationship Id="rId1313" Type="http://schemas.openxmlformats.org/officeDocument/2006/relationships/hyperlink" Target="https://drive.google.com/file/d/1mH9xob9REmOK3AbxCSFCfqHoWzzqaUpH/view?usp=drivesdk" TargetMode="External"/><Relationship Id="rId1797" Type="http://schemas.openxmlformats.org/officeDocument/2006/relationships/hyperlink" Target="https://drive.google.com/file/d/1UWGy8XtR7Gtxu1vF2C9jPJU-6u4q_K3z/view?usp=drivesdk" TargetMode="External"/><Relationship Id="rId64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2807405%20%2F%20252610371%26entry.1578404635%3DHadir" TargetMode="External"/><Relationship Id="rId1314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6480588%20%2F%20242510395%26entry.1578404635%3DHadir" TargetMode="External"/><Relationship Id="rId1798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88807404%20%2F%20242510264%26entry.1578404635%3DHadir" TargetMode="External"/><Relationship Id="rId63" Type="http://schemas.openxmlformats.org/officeDocument/2006/relationships/hyperlink" Target="https://drive.google.com/file/d/1fHQJCzZK5CIHCmoVs_TFJCU_qKWVm8gt/view?usp=drivesdk" TargetMode="External"/><Relationship Id="rId1315" Type="http://schemas.openxmlformats.org/officeDocument/2006/relationships/hyperlink" Target="https://drive.google.com/file/d/17l_rEXz44S7Ir7rUWKu_2Gd4w0fq5S-H/view?usp=drivesdk" TargetMode="External"/><Relationship Id="rId1799" Type="http://schemas.openxmlformats.org/officeDocument/2006/relationships/hyperlink" Target="https://drive.google.com/file/d/1J8ElwmR0sSGhIs2MI1Sc3zu7aDK40Glw/view?usp=drivesdk" TargetMode="External"/><Relationship Id="rId66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2300207%20%2F%20252610390%26entry.1578404635%3DHadir" TargetMode="External"/><Relationship Id="rId1316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4958254%20%2F%20242510405%26entry.1578404635%3DHadir" TargetMode="External"/><Relationship Id="rId65" Type="http://schemas.openxmlformats.org/officeDocument/2006/relationships/hyperlink" Target="https://drive.google.com/file/d/1B4JozJy9yq_amhwZfnrDmsiUaUaw9pS2/view?usp=drivesdk" TargetMode="External"/><Relationship Id="rId1317" Type="http://schemas.openxmlformats.org/officeDocument/2006/relationships/hyperlink" Target="https://drive.google.com/file/d/1UwhZVMsftPoPs-aPtIxkLh5Pc7-WhEg9/view?usp=drivesdk" TargetMode="External"/><Relationship Id="rId68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7892166%20%2F%20252610393%26entry.1578404635%3DHadir" TargetMode="External"/><Relationship Id="rId1318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85108715%20%2F%20242510408%26entry.1578404635%3DHadir" TargetMode="External"/><Relationship Id="rId67" Type="http://schemas.openxmlformats.org/officeDocument/2006/relationships/hyperlink" Target="https://drive.google.com/file/d/1Fa_RZpZUSOiZLYYLI4c1YBUgjAxlPtVL/view?usp=drivesdk" TargetMode="External"/><Relationship Id="rId1319" Type="http://schemas.openxmlformats.org/officeDocument/2006/relationships/hyperlink" Target="https://drive.google.com/file/d/1s0pzwTMfBRfQrsR94T_TuT42mo8Jp8pR/view?usp=drivesdk" TargetMode="External"/><Relationship Id="rId729" Type="http://schemas.openxmlformats.org/officeDocument/2006/relationships/hyperlink" Target="https://drive.google.com/file/d/1UqtgMAjKDcdedizEM0wVIG_qLs6e9ufV/view?usp=drivesdk" TargetMode="External"/><Relationship Id="rId728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7357472%20%2F%20252610522%26entry.1578404635%3DHadir" TargetMode="External"/><Relationship Id="rId60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3104497802%20%2F%20252610351%26entry.1578404635%3DHadir" TargetMode="External"/><Relationship Id="rId723" Type="http://schemas.openxmlformats.org/officeDocument/2006/relationships/hyperlink" Target="https://drive.google.com/file/d/16wCZP1nOnfBymXchbUkKREYFjzjAbhPD/view?usp=drivesdk" TargetMode="External"/><Relationship Id="rId722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7882314%20%2F%20252610463%26entry.1578404635%3DHadir" TargetMode="External"/><Relationship Id="rId721" Type="http://schemas.openxmlformats.org/officeDocument/2006/relationships/hyperlink" Target="https://drive.google.com/file/d/1GeFuSDghN-VYipUTH8I7Bim-IEZOCJ5S/view?usp=drivesdk" TargetMode="External"/><Relationship Id="rId720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5462734%20%2F%20252610445%26entry.1578404635%3DHadir" TargetMode="External"/><Relationship Id="rId727" Type="http://schemas.openxmlformats.org/officeDocument/2006/relationships/hyperlink" Target="https://drive.google.com/file/d/1SoqWy3FOYMBhih2lVV-h6VPIf7sWjsX3/view?usp=drivesdk" TargetMode="External"/><Relationship Id="rId726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2838068%20%2F%20252610500%26entry.1578404635%3DHadir" TargetMode="External"/><Relationship Id="rId725" Type="http://schemas.openxmlformats.org/officeDocument/2006/relationships/hyperlink" Target="https://drive.google.com/file/d/1avXJj_8naw2JSewx7AtP8TOqNb9P8K__/view?usp=drivesdk" TargetMode="External"/><Relationship Id="rId724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9739465%20%2F%20252610470%26entry.1578404635%3DHadir" TargetMode="External"/><Relationship Id="rId69" Type="http://schemas.openxmlformats.org/officeDocument/2006/relationships/hyperlink" Target="https://drive.google.com/file/d/1BAAuTlBsqQ-JFYTZzc_oBG3dSG-nl41G/view?usp=drivesdk" TargetMode="External"/><Relationship Id="rId1790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3091944997%20%2F%20242510210%26entry.1578404635%3DHadir" TargetMode="External"/><Relationship Id="rId1791" Type="http://schemas.openxmlformats.org/officeDocument/2006/relationships/hyperlink" Target="https://drive.google.com/file/d/1_RjmwM49b1I8Wgd0p-gAYHYXfVOsbhPr/view?usp=drivesdk" TargetMode="External"/><Relationship Id="rId1792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81087411%20%2F%20242510224%26entry.1578404635%3DHadir" TargetMode="External"/><Relationship Id="rId1793" Type="http://schemas.openxmlformats.org/officeDocument/2006/relationships/hyperlink" Target="https://drive.google.com/file/d/1dcMYDVU35FZUYC5QqWa84DE3YlZQdWeq/view?usp=drivesdk" TargetMode="External"/><Relationship Id="rId1310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85930059%20%2F%20242510371%26entry.1578404635%3DHadir" TargetMode="External"/><Relationship Id="rId1794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4864081%20%2F%20242510250%26entry.1578404635%3DHadir" TargetMode="External"/><Relationship Id="rId1311" Type="http://schemas.openxmlformats.org/officeDocument/2006/relationships/hyperlink" Target="https://drive.google.com/file/d/1123VoSw-rQXOZ9CYnjzZ805bULdzWWim/view?usp=drivesdk" TargetMode="External"/><Relationship Id="rId1795" Type="http://schemas.openxmlformats.org/officeDocument/2006/relationships/hyperlink" Target="https://drive.google.com/file/d/11fJaCyKoT92bLn8Hsw4HU6_ATDywfHfB/view?usp=drivesdk" TargetMode="External"/><Relationship Id="rId51" Type="http://schemas.openxmlformats.org/officeDocument/2006/relationships/hyperlink" Target="https://drive.google.com/file/d/1nehMZH1FhrVr5ttGwQVfgvqeJrIzLhyT/view?usp=drivesdk" TargetMode="External"/><Relationship Id="rId1301" Type="http://schemas.openxmlformats.org/officeDocument/2006/relationships/hyperlink" Target="https://drive.google.com/file/d/1W3zVDSF6RWI5mXOLIlslG5sjlh6TMXSi/view?usp=drivesdk" TargetMode="External"/><Relationship Id="rId1785" Type="http://schemas.openxmlformats.org/officeDocument/2006/relationships/hyperlink" Target="https://drive.google.com/file/d/1_G0NVeX-81LyLSeJeDGWzmBNrWnkZW6_/view?usp=drivesdk" TargetMode="External"/><Relationship Id="rId50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4677765%20%2F%20252610313%26entry.1578404635%3DHadir" TargetMode="External"/><Relationship Id="rId1302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84584228%20%2F%20242510313%26entry.1578404635%3DHadir" TargetMode="External"/><Relationship Id="rId1786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2821103%20%2F%20242510174%26entry.1578404635%3DHadir" TargetMode="External"/><Relationship Id="rId53" Type="http://schemas.openxmlformats.org/officeDocument/2006/relationships/hyperlink" Target="https://drive.google.com/file/d/1AxwkbKLziu4iXcBBFIxplfneQH4t6uJO/view?usp=drivesdk" TargetMode="External"/><Relationship Id="rId1303" Type="http://schemas.openxmlformats.org/officeDocument/2006/relationships/hyperlink" Target="https://drive.google.com/file/d/1Ki5OkK-xEPJ8ozG7VCV1jHRnas6xbQvC/view?usp=drivesdk" TargetMode="External"/><Relationship Id="rId1787" Type="http://schemas.openxmlformats.org/officeDocument/2006/relationships/hyperlink" Target="https://drive.google.com/file/d/1YXE0sBoiCHsAruKoiaVcQW758kg14-IO/view?usp=drivesdk" TargetMode="External"/><Relationship Id="rId52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7959828%20%2F%20252610316%26entry.1578404635%3DHadir" TargetMode="External"/><Relationship Id="rId1304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3556204%20%2F%20242510328%26entry.1578404635%3DHadir" TargetMode="External"/><Relationship Id="rId1788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82472809%20%2F%20242510177%26entry.1578404635%3DHadir" TargetMode="External"/><Relationship Id="rId55" Type="http://schemas.openxmlformats.org/officeDocument/2006/relationships/hyperlink" Target="https://drive.google.com/file/d/1HdjxzTJ5BmtVS3ZKEvlKKC3LEql2q-BA/view?usp=drivesdk" TargetMode="External"/><Relationship Id="rId1305" Type="http://schemas.openxmlformats.org/officeDocument/2006/relationships/hyperlink" Target="https://drive.google.com/file/d/1Ss63wjm1SP_Hz5qq1skyGab4I1kjit2o/view?usp=drivesdk" TargetMode="External"/><Relationship Id="rId1789" Type="http://schemas.openxmlformats.org/officeDocument/2006/relationships/hyperlink" Target="https://drive.google.com/file/d/1v52BknQIUMfd-C1IXKdorUGl1gtEfjxx/view?usp=drivesdk" TargetMode="External"/><Relationship Id="rId54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2600602%20%2F%20252610330%26entry.1578404635%3DHadir" TargetMode="External"/><Relationship Id="rId1306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9332666%20%2F%20242510343%26entry.1578404635%3DHadir" TargetMode="External"/><Relationship Id="rId57" Type="http://schemas.openxmlformats.org/officeDocument/2006/relationships/hyperlink" Target="https://drive.google.com/file/d/1njzPNLi7sKr8WVYPxIbyQkQOSVUilGWD/view?usp=drivesdk" TargetMode="External"/><Relationship Id="rId1307" Type="http://schemas.openxmlformats.org/officeDocument/2006/relationships/hyperlink" Target="https://drive.google.com/file/d/15128YcnEfRojny3hA8b19m0zxzJQC3HG/view?usp=drivesdk" TargetMode="External"/><Relationship Id="rId56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8695912%20%2F%20252610334%26entry.1578404635%3DHadir" TargetMode="External"/><Relationship Id="rId1308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87745551%20%2F%20242510350%26entry.1578404635%3DHadir" TargetMode="External"/><Relationship Id="rId1309" Type="http://schemas.openxmlformats.org/officeDocument/2006/relationships/hyperlink" Target="https://drive.google.com/file/d/11zPiQR-Fp9vCasAduHisrx6F0qjDILEt/view?usp=drivesdk" TargetMode="External"/><Relationship Id="rId719" Type="http://schemas.openxmlformats.org/officeDocument/2006/relationships/hyperlink" Target="https://drive.google.com/file/d/1SnMbLyN8iEZiPwdQN8ayRPLOaqn0UYP8/view?usp=drivesdk" TargetMode="External"/><Relationship Id="rId718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9599363%20%2F%20252610444%26entry.1578404635%3DHadir" TargetMode="External"/><Relationship Id="rId717" Type="http://schemas.openxmlformats.org/officeDocument/2006/relationships/hyperlink" Target="https://drive.google.com/file/d/1YPtRJefNo6OO6EHI1PFxOprpECrtxt6u/view?usp=drivesdk" TargetMode="External"/><Relationship Id="rId712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5961239%20%2F%20252610413%26entry.1578404635%3DHadir" TargetMode="External"/><Relationship Id="rId711" Type="http://schemas.openxmlformats.org/officeDocument/2006/relationships/hyperlink" Target="https://drive.google.com/file/d/1kAXs0fABYDv3D3Y_ZkQ1zOeJcy75uwCW/view?usp=drivesdk" TargetMode="External"/><Relationship Id="rId710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7347265%20%2F%20252610408%26entry.1578404635%3DHadir" TargetMode="External"/><Relationship Id="rId716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5803552%20%2F%20252610420%26entry.1578404635%3DHadir" TargetMode="External"/><Relationship Id="rId715" Type="http://schemas.openxmlformats.org/officeDocument/2006/relationships/hyperlink" Target="https://drive.google.com/file/d/1GP19s3JDtBIHSEFKp4NWHhoTzeSpaLia/view?usp=drivesdk" TargetMode="External"/><Relationship Id="rId714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5193509%20%2F%20252610421%26entry.1578404635%3DHadir" TargetMode="External"/><Relationship Id="rId713" Type="http://schemas.openxmlformats.org/officeDocument/2006/relationships/hyperlink" Target="https://drive.google.com/file/d/1tkLsQp-jYHbbnA1Dn9yqZkyGSpzmn67Q/view?usp=drivesdk" TargetMode="External"/><Relationship Id="rId59" Type="http://schemas.openxmlformats.org/officeDocument/2006/relationships/hyperlink" Target="https://drive.google.com/file/d/1X8wfYY0OH5CW_UBHbmpxRFg3_EjS9P9F/view?usp=drivesdk" TargetMode="External"/><Relationship Id="rId58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3126257%20%2F%20252610343%26entry.1578404635%3DHadir" TargetMode="External"/><Relationship Id="rId1780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7179421%20%2F%20242510163%26entry.1578404635%3DHadir" TargetMode="External"/><Relationship Id="rId1781" Type="http://schemas.openxmlformats.org/officeDocument/2006/relationships/hyperlink" Target="https://drive.google.com/file/d/19JHA6QX7qffNkn8MV9A16UtxQmQL4Zit/view?usp=drivesdk" TargetMode="External"/><Relationship Id="rId1782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84853605%20%2F%20242510164%26entry.1578404635%3DHadir" TargetMode="External"/><Relationship Id="rId1783" Type="http://schemas.openxmlformats.org/officeDocument/2006/relationships/hyperlink" Target="https://drive.google.com/file/d/1gj5Ou5rmG9u2AnOb9SreD_Z4mDzTkcqi/view?usp=drivesdk" TargetMode="External"/><Relationship Id="rId1300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83974334%20%2F%20242510298%26entry.1578404635%3DHadir" TargetMode="External"/><Relationship Id="rId1784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3092618789%20%2F%20242510170%26entry.1578404635%3DHadir" TargetMode="External"/><Relationship Id="rId349" Type="http://schemas.openxmlformats.org/officeDocument/2006/relationships/hyperlink" Target="https://drive.google.com/file/d/1nDdLIIUXNOy5cAEKQ0ubnzvdovbicSDW/view?usp=drivesdk" TargetMode="External"/><Relationship Id="rId348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7960365%20%2F%20252610475%26entry.1578404635%3DHadir" TargetMode="External"/><Relationship Id="rId347" Type="http://schemas.openxmlformats.org/officeDocument/2006/relationships/hyperlink" Target="https://drive.google.com/file/d/1x3EBgAY0b0LsatGYUd83-AvIaRgie9oR/view?usp=drivesdk" TargetMode="External"/><Relationship Id="rId346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8390462%20%2F%20252610472%26entry.1578404635%3DHadir" TargetMode="External"/><Relationship Id="rId341" Type="http://schemas.openxmlformats.org/officeDocument/2006/relationships/hyperlink" Target="https://drive.google.com/file/d/1kKRi8jHuS02UV8ZvhTCpUWPE8uG9Dcj3/view?usp=drivesdk" TargetMode="External"/><Relationship Id="rId340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3461516%20%2F%20252610433%26entry.1578404635%3DHadir" TargetMode="External"/><Relationship Id="rId345" Type="http://schemas.openxmlformats.org/officeDocument/2006/relationships/hyperlink" Target="https://drive.google.com/file/d/1ra3WjJfYY4y7yug2XeBb-juJ5s3eHPjo/view?usp=drivesdk" TargetMode="External"/><Relationship Id="rId344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8699884%20%2F%20252610447%26entry.1578404635%3DHadir" TargetMode="External"/><Relationship Id="rId343" Type="http://schemas.openxmlformats.org/officeDocument/2006/relationships/hyperlink" Target="https://drive.google.com/file/d/1KQukR-tklUjVqW8EVedBDg98Ujt0njK6/view?usp=drivesdk" TargetMode="External"/><Relationship Id="rId342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9782055%20%2F%20252610435%26entry.1578404635%3DHadir" TargetMode="External"/><Relationship Id="rId338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3107700954%20%2F%20252610382%26entry.1578404635%3DHadir" TargetMode="External"/><Relationship Id="rId337" Type="http://schemas.openxmlformats.org/officeDocument/2006/relationships/hyperlink" Target="https://drive.google.com/file/d/1lzWgNrOGgUcTiDOzl9J2mtj_qLuyFYtQ/view?usp=drivesdk" TargetMode="External"/><Relationship Id="rId336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3105173369%20%2F%20252610378%26entry.1578404635%3DHadir" TargetMode="External"/><Relationship Id="rId335" Type="http://schemas.openxmlformats.org/officeDocument/2006/relationships/hyperlink" Target="https://drive.google.com/file/d/1U5c4z0u5cmwP7-85kqm-BH_yEGcXtZrn/view?usp=drivesdk" TargetMode="External"/><Relationship Id="rId339" Type="http://schemas.openxmlformats.org/officeDocument/2006/relationships/hyperlink" Target="https://drive.google.com/file/d/1NmIggidpV6JkajkBeYY1-Cch36BT0Od9/view?usp=drivesdk" TargetMode="External"/><Relationship Id="rId330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5497173%20%2F%20252610357%26entry.1578404635%3DHadir" TargetMode="External"/><Relationship Id="rId334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7410697%20%2F%20252610373%26entry.1578404635%3DHadir" TargetMode="External"/><Relationship Id="rId333" Type="http://schemas.openxmlformats.org/officeDocument/2006/relationships/hyperlink" Target="https://drive.google.com/file/d/1S4WIDvGQljG62p5n4KT4drgbHCYrYkxZ/view?usp=drivesdk" TargetMode="External"/><Relationship Id="rId332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2028941%20%2F%20252610363%26entry.1578404635%3DHadir" TargetMode="External"/><Relationship Id="rId331" Type="http://schemas.openxmlformats.org/officeDocument/2006/relationships/hyperlink" Target="https://drive.google.com/file/d/1WpUwS6OzDXyTQW0soa2yuuiC4F4SLkfb/view?usp=drivesdk" TargetMode="External"/><Relationship Id="rId370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2194625%20%2F%20252610004%26entry.1578404635%3DHadir" TargetMode="External"/><Relationship Id="rId369" Type="http://schemas.openxmlformats.org/officeDocument/2006/relationships/hyperlink" Target="https://drive.google.com/file/d/1wvF9SSseZ0grM1yk1WxH6nyF-yIv-URz/view?usp=drivesdk" TargetMode="External"/><Relationship Id="rId368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6490661%20%2F%20252610544%26entry.1578404635%3DHadir" TargetMode="External"/><Relationship Id="rId363" Type="http://schemas.openxmlformats.org/officeDocument/2006/relationships/hyperlink" Target="https://drive.google.com/file/d/1D-Ocxiy33rIwYhuw2Dr8d1SvEeXr8Dsd/view?usp=drivesdk" TargetMode="External"/><Relationship Id="rId362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6219079%20%2F%20252610519%26entry.1578404635%3DHadir" TargetMode="External"/><Relationship Id="rId361" Type="http://schemas.openxmlformats.org/officeDocument/2006/relationships/hyperlink" Target="https://drive.google.com/file/d/1Yn_AyU087jAs3POAZf8dwCMPrZPZ-4AY/view?usp=drivesdk" TargetMode="External"/><Relationship Id="rId360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6588309%20%2F%20252610515%26entry.1578404635%3DHadir" TargetMode="External"/><Relationship Id="rId367" Type="http://schemas.openxmlformats.org/officeDocument/2006/relationships/hyperlink" Target="https://drive.google.com/file/d/1ax1s8LlhkRE8pqEbLCrj7Ujul3np3WwX/view?usp=drivesdk" TargetMode="External"/><Relationship Id="rId366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2630183%20%2F%20252610534%26entry.1578404635%3DHadir" TargetMode="External"/><Relationship Id="rId365" Type="http://schemas.openxmlformats.org/officeDocument/2006/relationships/hyperlink" Target="https://drive.google.com/file/d/1r8WJK5JiZS53iA96-DRHXq5RvwIPfLTQ/view?usp=drivesdk" TargetMode="External"/><Relationship Id="rId364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4714082%20%2F%20252610533%26entry.1578404635%3DHadir" TargetMode="External"/><Relationship Id="rId95" Type="http://schemas.openxmlformats.org/officeDocument/2006/relationships/hyperlink" Target="https://drive.google.com/file/d/1V3OSllgck0kjPQQvDJW61DGdtMqwoffT/view?usp=drivesdk" TargetMode="External"/><Relationship Id="rId94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4216870%20%2F%20252610011%26entry.1578404635%3DHadir" TargetMode="External"/><Relationship Id="rId97" Type="http://schemas.openxmlformats.org/officeDocument/2006/relationships/hyperlink" Target="https://drive.google.com/file/d/1YjUv2pJ7KOeDnrfvFss9TfLP6PklCkR7/view?usp=drivesdk" TargetMode="External"/><Relationship Id="rId96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7760733%20%2F%20252610023%26entry.1578404635%3DHadir" TargetMode="External"/><Relationship Id="rId99" Type="http://schemas.openxmlformats.org/officeDocument/2006/relationships/hyperlink" Target="https://drive.google.com/file/d/19oQC7k1F1Sjaf2Pr6LD5lI-Yf2rs0zAY/view?usp=drivesdk" TargetMode="External"/><Relationship Id="rId98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5130233%20%2F%20252610026%26entry.1578404635%3DHadir" TargetMode="External"/><Relationship Id="rId91" Type="http://schemas.openxmlformats.org/officeDocument/2006/relationships/hyperlink" Target="https://drive.google.com/file/d/1ddNVDpOFYbZ89yxUN2xd7tFu7kQZtx16/view?usp=drivesdk" TargetMode="External"/><Relationship Id="rId90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11428850%20%2F%20252610564%26entry.1578404635%3DHadir" TargetMode="External"/><Relationship Id="rId93" Type="http://schemas.openxmlformats.org/officeDocument/2006/relationships/hyperlink" Target="https://drive.google.com/file/d/1_68U5tIsXqQIs3o-Tyb3Jl3CqL3Skxpb/view?usp=drivesdk" TargetMode="External"/><Relationship Id="rId92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8505453%20%2F%20252610566%26entry.1578404635%3DHadir" TargetMode="External"/><Relationship Id="rId359" Type="http://schemas.openxmlformats.org/officeDocument/2006/relationships/hyperlink" Target="https://drive.google.com/file/d/1LxjQl3_y5FbZXabwdvYgLnH8yR11ZXxU/view?usp=drivesdk" TargetMode="External"/><Relationship Id="rId358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5775007%20%2F%20252610514%26entry.1578404635%3DHadir" TargetMode="External"/><Relationship Id="rId357" Type="http://schemas.openxmlformats.org/officeDocument/2006/relationships/hyperlink" Target="https://drive.google.com/file/d/1DB4K3TlOZCD9YZI9-4QwJQS0RtMlHyyD/view?usp=drivesdk" TargetMode="External"/><Relationship Id="rId352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8451246%20%2F%20252610483%26entry.1578404635%3DHadir" TargetMode="External"/><Relationship Id="rId351" Type="http://schemas.openxmlformats.org/officeDocument/2006/relationships/hyperlink" Target="https://drive.google.com/file/d/1H_9hDuvs1uDGlqhns5LgesxFmtOvk204/view?usp=drivesdk" TargetMode="External"/><Relationship Id="rId350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4838010%20%2F%20252610480%26entry.1578404635%3DHadir" TargetMode="External"/><Relationship Id="rId356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7731505%20%2F%20252610512%26entry.1578404635%3DHadir" TargetMode="External"/><Relationship Id="rId355" Type="http://schemas.openxmlformats.org/officeDocument/2006/relationships/hyperlink" Target="https://drive.google.com/file/d/1JyGoIRkDpMoX15AEMsG2CAaPx8u4xJ99/view?usp=drivesdk" TargetMode="External"/><Relationship Id="rId354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3104089400%20%2F%20252610492%26entry.1578404635%3DHadir" TargetMode="External"/><Relationship Id="rId353" Type="http://schemas.openxmlformats.org/officeDocument/2006/relationships/hyperlink" Target="https://drive.google.com/file/d/1_cH6Fd-Dezdj4lVJP8QrLfagHuYeJPSs/view?usp=drivesdk" TargetMode="External"/><Relationship Id="rId1378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3570911%20%2F%20242510321%26entry.1578404635%3DHadir" TargetMode="External"/><Relationship Id="rId1379" Type="http://schemas.openxmlformats.org/officeDocument/2006/relationships/hyperlink" Target="https://drive.google.com/file/d/1G7ErbS43XkVkCsYT4hyIVwVDbii8jVO_/view?usp=drivesdk" TargetMode="External"/><Relationship Id="rId305" Type="http://schemas.openxmlformats.org/officeDocument/2006/relationships/hyperlink" Target="https://drive.google.com/file/d/1WuQtDKX0bs4AkZ6u6Ycz5FfzNh2fC9hg/view?usp=drivesdk" TargetMode="External"/><Relationship Id="rId789" Type="http://schemas.openxmlformats.org/officeDocument/2006/relationships/hyperlink" Target="https://drive.google.com/file/d/1Q0dr7XX_BT63odide2pPUjAObYbPHgDP/view?usp=drivesdk" TargetMode="External"/><Relationship Id="rId304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2866245%20%2F%20252610188%26entry.1578404635%3DHadir" TargetMode="External"/><Relationship Id="rId788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5022365%20%2F%20252610337%26entry.1578404635%3DHadir" TargetMode="External"/><Relationship Id="rId303" Type="http://schemas.openxmlformats.org/officeDocument/2006/relationships/hyperlink" Target="https://drive.google.com/file/d/1-5mPLRj9fGvz4zyeeLmyXZJ3IlUz_SDP/view?usp=drivesdk" TargetMode="External"/><Relationship Id="rId787" Type="http://schemas.openxmlformats.org/officeDocument/2006/relationships/hyperlink" Target="https://drive.google.com/file/d/1ASb8XVjDf3qyAfZRQyrNr1BTOMZc5EOR/view?usp=drivesdk" TargetMode="External"/><Relationship Id="rId302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8696681%20%2F%20252610183%26entry.1578404635%3DHadir" TargetMode="External"/><Relationship Id="rId786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3979225%20%2F%20252610325%26entry.1578404635%3DHadir" TargetMode="External"/><Relationship Id="rId309" Type="http://schemas.openxmlformats.org/officeDocument/2006/relationships/hyperlink" Target="https://drive.google.com/file/d/1SmOyMnT6s9aZ4Cfxe9efn65GKU9TqGi6/view?usp=drivesdk" TargetMode="External"/><Relationship Id="rId308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4987304%20%2F%20252610216%26entry.1578404635%3DHadir" TargetMode="External"/><Relationship Id="rId307" Type="http://schemas.openxmlformats.org/officeDocument/2006/relationships/hyperlink" Target="https://drive.google.com/file/d/1aOU5zy3vVAn0iSw8CWZuEeqUDKFWtCca/view?usp=drivesdk" TargetMode="External"/><Relationship Id="rId306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7425879%20%2F%20252610191%26entry.1578404635%3DHadir" TargetMode="External"/><Relationship Id="rId781" Type="http://schemas.openxmlformats.org/officeDocument/2006/relationships/hyperlink" Target="https://drive.google.com/file/d/1QgrCJZ1zfSSAdKuBRspDXYreWMODunm9/view?usp=drivesdk" TargetMode="External"/><Relationship Id="rId1370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1626296%20%2F%20242510254%26entry.1578404635%3DHadir" TargetMode="External"/><Relationship Id="rId780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4047198%20%2F%20252610256%26entry.1578404635%3DHadir" TargetMode="External"/><Relationship Id="rId1371" Type="http://schemas.openxmlformats.org/officeDocument/2006/relationships/hyperlink" Target="https://drive.google.com/file/d/1tktnHDyCJ-ndOyBMOGsOpe4ZoGWF8C52/view?usp=drivesdk" TargetMode="External"/><Relationship Id="rId1372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3092559431%20%2F%20242510282%26entry.1578404635%3DHadir" TargetMode="External"/><Relationship Id="rId1373" Type="http://schemas.openxmlformats.org/officeDocument/2006/relationships/hyperlink" Target="https://drive.google.com/file/d/1O0TTuHp63plAAJZ1LdKRzZ2eLZdkvTSa/view?usp=drivesdk" TargetMode="External"/><Relationship Id="rId301" Type="http://schemas.openxmlformats.org/officeDocument/2006/relationships/hyperlink" Target="https://drive.google.com/file/d/11FrGucojG0wQYnhkK3Wzsh6UbjyxHe74/view?usp=drivesdk" TargetMode="External"/><Relationship Id="rId785" Type="http://schemas.openxmlformats.org/officeDocument/2006/relationships/hyperlink" Target="https://drive.google.com/file/d/1-LFlmmphRhlrCgDt44ld8Q2OmaCk0Acy/view?usp=drivesdk" TargetMode="External"/><Relationship Id="rId1374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83634869%20%2F%20242510301%26entry.1578404635%3DHadir" TargetMode="External"/><Relationship Id="rId300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6545857%20%2F%20252610173%26entry.1578404635%3DHadir" TargetMode="External"/><Relationship Id="rId784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8113225%20%2F%20252610297%26entry.1578404635%3DHadir" TargetMode="External"/><Relationship Id="rId1375" Type="http://schemas.openxmlformats.org/officeDocument/2006/relationships/hyperlink" Target="https://drive.google.com/file/d/1mM5GAjF7lBodDi7oHZL9k0GyPwWW05KA/view?usp=drivesdk" TargetMode="External"/><Relationship Id="rId783" Type="http://schemas.openxmlformats.org/officeDocument/2006/relationships/hyperlink" Target="https://drive.google.com/file/d/1mT800thkCc4dnBeQx9tfOPK4hS8k1lhp/view?usp=drivesdk" TargetMode="External"/><Relationship Id="rId1376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1257095%20%2F%20242510312%26entry.1578404635%3DHadir" TargetMode="External"/><Relationship Id="rId782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2372511%20%2F%20252610263%26entry.1578404635%3DHadir" TargetMode="External"/><Relationship Id="rId1377" Type="http://schemas.openxmlformats.org/officeDocument/2006/relationships/hyperlink" Target="https://drive.google.com/file/d/1d3TNpEpZpFAk5jbBoY_sbgNH5Cab8r3z/view?usp=drivesdk" TargetMode="External"/><Relationship Id="rId1367" Type="http://schemas.openxmlformats.org/officeDocument/2006/relationships/hyperlink" Target="https://drive.google.com/file/d/1ly_3-LKz-x-WMVlkgGxUuKlz-xsKyl_k/view?usp=drivesdk" TargetMode="External"/><Relationship Id="rId1368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86508497%20%2F%20242510241%26entry.1578404635%3DHadir" TargetMode="External"/><Relationship Id="rId1369" Type="http://schemas.openxmlformats.org/officeDocument/2006/relationships/hyperlink" Target="https://drive.google.com/file/d/1y4MMn7HOMCqW7f1Ifiiyj71tmIyfcQnr/view?usp=drivesdk" TargetMode="External"/><Relationship Id="rId778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6852675%20%2F%20252610248%26entry.1578404635%3DHadir" TargetMode="External"/><Relationship Id="rId777" Type="http://schemas.openxmlformats.org/officeDocument/2006/relationships/hyperlink" Target="https://drive.google.com/file/d/1ccFFOuMzKZCQoqOzJ31mPZNq-OzZ0b86/view?usp=drivesdk" TargetMode="External"/><Relationship Id="rId776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5770160%20%2F%20252610240%26entry.1578404635%3DHadir" TargetMode="External"/><Relationship Id="rId775" Type="http://schemas.openxmlformats.org/officeDocument/2006/relationships/hyperlink" Target="https://drive.google.com/file/d/1ZH_hl7sg2oWnjYxRlN7R3NyYGx_QRbeY/view?usp=drivesdk" TargetMode="External"/><Relationship Id="rId779" Type="http://schemas.openxmlformats.org/officeDocument/2006/relationships/hyperlink" Target="https://drive.google.com/file/d/1646bajL3jWHkC85b7ZhwjCfKxuDxP424/view?usp=drivesdk" TargetMode="External"/><Relationship Id="rId770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14593936%20%2F%20252610231%26entry.1578404635%3DHadir" TargetMode="External"/><Relationship Id="rId1360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8191015%20%2F%20242510191%26entry.1578404635%3DHadir" TargetMode="External"/><Relationship Id="rId1361" Type="http://schemas.openxmlformats.org/officeDocument/2006/relationships/hyperlink" Target="https://drive.google.com/file/d/1uTdSTawpWfUp1o2cF4-QxLCTPfZN5vOF/view?usp=drivesdk" TargetMode="External"/><Relationship Id="rId1362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4057771%20%2F%20242510199%26entry.1578404635%3DHadir" TargetMode="External"/><Relationship Id="rId774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3695549%20%2F%20252610236%26entry.1578404635%3DHadir" TargetMode="External"/><Relationship Id="rId1363" Type="http://schemas.openxmlformats.org/officeDocument/2006/relationships/hyperlink" Target="https://drive.google.com/file/d/1HNvns4JgPDIZ948bacPQAYfj6O_6l0Ie/view?usp=drivesdk" TargetMode="External"/><Relationship Id="rId773" Type="http://schemas.openxmlformats.org/officeDocument/2006/relationships/hyperlink" Target="https://drive.google.com/file/d/1wji7YvC71m4v2sjFHj_SoVHs6ShtANWM/view?usp=drivesdk" TargetMode="External"/><Relationship Id="rId1364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5872117%20%2F%20242510207%26entry.1578404635%3DHadir" TargetMode="External"/><Relationship Id="rId772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9669821%20%2F%20252610232%26entry.1578404635%3DHadir" TargetMode="External"/><Relationship Id="rId1365" Type="http://schemas.openxmlformats.org/officeDocument/2006/relationships/hyperlink" Target="https://drive.google.com/file/d/1lE8Uys9nMDOoooyXpAdypTZcW53uY7eQ/view?usp=drivesdk" TargetMode="External"/><Relationship Id="rId771" Type="http://schemas.openxmlformats.org/officeDocument/2006/relationships/hyperlink" Target="https://drive.google.com/file/d/1WQiFti8Z2Z3wL2dsxW97_s1Q0wdw2d5j/view?usp=drivesdk" TargetMode="External"/><Relationship Id="rId1366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8268916%20%2F%20242510239%26entry.1578404635%3DHadir" TargetMode="External"/><Relationship Id="rId327" Type="http://schemas.openxmlformats.org/officeDocument/2006/relationships/hyperlink" Target="https://drive.google.com/file/d/13FpcITMmlCF-nALz0P2VEjsFGTgRIB85/view?usp=drivesdk" TargetMode="External"/><Relationship Id="rId326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2608342%20%2F%20252610309%26entry.1578404635%3DHadir" TargetMode="External"/><Relationship Id="rId325" Type="http://schemas.openxmlformats.org/officeDocument/2006/relationships/hyperlink" Target="https://drive.google.com/file/d/1pifJIYMcrr1DEj9Qb-BIgazz9udIdsxX/view?usp=drivesdk" TargetMode="External"/><Relationship Id="rId324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6908655%20%2F%20252610306%26entry.1578404635%3DHadir" TargetMode="External"/><Relationship Id="rId329" Type="http://schemas.openxmlformats.org/officeDocument/2006/relationships/hyperlink" Target="https://drive.google.com/file/d/16ONLvmyN3XWzF4SAnuZVWgK-yYsa8sRE/view?usp=drivesdk" TargetMode="External"/><Relationship Id="rId1390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4686903%20%2F%20242510362%26entry.1578404635%3DHadir" TargetMode="External"/><Relationship Id="rId328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8979111%20%2F%20252610329%26entry.1578404635%3DHadir" TargetMode="External"/><Relationship Id="rId1391" Type="http://schemas.openxmlformats.org/officeDocument/2006/relationships/hyperlink" Target="https://drive.google.com/file/d/15UjSrPR-BAE-foui5sV6pQf4OAMUh3Hc/view?usp=drivesdk" TargetMode="External"/><Relationship Id="rId1392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6820534%20%2F%20242510382%26entry.1578404635%3DHadir" TargetMode="External"/><Relationship Id="rId1393" Type="http://schemas.openxmlformats.org/officeDocument/2006/relationships/hyperlink" Target="https://drive.google.com/file/d/1RHvD-Gy8h9sWY2Jj6a2bh-pplME9MnuK/view?usp=drivesdk" TargetMode="External"/><Relationship Id="rId1394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1356987%20%2F%20242510392%26entry.1578404635%3DHadir" TargetMode="External"/><Relationship Id="rId1395" Type="http://schemas.openxmlformats.org/officeDocument/2006/relationships/hyperlink" Target="https://drive.google.com/file/d/16QJJ1QPFNO0bxfwv-cwss1mEfooHEK6_/view?usp=drivesdk" TargetMode="External"/><Relationship Id="rId323" Type="http://schemas.openxmlformats.org/officeDocument/2006/relationships/hyperlink" Target="https://drive.google.com/file/d/1kZEOmByY_X4TyCo8dhzXCT0yn-mcnhfm/view?usp=drivesdk" TargetMode="External"/><Relationship Id="rId1396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84616257%20%2F%20242510420%26entry.1578404635%3DHadir" TargetMode="External"/><Relationship Id="rId322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2015407%20%2F%20252610294%26entry.1578404635%3DHadir" TargetMode="External"/><Relationship Id="rId1397" Type="http://schemas.openxmlformats.org/officeDocument/2006/relationships/hyperlink" Target="https://drive.google.com/file/d/1AaFZy3z_Rti1yV5UFDlmYWl9ltS6QFf_/view?usp=drivesdk" TargetMode="External"/><Relationship Id="rId321" Type="http://schemas.openxmlformats.org/officeDocument/2006/relationships/hyperlink" Target="https://drive.google.com/file/d/14k_LbGq-nRD5iTNaOcvDJgPBoMmNc8LK/view?usp=drivesdk" TargetMode="External"/><Relationship Id="rId1398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7029152%20%2F%20242510001%26entry.1578404635%3DHadir" TargetMode="External"/><Relationship Id="rId320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7951249%20%2F%20252610282%26entry.1578404635%3DHadir" TargetMode="External"/><Relationship Id="rId1399" Type="http://schemas.openxmlformats.org/officeDocument/2006/relationships/hyperlink" Target="https://drive.google.com/file/d/18ZfbsXZKev6IvmDMvidwZficRkU0mmlz/view?usp=drivesdk" TargetMode="External"/><Relationship Id="rId1389" Type="http://schemas.openxmlformats.org/officeDocument/2006/relationships/hyperlink" Target="https://drive.google.com/file/d/1yfevUELZb7cPic_90nSfs4wgroi7mzqD/view?usp=drivesdk" TargetMode="External"/><Relationship Id="rId316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3634061%20%2F%20252610266%26entry.1578404635%3DHadir" TargetMode="External"/><Relationship Id="rId315" Type="http://schemas.openxmlformats.org/officeDocument/2006/relationships/hyperlink" Target="https://drive.google.com/file/d/1V9lshM4t4dm-GdMzxlHpN7-RRqeAkT-F/view?usp=drivesdk" TargetMode="External"/><Relationship Id="rId799" Type="http://schemas.openxmlformats.org/officeDocument/2006/relationships/hyperlink" Target="https://drive.google.com/file/d/1bG-bQX3qiJ3lZ9qiaX9iRZzBwbTniBc1/view?usp=drivesdk" TargetMode="External"/><Relationship Id="rId314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9267722%20%2F%20252610260%26entry.1578404635%3DHadir" TargetMode="External"/><Relationship Id="rId798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4119764%20%2F%20252610368%26entry.1578404635%3DHadir" TargetMode="External"/><Relationship Id="rId313" Type="http://schemas.openxmlformats.org/officeDocument/2006/relationships/hyperlink" Target="https://drive.google.com/file/d/1dAxQgT7HYu3s3mYS7N71bEfn2GfpZJJY/view?usp=drivesdk" TargetMode="External"/><Relationship Id="rId797" Type="http://schemas.openxmlformats.org/officeDocument/2006/relationships/hyperlink" Target="https://drive.google.com/file/d/1SZanjG_TDY3MQ--2SuLL2_i1LsyngS9R/view?usp=drivesdk" TargetMode="External"/><Relationship Id="rId319" Type="http://schemas.openxmlformats.org/officeDocument/2006/relationships/hyperlink" Target="https://drive.google.com/file/d/11TwBzSTV5-MRHYy0noiTdodHIT1KEfva/view?usp=drivesdk" TargetMode="External"/><Relationship Id="rId318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3091547533%20%2F%20252610275%26entry.1578404635%3DHadir" TargetMode="External"/><Relationship Id="rId317" Type="http://schemas.openxmlformats.org/officeDocument/2006/relationships/hyperlink" Target="https://drive.google.com/file/d/1Kr9ttkF108kcultThPFvi_24Q527esxA/view?usp=drivesdk" TargetMode="External"/><Relationship Id="rId1380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9524653%20%2F%20242510324%26entry.1578404635%3DHadir" TargetMode="External"/><Relationship Id="rId792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2772943%20%2F%20252610344%26entry.1578404635%3DHadir" TargetMode="External"/><Relationship Id="rId1381" Type="http://schemas.openxmlformats.org/officeDocument/2006/relationships/hyperlink" Target="https://drive.google.com/file/d/1xbKFUImGPQgoj7GgpsZOz7UZcOPDrjPj/view?usp=drivesdk" TargetMode="External"/><Relationship Id="rId791" Type="http://schemas.openxmlformats.org/officeDocument/2006/relationships/hyperlink" Target="https://drive.google.com/file/d/1fJKtK7iFTe5XhnSyddqz0AmPyFCdPVLd/view?usp=drivesdk" TargetMode="External"/><Relationship Id="rId1382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6689975%20%2F%20242510341%26entry.1578404635%3DHadir" TargetMode="External"/><Relationship Id="rId790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4557332%20%2F%20252610341%26entry.1578404635%3DHadir" TargetMode="External"/><Relationship Id="rId1383" Type="http://schemas.openxmlformats.org/officeDocument/2006/relationships/hyperlink" Target="https://drive.google.com/file/d/19bIA9UysghCPL5ZqmtrwNzWnXqxbB19L/view?usp=drivesdk" TargetMode="External"/><Relationship Id="rId1384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87172262%20%2F%20242510346%26entry.1578404635%3DHadir" TargetMode="External"/><Relationship Id="rId312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7286739%20%2F%20252610258%26entry.1578404635%3DHadir" TargetMode="External"/><Relationship Id="rId796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1059940%20%2F%20252610358%26entry.1578404635%3DHadir" TargetMode="External"/><Relationship Id="rId1385" Type="http://schemas.openxmlformats.org/officeDocument/2006/relationships/hyperlink" Target="https://drive.google.com/file/d/1EVmHHnF9ZKXipg6xz-2MeAI0oVRg3qzp/view?usp=drivesdk" TargetMode="External"/><Relationship Id="rId311" Type="http://schemas.openxmlformats.org/officeDocument/2006/relationships/hyperlink" Target="https://drive.google.com/file/d/1zz825j7I4T7X4AnyEYLC3b-2ATo48ImX/view?usp=drivesdk" TargetMode="External"/><Relationship Id="rId795" Type="http://schemas.openxmlformats.org/officeDocument/2006/relationships/hyperlink" Target="https://drive.google.com/file/d/1_H_aDS3OGuW9Wr729dq8dgjM2uNVuZ3E/view?usp=drivesdk" TargetMode="External"/><Relationship Id="rId1386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89992734%20%2F%20242510348%26entry.1578404635%3DHadir" TargetMode="External"/><Relationship Id="rId310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4595564%20%2F%20252610233%26entry.1578404635%3DHadir" TargetMode="External"/><Relationship Id="rId794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8897790%20%2F%20252610347%26entry.1578404635%3DHadir" TargetMode="External"/><Relationship Id="rId1387" Type="http://schemas.openxmlformats.org/officeDocument/2006/relationships/hyperlink" Target="https://drive.google.com/file/d/1togJtEIn3xTiQ86PY5r964-R5ls4KO9r/view?usp=drivesdk" TargetMode="External"/><Relationship Id="rId793" Type="http://schemas.openxmlformats.org/officeDocument/2006/relationships/hyperlink" Target="https://drive.google.com/file/d/1fzVffhaCpBwlCBCDcm2onK1vWpIZ3xeR/view?usp=drivesdk" TargetMode="External"/><Relationship Id="rId1388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4272879%20%2F%20242510349%26entry.1578404635%3DHadir" TargetMode="External"/><Relationship Id="rId297" Type="http://schemas.openxmlformats.org/officeDocument/2006/relationships/hyperlink" Target="https://drive.google.com/file/d/1xlHHwbU11-CDIqy3AalkOelWABwWkNCJ/view?usp=drivesdk" TargetMode="External"/><Relationship Id="rId296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5522157%20%2F%20252610155%26entry.1578404635%3DHadir" TargetMode="External"/><Relationship Id="rId295" Type="http://schemas.openxmlformats.org/officeDocument/2006/relationships/hyperlink" Target="https://drive.google.com/file/d/1vR-AjQ5_wJik9gY8wY1eGSTerjYZsSPq/view?usp=drivesdk" TargetMode="External"/><Relationship Id="rId294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2637367%20%2F%20252610132%26entry.1578404635%3DHadir" TargetMode="External"/><Relationship Id="rId299" Type="http://schemas.openxmlformats.org/officeDocument/2006/relationships/hyperlink" Target="https://drive.google.com/file/d/152mWa79wIZj4rp_m2R7yLbrwgpm-sDx0/view?usp=drivesdk" TargetMode="External"/><Relationship Id="rId298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8223677%20%2F%20252610162%26entry.1578404635%3DHadir" TargetMode="External"/><Relationship Id="rId271" Type="http://schemas.openxmlformats.org/officeDocument/2006/relationships/hyperlink" Target="https://drive.google.com/file/d/1kpEok9o5gxcKyHN9jX0BNmKeMNVx4FBY/view?usp=drivesdk" TargetMode="External"/><Relationship Id="rId270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1178036%20%2F%20252610501%26entry.1578404635%3DHadir" TargetMode="External"/><Relationship Id="rId269" Type="http://schemas.openxmlformats.org/officeDocument/2006/relationships/hyperlink" Target="https://drive.google.com/file/d/1F0cFf0fxV-C9T_H14o7O9WcYw7ny_ZF5/view?usp=drivesdk" TargetMode="External"/><Relationship Id="rId264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3104085681%20%2F%20252610439%26entry.1578404635%3DHadir" TargetMode="External"/><Relationship Id="rId263" Type="http://schemas.openxmlformats.org/officeDocument/2006/relationships/hyperlink" Target="https://drive.google.com/file/d/18d6JxfeiJgZUmtNFUKhpgww-WXi5AHUv/view?usp=drivesdk" TargetMode="External"/><Relationship Id="rId262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6292164%20%2F%20252610438%26entry.1578404635%3DHadir" TargetMode="External"/><Relationship Id="rId261" Type="http://schemas.openxmlformats.org/officeDocument/2006/relationships/hyperlink" Target="https://drive.google.com/file/d/1cfIF2AbQsCw3ZlhVfDYAzjJBNLp3k7i-/view?usp=drivesdk" TargetMode="External"/><Relationship Id="rId268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2263541%20%2F%20252610485%26entry.1578404635%3DHadir" TargetMode="External"/><Relationship Id="rId267" Type="http://schemas.openxmlformats.org/officeDocument/2006/relationships/hyperlink" Target="https://drive.google.com/file/d/1me_btmQJlzw-rys_vI4-YNyJt1l8qQuR/view?usp=drivesdk" TargetMode="External"/><Relationship Id="rId266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5055522%20%2F%20252610461%26entry.1578404635%3DHadir" TargetMode="External"/><Relationship Id="rId265" Type="http://schemas.openxmlformats.org/officeDocument/2006/relationships/hyperlink" Target="https://drive.google.com/file/d/1dOafJSn46wYbPpq9hmRzhHoSTs76azW4/view?usp=drivesdk" TargetMode="External"/><Relationship Id="rId260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7603092%20%2F%20252610432%26entry.1578404635%3DHadir" TargetMode="External"/><Relationship Id="rId259" Type="http://schemas.openxmlformats.org/officeDocument/2006/relationships/hyperlink" Target="https://drive.google.com/file/d/1jBrMbnYIbs-TviSXCnTRku-6o4hz9Lw9/view?usp=drivesdk" TargetMode="External"/><Relationship Id="rId258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2114748%20%2F%20252610426%26entry.1578404635%3DHadir" TargetMode="External"/><Relationship Id="rId253" Type="http://schemas.openxmlformats.org/officeDocument/2006/relationships/hyperlink" Target="https://drive.google.com/file/d/1J4Cd_oxtWSMda_78BHUreHrUXMEqSHMM/view?usp=drivesdk" TargetMode="External"/><Relationship Id="rId252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4716348%20%2F%20252610386%26entry.1578404635%3DHadir" TargetMode="External"/><Relationship Id="rId251" Type="http://schemas.openxmlformats.org/officeDocument/2006/relationships/hyperlink" Target="https://drive.google.com/file/d/1YdngOiCRp-Y_jaTfEcb9RzWaF1Y4nEbR/view?usp=drivesdk" TargetMode="External"/><Relationship Id="rId250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3096846304%20%2F%20252610381%26entry.1578404635%3DHadir" TargetMode="External"/><Relationship Id="rId257" Type="http://schemas.openxmlformats.org/officeDocument/2006/relationships/hyperlink" Target="https://drive.google.com/file/d/1nd0Q7A2j_t2ayOAmnsDSikzgr8v2FJdU/view?usp=drivesdk" TargetMode="External"/><Relationship Id="rId256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7540821%20%2F%20252610422%26entry.1578404635%3DHadir" TargetMode="External"/><Relationship Id="rId255" Type="http://schemas.openxmlformats.org/officeDocument/2006/relationships/hyperlink" Target="https://drive.google.com/file/d/13GQxS5TLDdo8J3Q-8B_BHJfQUN4gU8i7/view?usp=drivesdk" TargetMode="External"/><Relationship Id="rId254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2174126%20%2F%20252610415%26entry.1578404635%3DHadir" TargetMode="External"/><Relationship Id="rId293" Type="http://schemas.openxmlformats.org/officeDocument/2006/relationships/hyperlink" Target="https://drive.google.com/file/d/13_KeVAZ137cVbKsK2NVY8vKA7csBh-S9/view?usp=drivesdk" TargetMode="External"/><Relationship Id="rId292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6853688%20%2F%20252610074%26entry.1578404635%3DHadir" TargetMode="External"/><Relationship Id="rId291" Type="http://schemas.openxmlformats.org/officeDocument/2006/relationships/hyperlink" Target="https://drive.google.com/file/d/1hp-HHNIU2nkGIYpK664Dl0NeRqlMNClp/view?usp=drivesdk" TargetMode="External"/><Relationship Id="rId290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8144208%20%2F%20252610069%26entry.1578404635%3DHadir" TargetMode="External"/><Relationship Id="rId286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3659705%20%2F%20252610049%26entry.1578404635%3DHadir" TargetMode="External"/><Relationship Id="rId285" Type="http://schemas.openxmlformats.org/officeDocument/2006/relationships/hyperlink" Target="https://drive.google.com/file/d/16yQ7PW60L170_OXHw9nZTlvax-XF2TG6/view?usp=drivesdk" TargetMode="External"/><Relationship Id="rId284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4160993%20%2F%20252610045%26entry.1578404635%3DHadir" TargetMode="External"/><Relationship Id="rId283" Type="http://schemas.openxmlformats.org/officeDocument/2006/relationships/hyperlink" Target="https://drive.google.com/file/d/1zJ1DxUQDyTfOUZqOrL4jffzaIUsflQ1K/view?usp=drivesdk" TargetMode="External"/><Relationship Id="rId289" Type="http://schemas.openxmlformats.org/officeDocument/2006/relationships/hyperlink" Target="https://drive.google.com/file/d/1Dk31ObqyyVg-58FSEugMaiAfTbvytuDB/view?usp=drivesdk" TargetMode="External"/><Relationship Id="rId288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7838813%20%2F%20252610056%26entry.1578404635%3DHadir" TargetMode="External"/><Relationship Id="rId287" Type="http://schemas.openxmlformats.org/officeDocument/2006/relationships/hyperlink" Target="https://drive.google.com/file/d/1l6jHrnskVeUKm8aVTSrzqZFoe4NhvYYH/view?usp=drivesdk" TargetMode="External"/><Relationship Id="rId282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87811342%20%2F%20252610038%26entry.1578404635%3DHadir" TargetMode="External"/><Relationship Id="rId281" Type="http://schemas.openxmlformats.org/officeDocument/2006/relationships/hyperlink" Target="https://drive.google.com/file/d/17mRG_vEgxBzC85vaAds7DTSBlRwIo6h1/view?usp=drivesdk" TargetMode="External"/><Relationship Id="rId280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5491750%20%2F%20252610018%26entry.1578404635%3DHadir" TargetMode="External"/><Relationship Id="rId275" Type="http://schemas.openxmlformats.org/officeDocument/2006/relationships/hyperlink" Target="https://drive.google.com/file/d/1dwDwhNJa-i5Px1BIldGBAl8S2ieSSunK/view?usp=drivesdk" TargetMode="External"/><Relationship Id="rId274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9721617%20%2F%20252610555%26entry.1578404635%3DHadir" TargetMode="External"/><Relationship Id="rId273" Type="http://schemas.openxmlformats.org/officeDocument/2006/relationships/hyperlink" Target="https://drive.google.com/file/d/1xg3r4lBJ5Au-57a5WnPltT74NUnXohOI/view?usp=drivesdk" TargetMode="External"/><Relationship Id="rId272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6930882%20%2F%20252610520%26entry.1578404635%3DHadir" TargetMode="External"/><Relationship Id="rId279" Type="http://schemas.openxmlformats.org/officeDocument/2006/relationships/hyperlink" Target="https://drive.google.com/file/d/1g0hisef2-i9GSdHJ6Ss4ViotRO0ZrBot/view?usp=drivesdk" TargetMode="External"/><Relationship Id="rId278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6136353%20%2F%20252610016%26entry.1578404635%3DHadir" TargetMode="External"/><Relationship Id="rId277" Type="http://schemas.openxmlformats.org/officeDocument/2006/relationships/hyperlink" Target="https://drive.google.com/file/d/1zrJQS28hlypUhj_Lyuqigpe7zZ4-7hJD/view?usp=drivesdk" TargetMode="External"/><Relationship Id="rId276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1188685%20%2F%20252610556%26entry.1578404635%3DHadir" TargetMode="External"/><Relationship Id="rId1851" Type="http://schemas.openxmlformats.org/officeDocument/2006/relationships/hyperlink" Target="https://drive.google.com/file/d/1Bc9JXbImC-ruNCzsEnu4GZ5NWWlkLS9g/view?usp=drivesdk" TargetMode="External"/><Relationship Id="rId1852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82690807%20%2F%20242510140%26entry.1578404635%3DHadir" TargetMode="External"/><Relationship Id="rId1853" Type="http://schemas.openxmlformats.org/officeDocument/2006/relationships/hyperlink" Target="https://drive.google.com/file/d/1c4eMZaOvETAjm8HkOCu2MB-B8zBuJ7mR/view?usp=drivesdk" TargetMode="External"/><Relationship Id="rId1854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82256467%20%2F%20242510145%26entry.1578404635%3DHadir" TargetMode="External"/><Relationship Id="rId1855" Type="http://schemas.openxmlformats.org/officeDocument/2006/relationships/hyperlink" Target="https://drive.google.com/file/d/1LQeaF3isc4ctz26A9GhmyDnFmwgNRENr/view?usp=drivesdk" TargetMode="External"/><Relationship Id="rId1856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87408326%20%2F%20242510149%26entry.1578404635%3DHadir" TargetMode="External"/><Relationship Id="rId1857" Type="http://schemas.openxmlformats.org/officeDocument/2006/relationships/hyperlink" Target="https://drive.google.com/file/d/1Igca4fHv4A-hUmH7qQryTTZn906MUYkp/view?usp=drivesdk" TargetMode="External"/><Relationship Id="rId1858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6589760%20%2F%20242510152%26entry.1578404635%3DHadir" TargetMode="External"/><Relationship Id="rId1859" Type="http://schemas.openxmlformats.org/officeDocument/2006/relationships/hyperlink" Target="https://drive.google.com/file/d/1Yx3ohQoMgQ262WurtE7im7OrdbUFV3Qy/view?usp=drivesdk" TargetMode="External"/><Relationship Id="rId1850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83924202%20%2F%20242510139%26entry.1578404635%3DHadir" TargetMode="External"/><Relationship Id="rId1840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1072005%20%2F%20242510080%26entry.1578404635%3DHadir" TargetMode="External"/><Relationship Id="rId1841" Type="http://schemas.openxmlformats.org/officeDocument/2006/relationships/hyperlink" Target="https://drive.google.com/file/d/1_1mI_RAKWed27wY008oyqlhXFVUqlGaN/view?usp=drivesdk" TargetMode="External"/><Relationship Id="rId1842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3123066%20%2F%20242510105%26entry.1578404635%3DHadir" TargetMode="External"/><Relationship Id="rId1843" Type="http://schemas.openxmlformats.org/officeDocument/2006/relationships/hyperlink" Target="https://drive.google.com/file/d/1QXiG45vR5FJ2817lQ4GNlifb7cTG7yof/view?usp=drivesdk" TargetMode="External"/><Relationship Id="rId1844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7482971%20%2F%20242510118%26entry.1578404635%3DHadir" TargetMode="External"/><Relationship Id="rId1845" Type="http://schemas.openxmlformats.org/officeDocument/2006/relationships/hyperlink" Target="https://drive.google.com/file/d/1Rw9VqDaaLMpJbb-jBtKwtOmK_3UzFpjn/view?usp=drivesdk" TargetMode="External"/><Relationship Id="rId1846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87551985%20%2F%20242510122%26entry.1578404635%3DHadir" TargetMode="External"/><Relationship Id="rId1847" Type="http://schemas.openxmlformats.org/officeDocument/2006/relationships/hyperlink" Target="https://drive.google.com/file/d/1BmvNqYhZXOkO0LRIYN_gnYUVhw4ACC1v/view?usp=drivesdk" TargetMode="External"/><Relationship Id="rId1848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5657957%20%2F%20242510132%26entry.1578404635%3DHadir" TargetMode="External"/><Relationship Id="rId1849" Type="http://schemas.openxmlformats.org/officeDocument/2006/relationships/hyperlink" Target="https://drive.google.com/file/d/1_8scni_Wrvao_HTdOJaFTyTTqokr-2Ty/view?usp=drivesdk" TargetMode="External"/><Relationship Id="rId1873" Type="http://schemas.openxmlformats.org/officeDocument/2006/relationships/hyperlink" Target="https://drive.google.com/file/d/13SaxBMoBbN8DBwWPGj-3Ixj-fMVIXdLR/view?usp=drivesdk" TargetMode="External"/><Relationship Id="rId1874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3099484913%20%2F%20242510237%26entry.1578404635%3DHadir" TargetMode="External"/><Relationship Id="rId1875" Type="http://schemas.openxmlformats.org/officeDocument/2006/relationships/hyperlink" Target="https://drive.google.com/file/d/1q_91fMGcBoxLVjJyvZWmyzIf2GhG7WBL/view?usp=drivesdk" TargetMode="External"/><Relationship Id="rId1876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87176231%20%2F%20242510218%26entry.1578404635%3DHadir" TargetMode="External"/><Relationship Id="rId1877" Type="http://schemas.openxmlformats.org/officeDocument/2006/relationships/hyperlink" Target="https://drive.google.com/file/d/1zybf2F34n9AlCeAjQmnPmbYAiHbZiSJP/view?usp=drivesdk" TargetMode="External"/><Relationship Id="rId1878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3097549496%20%2F%20242510258%26entry.1578404635%3DHadir" TargetMode="External"/><Relationship Id="rId1879" Type="http://schemas.openxmlformats.org/officeDocument/2006/relationships/hyperlink" Target="https://drive.google.com/file/d/1jyaLgM8e35xD9Wko63h6vpSE70s0NED9/view?usp=drivesdk" TargetMode="External"/><Relationship Id="rId1870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89115919%20%2F%20242510194%26entry.1578404635%3DHadir" TargetMode="External"/><Relationship Id="rId1871" Type="http://schemas.openxmlformats.org/officeDocument/2006/relationships/hyperlink" Target="https://drive.google.com/file/d/1Yo_JEV7lrshHlrhfZA4RLMsl4Ey6BWLe/view?usp=drivesdk" TargetMode="External"/><Relationship Id="rId1872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2834368%20%2F%20242510198%26entry.1578404635%3DHadir" TargetMode="External"/><Relationship Id="rId1862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1633107%20%2F%20242510168%26entry.1578404635%3DHadir" TargetMode="External"/><Relationship Id="rId1863" Type="http://schemas.openxmlformats.org/officeDocument/2006/relationships/hyperlink" Target="https://drive.google.com/file/d/11RrstCQLmZkSagkHWX6t7H1qMz8Wa3FR/view?usp=drivesdk" TargetMode="External"/><Relationship Id="rId1864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2593035%20%2F%20242510178%26entry.1578404635%3DHadir" TargetMode="External"/><Relationship Id="rId1865" Type="http://schemas.openxmlformats.org/officeDocument/2006/relationships/hyperlink" Target="https://drive.google.com/file/d/1kIv8T4jSJ6KNrXC5Pe2aH81nGecaruI_/view?usp=drivesdk" TargetMode="External"/><Relationship Id="rId1866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3084804073%20%2F%20252611570%26entry.1578404635%3DHadir" TargetMode="External"/><Relationship Id="rId1867" Type="http://schemas.openxmlformats.org/officeDocument/2006/relationships/hyperlink" Target="https://drive.google.com/file/d/1bAoVbggrIotkkGHkMBDbBtOEdz8sUUL6/view?usp=drivesdk" TargetMode="External"/><Relationship Id="rId1868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85208150%20%2F%20242510192%26entry.1578404635%3DHadir" TargetMode="External"/><Relationship Id="rId1869" Type="http://schemas.openxmlformats.org/officeDocument/2006/relationships/hyperlink" Target="https://drive.google.com/file/d/1yjg170F6rpCVpPnpVh6IylXSqYUAkWBT/view?usp=drivesdk" TargetMode="External"/><Relationship Id="rId1860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3094653721%20%2F%20242510157%26entry.1578404635%3DHadir" TargetMode="External"/><Relationship Id="rId1861" Type="http://schemas.openxmlformats.org/officeDocument/2006/relationships/hyperlink" Target="https://drive.google.com/file/d/1y1y9wD_yjhImZI5NzHfPpBtw8endz4r3/view?usp=drivesdk" TargetMode="External"/><Relationship Id="rId1810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3083166460%20%2F%20242510344%26entry.1578404635%3DHadir" TargetMode="External"/><Relationship Id="rId1811" Type="http://schemas.openxmlformats.org/officeDocument/2006/relationships/hyperlink" Target="https://drive.google.com/file/d/1npozqZkas4twhQfNIa2C6NR5mRZnUnKF/view?usp=drivesdk" TargetMode="External"/><Relationship Id="rId1812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3094789704%20%2F%20242510357%26entry.1578404635%3DHadir" TargetMode="External"/><Relationship Id="rId1813" Type="http://schemas.openxmlformats.org/officeDocument/2006/relationships/hyperlink" Target="https://drive.google.com/file/d/1_ceCSLbSU8ZOprbi9XAUfkzru4GQ-18-/view?usp=drivesdk" TargetMode="External"/><Relationship Id="rId1814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89336981%20%2F%20242510361%26entry.1578404635%3DHadir" TargetMode="External"/><Relationship Id="rId1815" Type="http://schemas.openxmlformats.org/officeDocument/2006/relationships/hyperlink" Target="https://drive.google.com/file/d/1XwdfFRso5Fy3Rk1FZthGCZt9PT8IM8r3/view?usp=drivesdk" TargetMode="External"/><Relationship Id="rId1816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3441573%20%2F%20242510381%26entry.1578404635%3DHadir" TargetMode="External"/><Relationship Id="rId1817" Type="http://schemas.openxmlformats.org/officeDocument/2006/relationships/hyperlink" Target="https://drive.google.com/file/d/1mmIyJ9hVHxnv6kgcafA6neBiN9mMMSDe/view?usp=drivesdk" TargetMode="External"/><Relationship Id="rId1818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89493881%20%2F%20242510384%26entry.1578404635%3DHadir" TargetMode="External"/><Relationship Id="rId1819" Type="http://schemas.openxmlformats.org/officeDocument/2006/relationships/hyperlink" Target="https://drive.google.com/file/d/1O8XZch5De-dcFUu4hblGqQc98VTWtpjC/view?usp=drivesdk" TargetMode="External"/><Relationship Id="rId1800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85810407%20%2F%20242510279%26entry.1578404635%3DHadir" TargetMode="External"/><Relationship Id="rId1801" Type="http://schemas.openxmlformats.org/officeDocument/2006/relationships/hyperlink" Target="https://drive.google.com/file/d/1fH8pWsusPtnnr6KZU6QlKYLox3zPZab3/view?usp=drivesdk" TargetMode="External"/><Relationship Id="rId1802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82898817%20%2F%20242510293%26entry.1578404635%3DHadir" TargetMode="External"/><Relationship Id="rId1803" Type="http://schemas.openxmlformats.org/officeDocument/2006/relationships/hyperlink" Target="https://drive.google.com/file/d/1PB4EhM7e3lhepxJaA1qBNiNctXbp_tcO/view?usp=drivesdk" TargetMode="External"/><Relationship Id="rId1804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4465097%20%2F%20242510294%26entry.1578404635%3DHadir" TargetMode="External"/><Relationship Id="rId1805" Type="http://schemas.openxmlformats.org/officeDocument/2006/relationships/hyperlink" Target="https://drive.google.com/file/d/1kWRebkIfa_XLd2X_WElvLSfO3bWoggfn/view?usp=drivesdk" TargetMode="External"/><Relationship Id="rId1806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84114869%20%2F%20242510322%26entry.1578404635%3DHadir" TargetMode="External"/><Relationship Id="rId1807" Type="http://schemas.openxmlformats.org/officeDocument/2006/relationships/hyperlink" Target="https://drive.google.com/file/d/1gP0tDzvIJiYDb19RUwAs8W7rZZv3qZGm/view?usp=drivesdk" TargetMode="External"/><Relationship Id="rId1808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2577014%20%2F%20242510330%26entry.1578404635%3DHadir" TargetMode="External"/><Relationship Id="rId1809" Type="http://schemas.openxmlformats.org/officeDocument/2006/relationships/hyperlink" Target="https://drive.google.com/file/d/1LuaaoKW34wuhyt4TJI7r9vM8znUlpzRD/view?usp=drivesdk" TargetMode="External"/><Relationship Id="rId1830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9988861%20%2F%20242510021%26entry.1578404635%3DHadir" TargetMode="External"/><Relationship Id="rId1831" Type="http://schemas.openxmlformats.org/officeDocument/2006/relationships/hyperlink" Target="https://drive.google.com/file/d/1agzcuFCnNvSano4V6Qrt2LurBPyxCz36/view?usp=drivesdk" TargetMode="External"/><Relationship Id="rId1832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82151570%20%2F%20242510026%26entry.1578404635%3DHadir" TargetMode="External"/><Relationship Id="rId1833" Type="http://schemas.openxmlformats.org/officeDocument/2006/relationships/hyperlink" Target="https://drive.google.com/file/d/11ARIZilfHrpcHe2efPojTD92-cins_fq/view?usp=drivesdk" TargetMode="External"/><Relationship Id="rId1834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87588818%20%2F%20242510050%26entry.1578404635%3DHadir" TargetMode="External"/><Relationship Id="rId1835" Type="http://schemas.openxmlformats.org/officeDocument/2006/relationships/hyperlink" Target="https://drive.google.com/file/d/1jLOvXkvOYCrnd5d9pa803NW9D0ffoaxR/view?usp=drivesdk" TargetMode="External"/><Relationship Id="rId1836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2093857917%20%2F%20242510061%26entry.1578404635%3DHadir" TargetMode="External"/><Relationship Id="rId1837" Type="http://schemas.openxmlformats.org/officeDocument/2006/relationships/hyperlink" Target="https://drive.google.com/file/d/1c-YPr45pVmjMK-wP-hYzfd2NswXTSXmD/view?usp=drivesdk" TargetMode="External"/><Relationship Id="rId1838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87522984%20%2F%20252611569%26entry.1578404635%3DHadir" TargetMode="External"/><Relationship Id="rId1839" Type="http://schemas.openxmlformats.org/officeDocument/2006/relationships/hyperlink" Target="https://drive.google.com/file/d/1vvcoZ6kqmNqEO5_K7oe0QBg0SBxz5TAI/view?usp=drivesdk" TargetMode="External"/><Relationship Id="rId1820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86778655%20%2F%20242510386%26entry.1578404635%3DHadir" TargetMode="External"/><Relationship Id="rId1821" Type="http://schemas.openxmlformats.org/officeDocument/2006/relationships/hyperlink" Target="https://drive.google.com/file/d/11wHT5va58wnVSIZ2dR8EpVacfC_i-NhV/view?usp=drivesdk" TargetMode="External"/><Relationship Id="rId1822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85904748%20%2F%20242510401%26entry.1578404635%3DHadir" TargetMode="External"/><Relationship Id="rId1823" Type="http://schemas.openxmlformats.org/officeDocument/2006/relationships/hyperlink" Target="https://drive.google.com/file/d/1o7QVKAbXVp6shq89ucCgnqNgJk6MP2FK/view?usp=drivesdk" TargetMode="External"/><Relationship Id="rId1824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84316906%20%2F%20242510413%26entry.1578404635%3DHadir" TargetMode="External"/><Relationship Id="rId1825" Type="http://schemas.openxmlformats.org/officeDocument/2006/relationships/hyperlink" Target="https://drive.google.com/file/d/1L9nq1UOV7Zt-g-00eE9oxFpOWvD0pV7u/view?usp=drivesdk" TargetMode="External"/><Relationship Id="rId1826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5848946%20%2F%20242510423%26entry.1578404635%3DHadir" TargetMode="External"/><Relationship Id="rId1827" Type="http://schemas.openxmlformats.org/officeDocument/2006/relationships/hyperlink" Target="https://drive.google.com/file/d/1dAoDEqzaZfExYaDOV7V5ymsZIcFnJhP0/view?usp=drivesdk" TargetMode="External"/><Relationship Id="rId1828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9880719%20%2F%20242510027%26entry.1578404635%3DHadir" TargetMode="External"/><Relationship Id="rId1829" Type="http://schemas.openxmlformats.org/officeDocument/2006/relationships/hyperlink" Target="https://drive.google.com/file/d/1AzY6deimO49fOpQ30FLInDq_H624TJ0k/view?usp=drivesdk" TargetMode="External"/><Relationship Id="rId1455" Type="http://schemas.openxmlformats.org/officeDocument/2006/relationships/hyperlink" Target="https://drive.google.com/file/d/1bwDa5URBl6j7Ubw_OB9jZt5X9GyeTnkc/view?usp=drivesdk" TargetMode="External"/><Relationship Id="rId1456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1228007%20%2F%20242510363%26entry.1578404635%3DHadir" TargetMode="External"/><Relationship Id="rId1457" Type="http://schemas.openxmlformats.org/officeDocument/2006/relationships/hyperlink" Target="https://drive.google.com/file/d/16a8tl7IsC9ow4dsXyk9a_OULUrZjE8gt/view?usp=drivesdk" TargetMode="External"/><Relationship Id="rId1458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89954401%20%2F%20242510367%26entry.1578404635%3DHadir" TargetMode="External"/><Relationship Id="rId1459" Type="http://schemas.openxmlformats.org/officeDocument/2006/relationships/hyperlink" Target="https://drive.google.com/file/d/1joEyy3WUul-tUP2vMNhpseKSGF800DDg/view?usp=drivesdk" TargetMode="External"/><Relationship Id="rId629" Type="http://schemas.openxmlformats.org/officeDocument/2006/relationships/hyperlink" Target="https://drive.google.com/file/d/1zraI27SR9TF7qDueX8zMTRTTufAMFdJc/view?usp=drivesdk" TargetMode="External"/><Relationship Id="rId624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6444734%20%2F%20252610491%26entry.1578404635%3DHadir" TargetMode="External"/><Relationship Id="rId623" Type="http://schemas.openxmlformats.org/officeDocument/2006/relationships/hyperlink" Target="https://drive.google.com/file/d/1LR8tS-FHRR20TBqKEfAkjlfeg0N3BiC6/view?usp=drivesdk" TargetMode="External"/><Relationship Id="rId622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9551129%20%2F%20252610466%26entry.1578404635%3DHadir" TargetMode="External"/><Relationship Id="rId621" Type="http://schemas.openxmlformats.org/officeDocument/2006/relationships/hyperlink" Target="https://drive.google.com/file/d/1f7IDhZ7kOIFEAMSoY_fiwFFlCN3-GWpg/view?usp=drivesdk" TargetMode="External"/><Relationship Id="rId628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3102286552%20%2F%20252610523%26entry.1578404635%3DHadir" TargetMode="External"/><Relationship Id="rId627" Type="http://schemas.openxmlformats.org/officeDocument/2006/relationships/hyperlink" Target="https://drive.google.com/file/d/1k_yrRkQBmJETffMLByJ4GyryPd9ergwI/view?usp=drivesdk" TargetMode="External"/><Relationship Id="rId626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7487290%20%2F%20252610504%26entry.1578404635%3DHadir" TargetMode="External"/><Relationship Id="rId625" Type="http://schemas.openxmlformats.org/officeDocument/2006/relationships/hyperlink" Target="https://drive.google.com/file/d/1KY2sT4sz-HPsRP9vwx1yovXkcrK3VIJZ/view?usp=drivesdk" TargetMode="External"/><Relationship Id="rId1450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3266742%20%2F%20242510320%26entry.1578404635%3DHadir" TargetMode="External"/><Relationship Id="rId620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8129059%20%2F%20252610464%26entry.1578404635%3DHadir" TargetMode="External"/><Relationship Id="rId1451" Type="http://schemas.openxmlformats.org/officeDocument/2006/relationships/hyperlink" Target="https://drive.google.com/file/d/1IVs1mgv3MVpBlaFf1_DFP0A9574RJ9Lo/view?usp=drivesdk" TargetMode="External"/><Relationship Id="rId1452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2205557%20%2F%20242510345%26entry.1578404635%3DHadir" TargetMode="External"/><Relationship Id="rId1453" Type="http://schemas.openxmlformats.org/officeDocument/2006/relationships/hyperlink" Target="https://drive.google.com/file/d/1NYaV2ByQFyONNDZAK3JhyXc_dAMwuqq0/view?usp=drivesdk" TargetMode="External"/><Relationship Id="rId1454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73027831%20%2F%20242510356%26entry.1578404635%3DHadir" TargetMode="External"/><Relationship Id="rId1444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4414485%20%2F%20242510315%26entry.1578404635%3DHadir" TargetMode="External"/><Relationship Id="rId1445" Type="http://schemas.openxmlformats.org/officeDocument/2006/relationships/hyperlink" Target="https://drive.google.com/file/d/1VFQvEyfIT8L_-v3ZmYPPXgFuRWAUcat7/view?usp=drivesdk" TargetMode="External"/><Relationship Id="rId1446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5501589%20%2F%20242510318%26entry.1578404635%3DHadir" TargetMode="External"/><Relationship Id="rId1447" Type="http://schemas.openxmlformats.org/officeDocument/2006/relationships/hyperlink" Target="https://drive.google.com/file/d/17NWvAlrYabycfAn4pSD8ME1V2IJNPLV2/view?usp=drivesdk" TargetMode="External"/><Relationship Id="rId1448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3298242%20%2F%20242510319%26entry.1578404635%3DHadir" TargetMode="External"/><Relationship Id="rId1449" Type="http://schemas.openxmlformats.org/officeDocument/2006/relationships/hyperlink" Target="https://drive.google.com/file/d/1uMX1WBNSgjs7TYeUyu1f49TZuESfxdUK/view?usp=drivesdk" TargetMode="External"/><Relationship Id="rId619" Type="http://schemas.openxmlformats.org/officeDocument/2006/relationships/hyperlink" Target="https://drive.google.com/file/d/1qL2v5YZcOkn8tb7OszCIr--Z-6jFSv1-/view?usp=drivesdk" TargetMode="External"/><Relationship Id="rId618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8514088%20%2F%20252610428%26entry.1578404635%3DHadir" TargetMode="External"/><Relationship Id="rId613" Type="http://schemas.openxmlformats.org/officeDocument/2006/relationships/hyperlink" Target="https://drive.google.com/file/d/1yXMQnhy4y9TkCgMdga-yrjoy6HpeRRdd/view?usp=drivesdk" TargetMode="External"/><Relationship Id="rId612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6828126%20%2F%20252610389%26entry.1578404635%3DHadir" TargetMode="External"/><Relationship Id="rId611" Type="http://schemas.openxmlformats.org/officeDocument/2006/relationships/hyperlink" Target="https://drive.google.com/file/d/1XG5JFbAyLiDfCSMHHyjBf2U89uHI-oD0/view?usp=drivesdk" TargetMode="External"/><Relationship Id="rId610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5755550%20%2F%20252610383%26entry.1578404635%3DHadir" TargetMode="External"/><Relationship Id="rId617" Type="http://schemas.openxmlformats.org/officeDocument/2006/relationships/hyperlink" Target="https://drive.google.com/file/d/1KKgPhB3c-kn-0KGMqSHo4WAyVw_-Whfz/view?usp=drivesdk" TargetMode="External"/><Relationship Id="rId616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7698921%20%2F%20252610409%26entry.1578404635%3DHadir" TargetMode="External"/><Relationship Id="rId615" Type="http://schemas.openxmlformats.org/officeDocument/2006/relationships/hyperlink" Target="https://drive.google.com/file/d/1ggLjnRNRfT4WjyXehz1Rem5Ua_IJS181/view?usp=drivesdk" TargetMode="External"/><Relationship Id="rId614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7673142%20%2F%20252610404%26entry.1578404635%3DHadir" TargetMode="External"/><Relationship Id="rId1440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6224183%20%2F%20242510299%26entry.1578404635%3DHadir" TargetMode="External"/><Relationship Id="rId1441" Type="http://schemas.openxmlformats.org/officeDocument/2006/relationships/hyperlink" Target="https://drive.google.com/file/d/1jeQYTFIjBT9uw1PR1y24TK6bv9WQMvDa/view?usp=drivesdk" TargetMode="External"/><Relationship Id="rId1442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83048491%20%2F%20242510303%26entry.1578404635%3DHadir" TargetMode="External"/><Relationship Id="rId1443" Type="http://schemas.openxmlformats.org/officeDocument/2006/relationships/hyperlink" Target="https://drive.google.com/file/d/1vW8cBFqldfh2fwDUSieSm_g_-Ju6whnL/view?usp=drivesdk" TargetMode="External"/><Relationship Id="rId1477" Type="http://schemas.openxmlformats.org/officeDocument/2006/relationships/hyperlink" Target="https://drive.google.com/file/d/1G1S3rqHYQyrPRdwldg8iN9C9032L8tEo/view?usp=drivesdk" TargetMode="External"/><Relationship Id="rId1478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3831279%20%2F%20242510066%26entry.1578404635%3DHadir" TargetMode="External"/><Relationship Id="rId1479" Type="http://schemas.openxmlformats.org/officeDocument/2006/relationships/hyperlink" Target="https://drive.google.com/file/d/1BYETF36y-uO2XmTihRxo7XKu03rnLCJh/view?usp=drivesdk" TargetMode="External"/><Relationship Id="rId646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8009248%20%2F%20252610035%26entry.1578404635%3DHadir" TargetMode="External"/><Relationship Id="rId645" Type="http://schemas.openxmlformats.org/officeDocument/2006/relationships/hyperlink" Target="https://drive.google.com/file/d/1xepw31JpQb7oB9wtf9417oq4spDKm5J5/view?usp=drivesdk" TargetMode="External"/><Relationship Id="rId644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2017710%20%2F%20252610028%26entry.1578404635%3DHadir" TargetMode="External"/><Relationship Id="rId643" Type="http://schemas.openxmlformats.org/officeDocument/2006/relationships/hyperlink" Target="https://drive.google.com/file/d/1qZ1kLHrnAdCVvI-pBDVubEPs3g77goAf/view?usp=drivesdk" TargetMode="External"/><Relationship Id="rId649" Type="http://schemas.openxmlformats.org/officeDocument/2006/relationships/hyperlink" Target="https://drive.google.com/file/d/1QNub72plsmWNf8OWRx0hPiorBIy7lDyU/view?usp=drivesdk" TargetMode="External"/><Relationship Id="rId648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3105167232%20%2F%20252610040%26entry.1578404635%3DHadir" TargetMode="External"/><Relationship Id="rId647" Type="http://schemas.openxmlformats.org/officeDocument/2006/relationships/hyperlink" Target="https://drive.google.com/file/d/1pqaEdN8FvNzvP17l9ZLAqXT42S5rpYks/view?usp=drivesdk" TargetMode="External"/><Relationship Id="rId1470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8762657%20%2F%20242510048%26entry.1578404635%3DHadir" TargetMode="External"/><Relationship Id="rId1471" Type="http://schemas.openxmlformats.org/officeDocument/2006/relationships/hyperlink" Target="https://drive.google.com/file/d/1eA22Og4NZMS_TD2ZugYclA0R3i7GYvon/view?usp=drivesdk" TargetMode="External"/><Relationship Id="rId1472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89202112%20%2F%20242510055%26entry.1578404635%3DHadir" TargetMode="External"/><Relationship Id="rId642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3560012%20%2F%20252610007%26entry.1578404635%3DHadir" TargetMode="External"/><Relationship Id="rId1473" Type="http://schemas.openxmlformats.org/officeDocument/2006/relationships/hyperlink" Target="https://drive.google.com/file/d/16N9ioTcVWiVY67W0GNXWoXlY-zRGpfCg/view?usp=drivesdk" TargetMode="External"/><Relationship Id="rId641" Type="http://schemas.openxmlformats.org/officeDocument/2006/relationships/hyperlink" Target="https://drive.google.com/file/d/1sTNfv3bFxfEBUl7yQxZ_apRJI-_VXYHG/view?usp=drivesdk" TargetMode="External"/><Relationship Id="rId1474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88260272%20%2F%20242510056%26entry.1578404635%3DHadir" TargetMode="External"/><Relationship Id="rId640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9499801%20%2F%20252610559%26entry.1578404635%3DHadir" TargetMode="External"/><Relationship Id="rId1475" Type="http://schemas.openxmlformats.org/officeDocument/2006/relationships/hyperlink" Target="https://drive.google.com/file/d/1qchcYQgOPn2aDy63YNxpFhILjqf5d1kA/view?usp=drivesdk" TargetMode="External"/><Relationship Id="rId1476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7111779%20%2F%20242510058%26entry.1578404635%3DHadir" TargetMode="External"/><Relationship Id="rId1466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87500688%20%2F%20242510399%26entry.1578404635%3DHadir" TargetMode="External"/><Relationship Id="rId1467" Type="http://schemas.openxmlformats.org/officeDocument/2006/relationships/hyperlink" Target="https://drive.google.com/file/d/1hw5QuEViQfThScYrUxpJWlxMeWi7_919/view?usp=drivesdk" TargetMode="External"/><Relationship Id="rId1468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2434039%20%2F%20242510410%26entry.1578404635%3DHadir" TargetMode="External"/><Relationship Id="rId1469" Type="http://schemas.openxmlformats.org/officeDocument/2006/relationships/hyperlink" Target="https://drive.google.com/file/d/1IhZh6VlpMH756XG538DksOeCmrzeUaVx/view?usp=drivesdk" TargetMode="External"/><Relationship Id="rId635" Type="http://schemas.openxmlformats.org/officeDocument/2006/relationships/hyperlink" Target="https://drive.google.com/file/d/1Sxp7n3dNpDekBxhmR0j9d6ciEnQlEXpF/view?usp=drivesdk" TargetMode="External"/><Relationship Id="rId634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4155224%20%2F%20252610532%26entry.1578404635%3DHadir" TargetMode="External"/><Relationship Id="rId633" Type="http://schemas.openxmlformats.org/officeDocument/2006/relationships/hyperlink" Target="https://drive.google.com/file/d/1bANOwAbRVsOLWwyU32jAP3LdRyLTAExS/view?usp=drivesdk" TargetMode="External"/><Relationship Id="rId632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6701592%20%2F%20252610527%26entry.1578404635%3DHadir" TargetMode="External"/><Relationship Id="rId639" Type="http://schemas.openxmlformats.org/officeDocument/2006/relationships/hyperlink" Target="https://drive.google.com/file/d/11DxLmQ2-9NcVgvAHP7nGkXQGxdpkb2bD/view?usp=drivesdk" TargetMode="External"/><Relationship Id="rId638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5614197%20%2F%20252610547%26entry.1578404635%3DHadir" TargetMode="External"/><Relationship Id="rId637" Type="http://schemas.openxmlformats.org/officeDocument/2006/relationships/hyperlink" Target="https://drive.google.com/file/d/1u6ib-4PTjt81Y6hFAiCaWGJAJlnHKFtT/view?usp=drivesdk" TargetMode="External"/><Relationship Id="rId636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7446281%20%2F%20252610539%26entry.1578404635%3DHadir" TargetMode="External"/><Relationship Id="rId1460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89191714%20%2F%20242510372%26entry.1578404635%3DHadir" TargetMode="External"/><Relationship Id="rId1461" Type="http://schemas.openxmlformats.org/officeDocument/2006/relationships/hyperlink" Target="https://drive.google.com/file/d/13kEWNoFSGqmLg6crNHt_i5DTT1mPOoJD/view?usp=drivesdk" TargetMode="External"/><Relationship Id="rId631" Type="http://schemas.openxmlformats.org/officeDocument/2006/relationships/hyperlink" Target="https://drive.google.com/file/d/1qbErimgv20dfqaXEGj9ro17sZC8EXY06/view?usp=drivesdk" TargetMode="External"/><Relationship Id="rId1462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5117423%20%2F%20242510380%26entry.1578404635%3DHadir" TargetMode="External"/><Relationship Id="rId630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7936085%20%2F%20252610525%26entry.1578404635%3DHadir" TargetMode="External"/><Relationship Id="rId1463" Type="http://schemas.openxmlformats.org/officeDocument/2006/relationships/hyperlink" Target="https://drive.google.com/file/d/1d2L1wZMi11Y_XWvmWn4pRqbwX7-sNb1s/view?usp=drivesdk" TargetMode="External"/><Relationship Id="rId1464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88535031%20%2F%20242510391%26entry.1578404635%3DHadir" TargetMode="External"/><Relationship Id="rId1465" Type="http://schemas.openxmlformats.org/officeDocument/2006/relationships/hyperlink" Target="https://drive.google.com/file/d/1y_Qp1_pl_x0GvoBodL7DUC0MXW75lHS9/view?usp=drivesdk" TargetMode="External"/><Relationship Id="rId1411" Type="http://schemas.openxmlformats.org/officeDocument/2006/relationships/hyperlink" Target="https://drive.google.com/file/d/1QdRxwISmmMtWBUWUkJdP-3bXmV8rLFUH/view?usp=drivesdk" TargetMode="External"/><Relationship Id="rId1895" Type="http://schemas.openxmlformats.org/officeDocument/2006/relationships/hyperlink" Target="https://drive.google.com/file/d/1yoB72kb29oIbyZeYDK4Aa9jbl01jNeI7/view?usp=drivesdk" TargetMode="External"/><Relationship Id="rId1412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9561898%20%2F%20242510071%26entry.1578404635%3DHadir" TargetMode="External"/><Relationship Id="rId1896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4647744%20%2F%20242510396%26entry.1578404635%3DHadir" TargetMode="External"/><Relationship Id="rId1413" Type="http://schemas.openxmlformats.org/officeDocument/2006/relationships/hyperlink" Target="https://drive.google.com/file/d/1BJRzcIgyROBd_gZynzda_sAA0hKCFV0n/view?usp=drivesdk" TargetMode="External"/><Relationship Id="rId1897" Type="http://schemas.openxmlformats.org/officeDocument/2006/relationships/hyperlink" Target="https://drive.google.com/file/d/1KqH-9mlaydoYQJlbfMhb_14rrlc_Nl5U/view?usp=drivesdk" TargetMode="External"/><Relationship Id="rId1414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1681862%20%2F%20242510088%26entry.1578404635%3DHadir" TargetMode="External"/><Relationship Id="rId1898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84357788%20%2F%20242510411%26entry.1578404635%3DHadir" TargetMode="External"/><Relationship Id="rId1415" Type="http://schemas.openxmlformats.org/officeDocument/2006/relationships/hyperlink" Target="https://drive.google.com/file/d/1sxeQHIjjwStiSqNur5hFkT-LxeTwxdui/view?usp=drivesdk" TargetMode="External"/><Relationship Id="rId1899" Type="http://schemas.openxmlformats.org/officeDocument/2006/relationships/hyperlink" Target="https://drive.google.com/file/d/1Yh31o3NSd0ReVvul-1yanBNJOXrzg7qp/view?usp=drivesdk" TargetMode="External"/><Relationship Id="rId1416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8451979%20%2F%20242510161%26entry.1578404635%3DHadir" TargetMode="External"/><Relationship Id="rId1417" Type="http://schemas.openxmlformats.org/officeDocument/2006/relationships/hyperlink" Target="https://drive.google.com/file/d/1fdknbril4WmsUhNlR6O8caCDK7Q5N4iQ/view?usp=drivesdk" TargetMode="External"/><Relationship Id="rId1418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84845522%20%2F%20242510200%26entry.1578404635%3DHadir" TargetMode="External"/><Relationship Id="rId1419" Type="http://schemas.openxmlformats.org/officeDocument/2006/relationships/hyperlink" Target="https://drive.google.com/file/d/16qvEw0CYgN-_idq6_UCiBxUdb58l7Gtj/view?usp=drivesdk" TargetMode="External"/><Relationship Id="rId1890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4095735%20%2F%20242510339%26entry.1578404635%3DHadir" TargetMode="External"/><Relationship Id="rId1891" Type="http://schemas.openxmlformats.org/officeDocument/2006/relationships/hyperlink" Target="https://drive.google.com/file/d/1y-rKA6Xw1exP-2hKQWcSlMHiqkiSXKx1/view?usp=drivesdk" TargetMode="External"/><Relationship Id="rId1892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3087304976%20%2F%20242510389%26entry.1578404635%3DHadir" TargetMode="External"/><Relationship Id="rId1893" Type="http://schemas.openxmlformats.org/officeDocument/2006/relationships/hyperlink" Target="https://drive.google.com/file/d/1SEZYBhl2P8BECJapQtEmNHGJ2o3vESo_/view?usp=drivesdk" TargetMode="External"/><Relationship Id="rId1410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81271561%20%2F%20242510054%26entry.1578404635%3DHadir" TargetMode="External"/><Relationship Id="rId1894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7734463%20%2F%20242510394%26entry.1578404635%3DHadir" TargetMode="External"/><Relationship Id="rId1400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6738562%20%2F%20242510014%26entry.1578404635%3DHadir" TargetMode="External"/><Relationship Id="rId1884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5386380%20%2F%20242510314%26entry.1578404635%3DHadir" TargetMode="External"/><Relationship Id="rId1401" Type="http://schemas.openxmlformats.org/officeDocument/2006/relationships/hyperlink" Target="https://drive.google.com/file/d/1m19Dhw1Ww__IFN70Yd63wTB1IqMWVKrg/view?usp=drivesdk" TargetMode="External"/><Relationship Id="rId1885" Type="http://schemas.openxmlformats.org/officeDocument/2006/relationships/hyperlink" Target="https://drive.google.com/file/d/1WUmW5UqmCN_ZSuSib46St3Yrd-Qoq8VG/view?usp=drivesdk" TargetMode="External"/><Relationship Id="rId1402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9375029%20%2F%20242510019%26entry.1578404635%3DHadir" TargetMode="External"/><Relationship Id="rId1886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4807008%20%2F%20242510331%26entry.1578404635%3DHadir" TargetMode="External"/><Relationship Id="rId1403" Type="http://schemas.openxmlformats.org/officeDocument/2006/relationships/hyperlink" Target="https://drive.google.com/file/d/13gsiO4uoVzbMuJoPreZQ14r8fBxXYAuJ/view?usp=drivesdk" TargetMode="External"/><Relationship Id="rId1887" Type="http://schemas.openxmlformats.org/officeDocument/2006/relationships/hyperlink" Target="https://drive.google.com/file/d/1PV7p4doGQxYO6YTbjfBMTYb_-WBANwpv/view?usp=drivesdk" TargetMode="External"/><Relationship Id="rId1404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85348468%20%2F%20242510024%26entry.1578404635%3DHadir" TargetMode="External"/><Relationship Id="rId1888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9423367%20%2F%20242510332%26entry.1578404635%3DHadir" TargetMode="External"/><Relationship Id="rId1405" Type="http://schemas.openxmlformats.org/officeDocument/2006/relationships/hyperlink" Target="https://drive.google.com/file/d/1BKd3DMu9VT55lPDPzSDUE233Ag23weMU/view?usp=drivesdk" TargetMode="External"/><Relationship Id="rId1889" Type="http://schemas.openxmlformats.org/officeDocument/2006/relationships/hyperlink" Target="https://drive.google.com/file/d/1C5pV2TvvUQWKRCgFFEnm1DO3UeVBqZEX/view?usp=drivesdk" TargetMode="External"/><Relationship Id="rId1406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5154966%20%2F%20242510036%26entry.1578404635%3DHadir" TargetMode="External"/><Relationship Id="rId1407" Type="http://schemas.openxmlformats.org/officeDocument/2006/relationships/hyperlink" Target="https://drive.google.com/file/d/1WxeXD-60KcQK2zKpylhFpyYws8CXYMDx/view?usp=drivesdk" TargetMode="External"/><Relationship Id="rId1408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6990480%20%2F%20242510044%26entry.1578404635%3DHadir" TargetMode="External"/><Relationship Id="rId1409" Type="http://schemas.openxmlformats.org/officeDocument/2006/relationships/hyperlink" Target="https://drive.google.com/file/d/1FKqu0IwFBATQBywD6xCLyBKwH4sl8_E0/view?usp=drivesdk" TargetMode="External"/><Relationship Id="rId1880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6931224%20%2F%20242510290%26entry.1578404635%3DHadir" TargetMode="External"/><Relationship Id="rId1881" Type="http://schemas.openxmlformats.org/officeDocument/2006/relationships/hyperlink" Target="https://drive.google.com/file/d/1zivLEbTifc6YSoy6HHBuEp5H106HmqH-/view?usp=drivesdk" TargetMode="External"/><Relationship Id="rId1882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7494938%20%2F%20242510311%26entry.1578404635%3DHadir" TargetMode="External"/><Relationship Id="rId1883" Type="http://schemas.openxmlformats.org/officeDocument/2006/relationships/hyperlink" Target="https://drive.google.com/file/d/1uobxd8SgyHMBP2VXy3Q_vC-IuSXsVbF8/view?usp=drivesdk" TargetMode="External"/><Relationship Id="rId1433" Type="http://schemas.openxmlformats.org/officeDocument/2006/relationships/hyperlink" Target="https://drive.google.com/file/d/1ODXKp0ZK5Qf4mFW57j-GXI70D2HmxORO/view?usp=drivesdk" TargetMode="External"/><Relationship Id="rId1434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1089933%20%2F%20242510284%26entry.1578404635%3DHadir" TargetMode="External"/><Relationship Id="rId1435" Type="http://schemas.openxmlformats.org/officeDocument/2006/relationships/hyperlink" Target="https://drive.google.com/file/d/1g6-QICt_Zny8VTeRSA66FIyOtcJdzEHm/view?usp=drivesdk" TargetMode="External"/><Relationship Id="rId1436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6304188%20%2F%20242510289%26entry.1578404635%3DHadir" TargetMode="External"/><Relationship Id="rId1437" Type="http://schemas.openxmlformats.org/officeDocument/2006/relationships/hyperlink" Target="https://drive.google.com/file/d/1KAhcg8Ghm6AIkf6Zj28i8e46nacM3DP5/view?usp=drivesdk" TargetMode="External"/><Relationship Id="rId1438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7295872%20%2F%20242510292%26entry.1578404635%3DHadir" TargetMode="External"/><Relationship Id="rId1439" Type="http://schemas.openxmlformats.org/officeDocument/2006/relationships/hyperlink" Target="https://drive.google.com/file/d/1iyokPqYkPmqbNzrtz6I5lHDNgM2P3wAa/view?usp=drivesdk" TargetMode="External"/><Relationship Id="rId609" Type="http://schemas.openxmlformats.org/officeDocument/2006/relationships/hyperlink" Target="https://drive.google.com/file/d/1fe0qSa9lSWiB62ANVWW1FKOun0Gtuc1O/view?usp=drivesdk" TargetMode="External"/><Relationship Id="rId608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5243962%20%2F%20252610354%26entry.1578404635%3DHadir" TargetMode="External"/><Relationship Id="rId607" Type="http://schemas.openxmlformats.org/officeDocument/2006/relationships/hyperlink" Target="https://drive.google.com/file/d/1hiszoa4RnsQmxSixQXbpqp2I-NDkSrwA/view?usp=drivesdk" TargetMode="External"/><Relationship Id="rId602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3828028%20%2F%20252610340%26entry.1578404635%3DHadir" TargetMode="External"/><Relationship Id="rId601" Type="http://schemas.openxmlformats.org/officeDocument/2006/relationships/hyperlink" Target="https://drive.google.com/file/d/1SoTy2pMCzpK44_tDmNORl0VI1mcdAdLI/view?usp=drivesdk" TargetMode="External"/><Relationship Id="rId600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3678218%20%2F%20252610333%26entry.1578404635%3DHadir" TargetMode="External"/><Relationship Id="rId606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3629282%20%2F%20252610352%26entry.1578404635%3DHadir" TargetMode="External"/><Relationship Id="rId605" Type="http://schemas.openxmlformats.org/officeDocument/2006/relationships/hyperlink" Target="https://drive.google.com/file/d/1IhgJfaUNEkSOAMQcDscX_VIM83mkW1gE/view?usp=drivesdk" TargetMode="External"/><Relationship Id="rId604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9769349%20%2F%20252610345%26entry.1578404635%3DHadir" TargetMode="External"/><Relationship Id="rId603" Type="http://schemas.openxmlformats.org/officeDocument/2006/relationships/hyperlink" Target="https://drive.google.com/file/d/1j1WG4K78RYJ8C7MxC7_iIsIAzzZ59CES/view?usp=drivesdk" TargetMode="External"/><Relationship Id="rId1430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86270372%20%2F%20242510271%26entry.1578404635%3DHadir" TargetMode="External"/><Relationship Id="rId1431" Type="http://schemas.openxmlformats.org/officeDocument/2006/relationships/hyperlink" Target="https://drive.google.com/file/d/1DKicOs_jjEpX0NTlmHqpOeB9scIvTBR3/view?usp=drivesdk" TargetMode="External"/><Relationship Id="rId1432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6643467%20%2F%20242510272%26entry.1578404635%3DHadir" TargetMode="External"/><Relationship Id="rId1422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4551974%20%2F%20242510212%26entry.1578404635%3DHadir" TargetMode="External"/><Relationship Id="rId1423" Type="http://schemas.openxmlformats.org/officeDocument/2006/relationships/hyperlink" Target="https://drive.google.com/file/d/1B3C_1-y36AfCxLmW1qtU963Uh6qh-6lp/view?usp=drivesdk" TargetMode="External"/><Relationship Id="rId1424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81855086%20%2F%20242510220%26entry.1578404635%3DHadir" TargetMode="External"/><Relationship Id="rId1425" Type="http://schemas.openxmlformats.org/officeDocument/2006/relationships/hyperlink" Target="https://drive.google.com/file/d/1ie25e9jXMIdGl3bWmA5UbBS7kQ2PCVam/view?usp=drivesdk" TargetMode="External"/><Relationship Id="rId1426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83951567%20%2F%20242510221%26entry.1578404635%3DHadir" TargetMode="External"/><Relationship Id="rId1427" Type="http://schemas.openxmlformats.org/officeDocument/2006/relationships/hyperlink" Target="https://drive.google.com/file/d/1PQVjTfRDBDhc9hd9dAF_vbakhxchMtae/view?usp=drivesdk" TargetMode="External"/><Relationship Id="rId1428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3504759%20%2F%20242510251%26entry.1578404635%3DHadir" TargetMode="External"/><Relationship Id="rId1429" Type="http://schemas.openxmlformats.org/officeDocument/2006/relationships/hyperlink" Target="https://drive.google.com/file/d/18tAxM4teDLTbdgBVO-AyvHo8trG0v7xF/view?usp=drivesdk" TargetMode="External"/><Relationship Id="rId1420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83434779%20%2F%20252611571%26entry.1578404635%3DHadir" TargetMode="External"/><Relationship Id="rId1421" Type="http://schemas.openxmlformats.org/officeDocument/2006/relationships/hyperlink" Target="https://drive.google.com/file/d/1kTAPoyE6kdxUfEDQgZLhBwxZ9_MBHTT4/view?usp=drivesdk" TargetMode="External"/><Relationship Id="rId1059" Type="http://schemas.openxmlformats.org/officeDocument/2006/relationships/hyperlink" Target="https://drive.google.com/file/d/1xX6hSt6s0pfLH0AKNPdutcaMbxsrsO_m/view?usp=drivesdk" TargetMode="External"/><Relationship Id="rId228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13691116%20%2F%20252610219%26entry.1578404635%3DHadir" TargetMode="External"/><Relationship Id="rId227" Type="http://schemas.openxmlformats.org/officeDocument/2006/relationships/hyperlink" Target="https://drive.google.com/file/d/1KKocwOWRV4wF8oPG5PeaIk-mC3-ABQ1Z/view?usp=drivesdk" TargetMode="External"/><Relationship Id="rId226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8064041%20%2F%20252610215%26entry.1578404635%3DHadir" TargetMode="External"/><Relationship Id="rId225" Type="http://schemas.openxmlformats.org/officeDocument/2006/relationships/hyperlink" Target="https://drive.google.com/file/d/11vvEH8CP885FiZ0SQh8U9GXY_dV9QgyN/view?usp=drivesdk" TargetMode="External"/><Relationship Id="rId229" Type="http://schemas.openxmlformats.org/officeDocument/2006/relationships/hyperlink" Target="https://drive.google.com/file/d/16l0FVnzEcEk2VzONUmRUDSHO4shXqyVH/view?usp=drivesdk" TargetMode="External"/><Relationship Id="rId1050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3091107524%20%2F%20252610267%26entry.1578404635%3DHadir" TargetMode="External"/><Relationship Id="rId220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4686377%20%2F%20252610201%26entry.1578404635%3DHadir" TargetMode="External"/><Relationship Id="rId1051" Type="http://schemas.openxmlformats.org/officeDocument/2006/relationships/hyperlink" Target="https://drive.google.com/file/d/1_-8sc9TgPHiFK7pFRfXVpDSKKTu1NWWR/view?usp=drivesdk" TargetMode="External"/><Relationship Id="rId1052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3652262%20%2F%20252610269%26entry.1578404635%3DHadir" TargetMode="External"/><Relationship Id="rId1053" Type="http://schemas.openxmlformats.org/officeDocument/2006/relationships/hyperlink" Target="https://drive.google.com/file/d/1PySRl55fAWCDT4GhUVVePVg0eda-PsCs/view?usp=drivesdk" TargetMode="External"/><Relationship Id="rId1054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7732804%20%2F%20252610270%26entry.1578404635%3DHadir" TargetMode="External"/><Relationship Id="rId224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9156472%20%2F%20252610213%26entry.1578404635%3DHadir" TargetMode="External"/><Relationship Id="rId1055" Type="http://schemas.openxmlformats.org/officeDocument/2006/relationships/hyperlink" Target="https://drive.google.com/file/d/1ZMvNBBZW49JhHKeeffYeRiBjl4SXsxO4/view?usp=drivesdk" TargetMode="External"/><Relationship Id="rId223" Type="http://schemas.openxmlformats.org/officeDocument/2006/relationships/hyperlink" Target="https://drive.google.com/file/d/1P5ow4Ahp03hJfJwaU67BG50NfzviydZu/view?usp=drivesdk" TargetMode="External"/><Relationship Id="rId1056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3093490279%20%2F%20252610271%26entry.1578404635%3DHadir" TargetMode="External"/><Relationship Id="rId222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9768822%20%2F%20252610204%26entry.1578404635%3DHadir" TargetMode="External"/><Relationship Id="rId1057" Type="http://schemas.openxmlformats.org/officeDocument/2006/relationships/hyperlink" Target="https://drive.google.com/file/d/1eSfFDVhXaqeejcUUS-lc8yDjPqTmDHfQ/view?usp=drivesdk" TargetMode="External"/><Relationship Id="rId221" Type="http://schemas.openxmlformats.org/officeDocument/2006/relationships/hyperlink" Target="https://drive.google.com/file/d/1eZN8J36qw0ON_A17Pe3ljSytw3gZtsPc/view?usp=drivesdk" TargetMode="External"/><Relationship Id="rId1058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4431854%20%2F%20252610296%26entry.1578404635%3DHadir" TargetMode="External"/><Relationship Id="rId1048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3086279831%20%2F%20252610218%26entry.1578404635%3DHadir" TargetMode="External"/><Relationship Id="rId1049" Type="http://schemas.openxmlformats.org/officeDocument/2006/relationships/hyperlink" Target="https://drive.google.com/file/d/1V2F9-2mvx0AzbyRLkRZAIDTeBHeP_xS_/view?usp=drivesdk" TargetMode="External"/><Relationship Id="rId217" Type="http://schemas.openxmlformats.org/officeDocument/2006/relationships/hyperlink" Target="https://drive.google.com/file/d/1Sqrbw-dmuTx3Fak4CXvAVm6GSkgcKFU0/view?usp=drivesdk" TargetMode="External"/><Relationship Id="rId216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6662016%20%2F%20252610187%26entry.1578404635%3DHadir" TargetMode="External"/><Relationship Id="rId215" Type="http://schemas.openxmlformats.org/officeDocument/2006/relationships/hyperlink" Target="https://drive.google.com/file/d/1HdVzWrJ2iZasb8fh6ypRMOSTnAXQseFa/view?usp=drivesdk" TargetMode="External"/><Relationship Id="rId699" Type="http://schemas.openxmlformats.org/officeDocument/2006/relationships/hyperlink" Target="https://drive.google.com/file/d/1tYUCsjBxN9h-e4oFEv3SGCdfCmHbKnCU/view?usp=drivesdk" TargetMode="External"/><Relationship Id="rId214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7493642%20%2F%20252610158%26entry.1578404635%3DHadir" TargetMode="External"/><Relationship Id="rId698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3108018555%20%2F%20252610353%26entry.1578404635%3DHadir" TargetMode="External"/><Relationship Id="rId219" Type="http://schemas.openxmlformats.org/officeDocument/2006/relationships/hyperlink" Target="https://drive.google.com/file/d/1j-d5uOh8ERvd1glbakY9K9pC2WnUV258/view?usp=drivesdk" TargetMode="External"/><Relationship Id="rId218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6892367%20%2F%20252610190%26entry.1578404635%3DHadir" TargetMode="External"/><Relationship Id="rId693" Type="http://schemas.openxmlformats.org/officeDocument/2006/relationships/hyperlink" Target="https://drive.google.com/file/d/1_0UtRXvgAgQftL4v4X0Qqr_WpAaPOI_p/view?usp=drivesdk" TargetMode="External"/><Relationship Id="rId1040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3106961615%20%2F%20252610147%26entry.1578404635%3DHadir" TargetMode="External"/><Relationship Id="rId692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4259451%20%2F%20252610326%26entry.1578404635%3DHadir" TargetMode="External"/><Relationship Id="rId1041" Type="http://schemas.openxmlformats.org/officeDocument/2006/relationships/hyperlink" Target="https://drive.google.com/file/d/1by60MZ8Rn2DcDgKyoNoBohio-uDe2SxF/view?usp=drivesdk" TargetMode="External"/><Relationship Id="rId691" Type="http://schemas.openxmlformats.org/officeDocument/2006/relationships/hyperlink" Target="https://drive.google.com/file/d/1cQm8ba6Z6I8sAr2uhRSDScd8E9yOxp2m/view?usp=drivesdk" TargetMode="External"/><Relationship Id="rId1042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2221985%20%2F%20252610149%26entry.1578404635%3DHadir" TargetMode="External"/><Relationship Id="rId690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9772945%20%2F%20252610324%26entry.1578404635%3DHadir" TargetMode="External"/><Relationship Id="rId1043" Type="http://schemas.openxmlformats.org/officeDocument/2006/relationships/hyperlink" Target="https://drive.google.com/file/d/1wKqPVD9lOcXeCMDXmGos-aVOoo2hnHDm/view?usp=drivesdk" TargetMode="External"/><Relationship Id="rId213" Type="http://schemas.openxmlformats.org/officeDocument/2006/relationships/hyperlink" Target="https://drive.google.com/file/d/1qrd5_WGUwXWD4PMqkuNPbVzvVaA68LQo/view?usp=drivesdk" TargetMode="External"/><Relationship Id="rId697" Type="http://schemas.openxmlformats.org/officeDocument/2006/relationships/hyperlink" Target="https://drive.google.com/file/d/1a9hj72A11WnR8qdLLj3syAyBCflC9OqU/view?usp=drivesdk" TargetMode="External"/><Relationship Id="rId1044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6201622%20%2F%20252610152%26entry.1578404635%3DHadir" TargetMode="External"/><Relationship Id="rId212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3966590%20%2F%20252610148%26entry.1578404635%3DHadir" TargetMode="External"/><Relationship Id="rId696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3107499493%20%2F%20252610350%26entry.1578404635%3DHadir" TargetMode="External"/><Relationship Id="rId1045" Type="http://schemas.openxmlformats.org/officeDocument/2006/relationships/hyperlink" Target="https://drive.google.com/file/d/16zNgdWtB9JhjDBf47oSRqSxm7u4GojzD/view?usp=drivesdk" TargetMode="External"/><Relationship Id="rId211" Type="http://schemas.openxmlformats.org/officeDocument/2006/relationships/hyperlink" Target="https://drive.google.com/file/d/1Zt57D9LMn1xTp3K07__2g6yG9hNKv3ii/view?usp=drivesdk" TargetMode="External"/><Relationship Id="rId695" Type="http://schemas.openxmlformats.org/officeDocument/2006/relationships/hyperlink" Target="https://drive.google.com/file/d/1p4BepxkMk1yisQXnBvMPh6vFEm2V_71M/view?usp=drivesdk" TargetMode="External"/><Relationship Id="rId1046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4985283%20%2F%20252610208%26entry.1578404635%3DHadir" TargetMode="External"/><Relationship Id="rId210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6103714%20%2F%20252610138%26entry.1578404635%3DHadir" TargetMode="External"/><Relationship Id="rId694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7525738%20%2F%20252610349%26entry.1578404635%3DHadir" TargetMode="External"/><Relationship Id="rId1047" Type="http://schemas.openxmlformats.org/officeDocument/2006/relationships/hyperlink" Target="https://drive.google.com/file/d/1fwKzHMSrgwYVoJbC7eYh77qWYVho8OVb/view?usp=drivesdk" TargetMode="External"/><Relationship Id="rId249" Type="http://schemas.openxmlformats.org/officeDocument/2006/relationships/hyperlink" Target="https://drive.google.com/file/d/10kT8dDkB_CQNM2aiYOj6PkgEzjstjG1R/view?usp=drivesdk" TargetMode="External"/><Relationship Id="rId248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2154795%20%2F%20252610370%26entry.1578404635%3DHadir" TargetMode="External"/><Relationship Id="rId247" Type="http://schemas.openxmlformats.org/officeDocument/2006/relationships/hyperlink" Target="https://drive.google.com/file/d/1nRU2IIrnlFGFubhwbMdllbaXQf9LmEGn/view?usp=drivesdk" TargetMode="External"/><Relationship Id="rId1070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3887571%20%2F%20252610359%26entry.1578404635%3DHadir" TargetMode="External"/><Relationship Id="rId1071" Type="http://schemas.openxmlformats.org/officeDocument/2006/relationships/hyperlink" Target="https://drive.google.com/file/d/18-GbF5a3ilcpyU15_UmdOqCCT-LQiE3r/view?usp=drivesdk" TargetMode="External"/><Relationship Id="rId1072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2148224%20%2F%20252610377%26entry.1578404635%3DHadir" TargetMode="External"/><Relationship Id="rId242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1769169%20%2F%20252610287%26entry.1578404635%3DHadir" TargetMode="External"/><Relationship Id="rId1073" Type="http://schemas.openxmlformats.org/officeDocument/2006/relationships/hyperlink" Target="https://drive.google.com/file/d/1nU9Zfcb32Bbo5jWw2SDm8rzsg39w0k-Y/view?usp=drivesdk" TargetMode="External"/><Relationship Id="rId241" Type="http://schemas.openxmlformats.org/officeDocument/2006/relationships/hyperlink" Target="https://drive.google.com/file/d/1gsUqWxaJWaUPYw2ehAzkiCTUY_6L6m7y/view?usp=drivesdk" TargetMode="External"/><Relationship Id="rId1074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6368920%20%2F%20252610387%26entry.1578404635%3DHadir" TargetMode="External"/><Relationship Id="rId240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2150853%20%2F%20252610278%26entry.1578404635%3DHadir" TargetMode="External"/><Relationship Id="rId1075" Type="http://schemas.openxmlformats.org/officeDocument/2006/relationships/hyperlink" Target="https://drive.google.com/file/d/1R0RkVmH0Vc0Q4Da3-Z_eZoFptZC4WXeE/view?usp=drivesdk" TargetMode="External"/><Relationship Id="rId1076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4328074%20%2F%20252610391%26entry.1578404635%3DHadir" TargetMode="External"/><Relationship Id="rId246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3190164%20%2F%20252610301%26entry.1578404635%3DHadir" TargetMode="External"/><Relationship Id="rId1077" Type="http://schemas.openxmlformats.org/officeDocument/2006/relationships/hyperlink" Target="https://drive.google.com/file/d/1PZoDVRsBMwEocsSIWdtVjSLqfFRccygd/view?usp=drivesdk" TargetMode="External"/><Relationship Id="rId245" Type="http://schemas.openxmlformats.org/officeDocument/2006/relationships/hyperlink" Target="https://drive.google.com/file/d/11k8iLQ58IsLYSyddiPJhHeJjHivR4xrv/view?usp=drivesdk" TargetMode="External"/><Relationship Id="rId1078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8429745%20%2F%20252610400%26entry.1578404635%3DHadir" TargetMode="External"/><Relationship Id="rId244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3272603%20%2F%20252610288%26entry.1578404635%3DHadir" TargetMode="External"/><Relationship Id="rId1079" Type="http://schemas.openxmlformats.org/officeDocument/2006/relationships/hyperlink" Target="https://drive.google.com/file/d/1dk89f1O152X6qm8W_CGhctmHIqaNNXWO/view?usp=drivesdk" TargetMode="External"/><Relationship Id="rId243" Type="http://schemas.openxmlformats.org/officeDocument/2006/relationships/hyperlink" Target="https://drive.google.com/file/d/1lL4n_PNZEvREACfVCeXjH8scit3nuZR8/view?usp=drivesdk" TargetMode="External"/><Relationship Id="rId239" Type="http://schemas.openxmlformats.org/officeDocument/2006/relationships/hyperlink" Target="https://drive.google.com/file/d/1-C9uZT9mTLU13zAa4E_IyhsDDrmBY587/view?usp=drivesdk" TargetMode="External"/><Relationship Id="rId238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7095977%20%2F%20252610276%26entry.1578404635%3DHadir" TargetMode="External"/><Relationship Id="rId237" Type="http://schemas.openxmlformats.org/officeDocument/2006/relationships/hyperlink" Target="https://drive.google.com/file/d/1JboVopWlqN9X-tHscUx8jj9_9a9VklV3/view?usp=drivesdk" TargetMode="External"/><Relationship Id="rId236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8772505%20%2F%20252610274%26entry.1578404635%3DHadir" TargetMode="External"/><Relationship Id="rId1060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3035193%20%2F%20252610298%26entry.1578404635%3DHadir" TargetMode="External"/><Relationship Id="rId1061" Type="http://schemas.openxmlformats.org/officeDocument/2006/relationships/hyperlink" Target="https://drive.google.com/file/d/1k_L_l5H0CDgDjVSUv-1wURTOl9mV8f5-/view?usp=drivesdk" TargetMode="External"/><Relationship Id="rId231" Type="http://schemas.openxmlformats.org/officeDocument/2006/relationships/hyperlink" Target="https://drive.google.com/file/d/1YliYiKXF0jcn5lcpr1dXgwjW-8UdKGUU/view?usp=drivesdk" TargetMode="External"/><Relationship Id="rId1062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6434110%20%2F%20252610303%26entry.1578404635%3DHadir" TargetMode="External"/><Relationship Id="rId230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4767807%20%2F%20252610237%26entry.1578404635%3DHadir" TargetMode="External"/><Relationship Id="rId1063" Type="http://schemas.openxmlformats.org/officeDocument/2006/relationships/hyperlink" Target="https://drive.google.com/file/d/1JYzW9a1TqM-mPqbmUUN7msGAPWesQF0t/view?usp=drivesdk" TargetMode="External"/><Relationship Id="rId1064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5778047%20%2F%20252610307%26entry.1578404635%3DHadir" TargetMode="External"/><Relationship Id="rId1065" Type="http://schemas.openxmlformats.org/officeDocument/2006/relationships/hyperlink" Target="https://drive.google.com/file/d/1aqiuml4INz_yfHpTFAvmqIvCqCDZar63/view?usp=drivesdk" TargetMode="External"/><Relationship Id="rId235" Type="http://schemas.openxmlformats.org/officeDocument/2006/relationships/hyperlink" Target="https://drive.google.com/file/d/1v8YqhT3ZPECychxQbzFOM1eY6Jrz9Rv2/view?usp=drivesdk" TargetMode="External"/><Relationship Id="rId1066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3777854%20%2F%20252610331%26entry.1578404635%3DHadir" TargetMode="External"/><Relationship Id="rId234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4211640%20%2F%20252610259%26entry.1578404635%3DHadir" TargetMode="External"/><Relationship Id="rId1067" Type="http://schemas.openxmlformats.org/officeDocument/2006/relationships/hyperlink" Target="https://drive.google.com/file/d/1Zljw0HANknxSYbWvo-DojJLJBJWiH2zS/view?usp=drivesdk" TargetMode="External"/><Relationship Id="rId233" Type="http://schemas.openxmlformats.org/officeDocument/2006/relationships/hyperlink" Target="https://drive.google.com/file/d/1rgeB7w7557_EfD__jxYdz08HA5yc_1MD/view?usp=drivesdk" TargetMode="External"/><Relationship Id="rId1068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3109116422%20%2F%20252610339%26entry.1578404635%3DHadir" TargetMode="External"/><Relationship Id="rId232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6443881%20%2F%20252610247%26entry.1578404635%3DHadir" TargetMode="External"/><Relationship Id="rId1069" Type="http://schemas.openxmlformats.org/officeDocument/2006/relationships/hyperlink" Target="https://drive.google.com/file/d/16nab7q33I43V1ReRgRq6YEO_RRIkj4ch/view?usp=drivesdk" TargetMode="External"/><Relationship Id="rId1015" Type="http://schemas.openxmlformats.org/officeDocument/2006/relationships/hyperlink" Target="https://drive.google.com/file/d/14k1cQci74blP72MJD3pm5rGKVb9vi3Ba/view?usp=drivesdk" TargetMode="External"/><Relationship Id="rId1499" Type="http://schemas.openxmlformats.org/officeDocument/2006/relationships/hyperlink" Target="https://drive.google.com/file/d/1Xqwd202ZznUPRzfNIgF3rXyoaOxpMnhQ/view?usp=drivesdk" TargetMode="External"/><Relationship Id="rId1016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5770130%20%2F%20252610021%26entry.1578404635%3DHadir" TargetMode="External"/><Relationship Id="rId1017" Type="http://schemas.openxmlformats.org/officeDocument/2006/relationships/hyperlink" Target="https://drive.google.com/file/d/1s9DTsUYTw921PaSa7oriTISn3GlIcIfv/view?usp=drivesdk" TargetMode="External"/><Relationship Id="rId1018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3866965%20%2F%20252610029%26entry.1578404635%3DHadir" TargetMode="External"/><Relationship Id="rId1019" Type="http://schemas.openxmlformats.org/officeDocument/2006/relationships/hyperlink" Target="https://drive.google.com/file/d/11yki3PHCNvlA_CPVDjHA9OiNdTAyCQ80/view?usp=drivesdk" TargetMode="External"/><Relationship Id="rId668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3558313%20%2F%20252610161%26entry.1578404635%3DHadir" TargetMode="External"/><Relationship Id="rId667" Type="http://schemas.openxmlformats.org/officeDocument/2006/relationships/hyperlink" Target="https://drive.google.com/file/d/1LoYuL9o7tC1DdH8wvstzSCbzbywnp7h9/view?usp=drivesdk" TargetMode="External"/><Relationship Id="rId666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3091510%20%2F%20252610160%26entry.1578404635%3DHadir" TargetMode="External"/><Relationship Id="rId665" Type="http://schemas.openxmlformats.org/officeDocument/2006/relationships/hyperlink" Target="https://drive.google.com/file/d/1Cc5ePLefoBmBg9zDtDgiTNvbmMTw2_nX/view?usp=drivesdk" TargetMode="External"/><Relationship Id="rId669" Type="http://schemas.openxmlformats.org/officeDocument/2006/relationships/hyperlink" Target="https://drive.google.com/file/d/16exbhPU0N7cT--SNs9xcMQi5Rv-7Oj32/view?usp=drivesdk" TargetMode="External"/><Relationship Id="rId1490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87242368%20%2F%20242510112%26entry.1578404635%3DHadir" TargetMode="External"/><Relationship Id="rId660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6174502%20%2F%20252610118%26entry.1578404635%3DHadir" TargetMode="External"/><Relationship Id="rId1491" Type="http://schemas.openxmlformats.org/officeDocument/2006/relationships/hyperlink" Target="https://drive.google.com/file/d/1FD5BRiRoP1wIAHMC__OYdmH3-KfuW6bX/view?usp=drivesdk" TargetMode="External"/><Relationship Id="rId1492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87777223%20%2F%20242510130%26entry.1578404635%3DHadir" TargetMode="External"/><Relationship Id="rId1493" Type="http://schemas.openxmlformats.org/officeDocument/2006/relationships/hyperlink" Target="https://drive.google.com/file/d/1OGgIfjg4R9vjcGMBBhc99H4tohG3p21Q/view?usp=drivesdk" TargetMode="External"/><Relationship Id="rId1010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3632849%20%2F%20252610561%26entry.1578404635%3DHadir" TargetMode="External"/><Relationship Id="rId1494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6321568%20%2F%20242510148%26entry.1578404635%3DHadir" TargetMode="External"/><Relationship Id="rId664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3094942931%20%2F%20252610151%26entry.1578404635%3DHadir" TargetMode="External"/><Relationship Id="rId1011" Type="http://schemas.openxmlformats.org/officeDocument/2006/relationships/hyperlink" Target="https://drive.google.com/file/d/1L6cFcu8GJZOaL5WBX6jKmYU6vGpHowOz/view?usp=drivesdk" TargetMode="External"/><Relationship Id="rId1495" Type="http://schemas.openxmlformats.org/officeDocument/2006/relationships/hyperlink" Target="https://drive.google.com/file/d/13iIIVvy96o-2MwBxnbjEOyvnaKnitxk4/view?usp=drivesdk" TargetMode="External"/><Relationship Id="rId663" Type="http://schemas.openxmlformats.org/officeDocument/2006/relationships/hyperlink" Target="https://drive.google.com/file/d/1EVx5iQgji81YUkPPJcW8vAzP0aOjkAFD/view?usp=drivesdk" TargetMode="External"/><Relationship Id="rId1012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5748224%20%2F%20252610565%26entry.1578404635%3DHadir" TargetMode="External"/><Relationship Id="rId1496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84693493%20%2F%20242510158%26entry.1578404635%3DHadir" TargetMode="External"/><Relationship Id="rId662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2180086%20%2F%20252610125%26entry.1578404635%3DHadir" TargetMode="External"/><Relationship Id="rId1013" Type="http://schemas.openxmlformats.org/officeDocument/2006/relationships/hyperlink" Target="https://drive.google.com/file/d/1CqAlnQ50yUN8zKreE0qoaFr2JI67Rfsy/view?usp=drivesdk" TargetMode="External"/><Relationship Id="rId1497" Type="http://schemas.openxmlformats.org/officeDocument/2006/relationships/hyperlink" Target="https://drive.google.com/file/d/1v8w2o4viqVhtZBTrbe7Wvq1MakdzWB77/view?usp=drivesdk" TargetMode="External"/><Relationship Id="rId661" Type="http://schemas.openxmlformats.org/officeDocument/2006/relationships/hyperlink" Target="https://drive.google.com/file/d/16PsUa2GapK5GBDTZe7Wpw6NZS5bA6Ui5/view?usp=drivesdk" TargetMode="External"/><Relationship Id="rId1014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7950619%20%2F%20252610015%26entry.1578404635%3DHadir" TargetMode="External"/><Relationship Id="rId1498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88791024%20%2F%20242510172%26entry.1578404635%3DHadir" TargetMode="External"/><Relationship Id="rId1004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7258754%20%2F%20252610551%26entry.1578404635%3DHadir" TargetMode="External"/><Relationship Id="rId1488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8666843%20%2F%20242510101%26entry.1578404635%3DHadir" TargetMode="External"/><Relationship Id="rId1005" Type="http://schemas.openxmlformats.org/officeDocument/2006/relationships/hyperlink" Target="https://drive.google.com/file/d/1di9iVDoHxXazxCfBSpqiS2pt2Jjpc7t9/view?usp=drivesdk" TargetMode="External"/><Relationship Id="rId1489" Type="http://schemas.openxmlformats.org/officeDocument/2006/relationships/hyperlink" Target="https://drive.google.com/file/d/1dWC7-SS7tit1z3CvhxeDcSw6XGr8DN60/view?usp=drivesdk" TargetMode="External"/><Relationship Id="rId1006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6044416%20%2F%20252610553%26entry.1578404635%3DHadir" TargetMode="External"/><Relationship Id="rId1007" Type="http://schemas.openxmlformats.org/officeDocument/2006/relationships/hyperlink" Target="https://drive.google.com/file/d/1bFLypIyvzJe1mFBVcUKR_hrMqvXOKAm9/view?usp=drivesdk" TargetMode="External"/><Relationship Id="rId1008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8569165%20%2F%20252610557%26entry.1578404635%3DHadir" TargetMode="External"/><Relationship Id="rId1009" Type="http://schemas.openxmlformats.org/officeDocument/2006/relationships/hyperlink" Target="https://drive.google.com/file/d/140tBODCKlDKrBICq72HM2SBbucYCfHjj/view?usp=drivesdk" TargetMode="External"/><Relationship Id="rId657" Type="http://schemas.openxmlformats.org/officeDocument/2006/relationships/hyperlink" Target="https://drive.google.com/file/d/1wPRE9bGD9zzkC4SIsu6-Dv8PPlUdgDmU/view?usp=drivesdk" TargetMode="External"/><Relationship Id="rId656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2307654%20%2F%20252610097%26entry.1578404635%3DHadir" TargetMode="External"/><Relationship Id="rId655" Type="http://schemas.openxmlformats.org/officeDocument/2006/relationships/hyperlink" Target="https://drive.google.com/file/d/1mJZNxbYnEN8lnyPt_y_RzExXEJU47iTf/view?usp=drivesdk" TargetMode="External"/><Relationship Id="rId654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2036572%20%2F%20252610077%26entry.1578404635%3DHadir" TargetMode="External"/><Relationship Id="rId659" Type="http://schemas.openxmlformats.org/officeDocument/2006/relationships/hyperlink" Target="https://drive.google.com/file/d/1iDWeLrwZEg2B8fyHCXssKZOYEZkMGQr2/view?usp=drivesdk" TargetMode="External"/><Relationship Id="rId658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5089607%20%2F%20252610108%26entry.1578404635%3DHadir" TargetMode="External"/><Relationship Id="rId1480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6065165%20%2F%20242510072%26entry.1578404635%3DHadir" TargetMode="External"/><Relationship Id="rId1481" Type="http://schemas.openxmlformats.org/officeDocument/2006/relationships/hyperlink" Target="https://drive.google.com/file/d/1ZYsiB7KisfsiBfbGe2g4-dA1Iq_hczmT/view?usp=drivesdk" TargetMode="External"/><Relationship Id="rId1482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9851224%20%2F%20242510085%26entry.1578404635%3DHadir" TargetMode="External"/><Relationship Id="rId1483" Type="http://schemas.openxmlformats.org/officeDocument/2006/relationships/hyperlink" Target="https://drive.google.com/file/d/1rM8TaC-7TF2zFgPsxczsleUlXPpALwQB/view?usp=drivesdk" TargetMode="External"/><Relationship Id="rId653" Type="http://schemas.openxmlformats.org/officeDocument/2006/relationships/hyperlink" Target="https://drive.google.com/file/d/1xv-LoEl3sHdx3HuYbBT18bkSxn_mcz7R/view?usp=drivesdk" TargetMode="External"/><Relationship Id="rId1000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5010681%20%2F%20252610524%26entry.1578404635%3DHadir" TargetMode="External"/><Relationship Id="rId1484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2348709%20%2F%20242510096%26entry.1578404635%3DHadir" TargetMode="External"/><Relationship Id="rId652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4668456%20%2F%20252610061%26entry.1578404635%3DHadir" TargetMode="External"/><Relationship Id="rId1001" Type="http://schemas.openxmlformats.org/officeDocument/2006/relationships/hyperlink" Target="https://drive.google.com/file/d/1kAiUjKFKox5q_HZFu8j3TTAyCl-yHYsr/view?usp=drivesdk" TargetMode="External"/><Relationship Id="rId1485" Type="http://schemas.openxmlformats.org/officeDocument/2006/relationships/hyperlink" Target="https://drive.google.com/file/d/116fKF8itwqcwoMpq5wOwV0QkDNS6xEX2/view?usp=drivesdk" TargetMode="External"/><Relationship Id="rId651" Type="http://schemas.openxmlformats.org/officeDocument/2006/relationships/hyperlink" Target="https://drive.google.com/file/d/1rOpBcto7npbLSOm41qMQdLdJlnEJu797/view?usp=drivesdk" TargetMode="External"/><Relationship Id="rId1002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5717177%20%2F%20252610545%26entry.1578404635%3DHadir" TargetMode="External"/><Relationship Id="rId1486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9087317%20%2F%20242510099%26entry.1578404635%3DHadir" TargetMode="External"/><Relationship Id="rId650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7122505%20%2F%20252610041%26entry.1578404635%3DHadir" TargetMode="External"/><Relationship Id="rId1003" Type="http://schemas.openxmlformats.org/officeDocument/2006/relationships/hyperlink" Target="https://drive.google.com/file/d/1Ju6R3W8kWAuP8gLqqGoZxvN-0vKuu66w/view?usp=drivesdk" TargetMode="External"/><Relationship Id="rId1487" Type="http://schemas.openxmlformats.org/officeDocument/2006/relationships/hyperlink" Target="https://drive.google.com/file/d/1VMmhXD_yFzLy_PnfZES4CWLLtxM6eFig/view?usp=drivesdk" TargetMode="External"/><Relationship Id="rId1037" Type="http://schemas.openxmlformats.org/officeDocument/2006/relationships/hyperlink" Target="https://drive.google.com/file/d/1etsRa7pU2ivrCzlWcrlbfCK2jTJit8DA/view?usp=drivesdk" TargetMode="External"/><Relationship Id="rId1038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2725675%20%2F%20252610143%26entry.1578404635%3DHadir" TargetMode="External"/><Relationship Id="rId1039" Type="http://schemas.openxmlformats.org/officeDocument/2006/relationships/hyperlink" Target="https://drive.google.com/file/d/1E-gw5w6Ulw4KXdV3K1qtPzk-tK_7I5Oy/view?usp=drivesdk" TargetMode="External"/><Relationship Id="rId206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3047499%20%2F%20252610129%26entry.1578404635%3DHadir" TargetMode="External"/><Relationship Id="rId205" Type="http://schemas.openxmlformats.org/officeDocument/2006/relationships/hyperlink" Target="https://drive.google.com/file/d/1l-0dGvUWz0LwgygQ3QNqSc1606XhMyUz/view?usp=drivesdk" TargetMode="External"/><Relationship Id="rId689" Type="http://schemas.openxmlformats.org/officeDocument/2006/relationships/hyperlink" Target="https://drive.google.com/file/d/1wOtr4HvBtyyLEPxBthvB5AjTBUOTFeAv/view?usp=drivesdk" TargetMode="External"/><Relationship Id="rId204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8329102%20%2F%20252610121%26entry.1578404635%3DHadir" TargetMode="External"/><Relationship Id="rId688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5918833%20%2F%20252610321%26entry.1578404635%3DHadir" TargetMode="External"/><Relationship Id="rId203" Type="http://schemas.openxmlformats.org/officeDocument/2006/relationships/hyperlink" Target="https://drive.google.com/file/d/1c2q4Rg0XtSQJqJRRwmjDTEUXuj5ql6Tu/view?usp=drivesdk" TargetMode="External"/><Relationship Id="rId687" Type="http://schemas.openxmlformats.org/officeDocument/2006/relationships/hyperlink" Target="https://drive.google.com/file/d/1CGgJB6t8MW3birUXGPttjL2udJponf2g/view?usp=drivesdk" TargetMode="External"/><Relationship Id="rId209" Type="http://schemas.openxmlformats.org/officeDocument/2006/relationships/hyperlink" Target="https://drive.google.com/file/d/1ACF6kWCHLYXaFlvDz3uuqJPjLBydwC2A/view?usp=drivesdk" TargetMode="External"/><Relationship Id="rId208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2794623%20%2F%20252610136%26entry.1578404635%3DHadir" TargetMode="External"/><Relationship Id="rId207" Type="http://schemas.openxmlformats.org/officeDocument/2006/relationships/hyperlink" Target="https://drive.google.com/file/d/1294S0gxf2Oj8-ekfhevuVEuExxL1rcMi/view?usp=drivesdk" TargetMode="External"/><Relationship Id="rId682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1976221%20%2F%20252610265%26entry.1578404635%3DHadir" TargetMode="External"/><Relationship Id="rId681" Type="http://schemas.openxmlformats.org/officeDocument/2006/relationships/hyperlink" Target="https://drive.google.com/file/d/1boX__7aSpP7lWOh16Ac6qU4davKWKr4x/view?usp=drivesdk" TargetMode="External"/><Relationship Id="rId1030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6011114%20%2F%20252610104%26entry.1578404635%3DHadir" TargetMode="External"/><Relationship Id="rId680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7691976%20%2F%20252610255%26entry.1578404635%3DHadir" TargetMode="External"/><Relationship Id="rId1031" Type="http://schemas.openxmlformats.org/officeDocument/2006/relationships/hyperlink" Target="https://drive.google.com/file/d/14xnwK_L1k2RdL_ujuqw3RowRRdY4Tj69/view?usp=drivesdk" TargetMode="External"/><Relationship Id="rId1032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2099366441%20%2F%20252610106%26entry.1578404635%3DHadir" TargetMode="External"/><Relationship Id="rId202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2122161%20%2F%20252610096%26entry.1578404635%3DHadir" TargetMode="External"/><Relationship Id="rId686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2160006%20%2F%20252610314%26entry.1578404635%3DHadir" TargetMode="External"/><Relationship Id="rId1033" Type="http://schemas.openxmlformats.org/officeDocument/2006/relationships/hyperlink" Target="https://drive.google.com/file/d/1MogFFNapTCYXWGMRZ4AfnG9pOj1Ih2lg/view?usp=drivesdk" TargetMode="External"/><Relationship Id="rId201" Type="http://schemas.openxmlformats.org/officeDocument/2006/relationships/hyperlink" Target="https://drive.google.com/file/d/1jYOoPqxLrCXpkyxKcYF5F8g3lCS8JHbG/view?usp=drivesdk" TargetMode="External"/><Relationship Id="rId685" Type="http://schemas.openxmlformats.org/officeDocument/2006/relationships/hyperlink" Target="https://drive.google.com/file/d/1AXQr7lTwXTnA5voDtkNE_br7mcWcMEyz/view?usp=drivesdk" TargetMode="External"/><Relationship Id="rId1034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9010502%20%2F%20252610107%26entry.1578404635%3DHadir" TargetMode="External"/><Relationship Id="rId200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4406841%20%2F%20252610094%26entry.1578404635%3DHadir" TargetMode="External"/><Relationship Id="rId684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2212305%20%2F%20252610293%26entry.1578404635%3DHadir" TargetMode="External"/><Relationship Id="rId1035" Type="http://schemas.openxmlformats.org/officeDocument/2006/relationships/hyperlink" Target="https://drive.google.com/file/d/15clUYie0zDYsyIDkZPoyNKt3lVWZixDG/view?usp=drivesdk" TargetMode="External"/><Relationship Id="rId683" Type="http://schemas.openxmlformats.org/officeDocument/2006/relationships/hyperlink" Target="https://drive.google.com/file/d/1fvPxb9jayW8472g1UYvdKNcMi5jUnf14/view?usp=drivesdk" TargetMode="External"/><Relationship Id="rId1036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9682985%20%2F%20252610127%26entry.1578404635%3DHadir" TargetMode="External"/><Relationship Id="rId1026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1396555%20%2F%20252610080%26entry.1578404635%3DHadir" TargetMode="External"/><Relationship Id="rId1027" Type="http://schemas.openxmlformats.org/officeDocument/2006/relationships/hyperlink" Target="https://drive.google.com/file/d/1Ra8Gu9k8ZysgymIEe4eNZD0q1T0ur6OF/view?usp=drivesdk" TargetMode="External"/><Relationship Id="rId1028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8675973%20%2F%20252610081%26entry.1578404635%3DHadir" TargetMode="External"/><Relationship Id="rId1029" Type="http://schemas.openxmlformats.org/officeDocument/2006/relationships/hyperlink" Target="https://drive.google.com/file/d/1eS_GpBLxcFH15P56p2xgZw_quGCb_nkj/view?usp=drivesdk" TargetMode="External"/><Relationship Id="rId679" Type="http://schemas.openxmlformats.org/officeDocument/2006/relationships/hyperlink" Target="https://drive.google.com/file/d/1-lugdhTK_aPYuXkd2awTSeYUG11X3RiR/view?usp=drivesdk" TargetMode="External"/><Relationship Id="rId678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1801767%20%2F%20252610223%26entry.1578404635%3DHadir" TargetMode="External"/><Relationship Id="rId677" Type="http://schemas.openxmlformats.org/officeDocument/2006/relationships/hyperlink" Target="https://drive.google.com/file/d/1dzb7_XVTDsb3qcH7ApqAjH0xW9kmPKAH/view?usp=drivesdk" TargetMode="External"/><Relationship Id="rId676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3174946%20%2F%20252610203%26entry.1578404635%3DHadir" TargetMode="External"/><Relationship Id="rId671" Type="http://schemas.openxmlformats.org/officeDocument/2006/relationships/hyperlink" Target="https://drive.google.com/file/d/1tJG01XXCT8STANnlTCkdvQzA7wtHzLry/view?usp=drivesdk" TargetMode="External"/><Relationship Id="rId670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3242338%20%2F%20252610170%26entry.1578404635%3DHadir" TargetMode="External"/><Relationship Id="rId1020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3097129671%20%2F%20252610030%26entry.1578404635%3DHadir" TargetMode="External"/><Relationship Id="rId1021" Type="http://schemas.openxmlformats.org/officeDocument/2006/relationships/hyperlink" Target="https://drive.google.com/file/d/1vG1u-HGh2M349ShU1HW13uaNC5KPsTpk/view?usp=drivesdk" TargetMode="External"/><Relationship Id="rId675" Type="http://schemas.openxmlformats.org/officeDocument/2006/relationships/hyperlink" Target="https://drive.google.com/file/d/1VHvOOI5NL4zQX8sHbcBu17f4y7G2c3LT/view?usp=drivesdk" TargetMode="External"/><Relationship Id="rId1022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3002808%20%2F%20252610046%26entry.1578404635%3DHadir" TargetMode="External"/><Relationship Id="rId674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9446424%20%2F%20252610199%26entry.1578404635%3DHadir" TargetMode="External"/><Relationship Id="rId1023" Type="http://schemas.openxmlformats.org/officeDocument/2006/relationships/hyperlink" Target="https://drive.google.com/file/d/1OhR1mzNeToZJ4z60SWZSFjtU2PlkKCqK/view?usp=drivesdk" TargetMode="External"/><Relationship Id="rId673" Type="http://schemas.openxmlformats.org/officeDocument/2006/relationships/hyperlink" Target="https://drive.google.com/file/d/1ulNB2IDV_5QDJ8DHekQWC-jW70BWdGTA/view?usp=drivesdk" TargetMode="External"/><Relationship Id="rId1024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7831985%20%2F%20252610068%26entry.1578404635%3DHadir" TargetMode="External"/><Relationship Id="rId672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5632017%20%2F%20252610174%26entry.1578404635%3DHadir" TargetMode="External"/><Relationship Id="rId1025" Type="http://schemas.openxmlformats.org/officeDocument/2006/relationships/hyperlink" Target="https://drive.google.com/file/d/1-unveFZ6Dcz3IGmZqKoIT5GwaWajP1UW/view?usp=drivesdk" TargetMode="External"/><Relationship Id="rId190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6941990%20%2F%20252610063%26entry.1578404635%3DHadir" TargetMode="External"/><Relationship Id="rId194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4084075%20%2F%20252610076%26entry.1578404635%3DHadir" TargetMode="External"/><Relationship Id="rId193" Type="http://schemas.openxmlformats.org/officeDocument/2006/relationships/hyperlink" Target="https://drive.google.com/file/d/16IDNIjOuT97e_BIf9mhtsiaUCO_do3_w/view?usp=drivesdk" TargetMode="External"/><Relationship Id="rId192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9964803%20%2F%20252610065%26entry.1578404635%3DHadir" TargetMode="External"/><Relationship Id="rId191" Type="http://schemas.openxmlformats.org/officeDocument/2006/relationships/hyperlink" Target="https://drive.google.com/file/d/1r0Uot3PQK_VtpkxN4wMuNRBDxsHaIqyh/view?usp=drivesdk" TargetMode="External"/><Relationship Id="rId187" Type="http://schemas.openxmlformats.org/officeDocument/2006/relationships/hyperlink" Target="https://drive.google.com/file/d/1eDci1GGdCMVtl7FLexOWHR_nFxXWPsD-/view?usp=drivesdk" TargetMode="External"/><Relationship Id="rId186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6087965%20%2F%20252610563%26entry.1578404635%3DHadir" TargetMode="External"/><Relationship Id="rId185" Type="http://schemas.openxmlformats.org/officeDocument/2006/relationships/hyperlink" Target="https://drive.google.com/file/d/1eF31ddgIY7YKx2J102q7dDDXvg31shOJ/view?usp=drivesdk" TargetMode="External"/><Relationship Id="rId184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4292767%20%2F%20252610560%26entry.1578404635%3DHadir" TargetMode="External"/><Relationship Id="rId189" Type="http://schemas.openxmlformats.org/officeDocument/2006/relationships/hyperlink" Target="https://drive.google.com/file/d/1Hf4gfenS4bZm4kS41cTWGCIuurz11NAy/view?usp=drivesdk" TargetMode="External"/><Relationship Id="rId188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4703204%20%2F%20252610002%26entry.1578404635%3DHadir" TargetMode="External"/><Relationship Id="rId183" Type="http://schemas.openxmlformats.org/officeDocument/2006/relationships/hyperlink" Target="https://drive.google.com/file/d/1j_Fm7APbYWVcaZJAbYtE877IF9_6mFmS/view?usp=drivesdk" TargetMode="External"/><Relationship Id="rId182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2751293%20%2F%20252610546%26entry.1578404635%3DHadir" TargetMode="External"/><Relationship Id="rId181" Type="http://schemas.openxmlformats.org/officeDocument/2006/relationships/hyperlink" Target="https://drive.google.com/file/d/1fj5EI8LOiP7Jss6avNQhFTK4HKM35NAj/view?usp=drivesdk" TargetMode="External"/><Relationship Id="rId180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5816582%20%2F%20252610498%26entry.1578404635%3DHadir" TargetMode="External"/><Relationship Id="rId176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1964566%20%2F%20252610474%26entry.1578404635%3DHadir" TargetMode="External"/><Relationship Id="rId175" Type="http://schemas.openxmlformats.org/officeDocument/2006/relationships/hyperlink" Target="https://drive.google.com/file/d/1an54ZtND4ELlVVkjP5w_nYLw9h40qeDe/view?usp=drivesdk" TargetMode="External"/><Relationship Id="rId174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5492963%20%2F%20252610467%26entry.1578404635%3DHadir" TargetMode="External"/><Relationship Id="rId173" Type="http://schemas.openxmlformats.org/officeDocument/2006/relationships/hyperlink" Target="https://drive.google.com/file/d/1YqbE72Rba8kiOCHx-L-s7ZKnxt7sLYil/view?usp=drivesdk" TargetMode="External"/><Relationship Id="rId179" Type="http://schemas.openxmlformats.org/officeDocument/2006/relationships/hyperlink" Target="https://drive.google.com/file/d/1xRtPGj3IpGoaUcFmh_ulGNsxkidqiGNc/view?usp=drivesdk" TargetMode="External"/><Relationship Id="rId178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2731928%20%2F%20252610497%26entry.1578404635%3DHadir" TargetMode="External"/><Relationship Id="rId177" Type="http://schemas.openxmlformats.org/officeDocument/2006/relationships/hyperlink" Target="https://drive.google.com/file/d/1WT8LXOoms4rrcGrDM_wsFY7ojbx_Ijo5/view?usp=drivesdk" TargetMode="External"/><Relationship Id="rId1910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87718590%20%2F%20242510060%26entry.1578404635%3DHadir" TargetMode="External"/><Relationship Id="rId1911" Type="http://schemas.openxmlformats.org/officeDocument/2006/relationships/hyperlink" Target="https://drive.google.com/file/d/1c43TTQ_HsZyYDSmxKJLBh5-9pzckXRHN/view?usp=drivesdk" TargetMode="External"/><Relationship Id="rId1912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6418415%20%2F%20242510078%26entry.1578404635%3DHadir" TargetMode="External"/><Relationship Id="rId1913" Type="http://schemas.openxmlformats.org/officeDocument/2006/relationships/hyperlink" Target="https://drive.google.com/file/d/1SySXcNnBSI5c6azARl88-QUClOgpbKlG/view?usp=drivesdk" TargetMode="External"/><Relationship Id="rId1914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6383417%20%2F%20242510089%26entry.1578404635%3DHadir" TargetMode="External"/><Relationship Id="rId1915" Type="http://schemas.openxmlformats.org/officeDocument/2006/relationships/hyperlink" Target="https://drive.google.com/file/d/1fxwM1SZg2LdNNk91UMpQKuckqLzPfGd8/view?usp=drivesdk" TargetMode="External"/><Relationship Id="rId1916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3167605%20%2F%20242510093%26entry.1578404635%3DHadir" TargetMode="External"/><Relationship Id="rId1917" Type="http://schemas.openxmlformats.org/officeDocument/2006/relationships/hyperlink" Target="https://drive.google.com/file/d/1HFSxXS06YxsfuS_eQU_nzbHc-pmFpUGs/view?usp=drivesdk" TargetMode="External"/><Relationship Id="rId1918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6872219%20%2F%20242510106%26entry.1578404635%3DHadir" TargetMode="External"/><Relationship Id="rId1919" Type="http://schemas.openxmlformats.org/officeDocument/2006/relationships/hyperlink" Target="https://drive.google.com/file/d/1vkGgoJrhn_fvN20K9qUtLwc8qFgyAiW7/view?usp=drivesdk" TargetMode="External"/><Relationship Id="rId1900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7253280%20%2F%20242510415%26entry.1578404635%3DHadir" TargetMode="External"/><Relationship Id="rId1901" Type="http://schemas.openxmlformats.org/officeDocument/2006/relationships/hyperlink" Target="https://drive.google.com/file/d/12FaQOb635nJWHM1NM7FnFCgAfIDMn-9h/view?usp=drivesdk" TargetMode="External"/><Relationship Id="rId1902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83949375%20%2F%20242510009%26entry.1578404635%3DHadir" TargetMode="External"/><Relationship Id="rId1903" Type="http://schemas.openxmlformats.org/officeDocument/2006/relationships/hyperlink" Target="https://drive.google.com/file/d/1BpzIVTgtlWPVeqSJgY_6_IwbgR74mjUk/view?usp=drivesdk" TargetMode="External"/><Relationship Id="rId1904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3091238165%20%2F%20242510015%26entry.1578404635%3DHadir" TargetMode="External"/><Relationship Id="rId1905" Type="http://schemas.openxmlformats.org/officeDocument/2006/relationships/hyperlink" Target="https://drive.google.com/file/d/1vOP4aqgN2byLYvg7oJEOOQrx4itjfhbL/view?usp=drivesdk" TargetMode="External"/><Relationship Id="rId1906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84218795%20%2F%20242510016%26entry.1578404635%3DHadir" TargetMode="External"/><Relationship Id="rId1907" Type="http://schemas.openxmlformats.org/officeDocument/2006/relationships/hyperlink" Target="https://drive.google.com/file/d/1cuoRmibrQBLplWtY4Z9MD1TrDsqbCHpR/view?usp=drivesdk" TargetMode="External"/><Relationship Id="rId1908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8551657%20%2F%20242510020%26entry.1578404635%3DHadir" TargetMode="External"/><Relationship Id="rId1909" Type="http://schemas.openxmlformats.org/officeDocument/2006/relationships/hyperlink" Target="https://drive.google.com/file/d/1Iqi9aZkX_PhfcZ8OvVeo0uUmhCMYaZ30/view?usp=drivesdk" TargetMode="External"/><Relationship Id="rId198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4751597%20%2F%20252610093%26entry.1578404635%3DHadir" TargetMode="External"/><Relationship Id="rId197" Type="http://schemas.openxmlformats.org/officeDocument/2006/relationships/hyperlink" Target="https://drive.google.com/file/d/174hoiIJg_jYMqpxnZt7Z4_QpRmJoUNzl/view?usp=drivesdk" TargetMode="External"/><Relationship Id="rId196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8221239%20%2F%20252610079%26entry.1578404635%3DHadir" TargetMode="External"/><Relationship Id="rId195" Type="http://schemas.openxmlformats.org/officeDocument/2006/relationships/hyperlink" Target="https://drive.google.com/file/d/1xUTdnNysAyiY3Q6iXISSj5CnQ5WqI5qi/view?usp=drivesdk" TargetMode="External"/><Relationship Id="rId199" Type="http://schemas.openxmlformats.org/officeDocument/2006/relationships/hyperlink" Target="https://drive.google.com/file/d/1NKyTNTRd-fVxoqWTe49TEt1oyo1QjsfU/view?usp=drivesdk" TargetMode="External"/><Relationship Id="rId150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9605205%20%2F%20252610319%26entry.1578404635%3DHadir" TargetMode="External"/><Relationship Id="rId149" Type="http://schemas.openxmlformats.org/officeDocument/2006/relationships/hyperlink" Target="https://drive.google.com/file/d/1FBCcFFzew30fnKWESTG8pwP5UaeUOYzI/view?usp=drivesdk" TargetMode="External"/><Relationship Id="rId148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2576905%20%2F%20252610302%26entry.1578404635%3DHadir" TargetMode="External"/><Relationship Id="rId1090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6961567%20%2F%20252610448%26entry.1578404635%3DHadir" TargetMode="External"/><Relationship Id="rId1091" Type="http://schemas.openxmlformats.org/officeDocument/2006/relationships/hyperlink" Target="https://drive.google.com/file/d/15uJFTphJoW5SAhwXa-tEg3QJ8Q8DVnEt/view?usp=drivesdk" TargetMode="External"/><Relationship Id="rId1092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5994913%20%2F%20252610455%26entry.1578404635%3DHadir" TargetMode="External"/><Relationship Id="rId1093" Type="http://schemas.openxmlformats.org/officeDocument/2006/relationships/hyperlink" Target="https://drive.google.com/file/d/1AG-k3UHGDwjhBVVjAWdsRY_CR4XnfKNt/view?usp=drivesdk" TargetMode="External"/><Relationship Id="rId1094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3563834%20%2F%20252610490%26entry.1578404635%3DHadir" TargetMode="External"/><Relationship Id="rId143" Type="http://schemas.openxmlformats.org/officeDocument/2006/relationships/hyperlink" Target="https://drive.google.com/file/d/1lj-0qEARLf03Uk2YJvolOl8cRZCvAUUM/view?usp=drivesdk" TargetMode="External"/><Relationship Id="rId1095" Type="http://schemas.openxmlformats.org/officeDocument/2006/relationships/hyperlink" Target="https://drive.google.com/file/d/1dz4WCwXSJd_lnzsGFxONcWemN3yCNH64/view?usp=drivesdk" TargetMode="External"/><Relationship Id="rId142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4564578%20%2F%20252610277%26entry.1578404635%3DHadir" TargetMode="External"/><Relationship Id="rId1096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7303991%20%2F%20252610494%26entry.1578404635%3DHadir" TargetMode="External"/><Relationship Id="rId141" Type="http://schemas.openxmlformats.org/officeDocument/2006/relationships/hyperlink" Target="https://drive.google.com/file/d/19llijfO1x_OiR6TCXHYoUcxcvUX1RD2B/view?usp=drivesdk" TargetMode="External"/><Relationship Id="rId1097" Type="http://schemas.openxmlformats.org/officeDocument/2006/relationships/hyperlink" Target="https://drive.google.com/file/d/1BAlSWBBLTECV4GrtVsTadj2AODifJdHJ/view?usp=drivesdk" TargetMode="External"/><Relationship Id="rId140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5606050%20%2F%20252610238%26entry.1578404635%3DHadir" TargetMode="External"/><Relationship Id="rId1098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8050747%20%2F%20252610496%26entry.1578404635%3DHadir" TargetMode="External"/><Relationship Id="rId147" Type="http://schemas.openxmlformats.org/officeDocument/2006/relationships/hyperlink" Target="https://drive.google.com/file/d/1QFVfyKQvRrMeZhti0dM6odyFh5acCmk1/view?usp=drivesdk" TargetMode="External"/><Relationship Id="rId1099" Type="http://schemas.openxmlformats.org/officeDocument/2006/relationships/hyperlink" Target="https://drive.google.com/file/d/1Q_pLH6Y9Dl-VwmWnxa8301yQLp7DIIJA/view?usp=drivesdk" TargetMode="External"/><Relationship Id="rId146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9361118%20%2F%20252610290%26entry.1578404635%3DHadir" TargetMode="External"/><Relationship Id="rId145" Type="http://schemas.openxmlformats.org/officeDocument/2006/relationships/hyperlink" Target="https://drive.google.com/file/d/1S0DIpk1zAe7Fjqb1ZBi4UMB34MVxxEG7/view?usp=drivesdk" TargetMode="External"/><Relationship Id="rId144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3261879%20%2F%20252610280%26entry.1578404635%3DHadir" TargetMode="External"/><Relationship Id="rId139" Type="http://schemas.openxmlformats.org/officeDocument/2006/relationships/hyperlink" Target="https://drive.google.com/file/d/1122cdxXYNmiwkRWsKNX3qQeJZRIzNxyQ/view?usp=drivesdk" TargetMode="External"/><Relationship Id="rId138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4141415%20%2F%20252610186%26entry.1578404635%3DHadir" TargetMode="External"/><Relationship Id="rId137" Type="http://schemas.openxmlformats.org/officeDocument/2006/relationships/hyperlink" Target="https://drive.google.com/file/d/1Mt7hr5HATywHoOrEiSMOPviObVfd6qEX/view?usp=drivesdk" TargetMode="External"/><Relationship Id="rId1080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3102974181%20%2F%20252610405%26entry.1578404635%3DHadir" TargetMode="External"/><Relationship Id="rId1081" Type="http://schemas.openxmlformats.org/officeDocument/2006/relationships/hyperlink" Target="https://drive.google.com/file/d/159dZankp5k551jZwPKQ7vIqQZCrooGiP/view?usp=drivesdk" TargetMode="External"/><Relationship Id="rId1082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9622136%20%2F%20252610407%26entry.1578404635%3DHadir" TargetMode="External"/><Relationship Id="rId1083" Type="http://schemas.openxmlformats.org/officeDocument/2006/relationships/hyperlink" Target="https://drive.google.com/file/d/1-p3NIewrjAYqdqAbxnRCj6clRfnfFspp/view?usp=drivesdk" TargetMode="External"/><Relationship Id="rId132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4532267%20%2F%20252610180%26entry.1578404635%3DHadir" TargetMode="External"/><Relationship Id="rId1084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2898760%20%2F%20252610411%26entry.1578404635%3DHadir" TargetMode="External"/><Relationship Id="rId131" Type="http://schemas.openxmlformats.org/officeDocument/2006/relationships/hyperlink" Target="https://drive.google.com/file/d/1tl2zyEISP7Dq3RLetB3PGrISTGkXd_MA/view?usp=drivesdk" TargetMode="External"/><Relationship Id="rId1085" Type="http://schemas.openxmlformats.org/officeDocument/2006/relationships/hyperlink" Target="https://drive.google.com/file/d/1xYx7NEzhKNEJ5bEkaYY4vbfFx3zIpab1/view?usp=drivesdk" TargetMode="External"/><Relationship Id="rId130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9675945%20%2F%20252610164%26entry.1578404635%3DHadir" TargetMode="External"/><Relationship Id="rId1086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8592067%20%2F%20252610418%26entry.1578404635%3DHadir" TargetMode="External"/><Relationship Id="rId1087" Type="http://schemas.openxmlformats.org/officeDocument/2006/relationships/hyperlink" Target="https://drive.google.com/file/d/15WPEayzYdYpCMecS3j-y6n35i5MsokWx/view?usp=drivesdk" TargetMode="External"/><Relationship Id="rId136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6157075%20%2F%20252610185%26entry.1578404635%3DHadir" TargetMode="External"/><Relationship Id="rId1088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5623487%20%2F%20252610430%26entry.1578404635%3DHadir" TargetMode="External"/><Relationship Id="rId135" Type="http://schemas.openxmlformats.org/officeDocument/2006/relationships/hyperlink" Target="https://drive.google.com/file/d/1HGsLAhXQiLtRkeaWyWRfG_2bF-Bla9QE/view?usp=drivesdk" TargetMode="External"/><Relationship Id="rId1089" Type="http://schemas.openxmlformats.org/officeDocument/2006/relationships/hyperlink" Target="https://drive.google.com/file/d/1mfh6ZZzfxHpkB4j_4nuk4d9dVPzcXny5/view?usp=drivesdk" TargetMode="External"/><Relationship Id="rId134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7593921%20%2F%20252610181%26entry.1578404635%3DHadir" TargetMode="External"/><Relationship Id="rId133" Type="http://schemas.openxmlformats.org/officeDocument/2006/relationships/hyperlink" Target="https://drive.google.com/file/d/10ssq1wm8KUnqliKzed2wq1UlH-tV83v0/view?usp=drivesdk" TargetMode="External"/><Relationship Id="rId172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8833541%20%2F%20252610440%26entry.1578404635%3DHadir" TargetMode="External"/><Relationship Id="rId171" Type="http://schemas.openxmlformats.org/officeDocument/2006/relationships/hyperlink" Target="https://drive.google.com/file/d/1EIjNN2hb4d42LNZP1n04LbMDi-sFOLQQ/view?usp=drivesdk" TargetMode="External"/><Relationship Id="rId170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6276801%20%2F%20252610434%26entry.1578404635%3DHadir" TargetMode="External"/><Relationship Id="rId165" Type="http://schemas.openxmlformats.org/officeDocument/2006/relationships/hyperlink" Target="https://drive.google.com/file/d/1hGDsuPkXeFwjEgbghl5DJn-wz8jmeykz/view?usp=drivesdk" TargetMode="External"/><Relationship Id="rId164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3768427%20%2F%20252610416%26entry.1578404635%3DHadir" TargetMode="External"/><Relationship Id="rId163" Type="http://schemas.openxmlformats.org/officeDocument/2006/relationships/hyperlink" Target="https://drive.google.com/file/d/1_2htkTdjA54d_tiYlz2OttpNezsuoFau/view?usp=drivesdk" TargetMode="External"/><Relationship Id="rId162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3107410887%20%2F%20252610365%26entry.1578404635%3DHadir" TargetMode="External"/><Relationship Id="rId169" Type="http://schemas.openxmlformats.org/officeDocument/2006/relationships/hyperlink" Target="https://drive.google.com/file/d/1aqJvZMx08Hhs5OpfMzd7KuRiI2tPgY9f/view?usp=drivesdk" TargetMode="External"/><Relationship Id="rId168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2495325%20%2F%20252610431%26entry.1578404635%3DHadir" TargetMode="External"/><Relationship Id="rId167" Type="http://schemas.openxmlformats.org/officeDocument/2006/relationships/hyperlink" Target="https://drive.google.com/file/d/13T5Wlo8DikrQcBToEAP8YevgCXqH_lJ-/view?usp=drivesdk" TargetMode="External"/><Relationship Id="rId166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3404970%20%2F%20252610419%26entry.1578404635%3DHadir" TargetMode="External"/><Relationship Id="rId161" Type="http://schemas.openxmlformats.org/officeDocument/2006/relationships/hyperlink" Target="https://drive.google.com/file/d/1ve7XxNjVjcZOKZeCYKw3Ly6jVPiSpPdg/view?usp=drivesdk" TargetMode="External"/><Relationship Id="rId160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4535464%20%2F%20252610362%26entry.1578404635%3DHadir" TargetMode="External"/><Relationship Id="rId159" Type="http://schemas.openxmlformats.org/officeDocument/2006/relationships/hyperlink" Target="https://drive.google.com/file/d/1a8w_mMq0j719TO-dOQXvCzFmUsxKFfIa/view?usp=drivesdk" TargetMode="External"/><Relationship Id="rId154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8087445%20%2F%20252610332%26entry.1578404635%3DHadir" TargetMode="External"/><Relationship Id="rId153" Type="http://schemas.openxmlformats.org/officeDocument/2006/relationships/hyperlink" Target="https://drive.google.com/file/d/1FWZnG5ZJn-6tfik7MX824aPxBgHrzdC2/view?usp=drivesdk" TargetMode="External"/><Relationship Id="rId152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8384400%20%2F%20252610320%26entry.1578404635%3DHadir" TargetMode="External"/><Relationship Id="rId151" Type="http://schemas.openxmlformats.org/officeDocument/2006/relationships/hyperlink" Target="https://drive.google.com/file/d/1VgpFNvSnqkG0JdF2i9DT5MidKi8sDBio/view?usp=drivesdk" TargetMode="External"/><Relationship Id="rId158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8345742%20%2F%20252610338%26entry.1578404635%3DHadir" TargetMode="External"/><Relationship Id="rId157" Type="http://schemas.openxmlformats.org/officeDocument/2006/relationships/hyperlink" Target="https://drive.google.com/file/d/1Mv4FSvwX8_YPBvVtZIZgr6j-EXeMg3kx/view?usp=drivesdk" TargetMode="External"/><Relationship Id="rId156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8518402%20%2F%20252610336%26entry.1578404635%3DHadir" TargetMode="External"/><Relationship Id="rId155" Type="http://schemas.openxmlformats.org/officeDocument/2006/relationships/hyperlink" Target="https://drive.google.com/file/d/1jPGSdHHSUCxrT7ggYS3amvbPqIAsOs4f/view?usp=drivesdk" TargetMode="External"/><Relationship Id="rId1972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84006956%20%2F%20242510400%26entry.1578404635%3DHadir" TargetMode="External"/><Relationship Id="rId1973" Type="http://schemas.openxmlformats.org/officeDocument/2006/relationships/hyperlink" Target="https://drive.google.com/file/d/1XutWAJV2EODR2OeXMHgARHH-IxMxQkD6/view?usp=drivesdk" TargetMode="External"/><Relationship Id="rId1974" Type="http://schemas.openxmlformats.org/officeDocument/2006/relationships/drawing" Target="../drawings/drawing3.xml"/><Relationship Id="rId1976" Type="http://schemas.openxmlformats.org/officeDocument/2006/relationships/table" Target="../tables/table2.xml"/><Relationship Id="rId1970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5319720%20%2F%20242510364%26entry.1578404635%3DHadir" TargetMode="External"/><Relationship Id="rId1971" Type="http://schemas.openxmlformats.org/officeDocument/2006/relationships/hyperlink" Target="https://drive.google.com/file/d/1miPAL_yPRK6BbLnc2MLrLAddMTUHu8Ss/view?usp=drivesdk" TargetMode="External"/><Relationship Id="rId1961" Type="http://schemas.openxmlformats.org/officeDocument/2006/relationships/hyperlink" Target="https://drive.google.com/file/d/18_A2hAwzqx2eGVR8HGIKAahNutfA394b/view?usp=drivesdk" TargetMode="External"/><Relationship Id="rId1962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87043705%20%2F%20242510307%26entry.1578404635%3DHadir" TargetMode="External"/><Relationship Id="rId1963" Type="http://schemas.openxmlformats.org/officeDocument/2006/relationships/hyperlink" Target="https://drive.google.com/file/d/1ycMGb6LaVrGmir_K7veL7ibaQrzG6PY-/view?usp=drivesdk" TargetMode="External"/><Relationship Id="rId1964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81683598%20%2F%20242510316%26entry.1578404635%3DHadir" TargetMode="External"/><Relationship Id="rId1965" Type="http://schemas.openxmlformats.org/officeDocument/2006/relationships/hyperlink" Target="https://drive.google.com/file/d/1_t-Yk_ZzGk_avRLv1o2bVEUj_dnkRwwO/view?usp=drivesdk" TargetMode="External"/><Relationship Id="rId1966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4092301%20%2F%20252611572%26entry.1578404635%3DHadir" TargetMode="External"/><Relationship Id="rId1967" Type="http://schemas.openxmlformats.org/officeDocument/2006/relationships/hyperlink" Target="https://drive.google.com/file/d/1Cax-EwnM33g8DFrB5nBN7jyANTbgK3Ul/view?usp=drivesdk" TargetMode="External"/><Relationship Id="rId1968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2685479%20%2F%20252611573%26entry.1578404635%3DHadir" TargetMode="External"/><Relationship Id="rId1969" Type="http://schemas.openxmlformats.org/officeDocument/2006/relationships/hyperlink" Target="https://drive.google.com/file/d/1Nma27W39-7O2HkNUR0TxmreAT0MoDd5-/view?usp=drivesdk" TargetMode="External"/><Relationship Id="rId1960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82604990%20%2F%20242510276%26entry.1578404635%3DHadir" TargetMode="External"/><Relationship Id="rId1510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2053150%20%2F%20242510248%26entry.1578404635%3DHadir" TargetMode="External"/><Relationship Id="rId1511" Type="http://schemas.openxmlformats.org/officeDocument/2006/relationships/hyperlink" Target="https://drive.google.com/file/d/1e0VZTDaahe7jOz6soJUxxKZ3PeG0Lrfz/view?usp=drivesdk" TargetMode="External"/><Relationship Id="rId1512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9674979%20%2F%20242510268%26entry.1578404635%3DHadir" TargetMode="External"/><Relationship Id="rId1513" Type="http://schemas.openxmlformats.org/officeDocument/2006/relationships/hyperlink" Target="https://drive.google.com/file/d/1DwfepLGyqDbVCMz2vu4sHx4th5_0Qclj/view?usp=drivesdk" TargetMode="External"/><Relationship Id="rId1514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4087712%20%2F%20242510287%26entry.1578404635%3DHadir" TargetMode="External"/><Relationship Id="rId1515" Type="http://schemas.openxmlformats.org/officeDocument/2006/relationships/hyperlink" Target="https://drive.google.com/file/d/1M6PpG1qOz8P3TslC7PP7PE98ozY7cqaV/view?usp=drivesdk" TargetMode="External"/><Relationship Id="rId1516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6704827%20%2F%20242510295%26entry.1578404635%3DHadir" TargetMode="External"/><Relationship Id="rId1517" Type="http://schemas.openxmlformats.org/officeDocument/2006/relationships/hyperlink" Target="https://drive.google.com/file/d/1EUhWk8o9QgkvteSccDnGbyCBz404hXKO/view?usp=drivesdk" TargetMode="External"/><Relationship Id="rId1518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82766789%20%2F%20242510317%26entry.1578404635%3DHadir" TargetMode="External"/><Relationship Id="rId1519" Type="http://schemas.openxmlformats.org/officeDocument/2006/relationships/hyperlink" Target="https://drive.google.com/file/d/1LvkyHqDHfSK14ZEWLt7hlhxDIdyZDr7M/view?usp=drivesdk" TargetMode="External"/><Relationship Id="rId1500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83440916%20%2F%20242510182%26entry.1578404635%3DHadir" TargetMode="External"/><Relationship Id="rId1501" Type="http://schemas.openxmlformats.org/officeDocument/2006/relationships/hyperlink" Target="https://drive.google.com/file/d/1tZ7xx8rZcJZyLNUjuSPwZYVIlawycsLC/view?usp=drivesdk" TargetMode="External"/><Relationship Id="rId1502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7101002%20%2F%20242510186%26entry.1578404635%3DHadir" TargetMode="External"/><Relationship Id="rId1503" Type="http://schemas.openxmlformats.org/officeDocument/2006/relationships/hyperlink" Target="https://drive.google.com/file/d/1eV2JvQ4DA9i5QB8CCYBOw5vPSRmY0Emo/view?usp=drivesdk" TargetMode="External"/><Relationship Id="rId1504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83510857%20%2F%20242510205%26entry.1578404635%3DHadir" TargetMode="External"/><Relationship Id="rId1505" Type="http://schemas.openxmlformats.org/officeDocument/2006/relationships/hyperlink" Target="https://drive.google.com/file/d/17AGtEOhwFNZHAyEeIaBCtECQQQ0z0p0t/view?usp=drivesdk" TargetMode="External"/><Relationship Id="rId1506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9224342%20%2F%20242510214%26entry.1578404635%3DHadir" TargetMode="External"/><Relationship Id="rId1507" Type="http://schemas.openxmlformats.org/officeDocument/2006/relationships/hyperlink" Target="https://drive.google.com/file/d/1-nq3iCF65KkpO8WEGnOhHxXQcki3FB5l/view?usp=drivesdk" TargetMode="External"/><Relationship Id="rId1508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87441371%20%2F%20242510226%26entry.1578404635%3DHadir" TargetMode="External"/><Relationship Id="rId1509" Type="http://schemas.openxmlformats.org/officeDocument/2006/relationships/hyperlink" Target="https://drive.google.com/file/d/1eLyhakQqy9uttyjxTASHuJSa6OSljpKa/view?usp=drivesdk" TargetMode="External"/><Relationship Id="rId1930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3088903236%20%2F%20242510154%26entry.1578404635%3DHadir" TargetMode="External"/><Relationship Id="rId1931" Type="http://schemas.openxmlformats.org/officeDocument/2006/relationships/hyperlink" Target="https://drive.google.com/file/d/1eM9PIHqE7EOB3LYr7_LAaNbE4jWvwor1/view?usp=drivesdk" TargetMode="External"/><Relationship Id="rId1932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8700438%20%2F%20242510156%26entry.1578404635%3DHadir" TargetMode="External"/><Relationship Id="rId1933" Type="http://schemas.openxmlformats.org/officeDocument/2006/relationships/hyperlink" Target="https://drive.google.com/file/d/1PRkkpOq7dWlmRmFlpUK0OSJdN56xW_qn/view?usp=drivesdk" TargetMode="External"/><Relationship Id="rId1934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5159012%20%2F%20242510166%26entry.1578404635%3DHadir" TargetMode="External"/><Relationship Id="rId1935" Type="http://schemas.openxmlformats.org/officeDocument/2006/relationships/hyperlink" Target="https://drive.google.com/file/d/1ERSWW78wegy_ZFXCbUGxb1LhZHadoysw/view?usp=drivesdk" TargetMode="External"/><Relationship Id="rId1936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8994125%20%2F%20252611567%26entry.1578404635%3DHadir" TargetMode="External"/><Relationship Id="rId1937" Type="http://schemas.openxmlformats.org/officeDocument/2006/relationships/hyperlink" Target="https://drive.google.com/file/d/1ynw9xhhNmMPt-kSloI-lrNvNAKyYsp_a/view?usp=drivesdk" TargetMode="External"/><Relationship Id="rId1938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87336074%20%2F%20242510195%26entry.1578404635%3DHadir" TargetMode="External"/><Relationship Id="rId1939" Type="http://schemas.openxmlformats.org/officeDocument/2006/relationships/hyperlink" Target="https://drive.google.com/file/d/1JdL55ZEh6gyO13o_UqRzeOgwDiAZk7QC/view?usp=drivesdk" TargetMode="External"/><Relationship Id="rId1920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3311941%20%2F%20242510107%26entry.1578404635%3DHadir" TargetMode="External"/><Relationship Id="rId1921" Type="http://schemas.openxmlformats.org/officeDocument/2006/relationships/hyperlink" Target="https://drive.google.com/file/d/1q-Bsjux7oE1xeMzCdXlTz11Jq8XzyJnE/view?usp=drivesdk" TargetMode="External"/><Relationship Id="rId1922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1519291%20%2F%20242510109%26entry.1578404635%3DHadir" TargetMode="External"/><Relationship Id="rId1923" Type="http://schemas.openxmlformats.org/officeDocument/2006/relationships/hyperlink" Target="https://drive.google.com/file/d/1ZGPxaZdywJjuaLDHbq7ojU3ZQncYRW2l/view?usp=drivesdk" TargetMode="External"/><Relationship Id="rId1924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3772011%20%2F%20242510125%26entry.1578404635%3DHadir" TargetMode="External"/><Relationship Id="rId1925" Type="http://schemas.openxmlformats.org/officeDocument/2006/relationships/hyperlink" Target="https://drive.google.com/file/d/11xwY4f1vozZuLsy15c1-NhrryMzScPNR/view?usp=drivesdk" TargetMode="External"/><Relationship Id="rId1926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83597126%20%2F%20242510127%26entry.1578404635%3DHadir" TargetMode="External"/><Relationship Id="rId1927" Type="http://schemas.openxmlformats.org/officeDocument/2006/relationships/hyperlink" Target="https://drive.google.com/file/d/1x_UyXWiqgzpj3xKyo43sQruyXMr_Hvxr/view?usp=drivesdk" TargetMode="External"/><Relationship Id="rId1928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81527579%20%2F%20242510147%26entry.1578404635%3DHadir" TargetMode="External"/><Relationship Id="rId1929" Type="http://schemas.openxmlformats.org/officeDocument/2006/relationships/hyperlink" Target="https://drive.google.com/file/d/1SFlmtBY0wTLkvSwSshsSM-bmv1Eoeeos/view?usp=drivesdk" TargetMode="External"/><Relationship Id="rId1950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88667313%20%2F%20242510236%26entry.1578404635%3DHadir" TargetMode="External"/><Relationship Id="rId1951" Type="http://schemas.openxmlformats.org/officeDocument/2006/relationships/hyperlink" Target="https://drive.google.com/file/d/12lH-KTphbWkYlEjwh6UeCoZtsscl_IdP/view?usp=drivesdk" TargetMode="External"/><Relationship Id="rId1952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3423349%20%2F%20242510245%26entry.1578404635%3DHadir" TargetMode="External"/><Relationship Id="rId1953" Type="http://schemas.openxmlformats.org/officeDocument/2006/relationships/hyperlink" Target="https://drive.google.com/file/d/196bX9sZASKWlIGi7dOz1uKn9omditKfB/view?usp=drivesdk" TargetMode="External"/><Relationship Id="rId1954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89737965%20%2F%20242510247%26entry.1578404635%3DHadir" TargetMode="External"/><Relationship Id="rId1955" Type="http://schemas.openxmlformats.org/officeDocument/2006/relationships/hyperlink" Target="https://drive.google.com/file/d/1-zvc8oz8sN8m1qhF11UAMwzR95l7Mj5N/view?usp=drivesdk" TargetMode="External"/><Relationship Id="rId1956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1624427%20%2F%20242510249%26entry.1578404635%3DHadir" TargetMode="External"/><Relationship Id="rId1957" Type="http://schemas.openxmlformats.org/officeDocument/2006/relationships/hyperlink" Target="https://drive.google.com/file/d/1QbhvdLb9tXkHcCzJ8eCSG8vY7e3yZbPT/view?usp=drivesdk" TargetMode="External"/><Relationship Id="rId1958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83876462%20%2F%20242510267%26entry.1578404635%3DHadir" TargetMode="External"/><Relationship Id="rId1959" Type="http://schemas.openxmlformats.org/officeDocument/2006/relationships/hyperlink" Target="https://drive.google.com/file/d/17mjLhrEmeoQu__pI0HfLkQPvX7wWnGWB/view?usp=drivesdk" TargetMode="External"/><Relationship Id="rId1940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83317171%20%2F%20242510203%26entry.1578404635%3DHadir" TargetMode="External"/><Relationship Id="rId1941" Type="http://schemas.openxmlformats.org/officeDocument/2006/relationships/hyperlink" Target="https://drive.google.com/file/d/1pOmbTLDejd4qyswmHWJ_4Anmre-FPtTE/view?usp=drivesdk" TargetMode="External"/><Relationship Id="rId1942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3081754398%20%2F%20242510219%26entry.1578404635%3DHadir" TargetMode="External"/><Relationship Id="rId1943" Type="http://schemas.openxmlformats.org/officeDocument/2006/relationships/hyperlink" Target="https://drive.google.com/file/d/1KWDa0H-QvIm9ECrIuqOOmoSVJs0CPY7C/view?usp=drivesdk" TargetMode="External"/><Relationship Id="rId1944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8773886%20%2F%20242510223%26entry.1578404635%3DHadir" TargetMode="External"/><Relationship Id="rId1945" Type="http://schemas.openxmlformats.org/officeDocument/2006/relationships/hyperlink" Target="https://drive.google.com/file/d/14ihsXSYq0Q5gqzrAVPAsKbeI2uHo4SlY/view?usp=drivesdk" TargetMode="External"/><Relationship Id="rId1946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8848130%20%2F%20242510228%26entry.1578404635%3DHadir" TargetMode="External"/><Relationship Id="rId1947" Type="http://schemas.openxmlformats.org/officeDocument/2006/relationships/hyperlink" Target="https://drive.google.com/file/d/1GsL1HoAf_J8xjcHIBFSXntQ2N5qLYhEA/view?usp=drivesdk" TargetMode="External"/><Relationship Id="rId1948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86293694%20%2F%20242510229%26entry.1578404635%3DHadir" TargetMode="External"/><Relationship Id="rId1949" Type="http://schemas.openxmlformats.org/officeDocument/2006/relationships/hyperlink" Target="https://drive.google.com/file/d/1xRJ2B1UNYgq95L_VpL_X_PJh9RP-ZL37/view?usp=drivesdk" TargetMode="External"/><Relationship Id="rId1576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3089802088%20%2F%20242510204%26entry.1578404635%3DHadir" TargetMode="External"/><Relationship Id="rId1577" Type="http://schemas.openxmlformats.org/officeDocument/2006/relationships/hyperlink" Target="https://drive.google.com/file/d/1ZOuH1t-hnv-hLlJjPjJO5HrnfQKKykDK/view?usp=drivesdk" TargetMode="External"/><Relationship Id="rId1578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83558880%20%2F%20242510215%26entry.1578404635%3DHadir" TargetMode="External"/><Relationship Id="rId1579" Type="http://schemas.openxmlformats.org/officeDocument/2006/relationships/hyperlink" Target="https://drive.google.com/file/d/1Oq9-7ATig2Gkh9dA4VhKQ40Ucjj3Bzea/view?usp=drivesdk" TargetMode="External"/><Relationship Id="rId509" Type="http://schemas.openxmlformats.org/officeDocument/2006/relationships/hyperlink" Target="https://drive.google.com/file/d/1lZ7DITJKDBMR_TUYBi1ACNRDaZz1V6K9/view?usp=drivesdk" TargetMode="External"/><Relationship Id="rId508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9522386%20%2F%20252610308%26entry.1578404635%3DHadir" TargetMode="External"/><Relationship Id="rId503" Type="http://schemas.openxmlformats.org/officeDocument/2006/relationships/hyperlink" Target="https://drive.google.com/file/d/1QatggcSHlTkDw0e49gTeXXmp7cWQ3w07/view?usp=drivesdk" TargetMode="External"/><Relationship Id="rId987" Type="http://schemas.openxmlformats.org/officeDocument/2006/relationships/hyperlink" Target="https://drive.google.com/file/d/1MAKq6SCCKJG3KILEOTQDESo_Sr0lbKE2/view?usp=drivesdk" TargetMode="External"/><Relationship Id="rId502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9375007%20%2F%20252610273%26entry.1578404635%3DHadir" TargetMode="External"/><Relationship Id="rId986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5612000%20%2F%20252610417%26entry.1578404635%3DHadir" TargetMode="External"/><Relationship Id="rId501" Type="http://schemas.openxmlformats.org/officeDocument/2006/relationships/hyperlink" Target="https://drive.google.com/file/d/16O9PU_R5KQdmATeaIRDgLOqdXqUGl4mI/view?usp=drivesdk" TargetMode="External"/><Relationship Id="rId985" Type="http://schemas.openxmlformats.org/officeDocument/2006/relationships/hyperlink" Target="https://drive.google.com/file/d/1gl05f2TQ9bgEEzZBmRGq0cY5pCpAwTGe/view?usp=drivesdk" TargetMode="External"/><Relationship Id="rId500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5199862%20%2F%20252610249%26entry.1578404635%3DHadir" TargetMode="External"/><Relationship Id="rId984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2000943%20%2F%20252610388%26entry.1578404635%3DHadir" TargetMode="External"/><Relationship Id="rId507" Type="http://schemas.openxmlformats.org/officeDocument/2006/relationships/hyperlink" Target="https://drive.google.com/file/d/1MGF-yN5VLxYqaPFvZOP5-7PRbCk21Jqp/view?usp=drivesdk" TargetMode="External"/><Relationship Id="rId506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4583694%20%2F%20252610285%26entry.1578404635%3DHadir" TargetMode="External"/><Relationship Id="rId505" Type="http://schemas.openxmlformats.org/officeDocument/2006/relationships/hyperlink" Target="https://drive.google.com/file/d/1bCB3w6-AVaEnhb_AK8G45LUsnCneN72T/view?usp=drivesdk" TargetMode="External"/><Relationship Id="rId989" Type="http://schemas.openxmlformats.org/officeDocument/2006/relationships/hyperlink" Target="https://drive.google.com/file/d/1dOLlkQn3GiWSoWP1jDeK-CaUVHw-MErs/view?usp=drivesdk" TargetMode="External"/><Relationship Id="rId504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9221606%20%2F%20252610279%26entry.1578404635%3DHadir" TargetMode="External"/><Relationship Id="rId988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9258787%20%2F%20252610458%26entry.1578404635%3DHadir" TargetMode="External"/><Relationship Id="rId1570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1736459%20%2F%20242510143%26entry.1578404635%3DHadir" TargetMode="External"/><Relationship Id="rId1571" Type="http://schemas.openxmlformats.org/officeDocument/2006/relationships/hyperlink" Target="https://drive.google.com/file/d/1iJBWJxdQG5loNXAv5fBY-lZLR_3hDukp/view?usp=drivesdk" TargetMode="External"/><Relationship Id="rId983" Type="http://schemas.openxmlformats.org/officeDocument/2006/relationships/hyperlink" Target="https://drive.google.com/file/d/1bPfjdLZMEVNocYnuvTVImQ9i6fpNPVr-/view?usp=drivesdk" TargetMode="External"/><Relationship Id="rId1572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83473619%20%2F%20242510151%26entry.1578404635%3DHadir" TargetMode="External"/><Relationship Id="rId982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6753454%20%2F%20252610385%26entry.1578404635%3DHadir" TargetMode="External"/><Relationship Id="rId1573" Type="http://schemas.openxmlformats.org/officeDocument/2006/relationships/hyperlink" Target="https://drive.google.com/file/d/1ImmkI7-Jxu0YC_gPuF_JpthcSI1JQAPo/view?usp=drivesdk" TargetMode="External"/><Relationship Id="rId981" Type="http://schemas.openxmlformats.org/officeDocument/2006/relationships/hyperlink" Target="https://drive.google.com/file/d/1urXWGNyNUIav87DF7xoa8hGWYrcYgyu6/view?usp=drivesdk" TargetMode="External"/><Relationship Id="rId1574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5965332%20%2F%20242510202%26entry.1578404635%3DHadir" TargetMode="External"/><Relationship Id="rId980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2349928%20%2F%20252610380%26entry.1578404635%3DHadir" TargetMode="External"/><Relationship Id="rId1575" Type="http://schemas.openxmlformats.org/officeDocument/2006/relationships/hyperlink" Target="https://drive.google.com/file/d/1LKU0xtGC6EEHCb4a_bgJmEFBNB11NRS2/view?usp=drivesdk" TargetMode="External"/><Relationship Id="rId1565" Type="http://schemas.openxmlformats.org/officeDocument/2006/relationships/hyperlink" Target="https://drive.google.com/file/d/1HwbNAk7Q_X7r4sPe3HONv6chF-gPHEYM/view?usp=drivesdk" TargetMode="External"/><Relationship Id="rId1566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89925170%20%2F%20242510124%26entry.1578404635%3DHadir" TargetMode="External"/><Relationship Id="rId1567" Type="http://schemas.openxmlformats.org/officeDocument/2006/relationships/hyperlink" Target="https://drive.google.com/file/d/1ckh6ZIChxPqmEM1LNxeu6TQ3BgFwqIAt/view?usp=drivesdk" TargetMode="External"/><Relationship Id="rId1568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7500016%20%2F%20242510138%26entry.1578404635%3DHadir" TargetMode="External"/><Relationship Id="rId1569" Type="http://schemas.openxmlformats.org/officeDocument/2006/relationships/hyperlink" Target="https://drive.google.com/file/d/1kIFXBTVuaCSdzQETmEJxlZQlmQhJHxjT/view?usp=drivesdk" TargetMode="External"/><Relationship Id="rId976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2179308%20%2F%20252610356%26entry.1578404635%3DHadir" TargetMode="External"/><Relationship Id="rId975" Type="http://schemas.openxmlformats.org/officeDocument/2006/relationships/hyperlink" Target="https://drive.google.com/file/d/1Q8ekKO4ZKgfKkZQXQnH7ozgo-l6_GTeN/view?usp=drivesdk" TargetMode="External"/><Relationship Id="rId974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1578446%20%2F%20252610348%26entry.1578404635%3DHadir" TargetMode="External"/><Relationship Id="rId973" Type="http://schemas.openxmlformats.org/officeDocument/2006/relationships/hyperlink" Target="https://drive.google.com/file/d/1-9ORi1y6zrhbBJ3or1QBgVYxYqgID6fM/view?usp=drivesdk" TargetMode="External"/><Relationship Id="rId979" Type="http://schemas.openxmlformats.org/officeDocument/2006/relationships/hyperlink" Target="https://drive.google.com/file/d/1mK7GI2hzFuUEjxepoBPwX0uWlSfPyS3G/view?usp=drivesdk" TargetMode="External"/><Relationship Id="rId978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8186648%20%2F%20252610367%26entry.1578404635%3DHadir" TargetMode="External"/><Relationship Id="rId977" Type="http://schemas.openxmlformats.org/officeDocument/2006/relationships/hyperlink" Target="https://drive.google.com/file/d/1x4YI8dcLsx4N_KWW9UdWK6-6kz4p4WcN/view?usp=drivesdk" TargetMode="External"/><Relationship Id="rId1560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83503418%20%2F%20242510092%26entry.1578404635%3DHadir" TargetMode="External"/><Relationship Id="rId972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4912922%20%2F%20252610346%26entry.1578404635%3DHadir" TargetMode="External"/><Relationship Id="rId1561" Type="http://schemas.openxmlformats.org/officeDocument/2006/relationships/hyperlink" Target="https://drive.google.com/file/d/1W6hcvFFGE13b-w7PCuXpY2kzA8g662Be/view?usp=drivesdk" TargetMode="External"/><Relationship Id="rId971" Type="http://schemas.openxmlformats.org/officeDocument/2006/relationships/hyperlink" Target="https://drive.google.com/file/d/1O0AoSQUMSA48Pzz9UGExQT05rwUhBqB7/view?usp=drivesdk" TargetMode="External"/><Relationship Id="rId1562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82910392%20%2F%20242510119%26entry.1578404635%3DHadir" TargetMode="External"/><Relationship Id="rId970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8812130%20%2F%20252610328%26entry.1578404635%3DHadir" TargetMode="External"/><Relationship Id="rId1563" Type="http://schemas.openxmlformats.org/officeDocument/2006/relationships/hyperlink" Target="https://drive.google.com/file/d/1u0_ykYHQt21nBuEiinzHrUQ-l4eePorP/view?usp=drivesdk" TargetMode="External"/><Relationship Id="rId1564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2889165%20%2F%20242510121%26entry.1578404635%3DHadir" TargetMode="External"/><Relationship Id="rId1114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4510551%20%2F%20242510025%26entry.1578404635%3DHadir" TargetMode="External"/><Relationship Id="rId1598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8177122%20%2F%20242510370%26entry.1578404635%3DHadir" TargetMode="External"/><Relationship Id="rId1115" Type="http://schemas.openxmlformats.org/officeDocument/2006/relationships/hyperlink" Target="https://drive.google.com/file/d/1Y3HqmGgSp5J4bu6J5ZprYRF7Bx6oZIWM/view?usp=drivesdk" TargetMode="External"/><Relationship Id="rId1599" Type="http://schemas.openxmlformats.org/officeDocument/2006/relationships/hyperlink" Target="https://drive.google.com/file/d/1qBdkwbgjYm4Jh_clGsmGAIgxfQ_OLpVm/view?usp=drivesdk" TargetMode="External"/><Relationship Id="rId1116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87298416%20%2F%20242510031%26entry.1578404635%3DHadir" TargetMode="External"/><Relationship Id="rId1117" Type="http://schemas.openxmlformats.org/officeDocument/2006/relationships/hyperlink" Target="https://drive.google.com/file/d/1Hs9hPtrl1hJaR1SSq6JBLSq7Gb_G6KuZ/view?usp=drivesdk" TargetMode="External"/><Relationship Id="rId1118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5546511%20%2F%20242510069%26entry.1578404635%3DHadir" TargetMode="External"/><Relationship Id="rId1119" Type="http://schemas.openxmlformats.org/officeDocument/2006/relationships/hyperlink" Target="https://drive.google.com/file/d/1zv464SlLZcu4K9oheuRYwz9t__ZzFwo5/view?usp=drivesdk" TargetMode="External"/><Relationship Id="rId525" Type="http://schemas.openxmlformats.org/officeDocument/2006/relationships/hyperlink" Target="https://drive.google.com/file/d/1OsJNT8-hdUiQEJd-PnhFfMxwSmjo6Zab/view?usp=drivesdk" TargetMode="External"/><Relationship Id="rId524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1582567%20%2F%20252610446%26entry.1578404635%3DHadir" TargetMode="External"/><Relationship Id="rId523" Type="http://schemas.openxmlformats.org/officeDocument/2006/relationships/hyperlink" Target="https://drive.google.com/file/d/1YdYuLcKGzXCO9vu7zTJKO21jX25O6vTO/view?usp=drivesdk" TargetMode="External"/><Relationship Id="rId522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6380486%20%2F%20252610442%26entry.1578404635%3DHadir" TargetMode="External"/><Relationship Id="rId529" Type="http://schemas.openxmlformats.org/officeDocument/2006/relationships/hyperlink" Target="https://drive.google.com/file/d/1InSYWy0ZFfj4W8oC-I5T7bDayGcHCYq8/view?usp=drivesdk" TargetMode="External"/><Relationship Id="rId528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7445789%20%2F%20252610456%26entry.1578404635%3DHadir" TargetMode="External"/><Relationship Id="rId527" Type="http://schemas.openxmlformats.org/officeDocument/2006/relationships/hyperlink" Target="https://drive.google.com/file/d/1wH6m1Hp_VdHA1BZWds47XspS_Tr2e-6W/view?usp=drivesdk" TargetMode="External"/><Relationship Id="rId526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2020564%20%2F%20252610449%26entry.1578404635%3DHadir" TargetMode="External"/><Relationship Id="rId1590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83111399%20%2F%20242510305%26entry.1578404635%3DHadir" TargetMode="External"/><Relationship Id="rId1591" Type="http://schemas.openxmlformats.org/officeDocument/2006/relationships/hyperlink" Target="https://drive.google.com/file/d/1DoJiqPSgJyLjrl-7IvIljN_iNCghZwYi/view?usp=drivesdk" TargetMode="External"/><Relationship Id="rId1592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8495672%20%2F%20242510327%26entry.1578404635%3DHadir" TargetMode="External"/><Relationship Id="rId1593" Type="http://schemas.openxmlformats.org/officeDocument/2006/relationships/hyperlink" Target="https://drive.google.com/file/d/1tNInCKFA28EyLXwJ1TJX__jeCNb6dy30/view?usp=drivesdk" TargetMode="External"/><Relationship Id="rId521" Type="http://schemas.openxmlformats.org/officeDocument/2006/relationships/hyperlink" Target="https://drive.google.com/file/d/10fv9Wpkn16WmqnYZolE6UAdqpxmpyVc-/view?usp=drivesdk" TargetMode="External"/><Relationship Id="rId1110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82590495%20%2F%20242510008%26entry.1578404635%3DHadir" TargetMode="External"/><Relationship Id="rId1594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87033208%20%2F%20242510335%26entry.1578404635%3DHadir" TargetMode="External"/><Relationship Id="rId520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8065698%20%2F%20252610410%26entry.1578404635%3DHadir" TargetMode="External"/><Relationship Id="rId1111" Type="http://schemas.openxmlformats.org/officeDocument/2006/relationships/hyperlink" Target="https://drive.google.com/file/d/1wF89oOPoUtlE42ZMaeponNMDaNeZYfbF/view?usp=drivesdk" TargetMode="External"/><Relationship Id="rId1595" Type="http://schemas.openxmlformats.org/officeDocument/2006/relationships/hyperlink" Target="https://drive.google.com/file/d/11wGde8qXGKRy3ip7YdMmxtuiYlYav_gS/view?usp=drivesdk" TargetMode="External"/><Relationship Id="rId1112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7313548%20%2F%20242510011%26entry.1578404635%3DHadir" TargetMode="External"/><Relationship Id="rId1596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87540462%20%2F%20242510365%26entry.1578404635%3DHadir" TargetMode="External"/><Relationship Id="rId1113" Type="http://schemas.openxmlformats.org/officeDocument/2006/relationships/hyperlink" Target="https://drive.google.com/file/d/1_OB4d8De0ac3CTkZX17Z2CMbNljm7KH3/view?usp=drivesdk" TargetMode="External"/><Relationship Id="rId1597" Type="http://schemas.openxmlformats.org/officeDocument/2006/relationships/hyperlink" Target="https://drive.google.com/file/d/1cTN4piHnhvHPGl4NxVVnsxOvJFK-GaLa/view?usp=drivesdk" TargetMode="External"/><Relationship Id="rId1103" Type="http://schemas.openxmlformats.org/officeDocument/2006/relationships/hyperlink" Target="https://drive.google.com/file/d/1bw0s6aL0WDYv3Tju7aAfo0auayztpSRe/view?usp=drivesdk" TargetMode="External"/><Relationship Id="rId1587" Type="http://schemas.openxmlformats.org/officeDocument/2006/relationships/hyperlink" Target="https://drive.google.com/file/d/1rGaQDrPcE2P948lHsWG7VZAFlm3hMGhq/view?usp=drivesdk" TargetMode="External"/><Relationship Id="rId1104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1659072%20%2F%20252610531%26entry.1578404635%3DHadir" TargetMode="External"/><Relationship Id="rId1588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88243290%20%2F%20242510285%26entry.1578404635%3DHadir" TargetMode="External"/><Relationship Id="rId1105" Type="http://schemas.openxmlformats.org/officeDocument/2006/relationships/hyperlink" Target="https://drive.google.com/file/d/1bfHbuU-FeYUM0sXmpGDf2W0DOonuuzls/view?usp=drivesdk" TargetMode="External"/><Relationship Id="rId1589" Type="http://schemas.openxmlformats.org/officeDocument/2006/relationships/hyperlink" Target="https://drive.google.com/file/d/1ftG4ozsGQMjXHeA2Ne_L_NyVPKHTXJ8H/view?usp=drivesdk" TargetMode="External"/><Relationship Id="rId1106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5899359%20%2F%20252610550%26entry.1578404635%3DHadir" TargetMode="External"/><Relationship Id="rId1107" Type="http://schemas.openxmlformats.org/officeDocument/2006/relationships/hyperlink" Target="https://drive.google.com/file/d/1kII2XQokFJUfIg-uzasqH7pmkOSY-dGq/view?usp=drivesdk" TargetMode="External"/><Relationship Id="rId1108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5810986%20%2F%20252610562%26entry.1578404635%3DHadir" TargetMode="External"/><Relationship Id="rId1109" Type="http://schemas.openxmlformats.org/officeDocument/2006/relationships/hyperlink" Target="https://drive.google.com/file/d/1LmsSrZ6izeLs-KrKvvWe8qp7VSl_Aqjy/view?usp=drivesdk" TargetMode="External"/><Relationship Id="rId519" Type="http://schemas.openxmlformats.org/officeDocument/2006/relationships/hyperlink" Target="https://drive.google.com/file/d/1Krltp8_86ZczGUXgnhOGvcEi8FJNwc2c/view?usp=drivesdk" TargetMode="External"/><Relationship Id="rId514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8710844%20%2F%20252610355%26entry.1578404635%3DHadir" TargetMode="External"/><Relationship Id="rId998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1610224%20%2F%20252610518%26entry.1578404635%3DHadir" TargetMode="External"/><Relationship Id="rId513" Type="http://schemas.openxmlformats.org/officeDocument/2006/relationships/hyperlink" Target="https://drive.google.com/file/d/1dhaskgn5b9-_DI6pTxqzKvRYcJl7sXY3/view?usp=drivesdk" TargetMode="External"/><Relationship Id="rId997" Type="http://schemas.openxmlformats.org/officeDocument/2006/relationships/hyperlink" Target="https://drive.google.com/file/d/1AFb8ppJyO5ykSGXyrxxGLGMCK0CtRwIP/view?usp=drivesdk" TargetMode="External"/><Relationship Id="rId512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8849299%20%2F%20252610342%26entry.1578404635%3DHadir" TargetMode="External"/><Relationship Id="rId996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5542022%20%2F%20252610506%26entry.1578404635%3DHadir" TargetMode="External"/><Relationship Id="rId511" Type="http://schemas.openxmlformats.org/officeDocument/2006/relationships/hyperlink" Target="https://drive.google.com/file/d/1XDW3ZS4J8ruw2ISfwvgTooihq-HzHIDc/view?usp=drivesdk" TargetMode="External"/><Relationship Id="rId995" Type="http://schemas.openxmlformats.org/officeDocument/2006/relationships/hyperlink" Target="https://drive.google.com/file/d/15COAz3RWKBPxvdatkj3s7-_qSbnIVTnM/view?usp=drivesdk" TargetMode="External"/><Relationship Id="rId518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5549480%20%2F%20252610394%26entry.1578404635%3DHadir" TargetMode="External"/><Relationship Id="rId517" Type="http://schemas.openxmlformats.org/officeDocument/2006/relationships/hyperlink" Target="https://drive.google.com/file/d/1X9nSRmosj5jMZbpmXFF0_rVMbOvV4Mf8/view?usp=drivesdk" TargetMode="External"/><Relationship Id="rId516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3242050%20%2F%20252610360%26entry.1578404635%3DHadir" TargetMode="External"/><Relationship Id="rId515" Type="http://schemas.openxmlformats.org/officeDocument/2006/relationships/hyperlink" Target="https://drive.google.com/file/d/1jps3_fjiKA74ZoB75IoJ3MwHV18FP5Dx/view?usp=drivesdk" TargetMode="External"/><Relationship Id="rId999" Type="http://schemas.openxmlformats.org/officeDocument/2006/relationships/hyperlink" Target="https://drive.google.com/file/d/1QqwCPiNF_wGqPxu2rHmxfhnWNMUAeG7s/view?usp=drivesdk" TargetMode="External"/><Relationship Id="rId990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3712588%20%2F%20252610482%26entry.1578404635%3DHadir" TargetMode="External"/><Relationship Id="rId1580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87939718%20%2F%20242510217%26entry.1578404635%3DHadir" TargetMode="External"/><Relationship Id="rId1581" Type="http://schemas.openxmlformats.org/officeDocument/2006/relationships/hyperlink" Target="https://drive.google.com/file/d/1-lIQTd5Ic6QhWUFhzqRCRhRGcOhTIxQa/view?usp=drivesdk" TargetMode="External"/><Relationship Id="rId1582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3086429713%20%2F%20242510256%26entry.1578404635%3DHadir" TargetMode="External"/><Relationship Id="rId510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5079380%20%2F%20252610312%26entry.1578404635%3DHadir" TargetMode="External"/><Relationship Id="rId994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6760506%20%2F%20252610503%26entry.1578404635%3DHadir" TargetMode="External"/><Relationship Id="rId1583" Type="http://schemas.openxmlformats.org/officeDocument/2006/relationships/hyperlink" Target="https://drive.google.com/file/d/1V-039OENs3Z-dcYDYyrY7kiIw3bBwUNB/view?usp=drivesdk" TargetMode="External"/><Relationship Id="rId993" Type="http://schemas.openxmlformats.org/officeDocument/2006/relationships/hyperlink" Target="https://drive.google.com/file/d/1RUVzC4q-0IKurxyP0KDtMnvVgQEZx790/view?usp=drivesdk" TargetMode="External"/><Relationship Id="rId1100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2524998%20%2F%20252610502%26entry.1578404635%3DHadir" TargetMode="External"/><Relationship Id="rId1584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82222599%20%2F%20242510270%26entry.1578404635%3DHadir" TargetMode="External"/><Relationship Id="rId992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2414768%20%2F%20252610499%26entry.1578404635%3DHadir" TargetMode="External"/><Relationship Id="rId1101" Type="http://schemas.openxmlformats.org/officeDocument/2006/relationships/hyperlink" Target="https://drive.google.com/file/d/1KcgMqd7qQzS-xjuABJLUSd31KL622CRc/view?usp=drivesdk" TargetMode="External"/><Relationship Id="rId1585" Type="http://schemas.openxmlformats.org/officeDocument/2006/relationships/hyperlink" Target="https://drive.google.com/file/d/1QS7tqQbc8BjM4zK-tWXq1KYMHdU_4sdu/view?usp=drivesdk" TargetMode="External"/><Relationship Id="rId991" Type="http://schemas.openxmlformats.org/officeDocument/2006/relationships/hyperlink" Target="https://drive.google.com/file/d/1ZN9WcHZ-xpkLRRIxX-FQhewsJp_W_biX/view?usp=drivesdk" TargetMode="External"/><Relationship Id="rId1102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9344308%20%2F%20252610516%26entry.1578404635%3DHadir" TargetMode="External"/><Relationship Id="rId1586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6947097%20%2F%20242510277%26entry.1578404635%3DHadir" TargetMode="External"/><Relationship Id="rId1532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2184814%20%2F%20242510369%26entry.1578404635%3DHadir" TargetMode="External"/><Relationship Id="rId1533" Type="http://schemas.openxmlformats.org/officeDocument/2006/relationships/hyperlink" Target="https://drive.google.com/file/d/1IXQOpwfZ37RVWYT-HOALxzquZZUtaTcH/view?usp=drivesdk" TargetMode="External"/><Relationship Id="rId1534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3513380%20%2F%20242510383%26entry.1578404635%3DHadir" TargetMode="External"/><Relationship Id="rId1535" Type="http://schemas.openxmlformats.org/officeDocument/2006/relationships/hyperlink" Target="https://drive.google.com/file/d/1c9IESP9n-wjWjew1eMGWAQPDeTVv7_41/view?usp=drivesdk" TargetMode="External"/><Relationship Id="rId1536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4484878%20%2F%20242510403%26entry.1578404635%3DHadir" TargetMode="External"/><Relationship Id="rId1537" Type="http://schemas.openxmlformats.org/officeDocument/2006/relationships/hyperlink" Target="https://drive.google.com/file/d/1dlkLpSDt7MudD8u9Hou-7mIp1rMkdGpF/view?usp=drivesdk" TargetMode="External"/><Relationship Id="rId1538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4008926%20%2F%20242510425%26entry.1578404635%3DHadir" TargetMode="External"/><Relationship Id="rId1539" Type="http://schemas.openxmlformats.org/officeDocument/2006/relationships/hyperlink" Target="https://drive.google.com/file/d/1Cy_sVEtSB8Fr6Ng5QGuAw5T0dLESu7qZ/view?usp=drivesdk" TargetMode="External"/><Relationship Id="rId949" Type="http://schemas.openxmlformats.org/officeDocument/2006/relationships/hyperlink" Target="https://drive.google.com/file/d/17u_QzWJwD_3RV_734lve4vNJmwNfMoR-/view?usp=drivesdk" TargetMode="External"/><Relationship Id="rId948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5529275%20%2F%20252610184%26entry.1578404635%3DHadir" TargetMode="External"/><Relationship Id="rId943" Type="http://schemas.openxmlformats.org/officeDocument/2006/relationships/hyperlink" Target="https://drive.google.com/file/d/1rUgfxLQ1-dHkcarKi3bEd2n-mW2mj8r3/view?usp=drivesdk" TargetMode="External"/><Relationship Id="rId942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3193565%20%2F%20252610116%26entry.1578404635%3DHadir" TargetMode="External"/><Relationship Id="rId941" Type="http://schemas.openxmlformats.org/officeDocument/2006/relationships/hyperlink" Target="https://drive.google.com/file/d/1oalAcL0xivMtndn37OqOOpKs4YyseuBp/view?usp=drivesdk" TargetMode="External"/><Relationship Id="rId940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1891047%20%2F%20252610114%26entry.1578404635%3DHadir" TargetMode="External"/><Relationship Id="rId947" Type="http://schemas.openxmlformats.org/officeDocument/2006/relationships/hyperlink" Target="https://drive.google.com/file/d/18ml4jdpb0Fd6HPGfrZNtAsaJF9iXPSmx/view?usp=drivesdk" TargetMode="External"/><Relationship Id="rId946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9934428%20%2F%20252610137%26entry.1578404635%3DHadir" TargetMode="External"/><Relationship Id="rId945" Type="http://schemas.openxmlformats.org/officeDocument/2006/relationships/hyperlink" Target="https://drive.google.com/file/d/108LKwLn2T4NidthuZlbLlN8JWR0NnxiT/view?usp=drivesdk" TargetMode="External"/><Relationship Id="rId944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6506746%20%2F%20252610131%26entry.1578404635%3DHadir" TargetMode="External"/><Relationship Id="rId1530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3108459157%20%2F%20242510368%26entry.1578404635%3DHadir" TargetMode="External"/><Relationship Id="rId1531" Type="http://schemas.openxmlformats.org/officeDocument/2006/relationships/hyperlink" Target="https://drive.google.com/file/d/1trrzA6kDNZPIds7XPT2iwbWYZFCRNOCb/view?usp=drivesdk" TargetMode="External"/><Relationship Id="rId1521" Type="http://schemas.openxmlformats.org/officeDocument/2006/relationships/hyperlink" Target="https://drive.google.com/file/d/1zk9EOeEL2errs_Duel3Glyo66o5Onxj5/view?usp=drivesdk" TargetMode="External"/><Relationship Id="rId1522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83216448%20%2F%20242510340%26entry.1578404635%3DHadir" TargetMode="External"/><Relationship Id="rId1523" Type="http://schemas.openxmlformats.org/officeDocument/2006/relationships/hyperlink" Target="https://drive.google.com/file/d/1k9g5l6HQ4Qu_wMiP6bTcmqSL54xEdmrb/view?usp=drivesdk" TargetMode="External"/><Relationship Id="rId1524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81976297%20%2F%20242510351%26entry.1578404635%3DHadir" TargetMode="External"/><Relationship Id="rId1525" Type="http://schemas.openxmlformats.org/officeDocument/2006/relationships/hyperlink" Target="https://drive.google.com/file/d/1H37gH5oBcFKQrlt16r8xLY6Jy1BXGJqZ/view?usp=drivesdk" TargetMode="External"/><Relationship Id="rId1526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87374524%20%2F%20242510358%26entry.1578404635%3DHadir" TargetMode="External"/><Relationship Id="rId1527" Type="http://schemas.openxmlformats.org/officeDocument/2006/relationships/hyperlink" Target="https://drive.google.com/file/d/1r--HAY53j6-aeZ8W47W6cOQIhOpr1pyz/view?usp=drivesdk" TargetMode="External"/><Relationship Id="rId1528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5610000%20%2F%20242510359%26entry.1578404635%3DHadir" TargetMode="External"/><Relationship Id="rId1529" Type="http://schemas.openxmlformats.org/officeDocument/2006/relationships/hyperlink" Target="https://drive.google.com/file/d/1eEalvso6_bS1ugIoaf73CPtjF_FTf0s4/view?usp=drivesdk" TargetMode="External"/><Relationship Id="rId939" Type="http://schemas.openxmlformats.org/officeDocument/2006/relationships/hyperlink" Target="https://drive.google.com/file/d/1hqU42rTaEbJR9fG_34kBd4OUfQKRuCii/view?usp=drivesdk" TargetMode="External"/><Relationship Id="rId938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3105650741%20%2F%20252610112%26entry.1578404635%3DHadir" TargetMode="External"/><Relationship Id="rId937" Type="http://schemas.openxmlformats.org/officeDocument/2006/relationships/hyperlink" Target="https://drive.google.com/file/d/1PnyAbWszJZrCCbCFueZ5OMAgP_oTUNs_/view?usp=drivesdk" TargetMode="External"/><Relationship Id="rId932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4439014%20%2F%20252610105%26entry.1578404635%3DHadir" TargetMode="External"/><Relationship Id="rId931" Type="http://schemas.openxmlformats.org/officeDocument/2006/relationships/hyperlink" Target="https://drive.google.com/file/d/1hSGaUO0qdoBUdidTGNBR4seD7NXCPlaF/view?usp=drivesdk" TargetMode="External"/><Relationship Id="rId930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9678017%20%2F%20252610098%26entry.1578404635%3DHadir" TargetMode="External"/><Relationship Id="rId936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1964014%20%2F%20252610111%26entry.1578404635%3DHadir" TargetMode="External"/><Relationship Id="rId935" Type="http://schemas.openxmlformats.org/officeDocument/2006/relationships/hyperlink" Target="https://drive.google.com/file/d/1HijtrivCs_GPwiwoItIiGwOBkLLNsMtD/view?usp=drivesdk" TargetMode="External"/><Relationship Id="rId934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7138954%20%2F%20252610110%26entry.1578404635%3DHadir" TargetMode="External"/><Relationship Id="rId933" Type="http://schemas.openxmlformats.org/officeDocument/2006/relationships/hyperlink" Target="https://drive.google.com/file/d/1O4sAtwJvNBW7VIMvy5JYoh0WC-Uj2KjY/view?usp=drivesdk" TargetMode="External"/><Relationship Id="rId1520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87189022%20%2F%20242510326%26entry.1578404635%3DHadir" TargetMode="External"/><Relationship Id="rId1554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7044189%20%2F%20242510065%26entry.1578404635%3DHadir" TargetMode="External"/><Relationship Id="rId1555" Type="http://schemas.openxmlformats.org/officeDocument/2006/relationships/hyperlink" Target="https://drive.google.com/file/d/1mXbEa1H1b6TQ7xgNnLr5xpt4G4n4FHpM/view?usp=drivesdk" TargetMode="External"/><Relationship Id="rId1556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4015905%20%2F%20242510074%26entry.1578404635%3DHadir" TargetMode="External"/><Relationship Id="rId1557" Type="http://schemas.openxmlformats.org/officeDocument/2006/relationships/hyperlink" Target="https://drive.google.com/file/d/1E1vmPN80WEJrJfjd95wWxB9oa2AUdDWf/view?usp=drivesdk" TargetMode="External"/><Relationship Id="rId1558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9056940%20%2F%20242510077%26entry.1578404635%3DHadir" TargetMode="External"/><Relationship Id="rId1559" Type="http://schemas.openxmlformats.org/officeDocument/2006/relationships/hyperlink" Target="https://drive.google.com/file/d/1S0LK1fjSIdkiJSITRmNEu6YxFq9zkMYb/view?usp=drivesdk" TargetMode="External"/><Relationship Id="rId965" Type="http://schemas.openxmlformats.org/officeDocument/2006/relationships/hyperlink" Target="https://drive.google.com/file/d/1nwHUEVCi1u5VyupTN7Tl8FF1V1aPUZY_/view?usp=drivesdk" TargetMode="External"/><Relationship Id="rId964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6465537%20%2F%20252610295%26entry.1578404635%3DHadir" TargetMode="External"/><Relationship Id="rId963" Type="http://schemas.openxmlformats.org/officeDocument/2006/relationships/hyperlink" Target="https://drive.google.com/file/d/1OFhxW6z-fX29xC1P31d-mWzJyLvw6eIM/view?usp=drivesdk" TargetMode="External"/><Relationship Id="rId962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3335479%20%2F%20252610292%26entry.1578404635%3DHadir" TargetMode="External"/><Relationship Id="rId969" Type="http://schemas.openxmlformats.org/officeDocument/2006/relationships/hyperlink" Target="https://drive.google.com/file/d/1OJxylzVoiO8GMtO4qWQTSZ47DDIr0ubr/view?usp=drivesdk" TargetMode="External"/><Relationship Id="rId968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5348604%20%2F%20252610315%26entry.1578404635%3DHadir" TargetMode="External"/><Relationship Id="rId967" Type="http://schemas.openxmlformats.org/officeDocument/2006/relationships/hyperlink" Target="https://drive.google.com/file/d/1ifDQIQwGGfJ7PMSvoPbIb-_Ef6o4qSSA/view?usp=drivesdk" TargetMode="External"/><Relationship Id="rId966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3732986%20%2F%20252610310%26entry.1578404635%3DHadir" TargetMode="External"/><Relationship Id="rId961" Type="http://schemas.openxmlformats.org/officeDocument/2006/relationships/hyperlink" Target="https://drive.google.com/file/d/1H3I4ZYgbiUnXut7GxgQsNfSd7Mc2FHSx/view?usp=drivesdk" TargetMode="External"/><Relationship Id="rId1550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3240247%20%2F%20242510049%26entry.1578404635%3DHadir" TargetMode="External"/><Relationship Id="rId960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7372379%20%2F%20252610289%26entry.1578404635%3DHadir" TargetMode="External"/><Relationship Id="rId1551" Type="http://schemas.openxmlformats.org/officeDocument/2006/relationships/hyperlink" Target="https://drive.google.com/file/d/1cG25y_LFUUXeZDJCaSqJfYnKY-_WwkZC/view?usp=drivesdk" TargetMode="External"/><Relationship Id="rId1552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81177343%20%2F%20242510057%26entry.1578404635%3DHadir" TargetMode="External"/><Relationship Id="rId1553" Type="http://schemas.openxmlformats.org/officeDocument/2006/relationships/hyperlink" Target="https://drive.google.com/file/d/1-u99eVwp8Y5ZiHIGu1wQ5tKnQyKrdEB9/view?usp=drivesdk" TargetMode="External"/><Relationship Id="rId1543" Type="http://schemas.openxmlformats.org/officeDocument/2006/relationships/hyperlink" Target="https://drive.google.com/file/d/1SxWtQsuewY_2jeQlIm_qESN7_PmAoTW_/view?usp=drivesdk" TargetMode="External"/><Relationship Id="rId1544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6176025%20%2F%20242510004%26entry.1578404635%3DHadir" TargetMode="External"/><Relationship Id="rId1545" Type="http://schemas.openxmlformats.org/officeDocument/2006/relationships/hyperlink" Target="https://drive.google.com/file/d/1qI0NKDzxWFnqnMP-CTyd8QXEcui2uTpc/view?usp=drivesdk" TargetMode="External"/><Relationship Id="rId1546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83691625%20%2F%20242510013%26entry.1578404635%3DHadir" TargetMode="External"/><Relationship Id="rId1547" Type="http://schemas.openxmlformats.org/officeDocument/2006/relationships/hyperlink" Target="https://drive.google.com/file/d/15r4Dd6Bj48qCr-ONa6yw1B-ZR4CYO5nA/view?usp=drivesdk" TargetMode="External"/><Relationship Id="rId1548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3555544%20%2F%20242510030%26entry.1578404635%3DHadir" TargetMode="External"/><Relationship Id="rId1549" Type="http://schemas.openxmlformats.org/officeDocument/2006/relationships/hyperlink" Target="https://drive.google.com/file/d/1Bs9T5mhIipg1hYp0FoJbjB47uh-OavUB/view?usp=drivesdk" TargetMode="External"/><Relationship Id="rId959" Type="http://schemas.openxmlformats.org/officeDocument/2006/relationships/hyperlink" Target="https://drive.google.com/file/d/1aCpQswczSUS0jjeySfAfgt3eD0wSqfCw/view?usp=drivesdk" TargetMode="External"/><Relationship Id="rId954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7182013%20%2F%20252610228%26entry.1578404635%3DHadir" TargetMode="External"/><Relationship Id="rId953" Type="http://schemas.openxmlformats.org/officeDocument/2006/relationships/hyperlink" Target="https://drive.google.com/file/d/1wgPdQ4-einY4QlECgQ1SIB2fs-8Ns_Bl/view?usp=drivesdk" TargetMode="External"/><Relationship Id="rId952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8365392%20%2F%20252610217%26entry.1578404635%3DHadir" TargetMode="External"/><Relationship Id="rId951" Type="http://schemas.openxmlformats.org/officeDocument/2006/relationships/hyperlink" Target="https://drive.google.com/file/d/1d3qIKa8zIJw4g_ZuyoqGoCUl8M_voMRg/view?usp=drivesdk" TargetMode="External"/><Relationship Id="rId958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18415302%20%2F%20252610253%26entry.1578404635%3DHadir" TargetMode="External"/><Relationship Id="rId957" Type="http://schemas.openxmlformats.org/officeDocument/2006/relationships/hyperlink" Target="https://drive.google.com/file/d/1Dj8K18cEFOaA2IRWoXW1a5AiF5g8zttu/view?usp=drivesdk" TargetMode="External"/><Relationship Id="rId956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2709548%20%2F%20252610241%26entry.1578404635%3DHadir" TargetMode="External"/><Relationship Id="rId955" Type="http://schemas.openxmlformats.org/officeDocument/2006/relationships/hyperlink" Target="https://drive.google.com/file/d/1b9TsEH9WUevO5WD-a_58xw4BDClik4yf/view?usp=drivesdk" TargetMode="External"/><Relationship Id="rId950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8527903%20%2F%20252610196%26entry.1578404635%3DHadir" TargetMode="External"/><Relationship Id="rId1540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6998389%20%2F%20242510428%26entry.1578404635%3DHadir" TargetMode="External"/><Relationship Id="rId1541" Type="http://schemas.openxmlformats.org/officeDocument/2006/relationships/hyperlink" Target="https://drive.google.com/file/d/1ICfecS9XO5WJoH8nmpNgSlqFwsf9QEw8/view?usp=drivesdk" TargetMode="External"/><Relationship Id="rId1542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9205215%20%2F%20242510002%26entry.1578404635%3DHadir" TargetMode="External"/><Relationship Id="rId590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5055119%20%2F%20252610264%26entry.1578404635%3DHadir" TargetMode="External"/><Relationship Id="rId107" Type="http://schemas.openxmlformats.org/officeDocument/2006/relationships/hyperlink" Target="https://drive.google.com/file/d/1d6QA5zp1Vi-nS8UnSa5r-4KbJfyjVHuT/view?usp=drivesdk" TargetMode="External"/><Relationship Id="rId106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9006152%20%2F%20252610058%26entry.1578404635%3DHadir" TargetMode="External"/><Relationship Id="rId105" Type="http://schemas.openxmlformats.org/officeDocument/2006/relationships/hyperlink" Target="https://drive.google.com/file/d/1v7wvk3O0DJKty1fROoP0eASVLgj0R8qk/view?usp=drivesdk" TargetMode="External"/><Relationship Id="rId589" Type="http://schemas.openxmlformats.org/officeDocument/2006/relationships/hyperlink" Target="https://drive.google.com/file/d/1kHPRkitEcG8H0W-d76ANCPVHPOGN0F7k/view?usp=drivesdk" TargetMode="External"/><Relationship Id="rId104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5813396%20%2F%20252610052%26entry.1578404635%3DHadir" TargetMode="External"/><Relationship Id="rId588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6222604%20%2F%20252610254%26entry.1578404635%3DHadir" TargetMode="External"/><Relationship Id="rId109" Type="http://schemas.openxmlformats.org/officeDocument/2006/relationships/hyperlink" Target="https://drive.google.com/file/d/1T8aWCbjMdk74BXIB8TCMBqnV86daV1up/view?usp=drivesdk" TargetMode="External"/><Relationship Id="rId1170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84290235%20%2F%20242510406%26entry.1578404635%3DHadir" TargetMode="External"/><Relationship Id="rId108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7211030%20%2F%20252610062%26entry.1578404635%3DHadir" TargetMode="External"/><Relationship Id="rId1171" Type="http://schemas.openxmlformats.org/officeDocument/2006/relationships/hyperlink" Target="https://drive.google.com/file/d/1eVT5xn_yrzFTZjxpO6ueuUpC_yssbLEo/view?usp=drivesdk" TargetMode="External"/><Relationship Id="rId583" Type="http://schemas.openxmlformats.org/officeDocument/2006/relationships/hyperlink" Target="https://drive.google.com/file/d/13DvewKRpqiQFbG2yQhjp_FSN1ugaQ1yl/view?usp=drivesdk" TargetMode="External"/><Relationship Id="rId1172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3286737%20%2F%20242510414%26entry.1578404635%3DHadir" TargetMode="External"/><Relationship Id="rId582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7335774%20%2F%20252610221%26entry.1578404635%3DHadir" TargetMode="External"/><Relationship Id="rId1173" Type="http://schemas.openxmlformats.org/officeDocument/2006/relationships/hyperlink" Target="https://drive.google.com/file/d/1x4SiNdzK0Ur4EQ7Z2DU165vzoAFamSSo/view?usp=drivesdk" TargetMode="External"/><Relationship Id="rId581" Type="http://schemas.openxmlformats.org/officeDocument/2006/relationships/hyperlink" Target="https://drive.google.com/file/d/10ok6w91GLXBs0uVyQ2eKltTz5fjeFMJh/view?usp=drivesdk" TargetMode="External"/><Relationship Id="rId1174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1061057%20%2F%20242510416%26entry.1578404635%3DHadir" TargetMode="External"/><Relationship Id="rId580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4782869%20%2F%20252610200%26entry.1578404635%3DHadir" TargetMode="External"/><Relationship Id="rId1175" Type="http://schemas.openxmlformats.org/officeDocument/2006/relationships/hyperlink" Target="https://drive.google.com/file/d/1tiIfn0QKKG4r0vgCVyNXO0Gl6e64XvwI/view?usp=drivesdk" TargetMode="External"/><Relationship Id="rId103" Type="http://schemas.openxmlformats.org/officeDocument/2006/relationships/hyperlink" Target="https://drive.google.com/file/d/1_YSPZldf8E3yzBabNxKC3cTzD2e6-CbI/view?usp=drivesdk" TargetMode="External"/><Relationship Id="rId587" Type="http://schemas.openxmlformats.org/officeDocument/2006/relationships/hyperlink" Target="https://drive.google.com/file/d/1EMyhj1TzY9KHsOrpCVSVE60DXNBKjwgm/view?usp=drivesdk" TargetMode="External"/><Relationship Id="rId1176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5163025%20%2F%20242510426%26entry.1578404635%3DHadir" TargetMode="External"/><Relationship Id="rId102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5372504%20%2F%20252610050%26entry.1578404635%3DHadir" TargetMode="External"/><Relationship Id="rId586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3078917%20%2F%20252610252%26entry.1578404635%3DHadir" TargetMode="External"/><Relationship Id="rId1177" Type="http://schemas.openxmlformats.org/officeDocument/2006/relationships/hyperlink" Target="https://drive.google.com/file/d/1XBqrmOuMx6_1FjcIaSnYnUlzE9KQnUe4/view?usp=drivesdk" TargetMode="External"/><Relationship Id="rId101" Type="http://schemas.openxmlformats.org/officeDocument/2006/relationships/hyperlink" Target="https://drive.google.com/file/d/1nEPueYwyqo-f8dDwrk4qy3wFNq8GVL3O/view?usp=drivesdk" TargetMode="External"/><Relationship Id="rId585" Type="http://schemas.openxmlformats.org/officeDocument/2006/relationships/hyperlink" Target="https://drive.google.com/file/d/1ugNh5yH0ffDrsIzXKyPNgXh9przMk1Br/view?usp=drivesdk" TargetMode="External"/><Relationship Id="rId1178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82747470%20%2F%20242510430%26entry.1578404635%3DHadir" TargetMode="External"/><Relationship Id="rId100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4550133%20%2F%20252610039%26entry.1578404635%3DHadir" TargetMode="External"/><Relationship Id="rId584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3103220251%20%2F%20252610225%26entry.1578404635%3DHadir" TargetMode="External"/><Relationship Id="rId1179" Type="http://schemas.openxmlformats.org/officeDocument/2006/relationships/hyperlink" Target="https://drive.google.com/file/d/10QMwOFMrKmIarNBo47YoB4dk-gWcpYut/view?usp=drivesdk" TargetMode="External"/><Relationship Id="rId1169" Type="http://schemas.openxmlformats.org/officeDocument/2006/relationships/hyperlink" Target="https://drive.google.com/file/d/195MjgS9-9AHAPJr5Wxk_NmxmD91jmrrf/view?usp=drivesdk" TargetMode="External"/><Relationship Id="rId579" Type="http://schemas.openxmlformats.org/officeDocument/2006/relationships/hyperlink" Target="https://drive.google.com/file/d/1IzM4Mzfw4WSBZgv_949z-CWhkwBJXUZ3/view?usp=drivesdk" TargetMode="External"/><Relationship Id="rId578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7042804%20%2F%20252610197%26entry.1578404635%3DHadir" TargetMode="External"/><Relationship Id="rId577" Type="http://schemas.openxmlformats.org/officeDocument/2006/relationships/hyperlink" Target="https://drive.google.com/file/d/1MBoWMyVFTczExKalmTZ2u03zOKDbGNOC/view?usp=drivesdk" TargetMode="External"/><Relationship Id="rId1160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4989387%20%2F%20242510325%26entry.1578404635%3DHadir" TargetMode="External"/><Relationship Id="rId572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3281671%20%2F%20252610159%26entry.1578404635%3DHadir" TargetMode="External"/><Relationship Id="rId1161" Type="http://schemas.openxmlformats.org/officeDocument/2006/relationships/hyperlink" Target="https://drive.google.com/file/d/1IyLP75ltSORbdTEZ9QnX-lLa_mw4u0xX/view?usp=drivesdk" TargetMode="External"/><Relationship Id="rId571" Type="http://schemas.openxmlformats.org/officeDocument/2006/relationships/hyperlink" Target="https://drive.google.com/file/d/1AceUVFIX4YCoqFouiOC55_DHOQg8FuFu/view?usp=drivesdk" TargetMode="External"/><Relationship Id="rId1162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1033788%20%2F%20242510336%26entry.1578404635%3DHadir" TargetMode="External"/><Relationship Id="rId570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9164493%20%2F%20252610156%26entry.1578404635%3DHadir" TargetMode="External"/><Relationship Id="rId1163" Type="http://schemas.openxmlformats.org/officeDocument/2006/relationships/hyperlink" Target="https://drive.google.com/file/d/1PCZbJ58VHjBxzozad9lTVc_4WHcJ24hj/view?usp=drivesdk" TargetMode="External"/><Relationship Id="rId1164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3098805753%20%2F%20242510342%26entry.1578404635%3DHadir" TargetMode="External"/><Relationship Id="rId576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4004131%20%2F%20252610182%26entry.1578404635%3DHadir" TargetMode="External"/><Relationship Id="rId1165" Type="http://schemas.openxmlformats.org/officeDocument/2006/relationships/hyperlink" Target="https://drive.google.com/file/d/1eBdpx3G599Uem8Sjcw3q2k_9g-9WVAua/view?usp=drivesdk" TargetMode="External"/><Relationship Id="rId575" Type="http://schemas.openxmlformats.org/officeDocument/2006/relationships/hyperlink" Target="https://drive.google.com/file/d/1lmlc61idtwi-hq7hhjEfAl9FxfqW-xMW/view?usp=drivesdk" TargetMode="External"/><Relationship Id="rId1166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2827580%20%2F%20242510388%26entry.1578404635%3DHadir" TargetMode="External"/><Relationship Id="rId574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1524155%20%2F%20252610179%26entry.1578404635%3DHadir" TargetMode="External"/><Relationship Id="rId1167" Type="http://schemas.openxmlformats.org/officeDocument/2006/relationships/hyperlink" Target="https://drive.google.com/file/d/14FsdATa0nFs9XtrUksgGJrRxn6UHBJa3/view?usp=drivesdk" TargetMode="External"/><Relationship Id="rId573" Type="http://schemas.openxmlformats.org/officeDocument/2006/relationships/hyperlink" Target="https://drive.google.com/file/d/1eu-ALrI43IlGR5flc6eaeorPlKgmqobL/view?usp=drivesdk" TargetMode="External"/><Relationship Id="rId1168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83624999%20%2F%20242510402%26entry.1578404635%3DHadir" TargetMode="External"/><Relationship Id="rId129" Type="http://schemas.openxmlformats.org/officeDocument/2006/relationships/hyperlink" Target="https://drive.google.com/file/d/1eiVnEYJDS-u1qKnxLAayn_TUeFJOzTFd/view?usp=drivesdk" TargetMode="External"/><Relationship Id="rId128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8157268%20%2F%20252610154%26entry.1578404635%3DHadir" TargetMode="External"/><Relationship Id="rId127" Type="http://schemas.openxmlformats.org/officeDocument/2006/relationships/hyperlink" Target="https://drive.google.com/file/d/1XSTtBC7yMjTHBgtpGpPpDoj-cPr5OVl-/view?usp=drivesdk" TargetMode="External"/><Relationship Id="rId126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3104617391%20%2F%20252610153%26entry.1578404635%3DHadir" TargetMode="External"/><Relationship Id="rId1190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8621054%20%2F%20242510037%26entry.1578404635%3DHadir" TargetMode="External"/><Relationship Id="rId1191" Type="http://schemas.openxmlformats.org/officeDocument/2006/relationships/hyperlink" Target="https://drive.google.com/file/d/1K1ssMRCW24TlTgeLre2rESCSqzQH2KSI/view?usp=drivesdk" TargetMode="External"/><Relationship Id="rId1192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2707821%20%2F%20242510046%26entry.1578404635%3DHadir" TargetMode="External"/><Relationship Id="rId1193" Type="http://schemas.openxmlformats.org/officeDocument/2006/relationships/hyperlink" Target="https://drive.google.com/file/d/1WgkGa99gXIE8Fq2kPZrZC2d9JBKEiC_C/view?usp=drivesdk" TargetMode="External"/><Relationship Id="rId121" Type="http://schemas.openxmlformats.org/officeDocument/2006/relationships/hyperlink" Target="https://drive.google.com/file/d/1YOs4LBHSXwwreL_T8Tbh6G3pgiJ2yTpc/view?usp=drivesdk" TargetMode="External"/><Relationship Id="rId1194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83016159%20%2F%20242510052%26entry.1578404635%3DHadir" TargetMode="External"/><Relationship Id="rId120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2731314%20%2F%20252610124%26entry.1578404635%3DHadir" TargetMode="External"/><Relationship Id="rId1195" Type="http://schemas.openxmlformats.org/officeDocument/2006/relationships/hyperlink" Target="https://drive.google.com/file/d/1Ub8UJF9FsxxWVRloNSZOohZgIT7yIHGA/view?usp=drivesdk" TargetMode="External"/><Relationship Id="rId1196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83641645%20%2F%20242510064%26entry.1578404635%3DHadir" TargetMode="External"/><Relationship Id="rId1197" Type="http://schemas.openxmlformats.org/officeDocument/2006/relationships/hyperlink" Target="https://drive.google.com/file/d/1YjMx01n2gamnlkO5uzcvGQef8FuMVCqI/view?usp=drivesdk" TargetMode="External"/><Relationship Id="rId125" Type="http://schemas.openxmlformats.org/officeDocument/2006/relationships/hyperlink" Target="https://drive.google.com/file/d/1Aa9oBtmISDIuHdQbVZCyfOLlYEq1Zl1W/view?usp=drivesdk" TargetMode="External"/><Relationship Id="rId1198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3262366%20%2F%20242510104%26entry.1578404635%3DHadir" TargetMode="External"/><Relationship Id="rId124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6384221%20%2F%20252610145%26entry.1578404635%3DHadir" TargetMode="External"/><Relationship Id="rId1199" Type="http://schemas.openxmlformats.org/officeDocument/2006/relationships/hyperlink" Target="https://drive.google.com/file/d/1FyXgj0IY9AsBtzkVuWSzb6HRbFuBZ725/view?usp=drivesdk" TargetMode="External"/><Relationship Id="rId123" Type="http://schemas.openxmlformats.org/officeDocument/2006/relationships/hyperlink" Target="https://drive.google.com/file/d/1xtFbmUx3DpIkVo8HmV8a8ij_v5h0c5H4/view?usp=drivesdk" TargetMode="External"/><Relationship Id="rId122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2794157%20%2F%20252610139%26entry.1578404635%3DHadir" TargetMode="External"/><Relationship Id="rId118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5797314%20%2F%20252610102%26entry.1578404635%3DHadir" TargetMode="External"/><Relationship Id="rId117" Type="http://schemas.openxmlformats.org/officeDocument/2006/relationships/hyperlink" Target="https://drive.google.com/file/d/1ubg9Wzmya8Nhedu7v_56BBXlaGmVy9gb/view?usp=drivesdk" TargetMode="External"/><Relationship Id="rId116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6376916%20%2F%20252610090%26entry.1578404635%3DHadir" TargetMode="External"/><Relationship Id="rId115" Type="http://schemas.openxmlformats.org/officeDocument/2006/relationships/hyperlink" Target="https://drive.google.com/file/d/1rjgwiGoXrvzhzLXFC2-MjxPDWMU-J86k/view?usp=drivesdk" TargetMode="External"/><Relationship Id="rId599" Type="http://schemas.openxmlformats.org/officeDocument/2006/relationships/hyperlink" Target="https://drive.google.com/file/d/1KyIgbmdsU82RWgoWxZBEUIrVnryuVKJg/view?usp=drivesdk" TargetMode="External"/><Relationship Id="rId1180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85011294%20%2F%20242510432%26entry.1578404635%3DHadir" TargetMode="External"/><Relationship Id="rId1181" Type="http://schemas.openxmlformats.org/officeDocument/2006/relationships/hyperlink" Target="https://drive.google.com/file/d/1eAjj8D5KtsQpqAwsssPxziuIXXpdlqpT/view?usp=drivesdk" TargetMode="External"/><Relationship Id="rId119" Type="http://schemas.openxmlformats.org/officeDocument/2006/relationships/hyperlink" Target="https://drive.google.com/file/d/1nkWWYZxxxqEYNl-74LFssFZcXX-uDpl_/view?usp=drivesdk" TargetMode="External"/><Relationship Id="rId1182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2385645%20%2F%20242510005%26entry.1578404635%3DHadir" TargetMode="External"/><Relationship Id="rId110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3108667209%20%2F%20252610070%26entry.1578404635%3DHadir" TargetMode="External"/><Relationship Id="rId594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3093288409%20%2F%20252610291%26entry.1578404635%3DHadir" TargetMode="External"/><Relationship Id="rId1183" Type="http://schemas.openxmlformats.org/officeDocument/2006/relationships/hyperlink" Target="https://drive.google.com/file/d/1Nt0iHdTeWO1qD3-i5fA7YVvLU7BVXlHA/view?usp=drivesdk" TargetMode="External"/><Relationship Id="rId593" Type="http://schemas.openxmlformats.org/officeDocument/2006/relationships/hyperlink" Target="https://drive.google.com/file/d/1SIYILAU0e2-dUE47Cl6ITSe5m_haindr/view?usp=drivesdk" TargetMode="External"/><Relationship Id="rId1184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83638898%20%2F%20242510007%26entry.1578404635%3DHadir" TargetMode="External"/><Relationship Id="rId592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6544983%20%2F%20252610268%26entry.1578404635%3DHadir" TargetMode="External"/><Relationship Id="rId1185" Type="http://schemas.openxmlformats.org/officeDocument/2006/relationships/hyperlink" Target="https://drive.google.com/file/d/1gKmDsL5rGL9MtZzGwxO2OHADsXcRy4Kk/view?usp=drivesdk" TargetMode="External"/><Relationship Id="rId591" Type="http://schemas.openxmlformats.org/officeDocument/2006/relationships/hyperlink" Target="https://drive.google.com/file/d/1LhhtRuRhZQyUnLyE4-IEvZ-RggSRXnwK/view?usp=drivesdk" TargetMode="External"/><Relationship Id="rId1186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83581318%20%2F%20242510018%26entry.1578404635%3DHadir" TargetMode="External"/><Relationship Id="rId114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8513542%20%2F%20252610084%26entry.1578404635%3DHadir" TargetMode="External"/><Relationship Id="rId598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4328116%20%2F%20252610318%26entry.1578404635%3DHadir" TargetMode="External"/><Relationship Id="rId1187" Type="http://schemas.openxmlformats.org/officeDocument/2006/relationships/hyperlink" Target="https://drive.google.com/file/d/1pij1QdOOs09IJMi_TgHl7ThE3giSeg17/view?usp=drivesdk" TargetMode="External"/><Relationship Id="rId113" Type="http://schemas.openxmlformats.org/officeDocument/2006/relationships/hyperlink" Target="https://drive.google.com/file/d/1IbqYvnCOf4uirVZuOV4dwHfnsRXQ21sf/view?usp=drivesdk" TargetMode="External"/><Relationship Id="rId597" Type="http://schemas.openxmlformats.org/officeDocument/2006/relationships/hyperlink" Target="https://drive.google.com/file/d/1spUSsBb4s2y7VAJhyPtYf6PQ4bvAxW4X/view?usp=drivesdk" TargetMode="External"/><Relationship Id="rId1188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86733881%20%2F%20242510028%26entry.1578404635%3DHadir" TargetMode="External"/><Relationship Id="rId112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9904498%20%2F%20252610075%26entry.1578404635%3DHadir" TargetMode="External"/><Relationship Id="rId596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3468589%20%2F%20252610300%26entry.1578404635%3DHadir" TargetMode="External"/><Relationship Id="rId1189" Type="http://schemas.openxmlformats.org/officeDocument/2006/relationships/hyperlink" Target="https://drive.google.com/file/d/1FKsRKbmZ4eKe0yHl2ouiHpY4qTtRWiIf/view?usp=drivesdk" TargetMode="External"/><Relationship Id="rId111" Type="http://schemas.openxmlformats.org/officeDocument/2006/relationships/hyperlink" Target="https://drive.google.com/file/d/1bgI--588l7W0F6MH1pH5MFbys4-cObhL/view?usp=drivesdk" TargetMode="External"/><Relationship Id="rId595" Type="http://schemas.openxmlformats.org/officeDocument/2006/relationships/hyperlink" Target="https://drive.google.com/file/d/1O2WqY97qUmK31RjTKBZWhMSOqX6XSPD5/view?usp=drivesdk" TargetMode="External"/><Relationship Id="rId1136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88101729%20%2F%20242510173%26entry.1578404635%3DHadir" TargetMode="External"/><Relationship Id="rId1137" Type="http://schemas.openxmlformats.org/officeDocument/2006/relationships/hyperlink" Target="https://drive.google.com/file/d/1NP0iHGTwAaqebNteu88DGS4bp5fwSpQ-/view?usp=drivesdk" TargetMode="External"/><Relationship Id="rId1138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9940887%20%2F%20242510183%26entry.1578404635%3DHadir" TargetMode="External"/><Relationship Id="rId1139" Type="http://schemas.openxmlformats.org/officeDocument/2006/relationships/hyperlink" Target="https://drive.google.com/file/d/10M8vDb-GhuUZEiCpVn0gXcFmbmCTzdJa/view?usp=drivesdk" TargetMode="External"/><Relationship Id="rId547" Type="http://schemas.openxmlformats.org/officeDocument/2006/relationships/hyperlink" Target="https://drive.google.com/file/d/1ouJ5Q6DSbL7V4O7VVF4PK94JpHuSgAKc/view?usp=drivesdk" TargetMode="External"/><Relationship Id="rId546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1383149%20%2F%20252610529%26entry.1578404635%3DHadir" TargetMode="External"/><Relationship Id="rId545" Type="http://schemas.openxmlformats.org/officeDocument/2006/relationships/hyperlink" Target="https://drive.google.com/file/d/1mJsCd2MaCZHgXkeZnlDQznGIkaAbAnzr/view?usp=drivesdk" TargetMode="External"/><Relationship Id="rId544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6462308%20%2F%20252610528%26entry.1578404635%3DHadir" TargetMode="External"/><Relationship Id="rId549" Type="http://schemas.openxmlformats.org/officeDocument/2006/relationships/hyperlink" Target="https://drive.google.com/file/d/1Vnp7qGQ42f_J1eRShzKRXXvjwqWqQN88/view?usp=drivesdk" TargetMode="External"/><Relationship Id="rId548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7096617%20%2F%20252610541%26entry.1578404635%3DHadir" TargetMode="External"/><Relationship Id="rId1130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83076557%20%2F%20242510116%26entry.1578404635%3DHadir" TargetMode="External"/><Relationship Id="rId1131" Type="http://schemas.openxmlformats.org/officeDocument/2006/relationships/hyperlink" Target="https://drive.google.com/file/d/1AFMn94HCEUiKyQ_6sDD-LGnoWOileGU4/view?usp=drivesdk" TargetMode="External"/><Relationship Id="rId543" Type="http://schemas.openxmlformats.org/officeDocument/2006/relationships/hyperlink" Target="https://drive.google.com/file/d/1rykEWF3929Ix4i95Vr3YX6oAaTggJYhw/view?usp=drivesdk" TargetMode="External"/><Relationship Id="rId1132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3137843%20%2F%20242510126%26entry.1578404635%3DHadir" TargetMode="External"/><Relationship Id="rId542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3096600612%20%2F%20252610517%26entry.1578404635%3DHadir" TargetMode="External"/><Relationship Id="rId1133" Type="http://schemas.openxmlformats.org/officeDocument/2006/relationships/hyperlink" Target="https://drive.google.com/file/d/1IdYvakE_NomhNHisQtJ0nLVNMdHcOGhe/view?usp=drivesdk" TargetMode="External"/><Relationship Id="rId541" Type="http://schemas.openxmlformats.org/officeDocument/2006/relationships/hyperlink" Target="https://drive.google.com/file/d/1E-sxpa6-EewmMh3sb_tYZlelAkGNwfha/view?usp=drivesdk" TargetMode="External"/><Relationship Id="rId1134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3090828690%20%2F%20242510159%26entry.1578404635%3DHadir" TargetMode="External"/><Relationship Id="rId540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2698949%20%2F%20252610505%26entry.1578404635%3DHadir" TargetMode="External"/><Relationship Id="rId1135" Type="http://schemas.openxmlformats.org/officeDocument/2006/relationships/hyperlink" Target="https://drive.google.com/file/d/1Irw-wYSXV5ROPrEaqNlhfuWqpx1mbNIf/view?usp=drivesdk" TargetMode="External"/><Relationship Id="rId1125" Type="http://schemas.openxmlformats.org/officeDocument/2006/relationships/hyperlink" Target="https://drive.google.com/file/d/1dL7s66EUt8HR_u7PWBdYQoM4NmyHZoen/view?usp=drivesdk" TargetMode="External"/><Relationship Id="rId1126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5504110%20%2F%20242510111%26entry.1578404635%3DHadir" TargetMode="External"/><Relationship Id="rId1127" Type="http://schemas.openxmlformats.org/officeDocument/2006/relationships/hyperlink" Target="https://drive.google.com/file/d/1sLLSm4kMaFDT1aUZ1cHshv5ccxd9YZZq/view?usp=drivesdk" TargetMode="External"/><Relationship Id="rId1128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3081717964%20%2F%20242510114%26entry.1578404635%3DHadir" TargetMode="External"/><Relationship Id="rId1129" Type="http://schemas.openxmlformats.org/officeDocument/2006/relationships/hyperlink" Target="https://drive.google.com/file/d/1j_vfeBsP8e4tlAE59Y76BLyGR9xeIIdX/view?usp=drivesdk" TargetMode="External"/><Relationship Id="rId536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4171202%20%2F%20252610486%26entry.1578404635%3DHadir" TargetMode="External"/><Relationship Id="rId535" Type="http://schemas.openxmlformats.org/officeDocument/2006/relationships/hyperlink" Target="https://drive.google.com/file/d/1um8ZeyTvrNYaAdokbZrgc5jowoarqdOX/view?usp=drivesdk" TargetMode="External"/><Relationship Id="rId534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8406931%20%2F%20252610484%26entry.1578404635%3DHadir" TargetMode="External"/><Relationship Id="rId533" Type="http://schemas.openxmlformats.org/officeDocument/2006/relationships/hyperlink" Target="https://drive.google.com/file/d/1tlrINIeMSTClo7v3LHvlEB2GuQsbwVQ2/view?usp=drivesdk" TargetMode="External"/><Relationship Id="rId539" Type="http://schemas.openxmlformats.org/officeDocument/2006/relationships/hyperlink" Target="https://drive.google.com/file/d/1opE__sRAKCoYyAn9crLHfabvI_BFWzm2/view?usp=drivesdk" TargetMode="External"/><Relationship Id="rId538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3096816288%20%2F%20252610495%26entry.1578404635%3DHadir" TargetMode="External"/><Relationship Id="rId537" Type="http://schemas.openxmlformats.org/officeDocument/2006/relationships/hyperlink" Target="https://drive.google.com/file/d/1UdxmdVhxMV76N6Nv-Nk-7tddUB_1SP_D/view?usp=drivesdk" TargetMode="External"/><Relationship Id="rId1120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3086190678%20%2F%20242510079%26entry.1578404635%3DHadir" TargetMode="External"/><Relationship Id="rId532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3623051%20%2F%20252610479%26entry.1578404635%3DHadir" TargetMode="External"/><Relationship Id="rId1121" Type="http://schemas.openxmlformats.org/officeDocument/2006/relationships/hyperlink" Target="https://drive.google.com/file/d/1u0qY4PRYeuahVEqoGsCyrHCph_rbdPSi/view?usp=drivesdk" TargetMode="External"/><Relationship Id="rId531" Type="http://schemas.openxmlformats.org/officeDocument/2006/relationships/hyperlink" Target="https://drive.google.com/file/d/1MZq_u6VF6CGfbGnIYbmdiWtK9QqAtRbr/view?usp=drivesdk" TargetMode="External"/><Relationship Id="rId1122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7163370%20%2F%20242510095%26entry.1578404635%3DHadir" TargetMode="External"/><Relationship Id="rId530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4690365%20%2F%20252610478%26entry.1578404635%3DHadir" TargetMode="External"/><Relationship Id="rId1123" Type="http://schemas.openxmlformats.org/officeDocument/2006/relationships/hyperlink" Target="https://drive.google.com/file/d/1wREv-A67yt-5vuC7B8bOHm0SjynvFSDP/view?usp=drivesdk" TargetMode="External"/><Relationship Id="rId1124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3092678408%20%2F%20242510108%26entry.1578404635%3DHadir" TargetMode="External"/><Relationship Id="rId1158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83833819%20%2F%20242510323%26entry.1578404635%3DHadir" TargetMode="External"/><Relationship Id="rId1159" Type="http://schemas.openxmlformats.org/officeDocument/2006/relationships/hyperlink" Target="https://drive.google.com/file/d/1VaefiX2DSvkg8hvqetmcklePoxh3SLcC/view?usp=drivesdk" TargetMode="External"/><Relationship Id="rId569" Type="http://schemas.openxmlformats.org/officeDocument/2006/relationships/hyperlink" Target="https://drive.google.com/file/d/1BmDXEgwljdWNjU6wCrsYmM6yOVsA4vZP/view?usp=drivesdk" TargetMode="External"/><Relationship Id="rId568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3120702%20%2F%20252610144%26entry.1578404635%3DHadir" TargetMode="External"/><Relationship Id="rId567" Type="http://schemas.openxmlformats.org/officeDocument/2006/relationships/hyperlink" Target="https://drive.google.com/file/d/1LXFiIppbtalcbpiDrnRgHNeEHovRD6N4/view?usp=drivesdk" TargetMode="External"/><Relationship Id="rId566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8763766%20%2F%20252610141%26entry.1578404635%3DHadir" TargetMode="External"/><Relationship Id="rId561" Type="http://schemas.openxmlformats.org/officeDocument/2006/relationships/hyperlink" Target="https://drive.google.com/file/d/19I6GUzKtyFn9Y0LHB_rHcKAVV-7OBj7C/view?usp=drivesdk" TargetMode="External"/><Relationship Id="rId1150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83667654%20%2F%20242510209%26entry.1578404635%3DHadir" TargetMode="External"/><Relationship Id="rId560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6758481%20%2F%20252610064%26entry.1578404635%3DHadir" TargetMode="External"/><Relationship Id="rId1151" Type="http://schemas.openxmlformats.org/officeDocument/2006/relationships/hyperlink" Target="https://drive.google.com/file/d/1CPXBYGQf4oTMJru_bb-03fYUcKY71ZE1/view?usp=drivesdk" TargetMode="External"/><Relationship Id="rId1152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3083447726%20%2F%20242510257%26entry.1578404635%3DHadir" TargetMode="External"/><Relationship Id="rId1153" Type="http://schemas.openxmlformats.org/officeDocument/2006/relationships/hyperlink" Target="https://drive.google.com/file/d/18gskCPqR1zp8D9luJTsNF8sx5sJt3qAt/view?usp=drivesdk" TargetMode="External"/><Relationship Id="rId565" Type="http://schemas.openxmlformats.org/officeDocument/2006/relationships/hyperlink" Target="https://drive.google.com/file/d/1u9DR_1DJaxjTPtNCvrU_tJm47CuCIE-Q/view?usp=drivesdk" TargetMode="External"/><Relationship Id="rId1154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8849381%20%2F%20242510281%26entry.1578404635%3DHadir" TargetMode="External"/><Relationship Id="rId564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2239764%20%2F%20252610140%26entry.1578404635%3DHadir" TargetMode="External"/><Relationship Id="rId1155" Type="http://schemas.openxmlformats.org/officeDocument/2006/relationships/hyperlink" Target="https://drive.google.com/file/d/1yXmT90P0oAl1_QwTeiBGDbYYplSlIdIC/view?usp=drivesdk" TargetMode="External"/><Relationship Id="rId563" Type="http://schemas.openxmlformats.org/officeDocument/2006/relationships/hyperlink" Target="https://drive.google.com/file/d/1n0Rqkx62oCPX8Hi5co4UWZk1y_y1dskD/view?usp=drivesdk" TargetMode="External"/><Relationship Id="rId1156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7736512%20%2F%20242510291%26entry.1578404635%3DHadir" TargetMode="External"/><Relationship Id="rId562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2241333%20%2F%20252610113%26entry.1578404635%3DHadir" TargetMode="External"/><Relationship Id="rId1157" Type="http://schemas.openxmlformats.org/officeDocument/2006/relationships/hyperlink" Target="https://drive.google.com/file/d/10GJw-MIVsGu-zYPCNU9uwNKcNtuJCse0/view?usp=drivesdk" TargetMode="External"/><Relationship Id="rId1147" Type="http://schemas.openxmlformats.org/officeDocument/2006/relationships/hyperlink" Target="https://drive.google.com/file/d/1shschA7jT274I_tKX6vd64SztpJXznMc/view?usp=drivesdk" TargetMode="External"/><Relationship Id="rId1148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3623036%20%2F%20242510208%26entry.1578404635%3DHadir" TargetMode="External"/><Relationship Id="rId1149" Type="http://schemas.openxmlformats.org/officeDocument/2006/relationships/hyperlink" Target="https://drive.google.com/file/d/1WV16xPazxvaqcsV16C5LGv7K668q3E2l/view?usp=drivesdk" TargetMode="External"/><Relationship Id="rId558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1401010%20%2F%20252610051%26entry.1578404635%3DHadir" TargetMode="External"/><Relationship Id="rId557" Type="http://schemas.openxmlformats.org/officeDocument/2006/relationships/hyperlink" Target="https://drive.google.com/file/d/1ukNP_BnqVTmqbnpLJBPQWWm5zvGZu-oW/view?usp=drivesdk" TargetMode="External"/><Relationship Id="rId556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4347087%20%2F%20252610044%26entry.1578404635%3DHadir" TargetMode="External"/><Relationship Id="rId555" Type="http://schemas.openxmlformats.org/officeDocument/2006/relationships/hyperlink" Target="https://drive.google.com/file/d/1Sqz7pITl8A-BX94GJpa0mG2BZv-uoYgZ/view?usp=drivesdk" TargetMode="External"/><Relationship Id="rId559" Type="http://schemas.openxmlformats.org/officeDocument/2006/relationships/hyperlink" Target="https://drive.google.com/file/d/1eMikJPs34UY0mvreaw_8BUAH9YPjMiO8/view?usp=drivesdk" TargetMode="External"/><Relationship Id="rId550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1303057%20%2F%20252610006%26entry.1578404635%3DHadir" TargetMode="External"/><Relationship Id="rId1140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6213576%20%2F%20242510188%26entry.1578404635%3DHadir" TargetMode="External"/><Relationship Id="rId1141" Type="http://schemas.openxmlformats.org/officeDocument/2006/relationships/hyperlink" Target="https://drive.google.com/file/d/1LLlS06ztEcYL11nGbEd-pvZG5r48rv-r/view?usp=drivesdk" TargetMode="External"/><Relationship Id="rId1142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1012038%20%2F%20242510189%26entry.1578404635%3DHadir" TargetMode="External"/><Relationship Id="rId554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3096764634%20%2F%20252610025%26entry.1578404635%3DHadir" TargetMode="External"/><Relationship Id="rId1143" Type="http://schemas.openxmlformats.org/officeDocument/2006/relationships/hyperlink" Target="https://drive.google.com/file/d/11pIDvbk018V-IT-s2Cb_fB3KdbpLirDK/view?usp=drivesdk" TargetMode="External"/><Relationship Id="rId553" Type="http://schemas.openxmlformats.org/officeDocument/2006/relationships/hyperlink" Target="https://drive.google.com/file/d/1k_SCLZ9fSTmtjaBQYqpC9xXeoEgxItEk/view?usp=drivesdk" TargetMode="External"/><Relationship Id="rId1144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7202517%20%2F%20242510201%26entry.1578404635%3DHadir" TargetMode="External"/><Relationship Id="rId552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9597144%20%2F%20252610017%26entry.1578404635%3DHadir" TargetMode="External"/><Relationship Id="rId1145" Type="http://schemas.openxmlformats.org/officeDocument/2006/relationships/hyperlink" Target="https://drive.google.com/file/d/1_Yl2BKeW6vcCXi_IXZ5S84UTRLpAxty7/view?usp=drivesdk" TargetMode="External"/><Relationship Id="rId551" Type="http://schemas.openxmlformats.org/officeDocument/2006/relationships/hyperlink" Target="https://drive.google.com/file/d/1prGU8SJ-IJPBTudgrA8n86oCpLDpP6LA/view?usp=drivesdk" TargetMode="External"/><Relationship Id="rId1146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8256549%20%2F%20242510206%26entry.1578404635%3DHadir" TargetMode="External"/><Relationship Id="rId495" Type="http://schemas.openxmlformats.org/officeDocument/2006/relationships/hyperlink" Target="https://drive.google.com/file/d/1CEi9hQpmaN5WslL52RymTjnQM9jypmmo/view?usp=drivesdk" TargetMode="External"/><Relationship Id="rId494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1705316%20%2F%20252610210%26entry.1578404635%3DHadir" TargetMode="External"/><Relationship Id="rId493" Type="http://schemas.openxmlformats.org/officeDocument/2006/relationships/hyperlink" Target="https://drive.google.com/file/d/1AxBreP4Us4-Cdevyq5IcdNkh02yaUlJO/view?usp=drivesdk" TargetMode="External"/><Relationship Id="rId492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4160236%20%2F%20252610209%26entry.1578404635%3DHadir" TargetMode="External"/><Relationship Id="rId499" Type="http://schemas.openxmlformats.org/officeDocument/2006/relationships/hyperlink" Target="https://drive.google.com/file/d/116IBW44q-nUF4EOOt5y_wWqty9N8fWYy/view?usp=drivesdk" TargetMode="External"/><Relationship Id="rId498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7948623%20%2F%20252610227%26entry.1578404635%3DHadir" TargetMode="External"/><Relationship Id="rId497" Type="http://schemas.openxmlformats.org/officeDocument/2006/relationships/hyperlink" Target="https://drive.google.com/file/d/1Sjxwh-HYChLeyo2Yv-whlTQb-Vg9n5S1/view?usp=drivesdk" TargetMode="External"/><Relationship Id="rId496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3090346201%20%2F%20252610214%26entry.1578404635%3DHadir" TargetMode="External"/><Relationship Id="rId1610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86771046%20%2F%20242510427%26entry.1578404635%3DHadir" TargetMode="External"/><Relationship Id="rId1611" Type="http://schemas.openxmlformats.org/officeDocument/2006/relationships/hyperlink" Target="https://drive.google.com/file/d/1aP7n2FBFFhACUkQzSaReQDFyENC7R0nW/view?usp=drivesdk" TargetMode="External"/><Relationship Id="rId1612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8965422%20%2F%20242510431%26entry.1578404635%3DHadir" TargetMode="External"/><Relationship Id="rId1613" Type="http://schemas.openxmlformats.org/officeDocument/2006/relationships/hyperlink" Target="https://drive.google.com/file/d/1WXCKFSpLUOa-i9DjKxhGTxdnKN4P0Tve/view?usp=drivesdk" TargetMode="External"/><Relationship Id="rId1614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1972857%20%2F%20242510003%26entry.1578404635%3DHadir" TargetMode="External"/><Relationship Id="rId1615" Type="http://schemas.openxmlformats.org/officeDocument/2006/relationships/hyperlink" Target="https://drive.google.com/file/d/1LJLVpe8mDX4a4twGZXm2PM7mYU-fgTgS/view?usp=drivesdk" TargetMode="External"/><Relationship Id="rId1616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9463036%20%2F%20242510012%26entry.1578404635%3DHadir" TargetMode="External"/><Relationship Id="rId907" Type="http://schemas.openxmlformats.org/officeDocument/2006/relationships/hyperlink" Target="https://drive.google.com/file/d/1GXD8x7YmmxKRbzK2CyPa8nq6RjHaEY1Y/view?usp=drivesdk" TargetMode="External"/><Relationship Id="rId1617" Type="http://schemas.openxmlformats.org/officeDocument/2006/relationships/hyperlink" Target="https://drive.google.com/file/d/1ENDbO1XIRsHprRLjCBZhWebf6QA_BXJ_/view?usp=drivesdk" TargetMode="External"/><Relationship Id="rId906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3204066%20%2F%20252610493%26entry.1578404635%3DHadir" TargetMode="External"/><Relationship Id="rId1618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84373144%20%2F%20242510032%26entry.1578404635%3DHadir" TargetMode="External"/><Relationship Id="rId905" Type="http://schemas.openxmlformats.org/officeDocument/2006/relationships/hyperlink" Target="https://drive.google.com/file/d/1XIIUpfeoDUFs9u7QKIzPlT7H1Wotg0Dh/view?usp=drivesdk" TargetMode="External"/><Relationship Id="rId1619" Type="http://schemas.openxmlformats.org/officeDocument/2006/relationships/hyperlink" Target="https://drive.google.com/file/d/1MN1D0D_n9nV4BM7ob_3pPapxIyPzOTAB/view?usp=drivesdk" TargetMode="External"/><Relationship Id="rId904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4313180%20%2F%20252610469%26entry.1578404635%3DHadir" TargetMode="External"/><Relationship Id="rId909" Type="http://schemas.openxmlformats.org/officeDocument/2006/relationships/hyperlink" Target="https://drive.google.com/file/d/1645RAD9QtpT62AZ_oEWwOgAZ9n4cqyU5/view?usp=drivesdk" TargetMode="External"/><Relationship Id="rId908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8540094%20%2F%20252610509%26entry.1578404635%3DHadir" TargetMode="External"/><Relationship Id="rId903" Type="http://schemas.openxmlformats.org/officeDocument/2006/relationships/hyperlink" Target="https://drive.google.com/file/d/1j27Em_H3BbHK3WJn3-y0s48m8jNBUOGf/view?usp=drivesdk" TargetMode="External"/><Relationship Id="rId902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7831413%20%2F%20252610462%26entry.1578404635%3DHadir" TargetMode="External"/><Relationship Id="rId901" Type="http://schemas.openxmlformats.org/officeDocument/2006/relationships/hyperlink" Target="https://drive.google.com/file/d/1T1qm4lOEDigb218We-HfsTXITFwbi-ja/view?usp=drivesdk" TargetMode="External"/><Relationship Id="rId900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3103591489%20%2F%20252610459%26entry.1578404635%3DHadir" TargetMode="External"/><Relationship Id="rId1600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84182636%20%2F%20242510376%26entry.1578404635%3DHadir" TargetMode="External"/><Relationship Id="rId1601" Type="http://schemas.openxmlformats.org/officeDocument/2006/relationships/hyperlink" Target="https://drive.google.com/file/d/17mjNG1Ie1DIJcc5OlXfXeGvqUhmi-LuW/view?usp=drivesdk" TargetMode="External"/><Relationship Id="rId1602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2533632%20%2F%20242510397%26entry.1578404635%3DHadir" TargetMode="External"/><Relationship Id="rId1603" Type="http://schemas.openxmlformats.org/officeDocument/2006/relationships/hyperlink" Target="https://drive.google.com/file/d/1NaIXW-filH-JGCu5GVTwRgD1o4UP8l2U/view?usp=drivesdk" TargetMode="External"/><Relationship Id="rId1604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89659957%20%2F%20242510418%26entry.1578404635%3DHadir" TargetMode="External"/><Relationship Id="rId1605" Type="http://schemas.openxmlformats.org/officeDocument/2006/relationships/hyperlink" Target="https://drive.google.com/file/d/1Ji_90wlV5e5UkO1ZzfXBdtAYpxOcAs5q/view?usp=drivesdk" TargetMode="External"/><Relationship Id="rId1606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4494926%20%2F%20242510419%26entry.1578404635%3DHadir" TargetMode="External"/><Relationship Id="rId1607" Type="http://schemas.openxmlformats.org/officeDocument/2006/relationships/hyperlink" Target="https://drive.google.com/file/d/1-hXK5wj8QMgcetzwlwYmEfkOCnhiJjGT/view?usp=drivesdk" TargetMode="External"/><Relationship Id="rId1608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83550559%20%2F%20242510422%26entry.1578404635%3DHadir" TargetMode="External"/><Relationship Id="rId1609" Type="http://schemas.openxmlformats.org/officeDocument/2006/relationships/hyperlink" Target="https://drive.google.com/file/d/1esrpLj-nF92JsWPpmIFLY1DaIU388cKB/view?usp=drivesdk" TargetMode="External"/><Relationship Id="rId1631" Type="http://schemas.openxmlformats.org/officeDocument/2006/relationships/hyperlink" Target="https://drive.google.com/file/d/1ITCOzySFZoedbd7S4YJ8YD8XAfUdGZS3/view?usp=drivesdk" TargetMode="External"/><Relationship Id="rId1632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9130384%20%2F%20242510073%26entry.1578404635%3DHadir" TargetMode="External"/><Relationship Id="rId1633" Type="http://schemas.openxmlformats.org/officeDocument/2006/relationships/hyperlink" Target="https://drive.google.com/file/d/1g7rTIp_QPxV9DydnNdVdYtNAnuP57pwC/view?usp=drivesdk" TargetMode="External"/><Relationship Id="rId1634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7660827%20%2F%20242510081%26entry.1578404635%3DHadir" TargetMode="External"/><Relationship Id="rId1635" Type="http://schemas.openxmlformats.org/officeDocument/2006/relationships/hyperlink" Target="https://drive.google.com/file/d/1I_viMcs0yAqLGpsyLhQGbkcDyfg4cYJd/view?usp=drivesdk" TargetMode="External"/><Relationship Id="rId1636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6109567%20%2F%20242510084%26entry.1578404635%3DHadir" TargetMode="External"/><Relationship Id="rId1637" Type="http://schemas.openxmlformats.org/officeDocument/2006/relationships/hyperlink" Target="https://drive.google.com/file/d/1ahHF5mjs64IkRnF-8Eyp7JyInEhuCoBK/view?usp=drivesdk" TargetMode="External"/><Relationship Id="rId1638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5745176%20%2F%20242510087%26entry.1578404635%3DHadir" TargetMode="External"/><Relationship Id="rId929" Type="http://schemas.openxmlformats.org/officeDocument/2006/relationships/hyperlink" Target="https://drive.google.com/file/d/1pRYUnewjumQBGFz6EbXneSMaFJw8G2-m/view?usp=drivesdk" TargetMode="External"/><Relationship Id="rId1639" Type="http://schemas.openxmlformats.org/officeDocument/2006/relationships/hyperlink" Target="https://drive.google.com/file/d/1HNKb1ErK0ZNix29QShGW_SeiYSsWFidY/view?usp=drivesdk" TargetMode="External"/><Relationship Id="rId928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1952413%20%2F%20252610085%26entry.1578404635%3DHadir" TargetMode="External"/><Relationship Id="rId927" Type="http://schemas.openxmlformats.org/officeDocument/2006/relationships/hyperlink" Target="https://drive.google.com/file/d/11-Ws1wn0wYxOLYXUnWZT6KXRliIwXaRF/view?usp=drivesdk" TargetMode="External"/><Relationship Id="rId926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6963702%20%2F%20252610066%26entry.1578404635%3DHadir" TargetMode="External"/><Relationship Id="rId921" Type="http://schemas.openxmlformats.org/officeDocument/2006/relationships/hyperlink" Target="https://drive.google.com/file/d/1U3XZwsnFv8XoBmG6aRSABTm6U2JuiTmZ/view?usp=drivesdk" TargetMode="External"/><Relationship Id="rId920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8324867%20%2F%20252610031%26entry.1578404635%3DHadir" TargetMode="External"/><Relationship Id="rId925" Type="http://schemas.openxmlformats.org/officeDocument/2006/relationships/hyperlink" Target="https://drive.google.com/file/d/1CJlxMG35FF0C3a3GgKL31GQFYiu5Ijps/view?usp=drivesdk" TargetMode="External"/><Relationship Id="rId924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8561560%20%2F%20252610047%26entry.1578404635%3DHadir" TargetMode="External"/><Relationship Id="rId923" Type="http://schemas.openxmlformats.org/officeDocument/2006/relationships/hyperlink" Target="https://drive.google.com/file/d/1IThwa0r4XifyXLHFIn_hI3xL7sVUdUpl/view?usp=drivesdk" TargetMode="External"/><Relationship Id="rId922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9013664%20%2F%20252610033%26entry.1578404635%3DHadir" TargetMode="External"/><Relationship Id="rId1630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86475767%20%2F%20242510068%26entry.1578404635%3DHadir" TargetMode="External"/><Relationship Id="rId1620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2027940%20%2F%20242510034%26entry.1578404635%3DHadir" TargetMode="External"/><Relationship Id="rId1621" Type="http://schemas.openxmlformats.org/officeDocument/2006/relationships/hyperlink" Target="https://drive.google.com/file/d/1Qm9gUxj2luHXzMBRpmIa-GwG5S7SCXrH/view?usp=drivesdk" TargetMode="External"/><Relationship Id="rId1622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7798929%20%2F%20242510045%26entry.1578404635%3DHadir" TargetMode="External"/><Relationship Id="rId1623" Type="http://schemas.openxmlformats.org/officeDocument/2006/relationships/hyperlink" Target="https://drive.google.com/file/d/1iP-YI6mjKsVF4jqT2CO_GYMzG2GDzHLB/view?usp=drivesdk" TargetMode="External"/><Relationship Id="rId1624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2388902%20%2F%20242510053%26entry.1578404635%3DHadir" TargetMode="External"/><Relationship Id="rId1625" Type="http://schemas.openxmlformats.org/officeDocument/2006/relationships/hyperlink" Target="https://drive.google.com/file/d/1_s-keKQW1Gpe2tJ9pdkeGA_ZczZYstXx/view?usp=drivesdk" TargetMode="External"/><Relationship Id="rId1626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2260536%20%2F%20242510063%26entry.1578404635%3DHadir" TargetMode="External"/><Relationship Id="rId1627" Type="http://schemas.openxmlformats.org/officeDocument/2006/relationships/hyperlink" Target="https://drive.google.com/file/d/16kGegplkVtzyFfbia0TjLx9T-Nd77L_D/view?usp=drivesdk" TargetMode="External"/><Relationship Id="rId918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9542213%20%2F%20252610010%26entry.1578404635%3DHadir" TargetMode="External"/><Relationship Id="rId1628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2404259%20%2F%20242510067%26entry.1578404635%3DHadir" TargetMode="External"/><Relationship Id="rId917" Type="http://schemas.openxmlformats.org/officeDocument/2006/relationships/hyperlink" Target="https://drive.google.com/file/d/1ic91xT4-eeK0c614R5c2CLY6l4VzZU73/view?usp=drivesdk" TargetMode="External"/><Relationship Id="rId1629" Type="http://schemas.openxmlformats.org/officeDocument/2006/relationships/hyperlink" Target="https://drive.google.com/file/d/1Yp9sieX-2Rbb7YW33SNiNi3OZZJbPUUj/view?usp=drivesdk" TargetMode="External"/><Relationship Id="rId916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3324313%20%2F%20252610552%26entry.1578404635%3DHadir" TargetMode="External"/><Relationship Id="rId915" Type="http://schemas.openxmlformats.org/officeDocument/2006/relationships/hyperlink" Target="https://drive.google.com/file/d/1WaKgiesXz4DUPDO-XDgIDCfws6EgivMg/view?usp=drivesdk" TargetMode="External"/><Relationship Id="rId919" Type="http://schemas.openxmlformats.org/officeDocument/2006/relationships/hyperlink" Target="https://drive.google.com/file/d/1OUeBJDpzFxI6rify9hP9yeDLsd68BCU7/view?usp=drivesdk" TargetMode="External"/><Relationship Id="rId910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8413702%20%2F%20252610510%26entry.1578404635%3DHadir" TargetMode="External"/><Relationship Id="rId914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9775444%20%2F%20252610526%26entry.1578404635%3DHadir" TargetMode="External"/><Relationship Id="rId913" Type="http://schemas.openxmlformats.org/officeDocument/2006/relationships/hyperlink" Target="https://drive.google.com/file/d/12Q-Q8U1DAItwpTMHpE5HoLOXmgXGkYxj/view?usp=drivesdk" TargetMode="External"/><Relationship Id="rId912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8718382%20%2F%20252610521%26entry.1578404635%3DHadir" TargetMode="External"/><Relationship Id="rId911" Type="http://schemas.openxmlformats.org/officeDocument/2006/relationships/hyperlink" Target="https://drive.google.com/file/d/1Ez676MMkLBryeXDLzg_l1uTUnbF6aBNt/view?usp=drivesdk" TargetMode="External"/><Relationship Id="rId1213" Type="http://schemas.openxmlformats.org/officeDocument/2006/relationships/hyperlink" Target="https://drive.google.com/file/d/1qixOTObge-HjRaxnjiqhD9GB-uT-DBMW/view?usp=drivesdk" TargetMode="External"/><Relationship Id="rId1697" Type="http://schemas.openxmlformats.org/officeDocument/2006/relationships/hyperlink" Target="https://drive.google.com/file/d/117ap1oiLjN3P27aUufArkLNtb08kgMYU/view?usp=drivesdk" TargetMode="External"/><Relationship Id="rId1214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4260903%20%2F%20242510227%26entry.1578404635%3DHadir" TargetMode="External"/><Relationship Id="rId1698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8812831%20%2F%20242510083%26entry.1578404635%3DHadir" TargetMode="External"/><Relationship Id="rId1215" Type="http://schemas.openxmlformats.org/officeDocument/2006/relationships/hyperlink" Target="https://drive.google.com/file/d/15mccHxrrQHJZ2FTi9DxicqMHAWSISoiy/view?usp=drivesdk" TargetMode="External"/><Relationship Id="rId1699" Type="http://schemas.openxmlformats.org/officeDocument/2006/relationships/hyperlink" Target="https://drive.google.com/file/d/1JPG1jmoWfTdWcJwweF_ahsEpgcD0V8mA/view?usp=drivesdk" TargetMode="External"/><Relationship Id="rId1216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89204896%20%2F%20242510238%26entry.1578404635%3DHadir" TargetMode="External"/><Relationship Id="rId1217" Type="http://schemas.openxmlformats.org/officeDocument/2006/relationships/hyperlink" Target="https://drive.google.com/file/d/1cnM-Pr9VytVZm4S1dN6nj8BeMwDyyapw/view?usp=drivesdk" TargetMode="External"/><Relationship Id="rId1218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1447390%20%2F%20242510261%26entry.1578404635%3DHadir" TargetMode="External"/><Relationship Id="rId1219" Type="http://schemas.openxmlformats.org/officeDocument/2006/relationships/hyperlink" Target="https://drive.google.com/file/d/1YjM2AyayUCM4yrowEafWde7v5QDEcLkO/view?usp=drivesdk" TargetMode="External"/><Relationship Id="rId866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3849649%20%2F%20252610234%26entry.1578404635%3DHadir" TargetMode="External"/><Relationship Id="rId865" Type="http://schemas.openxmlformats.org/officeDocument/2006/relationships/hyperlink" Target="https://drive.google.com/file/d/1ePfFGENiYelrCFVJNcnGFf8OyhVWdAe8/view?usp=drivesdk" TargetMode="External"/><Relationship Id="rId864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4626978%20%2F%20252610226%26entry.1578404635%3DHadir" TargetMode="External"/><Relationship Id="rId863" Type="http://schemas.openxmlformats.org/officeDocument/2006/relationships/hyperlink" Target="https://drive.google.com/file/d/1Y1yMv0Ekfz4iXfF4t0mG0g1ntWTmTcYk/view?usp=drivesdk" TargetMode="External"/><Relationship Id="rId869" Type="http://schemas.openxmlformats.org/officeDocument/2006/relationships/hyperlink" Target="https://drive.google.com/file/d/1GhASE87FUGfWDOXNhzq4VuAOI3VxbAAf/view?usp=drivesdk" TargetMode="External"/><Relationship Id="rId868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2890859%20%2F%20252610235%26entry.1578404635%3DHadir" TargetMode="External"/><Relationship Id="rId867" Type="http://schemas.openxmlformats.org/officeDocument/2006/relationships/hyperlink" Target="https://drive.google.com/file/d/1NDChGA_tvaIAx5EsZjbXfwCkkCbffj1W/view?usp=drivesdk" TargetMode="External"/><Relationship Id="rId1690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3801090%20%2F%20242510035%26entry.1578404635%3DHadir" TargetMode="External"/><Relationship Id="rId1691" Type="http://schemas.openxmlformats.org/officeDocument/2006/relationships/hyperlink" Target="https://drive.google.com/file/d/1CK5cgwW1EtS7k7PsteYRubNGaCI3YYB8/view?usp=drivesdk" TargetMode="External"/><Relationship Id="rId1692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7959305%20%2F%20242510047%26entry.1578404635%3DHadir" TargetMode="External"/><Relationship Id="rId862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2329313%20%2F%20252610222%26entry.1578404635%3DHadir" TargetMode="External"/><Relationship Id="rId1693" Type="http://schemas.openxmlformats.org/officeDocument/2006/relationships/hyperlink" Target="https://drive.google.com/file/d/1k-NHegkAEC1Hq81R6gE4j9j9n9bKFYFi/view?usp=drivesdk" TargetMode="External"/><Relationship Id="rId861" Type="http://schemas.openxmlformats.org/officeDocument/2006/relationships/hyperlink" Target="https://drive.google.com/file/d/1LefcLcLIjcSmLwvO_0S9l8CSLcaNvRrW/view?usp=drivesdk" TargetMode="External"/><Relationship Id="rId1210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9310873%20%2F%20242510160%26entry.1578404635%3DHadir" TargetMode="External"/><Relationship Id="rId1694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84789093%20%2F%20242510051%26entry.1578404635%3DHadir" TargetMode="External"/><Relationship Id="rId860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5616025%20%2F%20252610169%26entry.1578404635%3DHadir" TargetMode="External"/><Relationship Id="rId1211" Type="http://schemas.openxmlformats.org/officeDocument/2006/relationships/hyperlink" Target="https://drive.google.com/file/d/13vginTAvj34LQWKkL2MCGz8fuFL_umXm/view?usp=drivesdk" TargetMode="External"/><Relationship Id="rId1695" Type="http://schemas.openxmlformats.org/officeDocument/2006/relationships/hyperlink" Target="https://drive.google.com/file/d/1_8ii_NFhtnI1nfhIgCSU9WR2_49KsiwD/view?usp=drivesdk" TargetMode="External"/><Relationship Id="rId1212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9954531%20%2F%20242510162%26entry.1578404635%3DHadir" TargetMode="External"/><Relationship Id="rId1696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2081404817%20%2F%20242510059%26entry.1578404635%3DHadir" TargetMode="External"/><Relationship Id="rId1202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2622229%20%2F%20242510129%26entry.1578404635%3DHadir" TargetMode="External"/><Relationship Id="rId1686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3390743%20%2F%20242510006%26entry.1578404635%3DHadir" TargetMode="External"/><Relationship Id="rId1203" Type="http://schemas.openxmlformats.org/officeDocument/2006/relationships/hyperlink" Target="https://drive.google.com/file/d/1xmExiAcBq3UYwIIJKk4nIizCrMHanjGA/view?usp=drivesdk" TargetMode="External"/><Relationship Id="rId1687" Type="http://schemas.openxmlformats.org/officeDocument/2006/relationships/hyperlink" Target="https://drive.google.com/file/d/1zlqu4C5uqa6M3crypLVPYMnhQo4uW4Na/view?usp=drivesdk" TargetMode="External"/><Relationship Id="rId1204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81916428%20%2F%20242510141%26entry.1578404635%3DHadir" TargetMode="External"/><Relationship Id="rId1688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9505768%20%2F%20242510022%26entry.1578404635%3DHadir" TargetMode="External"/><Relationship Id="rId1205" Type="http://schemas.openxmlformats.org/officeDocument/2006/relationships/hyperlink" Target="https://drive.google.com/file/d/1fQuUx_YrRp3g8QaPJ7KTeSjtyONEKkjp/view?usp=drivesdk" TargetMode="External"/><Relationship Id="rId1689" Type="http://schemas.openxmlformats.org/officeDocument/2006/relationships/hyperlink" Target="https://drive.google.com/file/d/1KaS08j72BJ3-DQOmrrxRTMrFeztzNhwA/view?usp=drivesdk" TargetMode="External"/><Relationship Id="rId1206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5691756%20%2F%20242510144%26entry.1578404635%3DHadir" TargetMode="External"/><Relationship Id="rId1207" Type="http://schemas.openxmlformats.org/officeDocument/2006/relationships/hyperlink" Target="https://drive.google.com/file/d/1cuAUKkFIiqVO0HFL_UxjouXAobedEbr3/view?usp=drivesdk" TargetMode="External"/><Relationship Id="rId1208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82539116%20%2F%20242510153%26entry.1578404635%3DHadir" TargetMode="External"/><Relationship Id="rId1209" Type="http://schemas.openxmlformats.org/officeDocument/2006/relationships/hyperlink" Target="https://drive.google.com/file/d/1rKXOavkLcDfQ6anpqpYQ0hnfoXqPtVfB/view?usp=drivesdk" TargetMode="External"/><Relationship Id="rId855" Type="http://schemas.openxmlformats.org/officeDocument/2006/relationships/hyperlink" Target="https://drive.google.com/file/d/1dud0cPY7je1-1SQK8drQxojhM4vP1Zq8/view?usp=drivesdk" TargetMode="External"/><Relationship Id="rId854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4286208%20%2F%20252610142%26entry.1578404635%3DHadir" TargetMode="External"/><Relationship Id="rId853" Type="http://schemas.openxmlformats.org/officeDocument/2006/relationships/hyperlink" Target="https://drive.google.com/file/d/1ohcOeJRDt0K164RFLDrIA8kLRRyqfLFo/view?usp=drivesdk" TargetMode="External"/><Relationship Id="rId852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9153455%20%2F%20252610128%26entry.1578404635%3DHadir" TargetMode="External"/><Relationship Id="rId859" Type="http://schemas.openxmlformats.org/officeDocument/2006/relationships/hyperlink" Target="https://drive.google.com/file/d/1TgWyJ76cIOdVabWhz1RGO8h4TpZLqpsT/view?usp=drivesdk" TargetMode="External"/><Relationship Id="rId858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8248691%20%2F%20252610168%26entry.1578404635%3DHadir" TargetMode="External"/><Relationship Id="rId857" Type="http://schemas.openxmlformats.org/officeDocument/2006/relationships/hyperlink" Target="https://drive.google.com/file/d/13xhLGMxggeIVStz4AxQR6y8S5WnCjRZo/view?usp=drivesdk" TargetMode="External"/><Relationship Id="rId856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3526904%20%2F%20252610165%26entry.1578404635%3DHadir" TargetMode="External"/><Relationship Id="rId1680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9130256%20%2F%20242510385%26entry.1578404635%3DHadir" TargetMode="External"/><Relationship Id="rId1681" Type="http://schemas.openxmlformats.org/officeDocument/2006/relationships/hyperlink" Target="https://drive.google.com/file/d/1j-In6ItO29isKGN2xsctXJ7rjxQRe7-M/view?usp=drivesdk" TargetMode="External"/><Relationship Id="rId851" Type="http://schemas.openxmlformats.org/officeDocument/2006/relationships/hyperlink" Target="https://drive.google.com/file/d/1jZEXvIxTbtBA-9FgGjOoC5E2YEF_fhGq/view?usp=drivesdk" TargetMode="External"/><Relationship Id="rId1682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82646713%20%2F%20242510398%26entry.1578404635%3DHadir" TargetMode="External"/><Relationship Id="rId850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5133490%20%2F%20252610119%26entry.1578404635%3DHadir" TargetMode="External"/><Relationship Id="rId1683" Type="http://schemas.openxmlformats.org/officeDocument/2006/relationships/hyperlink" Target="https://drive.google.com/file/d/145EPwHP7BFRH4oe7Bdd8lYVHEo0agQm_/view?usp=drivesdk" TargetMode="External"/><Relationship Id="rId1200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6851574%20%2F%20242510117%26entry.1578404635%3DHadir" TargetMode="External"/><Relationship Id="rId1684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1537746%20%2F%20242510407%26entry.1578404635%3DHadir" TargetMode="External"/><Relationship Id="rId1201" Type="http://schemas.openxmlformats.org/officeDocument/2006/relationships/hyperlink" Target="https://drive.google.com/file/d/16_YoOi70WGM4s9H5fc-4LcWZweCXYvzK/view?usp=drivesdk" TargetMode="External"/><Relationship Id="rId1685" Type="http://schemas.openxmlformats.org/officeDocument/2006/relationships/hyperlink" Target="https://drive.google.com/file/d/1IQnif8xRb2yq_cKzVIR2TGMnJ_b2-_KK/view?usp=drivesdk" TargetMode="External"/><Relationship Id="rId1235" Type="http://schemas.openxmlformats.org/officeDocument/2006/relationships/hyperlink" Target="https://drive.google.com/file/d/1y87EPduhgNWu87jC08B82cQ5GaJQo5C5/view?usp=drivesdk" TargetMode="External"/><Relationship Id="rId1236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7830870%20%2F%20242510354%26entry.1578404635%3DHadir" TargetMode="External"/><Relationship Id="rId1237" Type="http://schemas.openxmlformats.org/officeDocument/2006/relationships/hyperlink" Target="https://drive.google.com/file/d/1Hcq0AkIXdzxce2LJzifkOYnk8ckc-uMm/view?usp=drivesdk" TargetMode="External"/><Relationship Id="rId1238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2343794%20%2F%20242510355%26entry.1578404635%3DHadir" TargetMode="External"/><Relationship Id="rId1239" Type="http://schemas.openxmlformats.org/officeDocument/2006/relationships/hyperlink" Target="https://drive.google.com/file/d/1HAc2q2ohDh7ya_3DqiXR-v3XfOUaPUVw/view?usp=drivesdk" TargetMode="External"/><Relationship Id="rId409" Type="http://schemas.openxmlformats.org/officeDocument/2006/relationships/hyperlink" Target="https://drive.google.com/file/d/1YNRaHwRbf2KYzQhUJWJEkD0aSIobCBi2/view?usp=drivesdk" TargetMode="External"/><Relationship Id="rId404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3098845163%20%2F%20252610245%26entry.1578404635%3DHadir" TargetMode="External"/><Relationship Id="rId888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9589144%20%2F%20252610375%26entry.1578404635%3DHadir" TargetMode="External"/><Relationship Id="rId403" Type="http://schemas.openxmlformats.org/officeDocument/2006/relationships/hyperlink" Target="https://drive.google.com/file/d/1T6nJZw1zfLt2D_uumAyeJ7JczCMyt5D4/view?usp=drivesdk" TargetMode="External"/><Relationship Id="rId887" Type="http://schemas.openxmlformats.org/officeDocument/2006/relationships/hyperlink" Target="https://drive.google.com/file/d/1L5UWjdGxJUT_EzglhdDbLxhmv1R24L1v/view?usp=drivesdk" TargetMode="External"/><Relationship Id="rId402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5064549%20%2F%20252610230%26entry.1578404635%3DHadir" TargetMode="External"/><Relationship Id="rId886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13735828%20%2F%20252610335%26entry.1578404635%3DHadir" TargetMode="External"/><Relationship Id="rId401" Type="http://schemas.openxmlformats.org/officeDocument/2006/relationships/hyperlink" Target="https://drive.google.com/file/d/100lkjWBFWpX4CkUHPQ8T3PiKWST6hzBM/view?usp=drivesdk" TargetMode="External"/><Relationship Id="rId885" Type="http://schemas.openxmlformats.org/officeDocument/2006/relationships/hyperlink" Target="https://drive.google.com/file/d/1YntJv2prfCihAJlsOLBhVoBZ8oyi5R95/view?usp=drivesdk" TargetMode="External"/><Relationship Id="rId408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7535113%20%2F%20252610286%26entry.1578404635%3DHadir" TargetMode="External"/><Relationship Id="rId407" Type="http://schemas.openxmlformats.org/officeDocument/2006/relationships/hyperlink" Target="https://drive.google.com/file/d/1-93ZF7OlCf6hvohwfIS_QwRoTuwm62Yr/view?usp=drivesdk" TargetMode="External"/><Relationship Id="rId406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4630358%20%2F%20252610281%26entry.1578404635%3DHadir" TargetMode="External"/><Relationship Id="rId405" Type="http://schemas.openxmlformats.org/officeDocument/2006/relationships/hyperlink" Target="https://drive.google.com/file/d/1W5WaNjXuVp5OyKV1q_03qI8PpLQsF_kd/view?usp=drivesdk" TargetMode="External"/><Relationship Id="rId889" Type="http://schemas.openxmlformats.org/officeDocument/2006/relationships/hyperlink" Target="https://drive.google.com/file/d/1DMK6v77vjxjRB9rcWv1JKrsjtXLFndbL/view?usp=drivesdk" TargetMode="External"/><Relationship Id="rId880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2208567%20%2F%20252610283%26entry.1578404635%3DHadir" TargetMode="External"/><Relationship Id="rId1230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86704012%20%2F%20242510310%26entry.1578404635%3DHadir" TargetMode="External"/><Relationship Id="rId400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1763745%20%2F%20252610229%26entry.1578404635%3DHadir" TargetMode="External"/><Relationship Id="rId884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8516941%20%2F%20252610327%26entry.1578404635%3DHadir" TargetMode="External"/><Relationship Id="rId1231" Type="http://schemas.openxmlformats.org/officeDocument/2006/relationships/hyperlink" Target="https://drive.google.com/file/d/1ASp6actKQW6mR71itf0O3sEJLpt28IFE/view?usp=drivesdk" TargetMode="External"/><Relationship Id="rId883" Type="http://schemas.openxmlformats.org/officeDocument/2006/relationships/hyperlink" Target="https://drive.google.com/file/d/15BBLd_ZJYJUmS316YYtUQ_tFZ-huGGkO/view?usp=drivesdk" TargetMode="External"/><Relationship Id="rId1232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5788052%20%2F%20242510329%26entry.1578404635%3DHadir" TargetMode="External"/><Relationship Id="rId882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3101402781%20%2F%20252610305%26entry.1578404635%3DHadir" TargetMode="External"/><Relationship Id="rId1233" Type="http://schemas.openxmlformats.org/officeDocument/2006/relationships/hyperlink" Target="https://drive.google.com/file/d/1blDCiYzrRlolluLMMoA046c7qhE47oEO/view?usp=drivesdk" TargetMode="External"/><Relationship Id="rId881" Type="http://schemas.openxmlformats.org/officeDocument/2006/relationships/hyperlink" Target="https://drive.google.com/file/d/19tc4fQBTADYYTN2J4bRv_xLiXCzAE-ep/view?usp=drivesdk" TargetMode="External"/><Relationship Id="rId1234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4946777%20%2F%20242510338%26entry.1578404635%3DHadir" TargetMode="External"/><Relationship Id="rId1224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82650076%20%2F%20242510304%26entry.1578404635%3DHadir" TargetMode="External"/><Relationship Id="rId1225" Type="http://schemas.openxmlformats.org/officeDocument/2006/relationships/hyperlink" Target="https://drive.google.com/file/d/1UL0PftDQj4NLemyTdQOTBPqZIzF3wMDW/view?usp=drivesdk" TargetMode="External"/><Relationship Id="rId1226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5420383%20%2F%20242510306%26entry.1578404635%3DHadir" TargetMode="External"/><Relationship Id="rId1227" Type="http://schemas.openxmlformats.org/officeDocument/2006/relationships/hyperlink" Target="https://drive.google.com/file/d/1LD2TP9YmRR5l_gW03SsJhQYNhNBRb9yn/view?usp=drivesdk" TargetMode="External"/><Relationship Id="rId1228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3097669813%20%2F%20242510308%26entry.1578404635%3DHadir" TargetMode="External"/><Relationship Id="rId1229" Type="http://schemas.openxmlformats.org/officeDocument/2006/relationships/hyperlink" Target="https://drive.google.com/file/d/11oWzJ_iYizKGsd1ds5ITHNvm6a26BZZm/view?usp=drivesdk" TargetMode="External"/><Relationship Id="rId877" Type="http://schemas.openxmlformats.org/officeDocument/2006/relationships/hyperlink" Target="https://drive.google.com/file/d/1Zhwz_JubKt-EJ2T0fpTB554qnuL3PMAX/view?usp=drivesdk" TargetMode="External"/><Relationship Id="rId876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4574006%20%2F%20252610262%26entry.1578404635%3DHadir" TargetMode="External"/><Relationship Id="rId875" Type="http://schemas.openxmlformats.org/officeDocument/2006/relationships/hyperlink" Target="https://drive.google.com/file/d/1l0-rhsljH159-vJmLADhcsLwujlIxguA/view?usp=drivesdk" TargetMode="External"/><Relationship Id="rId874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3099544859%20%2F%20252610251%26entry.1578404635%3DHadir" TargetMode="External"/><Relationship Id="rId879" Type="http://schemas.openxmlformats.org/officeDocument/2006/relationships/hyperlink" Target="https://drive.google.com/file/d/1aOTdleOROwPHyEjm_QjmjXy2YIr6HeBm/view?usp=drivesdk" TargetMode="External"/><Relationship Id="rId878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4966956%20%2F%20252610272%26entry.1578404635%3DHadir" TargetMode="External"/><Relationship Id="rId873" Type="http://schemas.openxmlformats.org/officeDocument/2006/relationships/hyperlink" Target="https://drive.google.com/file/d/1pm-nrhBv75yxwgE_4ugeu4zIilbtc-6b/view?usp=drivesdk" TargetMode="External"/><Relationship Id="rId1220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3092211203%20%2F%20242510274%26entry.1578404635%3DHadir" TargetMode="External"/><Relationship Id="rId872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2210036%20%2F%20252610243%26entry.1578404635%3DHadir" TargetMode="External"/><Relationship Id="rId1221" Type="http://schemas.openxmlformats.org/officeDocument/2006/relationships/hyperlink" Target="https://drive.google.com/file/d/1z4X73HtSA1nrDk8ntIkR3An9qb2abw5E/view?usp=drivesdk" TargetMode="External"/><Relationship Id="rId871" Type="http://schemas.openxmlformats.org/officeDocument/2006/relationships/hyperlink" Target="https://drive.google.com/file/d/1V3sriQRM_lOQ-olxyvziZ55lp8KKOsQG/view?usp=drivesdk" TargetMode="External"/><Relationship Id="rId1222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5657800%20%2F%20242510283%26entry.1578404635%3DHadir" TargetMode="External"/><Relationship Id="rId870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7943430%20%2F%20252610242%26entry.1578404635%3DHadir" TargetMode="External"/><Relationship Id="rId1223" Type="http://schemas.openxmlformats.org/officeDocument/2006/relationships/hyperlink" Target="https://drive.google.com/file/d/1fFivvI7Qj1k48x4-A312pDlEY-uQVNDh/view?usp=drivesdk" TargetMode="External"/><Relationship Id="rId1653" Type="http://schemas.openxmlformats.org/officeDocument/2006/relationships/hyperlink" Target="https://drive.google.com/file/d/1sRD3hyY29YxMge2o50X5kP2XEoF-H9MI/view?usp=drivesdk" TargetMode="External"/><Relationship Id="rId1654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8415432%20%2F%20242510196%26entry.1578404635%3DHadir" TargetMode="External"/><Relationship Id="rId1655" Type="http://schemas.openxmlformats.org/officeDocument/2006/relationships/hyperlink" Target="https://drive.google.com/file/d/1zRGq6WggIwDm8iRDQ8Oc98JwMrvi4W27/view?usp=drivesdk" TargetMode="External"/><Relationship Id="rId1656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3082881499%20%2F%20242510243%26entry.1578404635%3DHadir" TargetMode="External"/><Relationship Id="rId1657" Type="http://schemas.openxmlformats.org/officeDocument/2006/relationships/hyperlink" Target="https://drive.google.com/file/d/1FI7FR_jrumwFu2opnG5azwQyDNVi069a/view?usp=drivesdk" TargetMode="External"/><Relationship Id="rId1658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84468197%20%2F%20242510246%26entry.1578404635%3DHadir" TargetMode="External"/><Relationship Id="rId1659" Type="http://schemas.openxmlformats.org/officeDocument/2006/relationships/hyperlink" Target="https://drive.google.com/file/d/1DkFmOsD9Lxl-t558gXODVEetcMCMh7Cm/view?usp=drivesdk" TargetMode="External"/><Relationship Id="rId829" Type="http://schemas.openxmlformats.org/officeDocument/2006/relationships/hyperlink" Target="https://drive.google.com/file/d/1kSBm6IyIqzfd4b3VBfGw71zeAeieDgeF/view?usp=drivesdk" TargetMode="External"/><Relationship Id="rId828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4072965%20%2F%20252610012%26entry.1578404635%3DHadir" TargetMode="External"/><Relationship Id="rId827" Type="http://schemas.openxmlformats.org/officeDocument/2006/relationships/hyperlink" Target="https://drive.google.com/file/d/1uENI4xfrK1ExKVLJUjiRv1ZpmZCnr6w9/view?usp=drivesdk" TargetMode="External"/><Relationship Id="rId822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4680852%20%2F%20252610537%26entry.1578404635%3DHadir" TargetMode="External"/><Relationship Id="rId821" Type="http://schemas.openxmlformats.org/officeDocument/2006/relationships/hyperlink" Target="https://drive.google.com/file/d/1uzXYV45RXbLevz0fKWoRTghKQnTpGLC2/view?usp=drivesdk" TargetMode="External"/><Relationship Id="rId820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9107315%20%2F%20252610530%26entry.1578404635%3DHadir" TargetMode="External"/><Relationship Id="rId826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6033014%20%2F%20252610001%26entry.1578404635%3DHadir" TargetMode="External"/><Relationship Id="rId825" Type="http://schemas.openxmlformats.org/officeDocument/2006/relationships/hyperlink" Target="https://drive.google.com/file/d/1Q3XJt-z3JbZDBzqvSjEuZqCQsw2U8Y6G/view?usp=drivesdk" TargetMode="External"/><Relationship Id="rId824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8348385%20%2F%20252610542%26entry.1578404635%3DHadir" TargetMode="External"/><Relationship Id="rId823" Type="http://schemas.openxmlformats.org/officeDocument/2006/relationships/hyperlink" Target="https://drive.google.com/file/d/1T3pcPnYfbSEJUkbX8K2Ug5rl2aePxpRN/view?usp=drivesdk" TargetMode="External"/><Relationship Id="rId1650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1325828%20%2F%20242510155%26entry.1578404635%3DHadir" TargetMode="External"/><Relationship Id="rId1651" Type="http://schemas.openxmlformats.org/officeDocument/2006/relationships/hyperlink" Target="https://drive.google.com/file/d/1t8bQ04lHAsPZQ16Qfn_g3JA1aklOGc5f/view?usp=drivesdk" TargetMode="External"/><Relationship Id="rId1652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9418331%20%2F%20242510190%26entry.1578404635%3DHadir" TargetMode="External"/><Relationship Id="rId1642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1342789%20%2F%20242510094%26entry.1578404635%3DHadir" TargetMode="External"/><Relationship Id="rId1643" Type="http://schemas.openxmlformats.org/officeDocument/2006/relationships/hyperlink" Target="https://drive.google.com/file/d/1SMLNPS3uDwaPXutRdVxGengASnDU36TZ/view?usp=drivesdk" TargetMode="External"/><Relationship Id="rId1644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82284975%20%2F%20242510115%26entry.1578404635%3DHadir" TargetMode="External"/><Relationship Id="rId1645" Type="http://schemas.openxmlformats.org/officeDocument/2006/relationships/hyperlink" Target="https://drive.google.com/file/d/1vBKquWgFkWRzRSdJF_nmdVop4nAj0Eym/view?usp=drivesdk" TargetMode="External"/><Relationship Id="rId1646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6026876%20%2F%20242510137%26entry.1578404635%3DHadir" TargetMode="External"/><Relationship Id="rId1647" Type="http://schemas.openxmlformats.org/officeDocument/2006/relationships/hyperlink" Target="https://drive.google.com/file/d/1epyEqbVQ3SC61nKh8L0vT7I4jRI5vQMH/view?usp=drivesdk" TargetMode="External"/><Relationship Id="rId1648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7494303%20%2F%20242510150%26entry.1578404635%3DHadir" TargetMode="External"/><Relationship Id="rId1649" Type="http://schemas.openxmlformats.org/officeDocument/2006/relationships/hyperlink" Target="https://drive.google.com/file/d/1Z5rl4OR4dlIn7-SD8zdTqMkxfeV91qAF/view?usp=drivesdk" TargetMode="External"/><Relationship Id="rId819" Type="http://schemas.openxmlformats.org/officeDocument/2006/relationships/hyperlink" Target="https://drive.google.com/file/d/1906f_v0pP5AH4xJsJsNL4EwFf8l3niNR/view?usp=drivesdk" TargetMode="External"/><Relationship Id="rId818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7182326%20%2F%20252610511%26entry.1578404635%3DHadir" TargetMode="External"/><Relationship Id="rId817" Type="http://schemas.openxmlformats.org/officeDocument/2006/relationships/hyperlink" Target="https://drive.google.com/file/d/1A54QyLTQmQfyaHIHY_JqO_Li_SZs0yww/view?usp=drivesdk" TargetMode="External"/><Relationship Id="rId816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6183087%20%2F%20252610487%26entry.1578404635%3DHadir" TargetMode="External"/><Relationship Id="rId811" Type="http://schemas.openxmlformats.org/officeDocument/2006/relationships/hyperlink" Target="https://drive.google.com/file/d/1JR6j_3fS6a1EQNPCEhGrj-Sx0llmN6kD/view?usp=drivesdk" TargetMode="External"/><Relationship Id="rId810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1902217%20%2F%20252610460%26entry.1578404635%3DHadir" TargetMode="External"/><Relationship Id="rId815" Type="http://schemas.openxmlformats.org/officeDocument/2006/relationships/hyperlink" Target="https://drive.google.com/file/d/1gF1p6TjGMY2qISJxK6UQZ5nS3RDxxwAl/view?usp=drivesdk" TargetMode="External"/><Relationship Id="rId814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3096149866%20%2F%20252610473%26entry.1578404635%3DHadir" TargetMode="External"/><Relationship Id="rId813" Type="http://schemas.openxmlformats.org/officeDocument/2006/relationships/hyperlink" Target="https://drive.google.com/file/d/1LHZl9J2LoRDJfgS2iW7IxS1AwPiRo-ej/view?usp=drivesdk" TargetMode="External"/><Relationship Id="rId812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4238472%20%2F%20252610465%26entry.1578404635%3DHadir" TargetMode="External"/><Relationship Id="rId1640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1234811%20%2F%20242510090%26entry.1578404635%3DHadir" TargetMode="External"/><Relationship Id="rId1641" Type="http://schemas.openxmlformats.org/officeDocument/2006/relationships/hyperlink" Target="https://drive.google.com/file/d/1CNv9tDrZ8JZuKV3ybjnIDLUKTIxmMQhA/view?usp=drivesdk" TargetMode="External"/><Relationship Id="rId1675" Type="http://schemas.openxmlformats.org/officeDocument/2006/relationships/hyperlink" Target="https://drive.google.com/file/d/1LFlsqvixm1u9wl2ALvJLCw9xHoFehlJz/view?usp=drivesdk" TargetMode="External"/><Relationship Id="rId1676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3097356141%20%2F%20242510353%26entry.1578404635%3DHadir" TargetMode="External"/><Relationship Id="rId1677" Type="http://schemas.openxmlformats.org/officeDocument/2006/relationships/hyperlink" Target="https://drive.google.com/file/d/1aIz0EXB7qwWVlSC-AOzdfKQY8SmE3Opy/view?usp=drivesdk" TargetMode="External"/><Relationship Id="rId1678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7311898%20%2F%20242510379%26entry.1578404635%3DHadir" TargetMode="External"/><Relationship Id="rId1679" Type="http://schemas.openxmlformats.org/officeDocument/2006/relationships/hyperlink" Target="https://drive.google.com/file/d/1GWGAdvoGdhMCEYLs3dki4zc1EDsDDCL3/view?usp=drivesdk" TargetMode="External"/><Relationship Id="rId849" Type="http://schemas.openxmlformats.org/officeDocument/2006/relationships/hyperlink" Target="https://drive.google.com/file/d/1qH8d0SKifWVqC-pmO2WbRoiWVfOmFZXG/view?usp=drivesdk" TargetMode="External"/><Relationship Id="rId844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3134538%20%2F%20252610091%26entry.1578404635%3DHadir" TargetMode="External"/><Relationship Id="rId843" Type="http://schemas.openxmlformats.org/officeDocument/2006/relationships/hyperlink" Target="https://drive.google.com/file/d/1xwWTmUvDRhtLoZM9IQU_KcP0Xg_MuKRQ/view?usp=drivesdk" TargetMode="External"/><Relationship Id="rId842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2171774%20%2F%20252610089%26entry.1578404635%3DHadir" TargetMode="External"/><Relationship Id="rId841" Type="http://schemas.openxmlformats.org/officeDocument/2006/relationships/hyperlink" Target="https://drive.google.com/file/d/1H2XHA7whVQdCMigAfZ445zluSCl5G9PM/view?usp=drivesdk" TargetMode="External"/><Relationship Id="rId848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9138854%20%2F%20252610103%26entry.1578404635%3DHadir" TargetMode="External"/><Relationship Id="rId847" Type="http://schemas.openxmlformats.org/officeDocument/2006/relationships/hyperlink" Target="https://drive.google.com/file/d/10KFoxBEtRV__suDiWCvI9dbMOnmGbsrI/view?usp=drivesdk" TargetMode="External"/><Relationship Id="rId846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4895570%20%2F%20252610099%26entry.1578404635%3DHadir" TargetMode="External"/><Relationship Id="rId845" Type="http://schemas.openxmlformats.org/officeDocument/2006/relationships/hyperlink" Target="https://drive.google.com/file/d/1sIM86_jXFN0MemXnsfyi_itswaOvLt5k/view?usp=drivesdk" TargetMode="External"/><Relationship Id="rId1670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9551790%20%2F%20242510296%26entry.1578404635%3DHadir" TargetMode="External"/><Relationship Id="rId840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2387971%20%2F%20252610059%26entry.1578404635%3DHadir" TargetMode="External"/><Relationship Id="rId1671" Type="http://schemas.openxmlformats.org/officeDocument/2006/relationships/hyperlink" Target="https://drive.google.com/file/d/1l5mgOkwZJ2qZC-nI7Lmgn6AK6IBG1BIM/view?usp=drivesdk" TargetMode="External"/><Relationship Id="rId1672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89608543%20%2F%20242510309%26entry.1578404635%3DHadir" TargetMode="External"/><Relationship Id="rId1673" Type="http://schemas.openxmlformats.org/officeDocument/2006/relationships/hyperlink" Target="https://drive.google.com/file/d/1UR-nI4a40ZwIDafBL9wIBmpdxLurdYQa/view?usp=drivesdk" TargetMode="External"/><Relationship Id="rId1674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8835028%20%2F%20242510334%26entry.1578404635%3DHadir" TargetMode="External"/><Relationship Id="rId1664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84998907%20%2F%20242510273%26entry.1578404635%3DHadir" TargetMode="External"/><Relationship Id="rId1665" Type="http://schemas.openxmlformats.org/officeDocument/2006/relationships/hyperlink" Target="https://drive.google.com/file/d/1-dFVH8a_wcLxbZxnAEXEzSsXMzxp-WoC/view?usp=drivesdk" TargetMode="External"/><Relationship Id="rId1666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3097947979%20%2F%20242510280%26entry.1578404635%3DHadir" TargetMode="External"/><Relationship Id="rId1667" Type="http://schemas.openxmlformats.org/officeDocument/2006/relationships/hyperlink" Target="https://drive.google.com/file/d/1crtXZvWP0eUswdnbfjAWlGXNq8seBqO1/view?usp=drivesdk" TargetMode="External"/><Relationship Id="rId1668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1225757%20%2F%20242510288%26entry.1578404635%3DHadir" TargetMode="External"/><Relationship Id="rId1669" Type="http://schemas.openxmlformats.org/officeDocument/2006/relationships/hyperlink" Target="https://drive.google.com/file/d/1d4ocLBpS9KnYHsKyVD-xKYK_DRBugj7B/view?usp=drivesdk" TargetMode="External"/><Relationship Id="rId839" Type="http://schemas.openxmlformats.org/officeDocument/2006/relationships/hyperlink" Target="https://drive.google.com/file/d/1TdZqpL1B49vdAbNfzmwQa4e53f_CjSXn/view?usp=drivesdk" TargetMode="External"/><Relationship Id="rId838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7357764%20%2F%20252610054%26entry.1578404635%3DHadir" TargetMode="External"/><Relationship Id="rId833" Type="http://schemas.openxmlformats.org/officeDocument/2006/relationships/hyperlink" Target="https://drive.google.com/file/d/1pEwBdU-KniYGWZsHFB3AER3ez3q1TyPe/view?usp=drivesdk" TargetMode="External"/><Relationship Id="rId832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6128036%20%2F%20252610020%26entry.1578404635%3DHadir" TargetMode="External"/><Relationship Id="rId831" Type="http://schemas.openxmlformats.org/officeDocument/2006/relationships/hyperlink" Target="https://drive.google.com/file/d/12SAYlR-y51OOJWjua-s1-_V-N3JytqmG/view?usp=drivesdk" TargetMode="External"/><Relationship Id="rId830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2107246447%20%2F%20252610014%26entry.1578404635%3DHadir" TargetMode="External"/><Relationship Id="rId837" Type="http://schemas.openxmlformats.org/officeDocument/2006/relationships/hyperlink" Target="https://drive.google.com/file/d/1MyeTXKFxsF093--UrF5stTZuF5LlBgp9/view?usp=drivesdk" TargetMode="External"/><Relationship Id="rId836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8389311%20%2F%20252610037%26entry.1578404635%3DHadir" TargetMode="External"/><Relationship Id="rId835" Type="http://schemas.openxmlformats.org/officeDocument/2006/relationships/hyperlink" Target="https://drive.google.com/file/d/1oMSeiX52SMriRYPe7C63UcjyeER0aWkM/view?usp=drivesdk" TargetMode="External"/><Relationship Id="rId834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7055406%20%2F%20252610032%26entry.1578404635%3DHadir" TargetMode="External"/><Relationship Id="rId1660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5554126%20%2F%20242510253%26entry.1578404635%3DHadir" TargetMode="External"/><Relationship Id="rId1661" Type="http://schemas.openxmlformats.org/officeDocument/2006/relationships/hyperlink" Target="https://drive.google.com/file/d/1HExyKuarnuPNUDbWibDl1iGiY_pWtG2b/view?usp=drivesdk" TargetMode="External"/><Relationship Id="rId1662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5029451%20%2F%20242510255%26entry.1578404635%3DHadir" TargetMode="External"/><Relationship Id="rId1663" Type="http://schemas.openxmlformats.org/officeDocument/2006/relationships/hyperlink" Target="https://drive.google.com/file/d/1WxUS_bs0tkeeLIvPR0fL1R0uJSN4jZiq/view?usp=drivesdk" TargetMode="External"/><Relationship Id="rId469" Type="http://schemas.openxmlformats.org/officeDocument/2006/relationships/hyperlink" Target="https://drive.google.com/file/d/1QJBh0NFgDhD1-3izu7NIFETXYf4HYedi/view?usp=drivesdk" TargetMode="External"/><Relationship Id="rId468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9344894%20%2F%20252610072%26entry.1578404635%3DHadir" TargetMode="External"/><Relationship Id="rId467" Type="http://schemas.openxmlformats.org/officeDocument/2006/relationships/hyperlink" Target="https://drive.google.com/file/d/1HF-0BU14t34QAT-GnVQGN0ygUbXjRMZg/view?usp=drivesdk" TargetMode="External"/><Relationship Id="rId1290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8437864%20%2F%20242510233%26entry.1578404635%3DHadir" TargetMode="External"/><Relationship Id="rId1291" Type="http://schemas.openxmlformats.org/officeDocument/2006/relationships/hyperlink" Target="https://drive.google.com/file/d/1JFR8OVLVZ-FaJ00yApDpzKLzHLgd9Vs5/view?usp=drivesdk" TargetMode="External"/><Relationship Id="rId1292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88976294%20%2F%20242510244%26entry.1578404635%3DHadir" TargetMode="External"/><Relationship Id="rId462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1825991%20%2F%20252610009%26entry.1578404635%3DHadir" TargetMode="External"/><Relationship Id="rId1293" Type="http://schemas.openxmlformats.org/officeDocument/2006/relationships/hyperlink" Target="https://drive.google.com/file/d/1vNDDSSnQ3EloipaIqCDiCCKSutm7577D/view?usp=drivesdk" TargetMode="External"/><Relationship Id="rId461" Type="http://schemas.openxmlformats.org/officeDocument/2006/relationships/hyperlink" Target="https://drive.google.com/file/d/1I0NRcb_l88_W1gccrG4LAkOzficE5sdI/view?usp=drivesdk" TargetMode="External"/><Relationship Id="rId1294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4412664%20%2F%20242510278%26entry.1578404635%3DHadir" TargetMode="External"/><Relationship Id="rId460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6316890%20%2F%20252610005%26entry.1578404635%3DHadir" TargetMode="External"/><Relationship Id="rId1295" Type="http://schemas.openxmlformats.org/officeDocument/2006/relationships/hyperlink" Target="https://drive.google.com/file/d/1mo-eAYd8Bq4t_3L4Xe2B_LkHEDRs-QON/view?usp=drivesdk" TargetMode="External"/><Relationship Id="rId1296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1524851%20%2F%20242510286%26entry.1578404635%3DHadir" TargetMode="External"/><Relationship Id="rId466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3093210071%20%2F%20252610042%26entry.1578404635%3DHadir" TargetMode="External"/><Relationship Id="rId1297" Type="http://schemas.openxmlformats.org/officeDocument/2006/relationships/hyperlink" Target="https://drive.google.com/file/d/1WyQmoA9QYakIKrk124hWkV4KO5T3Ul1z/view?usp=drivesdk" TargetMode="External"/><Relationship Id="rId465" Type="http://schemas.openxmlformats.org/officeDocument/2006/relationships/hyperlink" Target="https://drive.google.com/file/d/1TpnyvYXaZDZpOOXs_lE4mwo-FBBteq6S/view?usp=drivesdk" TargetMode="External"/><Relationship Id="rId1298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3099271994%20%2F%20242510297%26entry.1578404635%3DHadir" TargetMode="External"/><Relationship Id="rId464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4216872%20%2F%20252610036%26entry.1578404635%3DHadir" TargetMode="External"/><Relationship Id="rId1299" Type="http://schemas.openxmlformats.org/officeDocument/2006/relationships/hyperlink" Target="https://drive.google.com/file/d/1A9ftqcJUto8yXWSGbo6FLHFuw2UwWcUO/view?usp=drivesdk" TargetMode="External"/><Relationship Id="rId463" Type="http://schemas.openxmlformats.org/officeDocument/2006/relationships/hyperlink" Target="https://drive.google.com/file/d/1PWefSw__xYOs6KIo-U-Dj0fDPaPPSPwT/view?usp=drivesdk" TargetMode="External"/><Relationship Id="rId459" Type="http://schemas.openxmlformats.org/officeDocument/2006/relationships/hyperlink" Target="https://drive.google.com/file/d/17XltOqPsvfGgvneKk44bFRkExhUorUd0/view?usp=drivesdk" TargetMode="External"/><Relationship Id="rId458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9429653%20%2F%20252610554%26entry.1578404635%3DHadir" TargetMode="External"/><Relationship Id="rId457" Type="http://schemas.openxmlformats.org/officeDocument/2006/relationships/hyperlink" Target="https://drive.google.com/file/d/15S7UOzfkcDKS1daQ1MlFVdfT2kBWvDGT/view?usp=drivesdk" TargetMode="External"/><Relationship Id="rId456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3094664028%20%2F%20252610549%26entry.1578404635%3DHadir" TargetMode="External"/><Relationship Id="rId1280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3095285309%20%2F%20242510216%26entry.1578404635%3DHadir" TargetMode="External"/><Relationship Id="rId1281" Type="http://schemas.openxmlformats.org/officeDocument/2006/relationships/hyperlink" Target="https://drive.google.com/file/d/1gKATXB57Z9Xfl0rbHvJy5ASorqji6eic/view?usp=drivesdk" TargetMode="External"/><Relationship Id="rId451" Type="http://schemas.openxmlformats.org/officeDocument/2006/relationships/hyperlink" Target="https://drive.google.com/file/d/1INlMb4XXl29c1EYZv6ZrdLa-TYt1cyAc/view?usp=drivesdk" TargetMode="External"/><Relationship Id="rId1282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81476668%20%2F%20242510222%26entry.1578404635%3DHadir" TargetMode="External"/><Relationship Id="rId450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2706472%20%2F%20252610535%26entry.1578404635%3DHadir" TargetMode="External"/><Relationship Id="rId1283" Type="http://schemas.openxmlformats.org/officeDocument/2006/relationships/hyperlink" Target="https://drive.google.com/file/d/1Pd23SVesechBi49aeqmCP1ti6iPNoeTH/view?usp=drivesdk" TargetMode="External"/><Relationship Id="rId1284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8908539%20%2F%20242510230%26entry.1578404635%3DHadir" TargetMode="External"/><Relationship Id="rId1285" Type="http://schemas.openxmlformats.org/officeDocument/2006/relationships/hyperlink" Target="https://drive.google.com/file/d/1RpBOb7YJjkXZAKLhEB7Lgm7QNgR1FG2m/view?usp=drivesdk" TargetMode="External"/><Relationship Id="rId455" Type="http://schemas.openxmlformats.org/officeDocument/2006/relationships/hyperlink" Target="https://drive.google.com/file/d/1gcpNqH-YL8upEXV81W2ULHBthogKd8PE/view?usp=drivesdk" TargetMode="External"/><Relationship Id="rId1286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3095174589%20%2F%20242510231%26entry.1578404635%3DHadir" TargetMode="External"/><Relationship Id="rId454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8052333%20%2F%20252610543%26entry.1578404635%3DHadir" TargetMode="External"/><Relationship Id="rId1287" Type="http://schemas.openxmlformats.org/officeDocument/2006/relationships/hyperlink" Target="https://drive.google.com/file/d/1DTrvxRr2myWDtCZntXS3bK4cI2hAydQe/view?usp=drivesdk" TargetMode="External"/><Relationship Id="rId453" Type="http://schemas.openxmlformats.org/officeDocument/2006/relationships/hyperlink" Target="https://drive.google.com/file/d/1HK5k4DfXpMYjTWRLebkwz5p4EOxxRT4C/view?usp=drivesdk" TargetMode="External"/><Relationship Id="rId1288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9030651%20%2F%20242510232%26entry.1578404635%3DHadir" TargetMode="External"/><Relationship Id="rId452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5183684%20%2F%20252610540%26entry.1578404635%3DHadir" TargetMode="External"/><Relationship Id="rId1289" Type="http://schemas.openxmlformats.org/officeDocument/2006/relationships/hyperlink" Target="https://drive.google.com/file/d/1A2eV6Sz08ScSbqzEFyohtS0bEz-fovM7/view?usp=drivesdk" TargetMode="External"/><Relationship Id="rId491" Type="http://schemas.openxmlformats.org/officeDocument/2006/relationships/hyperlink" Target="https://drive.google.com/file/d/19MIIaIj9mSta3bjqv4dYx4_BXIYxkRO9/view?usp=drivesdk" TargetMode="External"/><Relationship Id="rId490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6185979%20%2F%20252610198%26entry.1578404635%3DHadir" TargetMode="External"/><Relationship Id="rId489" Type="http://schemas.openxmlformats.org/officeDocument/2006/relationships/hyperlink" Target="https://drive.google.com/file/d/1t2mvjWinLOccTgPRRVD-rpYoGRIEaFbS/view?usp=drivesdk" TargetMode="External"/><Relationship Id="rId484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1620147%20%2F%20252610189%26entry.1578404635%3DHadir" TargetMode="External"/><Relationship Id="rId483" Type="http://schemas.openxmlformats.org/officeDocument/2006/relationships/hyperlink" Target="https://drive.google.com/file/d/17d2yn5K1mCkIGEHrDhAUkT0dfZW1f65J/view?usp=drivesdk" TargetMode="External"/><Relationship Id="rId482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6744611%20%2F%20252610176%26entry.1578404635%3DHadir" TargetMode="External"/><Relationship Id="rId481" Type="http://schemas.openxmlformats.org/officeDocument/2006/relationships/hyperlink" Target="https://drive.google.com/file/d/1HULAlrD_vMvhXONRCIgJDj9oxEA6-_no/view?usp=drivesdk" TargetMode="External"/><Relationship Id="rId488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2383688%20%2F%20252610195%26entry.1578404635%3DHadir" TargetMode="External"/><Relationship Id="rId487" Type="http://schemas.openxmlformats.org/officeDocument/2006/relationships/hyperlink" Target="https://drive.google.com/file/d/1LaOPvRE23-EGEZMKY68pbwFl6Tu9E0ko/view?usp=drivesdk" TargetMode="External"/><Relationship Id="rId486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3286261%20%2F%20252610194%26entry.1578404635%3DHadir" TargetMode="External"/><Relationship Id="rId485" Type="http://schemas.openxmlformats.org/officeDocument/2006/relationships/hyperlink" Target="https://drive.google.com/file/d/1GcITi9Z6f7WS4oYGGS2D2tU5Pwghd_TC/view?usp=drivesdk" TargetMode="External"/><Relationship Id="rId480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74430959%20%2F%20252610172%26entry.1578404635%3DHadir" TargetMode="External"/><Relationship Id="rId479" Type="http://schemas.openxmlformats.org/officeDocument/2006/relationships/hyperlink" Target="https://drive.google.com/file/d/1L8JiYxqOsjpzv31flJUfXdiXVn7YQTk4/view?usp=drivesdk" TargetMode="External"/><Relationship Id="rId478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3451857%20%2F%20252610167%26entry.1578404635%3DHadir" TargetMode="External"/><Relationship Id="rId473" Type="http://schemas.openxmlformats.org/officeDocument/2006/relationships/hyperlink" Target="https://drive.google.com/file/d/1CJNbCwFZzDF0hh2uR6eBgqWidJlSlKDl/view?usp=drivesdk" TargetMode="External"/><Relationship Id="rId472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4799326%20%2F%20252610134%26entry.1578404635%3DHadir" TargetMode="External"/><Relationship Id="rId471" Type="http://schemas.openxmlformats.org/officeDocument/2006/relationships/hyperlink" Target="https://drive.google.com/file/d/1CtxI6QsPaPFwQjW0hZMmrP6zPKKpN0R5/view?usp=drivesdk" TargetMode="External"/><Relationship Id="rId470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9520546%20%2F%20252610120%26entry.1578404635%3DHadir" TargetMode="External"/><Relationship Id="rId477" Type="http://schemas.openxmlformats.org/officeDocument/2006/relationships/hyperlink" Target="https://drive.google.com/file/d/1R_AD_g3bdmjOr0gftsxpQHjUF69UnrM6/view?usp=drivesdk" TargetMode="External"/><Relationship Id="rId476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9286083%20%2F%20252610157%26entry.1578404635%3DHadir" TargetMode="External"/><Relationship Id="rId475" Type="http://schemas.openxmlformats.org/officeDocument/2006/relationships/hyperlink" Target="https://drive.google.com/file/d/1UMsXMsgjM77aGNsWvz4HxWf6egi5pHX2/view?usp=drivesdk" TargetMode="External"/><Relationship Id="rId474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81552525%20%2F%20252610150%26entry.1578404635%3DHadir" TargetMode="External"/><Relationship Id="rId1257" Type="http://schemas.openxmlformats.org/officeDocument/2006/relationships/hyperlink" Target="https://drive.google.com/file/d/1bbQwHPjLR2Fbl4etB8m3V996AdWwQshk/view?usp=drivesdk" TargetMode="External"/><Relationship Id="rId1258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2697249%20%2F%20242510041%26entry.1578404635%3DHadir" TargetMode="External"/><Relationship Id="rId1259" Type="http://schemas.openxmlformats.org/officeDocument/2006/relationships/hyperlink" Target="https://drive.google.com/file/d/1F2YFyZW8VyeUaDsGTxbMyZm1uFU0x2MH/view?usp=drivesdk" TargetMode="External"/><Relationship Id="rId426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4434944%20%2F%20252610401%26entry.1578404635%3DHadir" TargetMode="External"/><Relationship Id="rId425" Type="http://schemas.openxmlformats.org/officeDocument/2006/relationships/hyperlink" Target="https://drive.google.com/file/d/1vTCYnIRbTvWEUW3lZkIaK9ZP1PJItCcg/view?usp=drivesdk" TargetMode="External"/><Relationship Id="rId424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2223990%20%2F%20252610384%26entry.1578404635%3DHadir" TargetMode="External"/><Relationship Id="rId423" Type="http://schemas.openxmlformats.org/officeDocument/2006/relationships/hyperlink" Target="https://drive.google.com/file/d/1my4DBIVwIVjLXuPgCf1xWV997UuZ2EA0/view?usp=drivesdk" TargetMode="External"/><Relationship Id="rId429" Type="http://schemas.openxmlformats.org/officeDocument/2006/relationships/hyperlink" Target="https://drive.google.com/file/d/1Hd3xRsD3gmU02RZEufIqpI9dvV_KBPhr/view?usp=drivesdk" TargetMode="External"/><Relationship Id="rId428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8770789%20%2F%20252610412%26entry.1578404635%3DHadir" TargetMode="External"/><Relationship Id="rId427" Type="http://schemas.openxmlformats.org/officeDocument/2006/relationships/hyperlink" Target="https://drive.google.com/file/d/1wE0aAxciOBhfWlYsxDeJs6q1gWOzT57p/view?usp=drivesdk" TargetMode="External"/><Relationship Id="rId1250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84548048%20%2F%20242510404%26entry.1578404635%3DHadir" TargetMode="External"/><Relationship Id="rId1251" Type="http://schemas.openxmlformats.org/officeDocument/2006/relationships/hyperlink" Target="https://drive.google.com/file/d/16Rv_r5y55P-EGBUMCzG3Sw_6zLM0MGoG/view?usp=drivesdk" TargetMode="External"/><Relationship Id="rId1252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4935892%20%2F%20242510412%26entry.1578404635%3DHadir" TargetMode="External"/><Relationship Id="rId422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2479207%20%2F%20252610379%26entry.1578404635%3DHadir" TargetMode="External"/><Relationship Id="rId1253" Type="http://schemas.openxmlformats.org/officeDocument/2006/relationships/hyperlink" Target="https://drive.google.com/file/d/1rTh_YCrFN7s6xeVA390L5xtI5iiVhT_g/view?usp=drivesdk" TargetMode="External"/><Relationship Id="rId421" Type="http://schemas.openxmlformats.org/officeDocument/2006/relationships/hyperlink" Target="https://drive.google.com/file/d/1t4cEOt5h5FmpUR6Y5yaUCQq38JL2mgDq/view?usp=drivesdk" TargetMode="External"/><Relationship Id="rId1254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85027044%20%2F%20242510010%26entry.1578404635%3DHadir" TargetMode="External"/><Relationship Id="rId420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3094594523%20%2F%20252610374%26entry.1578404635%3DHadir" TargetMode="External"/><Relationship Id="rId1255" Type="http://schemas.openxmlformats.org/officeDocument/2006/relationships/hyperlink" Target="https://drive.google.com/file/d/1ZxGAz-3CZseYg3BkvfKFG9dvErrLhlqt/view?usp=drivesdk" TargetMode="External"/><Relationship Id="rId1256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81265372%20%2F%20242510027%26entry.1578404635%3DHadir" TargetMode="External"/><Relationship Id="rId1246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6304229%20%2F%20242510387%26entry.1578404635%3DHadir" TargetMode="External"/><Relationship Id="rId1247" Type="http://schemas.openxmlformats.org/officeDocument/2006/relationships/hyperlink" Target="https://drive.google.com/file/d/10g-E-h0-1yWWBpSs8MjBmBeZDyLw4SNN/view?usp=drivesdk" TargetMode="External"/><Relationship Id="rId1248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3907013%20%2F%20242510390%26entry.1578404635%3DHadir" TargetMode="External"/><Relationship Id="rId1249" Type="http://schemas.openxmlformats.org/officeDocument/2006/relationships/hyperlink" Target="https://drive.google.com/file/d/12-3-zmMVPsQNinQmCUILOXrQy5jyqB8E/view?usp=drivesdk" TargetMode="External"/><Relationship Id="rId415" Type="http://schemas.openxmlformats.org/officeDocument/2006/relationships/hyperlink" Target="https://drive.google.com/file/d/1SRxbR8fQU3GhSnDZ7v7AHvijYEAWGUVT/view?usp=drivesdk" TargetMode="External"/><Relationship Id="rId899" Type="http://schemas.openxmlformats.org/officeDocument/2006/relationships/hyperlink" Target="https://drive.google.com/file/d/1fWX-wb8viQEQPtLzvbeCNkfp_5tjlFDh/view?usp=drivesdk" TargetMode="External"/><Relationship Id="rId414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3107979922%20%2F%20252610323%26entry.1578404635%3DHadir" TargetMode="External"/><Relationship Id="rId898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9464483%20%2F%20252610443%26entry.1578404635%3DHadir" TargetMode="External"/><Relationship Id="rId413" Type="http://schemas.openxmlformats.org/officeDocument/2006/relationships/hyperlink" Target="https://drive.google.com/file/d/1erECNq_PSvEp93bh0dO6EhpariPJqBdh/view?usp=drivesdk" TargetMode="External"/><Relationship Id="rId897" Type="http://schemas.openxmlformats.org/officeDocument/2006/relationships/hyperlink" Target="https://drive.google.com/file/d/1b5dOtpMPa4mKW18gLD-_xtf3ovRrbLaY/view?usp=drivesdk" TargetMode="External"/><Relationship Id="rId412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8578906%20%2F%20252610322%26entry.1578404635%3DHadir" TargetMode="External"/><Relationship Id="rId896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6941532%20%2F%20252610406%26entry.1578404635%3DHadir" TargetMode="External"/><Relationship Id="rId419" Type="http://schemas.openxmlformats.org/officeDocument/2006/relationships/hyperlink" Target="https://drive.google.com/file/d/13nlDOik1kyynO2nGMtB4OMkm2jv_qyyk/view?usp=drivesdk" TargetMode="External"/><Relationship Id="rId418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5937017%20%2F%20252610366%26entry.1578404635%3DHadir" TargetMode="External"/><Relationship Id="rId417" Type="http://schemas.openxmlformats.org/officeDocument/2006/relationships/hyperlink" Target="https://drive.google.com/file/d/1cTm7VEDQOIMiL8ze5t9Z-7VA7nOLJ27V/view?usp=drivesdk" TargetMode="External"/><Relationship Id="rId416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5902624%20%2F%20252610361%26entry.1578404635%3DHadir" TargetMode="External"/><Relationship Id="rId891" Type="http://schemas.openxmlformats.org/officeDocument/2006/relationships/hyperlink" Target="https://drive.google.com/file/d/13zk0vigIw0GINxuEFuMyXLkKRpQVdnnV/view?usp=drivesdk" TargetMode="External"/><Relationship Id="rId890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8105659%20%2F%20252610396%26entry.1578404635%3DHadir" TargetMode="External"/><Relationship Id="rId1240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5556013%20%2F%20242510366%26entry.1578404635%3DHadir" TargetMode="External"/><Relationship Id="rId1241" Type="http://schemas.openxmlformats.org/officeDocument/2006/relationships/hyperlink" Target="https://drive.google.com/file/d/1IRu23d56JhG2cRCdAd81Nw3kMcARygLg/view?usp=drivesdk" TargetMode="External"/><Relationship Id="rId411" Type="http://schemas.openxmlformats.org/officeDocument/2006/relationships/hyperlink" Target="https://drive.google.com/file/d/1uBL72l8iBn2XBFApYk76iAOuIVdoolot/view?usp=drivesdk" TargetMode="External"/><Relationship Id="rId895" Type="http://schemas.openxmlformats.org/officeDocument/2006/relationships/hyperlink" Target="https://drive.google.com/file/d/1nLPi4DQZAHD6gPlS-JsYBBS7Wjv8d3wV/view?usp=drivesdk" TargetMode="External"/><Relationship Id="rId1242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4079262%20%2F%20242510374%26entry.1578404635%3DHadir" TargetMode="External"/><Relationship Id="rId410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4686372%20%2F%20252610299%26entry.1578404635%3DHadir" TargetMode="External"/><Relationship Id="rId894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3643944%20%2F%20252610403%26entry.1578404635%3DHadir" TargetMode="External"/><Relationship Id="rId1243" Type="http://schemas.openxmlformats.org/officeDocument/2006/relationships/hyperlink" Target="https://drive.google.com/file/d/1cZwBkOPVd6iq4TowmWcDZYmZtknLUsj9/view?usp=drivesdk" TargetMode="External"/><Relationship Id="rId893" Type="http://schemas.openxmlformats.org/officeDocument/2006/relationships/hyperlink" Target="https://drive.google.com/file/d/1I6M4sCvYHr03sOKZ-PGPr8ez3DsjPguj/view?usp=drivesdk" TargetMode="External"/><Relationship Id="rId1244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72787144%20%2F%20242510377%26entry.1578404635%3DHadir" TargetMode="External"/><Relationship Id="rId892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1758520%20%2F%20252610402%26entry.1578404635%3DHadir" TargetMode="External"/><Relationship Id="rId1245" Type="http://schemas.openxmlformats.org/officeDocument/2006/relationships/hyperlink" Target="https://drive.google.com/file/d/1o208HHg0gz0nVLVJsSVy230XOeFgZ_kd/view?usp=drivesdk" TargetMode="External"/><Relationship Id="rId1279" Type="http://schemas.openxmlformats.org/officeDocument/2006/relationships/hyperlink" Target="https://drive.google.com/file/d/178X05-naYzjJb7ZAw6Sil7EdNSxlc1KM/view?usp=drivesdk" TargetMode="External"/><Relationship Id="rId448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2402487%20%2F%20252610507%26entry.1578404635%3DHadir" TargetMode="External"/><Relationship Id="rId447" Type="http://schemas.openxmlformats.org/officeDocument/2006/relationships/hyperlink" Target="https://drive.google.com/file/d/1waNX8oetZlwDLP41UclCYydF-qrgJ55i/view?usp=drivesdk" TargetMode="External"/><Relationship Id="rId446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5160472%20%2F%20252610488%26entry.1578404635%3DHadir" TargetMode="External"/><Relationship Id="rId445" Type="http://schemas.openxmlformats.org/officeDocument/2006/relationships/hyperlink" Target="https://drive.google.com/file/d/1i_wSlIWP924guS0Qn-2D7kekHS12nzam/view?usp=drivesdk" TargetMode="External"/><Relationship Id="rId449" Type="http://schemas.openxmlformats.org/officeDocument/2006/relationships/hyperlink" Target="https://drive.google.com/file/d/1gzpEXuJCg4DayCTe1Sy860DjNBIhO9XV/view?usp=drivesdk" TargetMode="External"/><Relationship Id="rId1270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7193046%20%2F%20242510184%26entry.1578404635%3DHadir" TargetMode="External"/><Relationship Id="rId440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2081772%20%2F%20252610451%26entry.1578404635%3DHadir" TargetMode="External"/><Relationship Id="rId1271" Type="http://schemas.openxmlformats.org/officeDocument/2006/relationships/hyperlink" Target="https://drive.google.com/file/d/1O61AQGQmCwxVAJI2em_HT8MJqMT6Op0j/view?usp=drivesdk" TargetMode="External"/><Relationship Id="rId1272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3505380%20%2F%20242510187%26entry.1578404635%3DHadir" TargetMode="External"/><Relationship Id="rId1273" Type="http://schemas.openxmlformats.org/officeDocument/2006/relationships/hyperlink" Target="https://drive.google.com/file/d/1XBiUQHfb3lnaODsl24Rr3RmPza5fdwpr/view?usp=drivesdk" TargetMode="External"/><Relationship Id="rId1274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84361496%20%2F%20242510193%26entry.1578404635%3DHadir" TargetMode="External"/><Relationship Id="rId444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3090773%20%2F%20252610481%26entry.1578404635%3DHadir" TargetMode="External"/><Relationship Id="rId1275" Type="http://schemas.openxmlformats.org/officeDocument/2006/relationships/hyperlink" Target="https://drive.google.com/file/d/1s1s1U02tSCetgb8gv83rqH-e5DmnygWR/view?usp=drivesdk" TargetMode="External"/><Relationship Id="rId443" Type="http://schemas.openxmlformats.org/officeDocument/2006/relationships/hyperlink" Target="https://drive.google.com/file/d/18a1R5Rh1ccebDedXlmMI_hEGZddgN0Io/view?usp=drivesdk" TargetMode="External"/><Relationship Id="rId1276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3778675%20%2F%20242510197%26entry.1578404635%3DHadir" TargetMode="External"/><Relationship Id="rId442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7864614%20%2F%20252610471%26entry.1578404635%3DHadir" TargetMode="External"/><Relationship Id="rId1277" Type="http://schemas.openxmlformats.org/officeDocument/2006/relationships/hyperlink" Target="https://drive.google.com/file/d/1yqJG-BeFNpbuyFNWFOPKyogESvDjyeEZ/view?usp=drivesdk" TargetMode="External"/><Relationship Id="rId441" Type="http://schemas.openxmlformats.org/officeDocument/2006/relationships/hyperlink" Target="https://drive.google.com/file/d/1UaRKbLWKzAXl9vDTe9j6Umew3drGqJ1o/view?usp=drivesdk" TargetMode="External"/><Relationship Id="rId1278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4698679%20%2F%20242510213%26entry.1578404635%3DHadir" TargetMode="External"/><Relationship Id="rId1268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4722345%20%2F%20242510180%26entry.1578404635%3DHadir" TargetMode="External"/><Relationship Id="rId1269" Type="http://schemas.openxmlformats.org/officeDocument/2006/relationships/hyperlink" Target="https://drive.google.com/file/d/1jhTaoo4VI4R_TfqphyO4MZXwvAh1rZkX/view?usp=drivesdk" TargetMode="External"/><Relationship Id="rId437" Type="http://schemas.openxmlformats.org/officeDocument/2006/relationships/hyperlink" Target="https://drive.google.com/file/d/1OIEloVYdQITaeXBYDTkFlsV0pnMe4Hmz/view?usp=drivesdk" TargetMode="External"/><Relationship Id="rId436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3099055467%20%2F%20252610437%26entry.1578404635%3DHadir" TargetMode="External"/><Relationship Id="rId435" Type="http://schemas.openxmlformats.org/officeDocument/2006/relationships/hyperlink" Target="https://drive.google.com/file/d/15V8PAoNDpwfwpCMdE2I8PNuB3f3KQI5r/view?usp=drivesdk" TargetMode="External"/><Relationship Id="rId434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4883711%20%2F%20252610429%26entry.1578404635%3DHadir" TargetMode="External"/><Relationship Id="rId439" Type="http://schemas.openxmlformats.org/officeDocument/2006/relationships/hyperlink" Target="https://drive.google.com/file/d/1fGLw33Bf4d_JsTyDNaJUqkU6VXNKLvzL/view?usp=drivesdk" TargetMode="External"/><Relationship Id="rId438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2103124%20%2F%20252610450%26entry.1578404635%3DHadir" TargetMode="External"/><Relationship Id="rId1260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85437129%20%2F%20242510070%26entry.1578404635%3DHadir" TargetMode="External"/><Relationship Id="rId1261" Type="http://schemas.openxmlformats.org/officeDocument/2006/relationships/hyperlink" Target="https://drive.google.com/file/d/1c1iqIMkG7fBxLprUvUiYFUm_I_Pusjqh/view?usp=drivesdk" TargetMode="External"/><Relationship Id="rId1262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8656322%20%2F%20242510113%26entry.1578404635%3DHadir" TargetMode="External"/><Relationship Id="rId1263" Type="http://schemas.openxmlformats.org/officeDocument/2006/relationships/hyperlink" Target="https://drive.google.com/file/d/1vNEpKnZArgOk_i4oC0SP_C9BTKP0Zt_P/view?usp=drivesdk" TargetMode="External"/><Relationship Id="rId433" Type="http://schemas.openxmlformats.org/officeDocument/2006/relationships/hyperlink" Target="https://drive.google.com/file/d/1vpvFQ6LUQY4Sdf_45ISIKeagXHzn8M7p/view?usp=drivesdk" TargetMode="External"/><Relationship Id="rId1264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6763243%20%2F%20242510120%26entry.1578404635%3DHadir" TargetMode="External"/><Relationship Id="rId432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3099045754%20%2F%20252610427%26entry.1578404635%3DHadir" TargetMode="External"/><Relationship Id="rId1265" Type="http://schemas.openxmlformats.org/officeDocument/2006/relationships/hyperlink" Target="https://drive.google.com/file/d/1aiARtgiGSmWn9WluRhoPdHuesdvFjIYi/view?usp=drivesdk" TargetMode="External"/><Relationship Id="rId431" Type="http://schemas.openxmlformats.org/officeDocument/2006/relationships/hyperlink" Target="https://drive.google.com/file/d/1iFJFaEYZR4Udfp9N80CKpWMaYjd0aJ47/view?usp=drivesdk" TargetMode="External"/><Relationship Id="rId1266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8951883%20%2F%20242510136%26entry.1578404635%3DHadir" TargetMode="External"/><Relationship Id="rId430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1523916%20%2F%20252610414%26entry.1578404635%3DHadir" TargetMode="External"/><Relationship Id="rId1267" Type="http://schemas.openxmlformats.org/officeDocument/2006/relationships/hyperlink" Target="https://drive.google.com/file/d/10KVTqJOkj4cC-xkm1cks0lLJ23C6zfzl/view?usp=drivesdk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392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2387971%26entry.1578404635%3DHadir" TargetMode="External"/><Relationship Id="rId391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7357764%26entry.1578404635%3DHadir" TargetMode="External"/><Relationship Id="rId390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8389311%26entry.1578404635%3DHadir" TargetMode="External"/><Relationship Id="rId1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3103201253%26entry.1578404635%3DHadir" TargetMode="External"/><Relationship Id="rId2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2149444%26entry.1578404635%3DHadir" TargetMode="External"/><Relationship Id="rId3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5992391%26entry.1578404635%3DHadir" TargetMode="External"/><Relationship Id="rId4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6142601%26entry.1578404635%3DHadir" TargetMode="External"/><Relationship Id="rId9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6477713%26entry.1578404635%3DHadir" TargetMode="External"/><Relationship Id="rId385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6033014%26entry.1578404635%3DHadir" TargetMode="External"/><Relationship Id="rId384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8348385%26entry.1578404635%3DHadir" TargetMode="External"/><Relationship Id="rId383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4680852%26entry.1578404635%3DHadir" TargetMode="External"/><Relationship Id="rId382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9107315%26entry.1578404635%3DHadir" TargetMode="External"/><Relationship Id="rId5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8104548%26entry.1578404635%3DHadir" TargetMode="External"/><Relationship Id="rId389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7055406%26entry.1578404635%3DHadir" TargetMode="External"/><Relationship Id="rId6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3045473%26entry.1578404635%3DHadir" TargetMode="External"/><Relationship Id="rId388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6128036%26entry.1578404635%3DHadir" TargetMode="External"/><Relationship Id="rId7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9105725%26entry.1578404635%3DHadir" TargetMode="External"/><Relationship Id="rId387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2107246447%26entry.1578404635%3DHadir" TargetMode="External"/><Relationship Id="rId8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6394871%26entry.1578404635%3DHadir" TargetMode="External"/><Relationship Id="rId386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4072965%26entry.1578404635%3DHadir" TargetMode="External"/><Relationship Id="rId381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7182326%26entry.1578404635%3DHadir" TargetMode="External"/><Relationship Id="rId380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6183087%26entry.1578404635%3DHadir" TargetMode="External"/><Relationship Id="rId379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3096149866%26entry.1578404635%3DHadir" TargetMode="External"/><Relationship Id="rId374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7910400%26entry.1578404635%3DHadir" TargetMode="External"/><Relationship Id="rId373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3100132772%26entry.1578404635%3DHadir" TargetMode="External"/><Relationship Id="rId372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3640113%26entry.1578404635%3DHadir" TargetMode="External"/><Relationship Id="rId371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6882416%26entry.1578404635%3DHadir" TargetMode="External"/><Relationship Id="rId378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4238472%26entry.1578404635%3DHadir" TargetMode="External"/><Relationship Id="rId377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1902217%26entry.1578404635%3DHadir" TargetMode="External"/><Relationship Id="rId376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6245820%26entry.1578404635%3DHadir" TargetMode="External"/><Relationship Id="rId375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1134035%26entry.1578404635%3DHadir" TargetMode="External"/><Relationship Id="rId396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9138854%26entry.1578404635%3DHadir" TargetMode="External"/><Relationship Id="rId395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4895570%26entry.1578404635%3DHadir" TargetMode="External"/><Relationship Id="rId394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3134538%26entry.1578404635%3DHadir" TargetMode="External"/><Relationship Id="rId393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2171774%26entry.1578404635%3DHadir" TargetMode="External"/><Relationship Id="rId399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3526904%26entry.1578404635%3DHadir" TargetMode="External"/><Relationship Id="rId398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9153455%26entry.1578404635%3DHadir" TargetMode="External"/><Relationship Id="rId397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5133490%26entry.1578404635%3DHadir" TargetMode="External"/><Relationship Id="rId808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2081404817%26entry.1578404635%3DHadir" TargetMode="External"/><Relationship Id="rId807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84789093%26entry.1578404635%3DHadir" TargetMode="External"/><Relationship Id="rId806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7959305%26entry.1578404635%3DHadir" TargetMode="External"/><Relationship Id="rId805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3801090%26entry.1578404635%3DHadir" TargetMode="External"/><Relationship Id="rId809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8812831%26entry.1578404635%3DHadir" TargetMode="External"/><Relationship Id="rId800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9130256%26entry.1578404635%3DHadir" TargetMode="External"/><Relationship Id="rId804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9505768%26entry.1578404635%3DHadir" TargetMode="External"/><Relationship Id="rId803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3390743%26entry.1578404635%3DHadir" TargetMode="External"/><Relationship Id="rId802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1537746%26entry.1578404635%3DHadir" TargetMode="External"/><Relationship Id="rId801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82646713%26entry.1578404635%3DHadir" TargetMode="External"/><Relationship Id="rId40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11428850%26entry.1578404635%3DHadir" TargetMode="External"/><Relationship Id="rId42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4216870%26entry.1578404635%3DHadir" TargetMode="External"/><Relationship Id="rId41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8505453%26entry.1578404635%3DHadir" TargetMode="External"/><Relationship Id="rId44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5130233%26entry.1578404635%3DHadir" TargetMode="External"/><Relationship Id="rId43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7760733%26entry.1578404635%3DHadir" TargetMode="External"/><Relationship Id="rId46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5372504%26entry.1578404635%3DHadir" TargetMode="External"/><Relationship Id="rId45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4550133%26entry.1578404635%3DHadir" TargetMode="External"/><Relationship Id="rId745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1736459%26entry.1578404635%3DHadir" TargetMode="External"/><Relationship Id="rId744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7500016%26entry.1578404635%3DHadir" TargetMode="External"/><Relationship Id="rId743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89925170%26entry.1578404635%3DHadir" TargetMode="External"/><Relationship Id="rId742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2889165%26entry.1578404635%3DHadir" TargetMode="External"/><Relationship Id="rId749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83558880%26entry.1578404635%3DHadir" TargetMode="External"/><Relationship Id="rId748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3089802088%26entry.1578404635%3DHadir" TargetMode="External"/><Relationship Id="rId747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5965332%26entry.1578404635%3DHadir" TargetMode="External"/><Relationship Id="rId746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83473619%26entry.1578404635%3DHadir" TargetMode="External"/><Relationship Id="rId48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9006152%26entry.1578404635%3DHadir" TargetMode="External"/><Relationship Id="rId47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5813396%26entry.1578404635%3DHadir" TargetMode="External"/><Relationship Id="rId49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7211030%26entry.1578404635%3DHadir" TargetMode="External"/><Relationship Id="rId741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82910392%26entry.1578404635%3DHadir" TargetMode="External"/><Relationship Id="rId740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83503418%26entry.1578404635%3DHadir" TargetMode="External"/><Relationship Id="rId31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3105045%26entry.1578404635%3DHadir" TargetMode="External"/><Relationship Id="rId30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7858274%26entry.1578404635%3DHadir" TargetMode="External"/><Relationship Id="rId33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7914534%26entry.1578404635%3DHadir" TargetMode="External"/><Relationship Id="rId32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5438030%26entry.1578404635%3DHadir" TargetMode="External"/><Relationship Id="rId35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2135851%26entry.1578404635%3DHadir" TargetMode="External"/><Relationship Id="rId34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7963483%26entry.1578404635%3DHadir" TargetMode="External"/><Relationship Id="rId739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9056940%26entry.1578404635%3DHadir" TargetMode="External"/><Relationship Id="rId734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3555544%26entry.1578404635%3DHadir" TargetMode="External"/><Relationship Id="rId733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83691625%26entry.1578404635%3DHadir" TargetMode="External"/><Relationship Id="rId732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6176025%26entry.1578404635%3DHadir" TargetMode="External"/><Relationship Id="rId731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9205215%26entry.1578404635%3DHadir" TargetMode="External"/><Relationship Id="rId738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4015905%26entry.1578404635%3DHadir" TargetMode="External"/><Relationship Id="rId737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7044189%26entry.1578404635%3DHadir" TargetMode="External"/><Relationship Id="rId736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81177343%26entry.1578404635%3DHadir" TargetMode="External"/><Relationship Id="rId735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3240247%26entry.1578404635%3DHadir" TargetMode="External"/><Relationship Id="rId37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3151970%26entry.1578404635%3DHadir" TargetMode="External"/><Relationship Id="rId36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2605198%26entry.1578404635%3DHadir" TargetMode="External"/><Relationship Id="rId39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2657659%26entry.1578404635%3DHadir" TargetMode="External"/><Relationship Id="rId38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7644165%26entry.1578404635%3DHadir" TargetMode="External"/><Relationship Id="rId730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6998389%26entry.1578404635%3DHadir" TargetMode="External"/><Relationship Id="rId20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2985486%26entry.1578404635%3DHadir" TargetMode="External"/><Relationship Id="rId22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2600602%26entry.1578404635%3DHadir" TargetMode="External"/><Relationship Id="rId21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7959828%26entry.1578404635%3DHadir" TargetMode="External"/><Relationship Id="rId24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3126257%26entry.1578404635%3DHadir" TargetMode="External"/><Relationship Id="rId23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8695912%26entry.1578404635%3DHadir" TargetMode="External"/><Relationship Id="rId767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1972857%26entry.1578404635%3DHadir" TargetMode="External"/><Relationship Id="rId766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8965422%26entry.1578404635%3DHadir" TargetMode="External"/><Relationship Id="rId765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86771046%26entry.1578404635%3DHadir" TargetMode="External"/><Relationship Id="rId764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83550559%26entry.1578404635%3DHadir" TargetMode="External"/><Relationship Id="rId769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84373144%26entry.1578404635%3DHadir" TargetMode="External"/><Relationship Id="rId768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9463036%26entry.1578404635%3DHadir" TargetMode="External"/><Relationship Id="rId26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8107461%26entry.1578404635%3DHadir" TargetMode="External"/><Relationship Id="rId25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3104497802%26entry.1578404635%3DHadir" TargetMode="External"/><Relationship Id="rId28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2300207%26entry.1578404635%3DHadir" TargetMode="External"/><Relationship Id="rId27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2807405%26entry.1578404635%3DHadir" TargetMode="External"/><Relationship Id="rId763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4494926%26entry.1578404635%3DHadir" TargetMode="External"/><Relationship Id="rId29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7892166%26entry.1578404635%3DHadir" TargetMode="External"/><Relationship Id="rId762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89659957%26entry.1578404635%3DHadir" TargetMode="External"/><Relationship Id="rId761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2533632%26entry.1578404635%3DHadir" TargetMode="External"/><Relationship Id="rId760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84182636%26entry.1578404635%3DHadir" TargetMode="External"/><Relationship Id="rId11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4126705%26entry.1578404635%3DHadir" TargetMode="External"/><Relationship Id="rId10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6995291%26entry.1578404635%3DHadir" TargetMode="External"/><Relationship Id="rId13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2097491%26entry.1578404635%3DHadir" TargetMode="External"/><Relationship Id="rId12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5914504%26entry.1578404635%3DHadir" TargetMode="External"/><Relationship Id="rId756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8495672%26entry.1578404635%3DHadir" TargetMode="External"/><Relationship Id="rId755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83111399%26entry.1578404635%3DHadir" TargetMode="External"/><Relationship Id="rId754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88243290%26entry.1578404635%3DHadir" TargetMode="External"/><Relationship Id="rId753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6947097%26entry.1578404635%3DHadir" TargetMode="External"/><Relationship Id="rId759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8177122%26entry.1578404635%3DHadir" TargetMode="External"/><Relationship Id="rId758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87540462%26entry.1578404635%3DHadir" TargetMode="External"/><Relationship Id="rId757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87033208%26entry.1578404635%3DHadir" TargetMode="External"/><Relationship Id="rId15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7657965%26entry.1578404635%3DHadir" TargetMode="External"/><Relationship Id="rId14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2644442%26entry.1578404635%3DHadir" TargetMode="External"/><Relationship Id="rId17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4631117%26entry.1578404635%3DHadir" TargetMode="External"/><Relationship Id="rId16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5023834%26entry.1578404635%3DHadir" TargetMode="External"/><Relationship Id="rId19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3648473%26entry.1578404635%3DHadir" TargetMode="External"/><Relationship Id="rId752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82222599%26entry.1578404635%3DHadir" TargetMode="External"/><Relationship Id="rId18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2679798%26entry.1578404635%3DHadir" TargetMode="External"/><Relationship Id="rId751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3086429713%26entry.1578404635%3DHadir" TargetMode="External"/><Relationship Id="rId750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87939718%26entry.1578404635%3DHadir" TargetMode="External"/><Relationship Id="rId84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6087965%26entry.1578404635%3DHadir" TargetMode="External"/><Relationship Id="rId83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4292767%26entry.1578404635%3DHadir" TargetMode="External"/><Relationship Id="rId86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6941990%26entry.1578404635%3DHadir" TargetMode="External"/><Relationship Id="rId85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4703204%26entry.1578404635%3DHadir" TargetMode="External"/><Relationship Id="rId88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4084075%26entry.1578404635%3DHadir" TargetMode="External"/><Relationship Id="rId87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9964803%26entry.1578404635%3DHadir" TargetMode="External"/><Relationship Id="rId89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8221239%26entry.1578404635%3DHadir" TargetMode="External"/><Relationship Id="rId709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88791024%26entry.1578404635%3DHadir" TargetMode="External"/><Relationship Id="rId708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84693493%26entry.1578404635%3DHadir" TargetMode="External"/><Relationship Id="rId707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6321568%26entry.1578404635%3DHadir" TargetMode="External"/><Relationship Id="rId706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87777223%26entry.1578404635%3DHadir" TargetMode="External"/><Relationship Id="rId80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1964566%26entry.1578404635%3DHadir" TargetMode="External"/><Relationship Id="rId82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2751293%26entry.1578404635%3DHadir" TargetMode="External"/><Relationship Id="rId81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2731928%26entry.1578404635%3DHadir" TargetMode="External"/><Relationship Id="rId701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9851224%26entry.1578404635%3DHadir" TargetMode="External"/><Relationship Id="rId700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6065165%26entry.1578404635%3DHadir" TargetMode="External"/><Relationship Id="rId705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87242368%26entry.1578404635%3DHadir" TargetMode="External"/><Relationship Id="rId704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8666843%26entry.1578404635%3DHadir" TargetMode="External"/><Relationship Id="rId703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9087317%26entry.1578404635%3DHadir" TargetMode="External"/><Relationship Id="rId702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2348709%26entry.1578404635%3DHadir" TargetMode="External"/><Relationship Id="rId73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4535464%26entry.1578404635%3DHadir" TargetMode="External"/><Relationship Id="rId72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8345742%26entry.1578404635%3DHadir" TargetMode="External"/><Relationship Id="rId75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3768427%26entry.1578404635%3DHadir" TargetMode="External"/><Relationship Id="rId74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3107410887%26entry.1578404635%3DHadir" TargetMode="External"/><Relationship Id="rId77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6276801%26entry.1578404635%3DHadir" TargetMode="External"/><Relationship Id="rId76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3404970%26entry.1578404635%3DHadir" TargetMode="External"/><Relationship Id="rId79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5492963%26entry.1578404635%3DHadir" TargetMode="External"/><Relationship Id="rId78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8833541%26entry.1578404635%3DHadir" TargetMode="External"/><Relationship Id="rId71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8518402%26entry.1578404635%3DHadir" TargetMode="External"/><Relationship Id="rId70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8087445%26entry.1578404635%3DHadir" TargetMode="External"/><Relationship Id="rId62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6157075%26entry.1578404635%3DHadir" TargetMode="External"/><Relationship Id="rId61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7593921%26entry.1578404635%3DHadir" TargetMode="External"/><Relationship Id="rId64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5606050%26entry.1578404635%3DHadir" TargetMode="External"/><Relationship Id="rId63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4141415%26entry.1578404635%3DHadir" TargetMode="External"/><Relationship Id="rId66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3261879%26entry.1578404635%3DHadir" TargetMode="External"/><Relationship Id="rId65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4564578%26entry.1578404635%3DHadir" TargetMode="External"/><Relationship Id="rId68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9605205%26entry.1578404635%3DHadir" TargetMode="External"/><Relationship Id="rId67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2576905%26entry.1578404635%3DHadir" TargetMode="External"/><Relationship Id="rId729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4008926%26entry.1578404635%3DHadir" TargetMode="External"/><Relationship Id="rId728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4484878%26entry.1578404635%3DHadir" TargetMode="External"/><Relationship Id="rId60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4532267%26entry.1578404635%3DHadir" TargetMode="External"/><Relationship Id="rId723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87374524%26entry.1578404635%3DHadir" TargetMode="External"/><Relationship Id="rId722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81976297%26entry.1578404635%3DHadir" TargetMode="External"/><Relationship Id="rId721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83216448%26entry.1578404635%3DHadir" TargetMode="External"/><Relationship Id="rId720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87189022%26entry.1578404635%3DHadir" TargetMode="External"/><Relationship Id="rId727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3513380%26entry.1578404635%3DHadir" TargetMode="External"/><Relationship Id="rId726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2184814%26entry.1578404635%3DHadir" TargetMode="External"/><Relationship Id="rId725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3108459157%26entry.1578404635%3DHadir" TargetMode="External"/><Relationship Id="rId724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5610000%26entry.1578404635%3DHadir" TargetMode="External"/><Relationship Id="rId69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8384400%26entry.1578404635%3DHadir" TargetMode="External"/><Relationship Id="rId51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8513542%26entry.1578404635%3DHadir" TargetMode="External"/><Relationship Id="rId50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3108667209%26entry.1578404635%3DHadir" TargetMode="External"/><Relationship Id="rId53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5797314%26entry.1578404635%3DHadir" TargetMode="External"/><Relationship Id="rId52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6376916%26entry.1578404635%3DHadir" TargetMode="External"/><Relationship Id="rId55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2794157%26entry.1578404635%3DHadir" TargetMode="External"/><Relationship Id="rId54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2731314%26entry.1578404635%3DHadir" TargetMode="External"/><Relationship Id="rId57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3104617391%26entry.1578404635%3DHadir" TargetMode="External"/><Relationship Id="rId56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6384221%26entry.1578404635%3DHadir" TargetMode="External"/><Relationship Id="rId719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82766789%26entry.1578404635%3DHadir" TargetMode="External"/><Relationship Id="rId718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6704827%26entry.1578404635%3DHadir" TargetMode="External"/><Relationship Id="rId717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4087712%26entry.1578404635%3DHadir" TargetMode="External"/><Relationship Id="rId712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83510857%26entry.1578404635%3DHadir" TargetMode="External"/><Relationship Id="rId711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7101002%26entry.1578404635%3DHadir" TargetMode="External"/><Relationship Id="rId710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83440916%26entry.1578404635%3DHadir" TargetMode="External"/><Relationship Id="rId716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9674979%26entry.1578404635%3DHadir" TargetMode="External"/><Relationship Id="rId715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2053150%26entry.1578404635%3DHadir" TargetMode="External"/><Relationship Id="rId714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87441371%26entry.1578404635%3DHadir" TargetMode="External"/><Relationship Id="rId713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9224342%26entry.1578404635%3DHadir" TargetMode="External"/><Relationship Id="rId59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9675945%26entry.1578404635%3DHadir" TargetMode="External"/><Relationship Id="rId58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8157268%26entry.1578404635%3DHadir" TargetMode="External"/><Relationship Id="rId349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4378571%26entry.1578404635%3DHadir" TargetMode="External"/><Relationship Id="rId348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8974038%26entry.1578404635%3DHadir" TargetMode="External"/><Relationship Id="rId347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2924778%26entry.1578404635%3DHadir" TargetMode="External"/><Relationship Id="rId346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3343311%26entry.1578404635%3DHadir" TargetMode="External"/><Relationship Id="rId341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5339420%26entry.1578404635%3DHadir" TargetMode="External"/><Relationship Id="rId340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8974704%26entry.1578404635%3DHadir" TargetMode="External"/><Relationship Id="rId345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9452000%26entry.1578404635%3DHadir" TargetMode="External"/><Relationship Id="rId344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2592413%26entry.1578404635%3DHadir" TargetMode="External"/><Relationship Id="rId343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3111697965%26entry.1578404635%3DHadir" TargetMode="External"/><Relationship Id="rId342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3799489%26entry.1578404635%3DHadir" TargetMode="External"/><Relationship Id="rId338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4438921%26entry.1578404635%3DHadir" TargetMode="External"/><Relationship Id="rId337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8340159%26entry.1578404635%3DHadir" TargetMode="External"/><Relationship Id="rId336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3433461%26entry.1578404635%3DHadir" TargetMode="External"/><Relationship Id="rId335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7357472%26entry.1578404635%3DHadir" TargetMode="External"/><Relationship Id="rId339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6681838%26entry.1578404635%3DHadir" TargetMode="External"/><Relationship Id="rId330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9599363%26entry.1578404635%3DHadir" TargetMode="External"/><Relationship Id="rId334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2838068%26entry.1578404635%3DHadir" TargetMode="External"/><Relationship Id="rId333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9739465%26entry.1578404635%3DHadir" TargetMode="External"/><Relationship Id="rId332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7882314%26entry.1578404635%3DHadir" TargetMode="External"/><Relationship Id="rId331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5462734%26entry.1578404635%3DHadir" TargetMode="External"/><Relationship Id="rId370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4119764%26entry.1578404635%3DHadir" TargetMode="External"/><Relationship Id="rId369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1059940%26entry.1578404635%3DHadir" TargetMode="External"/><Relationship Id="rId368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8897790%26entry.1578404635%3DHadir" TargetMode="External"/><Relationship Id="rId363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8113225%26entry.1578404635%3DHadir" TargetMode="External"/><Relationship Id="rId362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2372511%26entry.1578404635%3DHadir" TargetMode="External"/><Relationship Id="rId361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4047198%26entry.1578404635%3DHadir" TargetMode="External"/><Relationship Id="rId360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6852675%26entry.1578404635%3DHadir" TargetMode="External"/><Relationship Id="rId367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2772943%26entry.1578404635%3DHadir" TargetMode="External"/><Relationship Id="rId366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4557332%26entry.1578404635%3DHadir" TargetMode="External"/><Relationship Id="rId365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5022365%26entry.1578404635%3DHadir" TargetMode="External"/><Relationship Id="rId364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3979225%26entry.1578404635%3DHadir" TargetMode="External"/><Relationship Id="rId95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2794623%26entry.1578404635%3DHadir" TargetMode="External"/><Relationship Id="rId94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3047499%26entry.1578404635%3DHadir" TargetMode="External"/><Relationship Id="rId97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3966590%26entry.1578404635%3DHadir" TargetMode="External"/><Relationship Id="rId96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6103714%26entry.1578404635%3DHadir" TargetMode="External"/><Relationship Id="rId99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6662016%26entry.1578404635%3DHadir" TargetMode="External"/><Relationship Id="rId98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7493642%26entry.1578404635%3DHadir" TargetMode="External"/><Relationship Id="rId91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4406841%26entry.1578404635%3DHadir" TargetMode="External"/><Relationship Id="rId90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4751597%26entry.1578404635%3DHadir" TargetMode="External"/><Relationship Id="rId93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8329102%26entry.1578404635%3DHadir" TargetMode="External"/><Relationship Id="rId92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2122161%26entry.1578404635%3DHadir" TargetMode="External"/><Relationship Id="rId359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5770160%26entry.1578404635%3DHadir" TargetMode="External"/><Relationship Id="rId358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3695549%26entry.1578404635%3DHadir" TargetMode="External"/><Relationship Id="rId357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9669821%26entry.1578404635%3DHadir" TargetMode="External"/><Relationship Id="rId352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8673369%26entry.1578404635%3DHadir" TargetMode="External"/><Relationship Id="rId351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1254694%26entry.1578404635%3DHadir" TargetMode="External"/><Relationship Id="rId350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7900663%26entry.1578404635%3DHadir" TargetMode="External"/><Relationship Id="rId356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14593936%26entry.1578404635%3DHadir" TargetMode="External"/><Relationship Id="rId355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4573200%26entry.1578404635%3DHadir" TargetMode="External"/><Relationship Id="rId354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9535255%26entry.1578404635%3DHadir" TargetMode="External"/><Relationship Id="rId353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7946386%26entry.1578404635%3DHadir" TargetMode="External"/><Relationship Id="rId305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3558313%26entry.1578404635%3DHadir" TargetMode="External"/><Relationship Id="rId789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84468197%26entry.1578404635%3DHadir" TargetMode="External"/><Relationship Id="rId304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3091510%26entry.1578404635%3DHadir" TargetMode="External"/><Relationship Id="rId788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3082881499%26entry.1578404635%3DHadir" TargetMode="External"/><Relationship Id="rId303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3094942931%26entry.1578404635%3DHadir" TargetMode="External"/><Relationship Id="rId787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8415432%26entry.1578404635%3DHadir" TargetMode="External"/><Relationship Id="rId302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2180086%26entry.1578404635%3DHadir" TargetMode="External"/><Relationship Id="rId786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9418331%26entry.1578404635%3DHadir" TargetMode="External"/><Relationship Id="rId309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3174946%26entry.1578404635%3DHadir" TargetMode="External"/><Relationship Id="rId308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9446424%26entry.1578404635%3DHadir" TargetMode="External"/><Relationship Id="rId307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5632017%26entry.1578404635%3DHadir" TargetMode="External"/><Relationship Id="rId306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3242338%26entry.1578404635%3DHadir" TargetMode="External"/><Relationship Id="rId781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1342789%26entry.1578404635%3DHadir" TargetMode="External"/><Relationship Id="rId780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1234811%26entry.1578404635%3DHadir" TargetMode="External"/><Relationship Id="rId301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6174502%26entry.1578404635%3DHadir" TargetMode="External"/><Relationship Id="rId785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1325828%26entry.1578404635%3DHadir" TargetMode="External"/><Relationship Id="rId300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5089607%26entry.1578404635%3DHadir" TargetMode="External"/><Relationship Id="rId784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7494303%26entry.1578404635%3DHadir" TargetMode="External"/><Relationship Id="rId783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6026876%26entry.1578404635%3DHadir" TargetMode="External"/><Relationship Id="rId782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82284975%26entry.1578404635%3DHadir" TargetMode="External"/><Relationship Id="rId778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6109567%26entry.1578404635%3DHadir" TargetMode="External"/><Relationship Id="rId777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7660827%26entry.1578404635%3DHadir" TargetMode="External"/><Relationship Id="rId776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9130384%26entry.1578404635%3DHadir" TargetMode="External"/><Relationship Id="rId775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86475767%26entry.1578404635%3DHadir" TargetMode="External"/><Relationship Id="rId779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5745176%26entry.1578404635%3DHadir" TargetMode="External"/><Relationship Id="rId770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2027940%26entry.1578404635%3DHadir" TargetMode="External"/><Relationship Id="rId774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2404259%26entry.1578404635%3DHadir" TargetMode="External"/><Relationship Id="rId773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2260536%26entry.1578404635%3DHadir" TargetMode="External"/><Relationship Id="rId772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2388902%26entry.1578404635%3DHadir" TargetMode="External"/><Relationship Id="rId771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7798929%26entry.1578404635%3DHadir" TargetMode="External"/><Relationship Id="rId327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5961239%26entry.1578404635%3DHadir" TargetMode="External"/><Relationship Id="rId326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7347265%26entry.1578404635%3DHadir" TargetMode="External"/><Relationship Id="rId325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1281050%26entry.1578404635%3DHadir" TargetMode="External"/><Relationship Id="rId324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3109348901%26entry.1578404635%3DHadir" TargetMode="External"/><Relationship Id="rId329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5193509%26entry.1578404635%3DHadir" TargetMode="External"/><Relationship Id="rId328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5803552%26entry.1578404635%3DHadir" TargetMode="External"/><Relationship Id="rId323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8938532%26entry.1578404635%3DHadir" TargetMode="External"/><Relationship Id="rId322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11220217%26entry.1578404635%3DHadir" TargetMode="External"/><Relationship Id="rId321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1031385%26entry.1578404635%3DHadir" TargetMode="External"/><Relationship Id="rId320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3108018555%26entry.1578404635%3DHadir" TargetMode="External"/><Relationship Id="rId316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9772945%26entry.1578404635%3DHadir" TargetMode="External"/><Relationship Id="rId315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5918833%26entry.1578404635%3DHadir" TargetMode="External"/><Relationship Id="rId799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7311898%26entry.1578404635%3DHadir" TargetMode="External"/><Relationship Id="rId314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3442868%26entry.1578404635%3DHadir" TargetMode="External"/><Relationship Id="rId798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3097356141%26entry.1578404635%3DHadir" TargetMode="External"/><Relationship Id="rId313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2160006%26entry.1578404635%3DHadir" TargetMode="External"/><Relationship Id="rId797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8835028%26entry.1578404635%3DHadir" TargetMode="External"/><Relationship Id="rId319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3107499493%26entry.1578404635%3DHadir" TargetMode="External"/><Relationship Id="rId318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7525738%26entry.1578404635%3DHadir" TargetMode="External"/><Relationship Id="rId317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4259451%26entry.1578404635%3DHadir" TargetMode="External"/><Relationship Id="rId792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84998907%26entry.1578404635%3DHadir" TargetMode="External"/><Relationship Id="rId791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5029451%26entry.1578404635%3DHadir" TargetMode="External"/><Relationship Id="rId790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5554126%26entry.1578404635%3DHadir" TargetMode="External"/><Relationship Id="rId312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2212305%26entry.1578404635%3DHadir" TargetMode="External"/><Relationship Id="rId796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89608543%26entry.1578404635%3DHadir" TargetMode="External"/><Relationship Id="rId311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1976221%26entry.1578404635%3DHadir" TargetMode="External"/><Relationship Id="rId795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9551790%26entry.1578404635%3DHadir" TargetMode="External"/><Relationship Id="rId310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7691976%26entry.1578404635%3DHadir" TargetMode="External"/><Relationship Id="rId794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1225757%26entry.1578404635%3DHadir" TargetMode="External"/><Relationship Id="rId793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3097947979%26entry.1578404635%3DHadir" TargetMode="External"/><Relationship Id="rId297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4668456%26entry.1578404635%3DHadir" TargetMode="External"/><Relationship Id="rId296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7122505%26entry.1578404635%3DHadir" TargetMode="External"/><Relationship Id="rId295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3105167232%26entry.1578404635%3DHadir" TargetMode="External"/><Relationship Id="rId294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8009248%26entry.1578404635%3DHadir" TargetMode="External"/><Relationship Id="rId299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2307654%26entry.1578404635%3DHadir" TargetMode="External"/><Relationship Id="rId298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2036572%26entry.1578404635%3DHadir" TargetMode="External"/><Relationship Id="rId271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3828028%26entry.1578404635%3DHadir" TargetMode="External"/><Relationship Id="rId270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3678218%26entry.1578404635%3DHadir" TargetMode="External"/><Relationship Id="rId269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4328116%26entry.1578404635%3DHadir" TargetMode="External"/><Relationship Id="rId264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5055119%26entry.1578404635%3DHadir" TargetMode="External"/><Relationship Id="rId263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6222604%26entry.1578404635%3DHadir" TargetMode="External"/><Relationship Id="rId262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3078917%26entry.1578404635%3DHadir" TargetMode="External"/><Relationship Id="rId261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3103220251%26entry.1578404635%3DHadir" TargetMode="External"/><Relationship Id="rId268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3468589%26entry.1578404635%3DHadir" TargetMode="External"/><Relationship Id="rId267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3093288409%26entry.1578404635%3DHadir" TargetMode="External"/><Relationship Id="rId266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6562767%26entry.1578404635%3DHadir" TargetMode="External"/><Relationship Id="rId265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6544983%26entry.1578404635%3DHadir" TargetMode="External"/><Relationship Id="rId260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7335774%26entry.1578404635%3DHadir" TargetMode="External"/><Relationship Id="rId259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4782869%26entry.1578404635%3DHadir" TargetMode="External"/><Relationship Id="rId258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7042804%26entry.1578404635%3DHadir" TargetMode="External"/><Relationship Id="rId253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8763766%26entry.1578404635%3DHadir" TargetMode="External"/><Relationship Id="rId252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2239764%26entry.1578404635%3DHadir" TargetMode="External"/><Relationship Id="rId251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2241333%26entry.1578404635%3DHadir" TargetMode="External"/><Relationship Id="rId250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6758481%26entry.1578404635%3DHadir" TargetMode="External"/><Relationship Id="rId257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1524155%26entry.1578404635%3DHadir" TargetMode="External"/><Relationship Id="rId256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3281671%26entry.1578404635%3DHadir" TargetMode="External"/><Relationship Id="rId255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9164493%26entry.1578404635%3DHadir" TargetMode="External"/><Relationship Id="rId254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3120702%26entry.1578404635%3DHadir" TargetMode="External"/><Relationship Id="rId293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2017710%26entry.1578404635%3DHadir" TargetMode="External"/><Relationship Id="rId292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3560012%26entry.1578404635%3DHadir" TargetMode="External"/><Relationship Id="rId291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9499801%26entry.1578404635%3DHadir" TargetMode="External"/><Relationship Id="rId290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5614197%26entry.1578404635%3DHadir" TargetMode="External"/><Relationship Id="rId286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7936085%26entry.1578404635%3DHadir" TargetMode="External"/><Relationship Id="rId285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3102286552%26entry.1578404635%3DHadir" TargetMode="External"/><Relationship Id="rId284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7487290%26entry.1578404635%3DHadir" TargetMode="External"/><Relationship Id="rId283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6444734%26entry.1578404635%3DHadir" TargetMode="External"/><Relationship Id="rId289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7446281%26entry.1578404635%3DHadir" TargetMode="External"/><Relationship Id="rId288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4155224%26entry.1578404635%3DHadir" TargetMode="External"/><Relationship Id="rId287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6701592%26entry.1578404635%3DHadir" TargetMode="External"/><Relationship Id="rId282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3003786%26entry.1578404635%3DHadir" TargetMode="External"/><Relationship Id="rId281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9551129%26entry.1578404635%3DHadir" TargetMode="External"/><Relationship Id="rId280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8129059%26entry.1578404635%3DHadir" TargetMode="External"/><Relationship Id="rId275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5755550%26entry.1578404635%3DHadir" TargetMode="External"/><Relationship Id="rId274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5243962%26entry.1578404635%3DHadir" TargetMode="External"/><Relationship Id="rId273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3629282%26entry.1578404635%3DHadir" TargetMode="External"/><Relationship Id="rId272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9769349%26entry.1578404635%3DHadir" TargetMode="External"/><Relationship Id="rId279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8514088%26entry.1578404635%3DHadir" TargetMode="External"/><Relationship Id="rId278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7698921%26entry.1578404635%3DHadir" TargetMode="External"/><Relationship Id="rId277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7673142%26entry.1578404635%3DHadir" TargetMode="External"/><Relationship Id="rId276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6828126%26entry.1578404635%3DHadir" TargetMode="External"/><Relationship Id="rId629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5136014%26entry.1578404635%3DHadir" TargetMode="External"/><Relationship Id="rId624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87766031%26entry.1578404635%3DHadir" TargetMode="External"/><Relationship Id="rId623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1989218%26entry.1578404635%3DHadir" TargetMode="External"/><Relationship Id="rId622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82801587%26entry.1578404635%3DHadir" TargetMode="External"/><Relationship Id="rId621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8438052%26entry.1578404635%3DHadir" TargetMode="External"/><Relationship Id="rId628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84745418%26entry.1578404635%3DHadir" TargetMode="External"/><Relationship Id="rId627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85534034%26entry.1578404635%3DHadir" TargetMode="External"/><Relationship Id="rId626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81501338%26entry.1578404635%3DHadir" TargetMode="External"/><Relationship Id="rId625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8715904%26entry.1578404635%3DHadir" TargetMode="External"/><Relationship Id="rId620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89237233%26entry.1578404635%3DHadir" TargetMode="External"/><Relationship Id="rId619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85108715%26entry.1578404635%3DHadir" TargetMode="External"/><Relationship Id="rId618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4958254%26entry.1578404635%3DHadir" TargetMode="External"/><Relationship Id="rId613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9332666%26entry.1578404635%3DHadir" TargetMode="External"/><Relationship Id="rId612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3556204%26entry.1578404635%3DHadir" TargetMode="External"/><Relationship Id="rId611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84584228%26entry.1578404635%3DHadir" TargetMode="External"/><Relationship Id="rId610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83974334%26entry.1578404635%3DHadir" TargetMode="External"/><Relationship Id="rId617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6480588%26entry.1578404635%3DHadir" TargetMode="External"/><Relationship Id="rId616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6344538%26entry.1578404635%3DHadir" TargetMode="External"/><Relationship Id="rId615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85930059%26entry.1578404635%3DHadir" TargetMode="External"/><Relationship Id="rId614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87745551%26entry.1578404635%3DHadir" TargetMode="External"/><Relationship Id="rId646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3092559431%26entry.1578404635%3DHadir" TargetMode="External"/><Relationship Id="rId645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1626296%26entry.1578404635%3DHadir" TargetMode="External"/><Relationship Id="rId644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86508497%26entry.1578404635%3DHadir" TargetMode="External"/><Relationship Id="rId643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8268916%26entry.1578404635%3DHadir" TargetMode="External"/><Relationship Id="rId649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3570911%26entry.1578404635%3DHadir" TargetMode="External"/><Relationship Id="rId648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1257095%26entry.1578404635%3DHadir" TargetMode="External"/><Relationship Id="rId647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83634869%26entry.1578404635%3DHadir" TargetMode="External"/><Relationship Id="rId642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5872117%26entry.1578404635%3DHadir" TargetMode="External"/><Relationship Id="rId641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4057771%26entry.1578404635%3DHadir" TargetMode="External"/><Relationship Id="rId640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8191015%26entry.1578404635%3DHadir" TargetMode="External"/><Relationship Id="rId635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84614966%26entry.1578404635%3DHadir" TargetMode="External"/><Relationship Id="rId634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85278931%26entry.1578404635%3DHadir" TargetMode="External"/><Relationship Id="rId633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2223653%26entry.1578404635%3DHadir" TargetMode="External"/><Relationship Id="rId632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86688060%26entry.1578404635%3DHadir" TargetMode="External"/><Relationship Id="rId639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81936585%26entry.1578404635%3DHadir" TargetMode="External"/><Relationship Id="rId638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4995394%26entry.1578404635%3DHadir" TargetMode="External"/><Relationship Id="rId637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3094028221%26entry.1578404635%3DHadir" TargetMode="External"/><Relationship Id="rId636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7408336%26entry.1578404635%3DHadir" TargetMode="External"/><Relationship Id="rId631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4252138%26entry.1578404635%3DHadir" TargetMode="External"/><Relationship Id="rId630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8889247%26entry.1578404635%3DHadir" TargetMode="External"/><Relationship Id="rId609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3099271994%26entry.1578404635%3DHadir" TargetMode="External"/><Relationship Id="rId608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1524851%26entry.1578404635%3DHadir" TargetMode="External"/><Relationship Id="rId607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4412664%26entry.1578404635%3DHadir" TargetMode="External"/><Relationship Id="rId602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8908539%26entry.1578404635%3DHadir" TargetMode="External"/><Relationship Id="rId601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81476668%26entry.1578404635%3DHadir" TargetMode="External"/><Relationship Id="rId600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3095285309%26entry.1578404635%3DHadir" TargetMode="External"/><Relationship Id="rId606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88976294%26entry.1578404635%3DHadir" TargetMode="External"/><Relationship Id="rId605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8437864%26entry.1578404635%3DHadir" TargetMode="External"/><Relationship Id="rId604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9030651%26entry.1578404635%3DHadir" TargetMode="External"/><Relationship Id="rId603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3095174589%26entry.1578404635%3DHadir" TargetMode="External"/><Relationship Id="rId228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9375007%26entry.1578404635%3DHadir" TargetMode="External"/><Relationship Id="rId227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7948623%26entry.1578404635%3DHadir" TargetMode="External"/><Relationship Id="rId226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3090346201%26entry.1578404635%3DHadir" TargetMode="External"/><Relationship Id="rId225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1705316%26entry.1578404635%3DHadir" TargetMode="External"/><Relationship Id="rId229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9221606%26entry.1578404635%3DHadir" TargetMode="External"/><Relationship Id="rId220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74430959%26entry.1578404635%3DHadir" TargetMode="External"/><Relationship Id="rId224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4160236%26entry.1578404635%3DHadir" TargetMode="External"/><Relationship Id="rId223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2383688%26entry.1578404635%3DHadir" TargetMode="External"/><Relationship Id="rId222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3286261%26entry.1578404635%3DHadir" TargetMode="External"/><Relationship Id="rId221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6744611%26entry.1578404635%3DHadir" TargetMode="External"/><Relationship Id="rId217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4799326%26entry.1578404635%3DHadir" TargetMode="External"/><Relationship Id="rId216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9344894%26entry.1578404635%3DHadir" TargetMode="External"/><Relationship Id="rId215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3093210071%26entry.1578404635%3DHadir" TargetMode="External"/><Relationship Id="rId699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3831279%26entry.1578404635%3DHadir" TargetMode="External"/><Relationship Id="rId214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4216872%26entry.1578404635%3DHadir" TargetMode="External"/><Relationship Id="rId698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7111779%26entry.1578404635%3DHadir" TargetMode="External"/><Relationship Id="rId219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3451857%26entry.1578404635%3DHadir" TargetMode="External"/><Relationship Id="rId218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9286083%26entry.1578404635%3DHadir" TargetMode="External"/><Relationship Id="rId693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87500688%26entry.1578404635%3DHadir" TargetMode="External"/><Relationship Id="rId692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88535031%26entry.1578404635%3DHadir" TargetMode="External"/><Relationship Id="rId691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5117423%26entry.1578404635%3DHadir" TargetMode="External"/><Relationship Id="rId690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89191714%26entry.1578404635%3DHadir" TargetMode="External"/><Relationship Id="rId213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9429653%26entry.1578404635%3DHadir" TargetMode="External"/><Relationship Id="rId697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88260272%26entry.1578404635%3DHadir" TargetMode="External"/><Relationship Id="rId212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3094664028%26entry.1578404635%3DHadir" TargetMode="External"/><Relationship Id="rId696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89202112%26entry.1578404635%3DHadir" TargetMode="External"/><Relationship Id="rId211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8052333%26entry.1578404635%3DHadir" TargetMode="External"/><Relationship Id="rId695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8762657%26entry.1578404635%3DHadir" TargetMode="External"/><Relationship Id="rId210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5183684%26entry.1578404635%3DHadir" TargetMode="External"/><Relationship Id="rId694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2434039%26entry.1578404635%3DHadir" TargetMode="External"/><Relationship Id="rId249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1401010%26entry.1578404635%3DHadir" TargetMode="External"/><Relationship Id="rId248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4347087%26entry.1578404635%3DHadir" TargetMode="External"/><Relationship Id="rId247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3096764634%26entry.1578404635%3DHadir" TargetMode="External"/><Relationship Id="rId242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3096600612%26entry.1578404635%3DHadir" TargetMode="External"/><Relationship Id="rId241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2698949%26entry.1578404635%3DHadir" TargetMode="External"/><Relationship Id="rId240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3096816288%26entry.1578404635%3DHadir" TargetMode="External"/><Relationship Id="rId246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9597144%26entry.1578404635%3DHadir" TargetMode="External"/><Relationship Id="rId245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1303057%26entry.1578404635%3DHadir" TargetMode="External"/><Relationship Id="rId244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1383149%26entry.1578404635%3DHadir" TargetMode="External"/><Relationship Id="rId243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6462308%26entry.1578404635%3DHadir" TargetMode="External"/><Relationship Id="rId239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4171202%26entry.1578404635%3DHadir" TargetMode="External"/><Relationship Id="rId238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8406931%26entry.1578404635%3DHadir" TargetMode="External"/><Relationship Id="rId237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3623051%26entry.1578404635%3DHadir" TargetMode="External"/><Relationship Id="rId236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5446689%26entry.1578404635%3DHadir" TargetMode="External"/><Relationship Id="rId231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8849299%26entry.1578404635%3DHadir" TargetMode="External"/><Relationship Id="rId230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9522386%26entry.1578404635%3DHadir" TargetMode="External"/><Relationship Id="rId235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2020564%26entry.1578404635%3DHadir" TargetMode="External"/><Relationship Id="rId234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6380486%26entry.1578404635%3DHadir" TargetMode="External"/><Relationship Id="rId233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8065698%26entry.1578404635%3DHadir" TargetMode="External"/><Relationship Id="rId232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5549480%26entry.1578404635%3DHadir" TargetMode="External"/><Relationship Id="rId668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8451979%26entry.1578404635%3DHadir" TargetMode="External"/><Relationship Id="rId667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1681862%26entry.1578404635%3DHadir" TargetMode="External"/><Relationship Id="rId666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9561898%26entry.1578404635%3DHadir" TargetMode="External"/><Relationship Id="rId665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81271561%26entry.1578404635%3DHadir" TargetMode="External"/><Relationship Id="rId669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84845522%26entry.1578404635%3DHadir" TargetMode="External"/><Relationship Id="rId660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6738562%26entry.1578404635%3DHadir" TargetMode="External"/><Relationship Id="rId664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6990480%26entry.1578404635%3DHadir" TargetMode="External"/><Relationship Id="rId663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5154966%26entry.1578404635%3DHadir" TargetMode="External"/><Relationship Id="rId662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85348468%26entry.1578404635%3DHadir" TargetMode="External"/><Relationship Id="rId661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9375029%26entry.1578404635%3DHadir" TargetMode="External"/><Relationship Id="rId657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1356987%26entry.1578404635%3DHadir" TargetMode="External"/><Relationship Id="rId656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6820534%26entry.1578404635%3DHadir" TargetMode="External"/><Relationship Id="rId655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4686903%26entry.1578404635%3DHadir" TargetMode="External"/><Relationship Id="rId654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4272879%26entry.1578404635%3DHadir" TargetMode="External"/><Relationship Id="rId659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7029152%26entry.1578404635%3DHadir" TargetMode="External"/><Relationship Id="rId658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84616257%26entry.1578404635%3DHadir" TargetMode="External"/><Relationship Id="rId653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89992734%26entry.1578404635%3DHadir" TargetMode="External"/><Relationship Id="rId652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87172262%26entry.1578404635%3DHadir" TargetMode="External"/><Relationship Id="rId651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6689975%26entry.1578404635%3DHadir" TargetMode="External"/><Relationship Id="rId650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9524653%26entry.1578404635%3DHadir" TargetMode="External"/><Relationship Id="rId206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3090773%26entry.1578404635%3DHadir" TargetMode="External"/><Relationship Id="rId205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7864614%26entry.1578404635%3DHadir" TargetMode="External"/><Relationship Id="rId689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89954401%26entry.1578404635%3DHadir" TargetMode="External"/><Relationship Id="rId204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2081772%26entry.1578404635%3DHadir" TargetMode="External"/><Relationship Id="rId688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1228007%26entry.1578404635%3DHadir" TargetMode="External"/><Relationship Id="rId203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2103124%26entry.1578404635%3DHadir" TargetMode="External"/><Relationship Id="rId687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73027831%26entry.1578404635%3DHadir" TargetMode="External"/><Relationship Id="rId209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2706472%26entry.1578404635%3DHadir" TargetMode="External"/><Relationship Id="rId208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2402487%26entry.1578404635%3DHadir" TargetMode="External"/><Relationship Id="rId207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5160472%26entry.1578404635%3DHadir" TargetMode="External"/><Relationship Id="rId682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4414485%26entry.1578404635%3DHadir" TargetMode="External"/><Relationship Id="rId681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83048491%26entry.1578404635%3DHadir" TargetMode="External"/><Relationship Id="rId680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6224183%26entry.1578404635%3DHadir" TargetMode="External"/><Relationship Id="rId202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3099055467%26entry.1578404635%3DHadir" TargetMode="External"/><Relationship Id="rId686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2205557%26entry.1578404635%3DHadir" TargetMode="External"/><Relationship Id="rId201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4883711%26entry.1578404635%3DHadir" TargetMode="External"/><Relationship Id="rId685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3266742%26entry.1578404635%3DHadir" TargetMode="External"/><Relationship Id="rId200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3099045754%26entry.1578404635%3DHadir" TargetMode="External"/><Relationship Id="rId684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3298242%26entry.1578404635%3DHadir" TargetMode="External"/><Relationship Id="rId683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5501589%26entry.1578404635%3DHadir" TargetMode="External"/><Relationship Id="rId679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7295872%26entry.1578404635%3DHadir" TargetMode="External"/><Relationship Id="rId678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6304188%26entry.1578404635%3DHadir" TargetMode="External"/><Relationship Id="rId677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1089933%26entry.1578404635%3DHadir" TargetMode="External"/><Relationship Id="rId676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6643467%26entry.1578404635%3DHadir" TargetMode="External"/><Relationship Id="rId671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4551974%26entry.1578404635%3DHadir" TargetMode="External"/><Relationship Id="rId670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83434779%26entry.1578404635%3DHadir" TargetMode="External"/><Relationship Id="rId675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86270372%26entry.1578404635%3DHadir" TargetMode="External"/><Relationship Id="rId674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3504759%26entry.1578404635%3DHadir" TargetMode="External"/><Relationship Id="rId673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83951567%26entry.1578404635%3DHadir" TargetMode="External"/><Relationship Id="rId672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81855086%26entry.1578404635%3DHadir" TargetMode="External"/><Relationship Id="rId190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8578906%26entry.1578404635%3DHadir" TargetMode="External"/><Relationship Id="rId194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3094594523%26entry.1578404635%3DHadir" TargetMode="External"/><Relationship Id="rId193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5937017%26entry.1578404635%3DHadir" TargetMode="External"/><Relationship Id="rId192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5902624%26entry.1578404635%3DHadir" TargetMode="External"/><Relationship Id="rId191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3107979922%26entry.1578404635%3DHadir" TargetMode="External"/><Relationship Id="rId187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4630358%26entry.1578404635%3DHadir" TargetMode="External"/><Relationship Id="rId186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3098845163%26entry.1578404635%3DHadir" TargetMode="External"/><Relationship Id="rId185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5064549%26entry.1578404635%3DHadir" TargetMode="External"/><Relationship Id="rId184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1763745%26entry.1578404635%3DHadir" TargetMode="External"/><Relationship Id="rId189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4686372%26entry.1578404635%3DHadir" TargetMode="External"/><Relationship Id="rId188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7535113%26entry.1578404635%3DHadir" TargetMode="External"/><Relationship Id="rId183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3139137%26entry.1578404635%3DHadir" TargetMode="External"/><Relationship Id="rId182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3105062394%26entry.1578404635%3DHadir" TargetMode="External"/><Relationship Id="rId181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2597384%26entry.1578404635%3DHadir" TargetMode="External"/><Relationship Id="rId180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9900563%26entry.1578404635%3DHadir" TargetMode="External"/><Relationship Id="rId176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4825356%26entry.1578404635%3DHadir" TargetMode="External"/><Relationship Id="rId175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4459637%26entry.1578404635%3DHadir" TargetMode="External"/><Relationship Id="rId174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2993208%26entry.1578404635%3DHadir" TargetMode="External"/><Relationship Id="rId173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9668827%26entry.1578404635%3DHadir" TargetMode="External"/><Relationship Id="rId179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3274791%26entry.1578404635%3DHadir" TargetMode="External"/><Relationship Id="rId178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8197227%26entry.1578404635%3DHadir" TargetMode="External"/><Relationship Id="rId177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9339799%26entry.1578404635%3DHadir" TargetMode="External"/><Relationship Id="rId198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8770789%26entry.1578404635%3DHadir" TargetMode="External"/><Relationship Id="rId197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4434944%26entry.1578404635%3DHadir" TargetMode="External"/><Relationship Id="rId196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2223990%26entry.1578404635%3DHadir" TargetMode="External"/><Relationship Id="rId195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2479207%26entry.1578404635%3DHadir" TargetMode="External"/><Relationship Id="rId199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1523916%26entry.1578404635%3DHadir" TargetMode="External"/><Relationship Id="rId150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5497173%26entry.1578404635%3DHadir" TargetMode="External"/><Relationship Id="rId149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8979111%26entry.1578404635%3DHadir" TargetMode="External"/><Relationship Id="rId148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2608342%26entry.1578404635%3DHadir" TargetMode="External"/><Relationship Id="rId143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3634061%26entry.1578404635%3DHadir" TargetMode="External"/><Relationship Id="rId142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9267722%26entry.1578404635%3DHadir" TargetMode="External"/><Relationship Id="rId141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7286739%26entry.1578404635%3DHadir" TargetMode="External"/><Relationship Id="rId140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4595564%26entry.1578404635%3DHadir" TargetMode="External"/><Relationship Id="rId147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6908655%26entry.1578404635%3DHadir" TargetMode="External"/><Relationship Id="rId146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2015407%26entry.1578404635%3DHadir" TargetMode="External"/><Relationship Id="rId145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7951249%26entry.1578404635%3DHadir" TargetMode="External"/><Relationship Id="rId144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3091547533%26entry.1578404635%3DHadir" TargetMode="External"/><Relationship Id="rId139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4987304%26entry.1578404635%3DHadir" TargetMode="External"/><Relationship Id="rId138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7425878%26entry.1578404635%3DHadir" TargetMode="External"/><Relationship Id="rId137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2866245%26entry.1578404635%3DHadir" TargetMode="External"/><Relationship Id="rId132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2637367%26entry.1578404635%3DHadir" TargetMode="External"/><Relationship Id="rId131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6853688%26entry.1578404635%3DHadir" TargetMode="External"/><Relationship Id="rId130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8144208%26entry.1578404635%3DHadir" TargetMode="External"/><Relationship Id="rId136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8696681%26entry.1578404635%3DHadir" TargetMode="External"/><Relationship Id="rId135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6545857%26entry.1578404635%3DHadir" TargetMode="External"/><Relationship Id="rId134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8223677%26entry.1578404635%3DHadir" TargetMode="External"/><Relationship Id="rId133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5522157%26entry.1578404635%3DHadir" TargetMode="External"/><Relationship Id="rId172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7934430%26entry.1578404635%3DHadir" TargetMode="External"/><Relationship Id="rId171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9540724%26entry.1578404635%3DHadir" TargetMode="External"/><Relationship Id="rId170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3108509756%26entry.1578404635%3DHadir" TargetMode="External"/><Relationship Id="rId165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6219079%26entry.1578404635%3DHadir" TargetMode="External"/><Relationship Id="rId164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6588309%26entry.1578404635%3DHadir" TargetMode="External"/><Relationship Id="rId163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5775007%26entry.1578404635%3DHadir" TargetMode="External"/><Relationship Id="rId162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7731505%26entry.1578404635%3DHadir" TargetMode="External"/><Relationship Id="rId169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2194625%26entry.1578404635%3DHadir" TargetMode="External"/><Relationship Id="rId168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6490661%26entry.1578404635%3DHadir" TargetMode="External"/><Relationship Id="rId167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2630183%26entry.1578404635%3DHadir" TargetMode="External"/><Relationship Id="rId166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4714082%26entry.1578404635%3DHadir" TargetMode="External"/><Relationship Id="rId161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3104089400%26entry.1578404635%3DHadir" TargetMode="External"/><Relationship Id="rId160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8451246%26entry.1578404635%3DHadir" TargetMode="External"/><Relationship Id="rId159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4838010%26entry.1578404635%3DHadir" TargetMode="External"/><Relationship Id="rId154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3107700954%26entry.1578404635%3DHadir" TargetMode="External"/><Relationship Id="rId153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3105173369%26entry.1578404635%3DHadir" TargetMode="External"/><Relationship Id="rId152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7410697%26entry.1578404635%3DHadir" TargetMode="External"/><Relationship Id="rId151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2028941%26entry.1578404635%3DHadir" TargetMode="External"/><Relationship Id="rId158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7960365%26entry.1578404635%3DHadir" TargetMode="External"/><Relationship Id="rId157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8390462%26entry.1578404635%3DHadir" TargetMode="External"/><Relationship Id="rId156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8699884%26entry.1578404635%3DHadir" TargetMode="External"/><Relationship Id="rId155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9782055%26entry.1578404635%3DHadir" TargetMode="External"/><Relationship Id="rId509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8050747%26entry.1578404635%3DHadir" TargetMode="External"/><Relationship Id="rId508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7303991%26entry.1578404635%3DHadir" TargetMode="External"/><Relationship Id="rId503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9622136%26entry.1578404635%3DHadir" TargetMode="External"/><Relationship Id="rId502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3102974181%26entry.1578404635%3DHadir" TargetMode="External"/><Relationship Id="rId501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8429745%26entry.1578404635%3DHadir" TargetMode="External"/><Relationship Id="rId500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4328074%26entry.1578404635%3DHadir" TargetMode="External"/><Relationship Id="rId507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3563834%26entry.1578404635%3DHadir" TargetMode="External"/><Relationship Id="rId506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5994913%26entry.1578404635%3DHadir" TargetMode="External"/><Relationship Id="rId505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6961567%26entry.1578404635%3DHadir" TargetMode="External"/><Relationship Id="rId504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2898760%26entry.1578404635%3DHadir" TargetMode="External"/><Relationship Id="rId525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83076557%26entry.1578404635%3DHadir" TargetMode="External"/><Relationship Id="rId524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3081717964%26entry.1578404635%3DHadir" TargetMode="External"/><Relationship Id="rId523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5504110%26entry.1578404635%3DHadir" TargetMode="External"/><Relationship Id="rId522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3092678408%26entry.1578404635%3DHadir" TargetMode="External"/><Relationship Id="rId529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9940887%26entry.1578404635%3DHadir" TargetMode="External"/><Relationship Id="rId528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88101729%26entry.1578404635%3DHadir" TargetMode="External"/><Relationship Id="rId527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3090828690%26entry.1578404635%3DHadir" TargetMode="External"/><Relationship Id="rId526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3137843%26entry.1578404635%3DHadir" TargetMode="External"/><Relationship Id="rId521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7163370%26entry.1578404635%3DHadir" TargetMode="External"/><Relationship Id="rId520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3086190678%26entry.1578404635%3DHadir" TargetMode="External"/><Relationship Id="rId519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5546511%26entry.1578404635%3DHadir" TargetMode="External"/><Relationship Id="rId514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5810986%26entry.1578404635%3DHadir" TargetMode="External"/><Relationship Id="rId513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5899359%26entry.1578404635%3DHadir" TargetMode="External"/><Relationship Id="rId512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1659072%26entry.1578404635%3DHadir" TargetMode="External"/><Relationship Id="rId511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9344308%26entry.1578404635%3DHadir" TargetMode="External"/><Relationship Id="rId518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87298416%26entry.1578404635%3DHadir" TargetMode="External"/><Relationship Id="rId517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4510551%20%26entry.1578404635%3DHadir" TargetMode="External"/><Relationship Id="rId516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7313548%26entry.1578404635%3DHadir" TargetMode="External"/><Relationship Id="rId515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82590495%26entry.1578404635%3DHadir" TargetMode="External"/><Relationship Id="rId510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2524998%26entry.1578404635%3DHadir" TargetMode="External"/><Relationship Id="rId948" Type="http://schemas.openxmlformats.org/officeDocument/2006/relationships/drawing" Target="../drawings/drawing5.xml"/><Relationship Id="rId943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4092301%26entry.1578404635%3DHadir" TargetMode="External"/><Relationship Id="rId942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81683598%26entry.1578404635%3DHadir" TargetMode="External"/><Relationship Id="rId941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87043705%26entry.1578404635%3DHadir" TargetMode="External"/><Relationship Id="rId940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82604990%26entry.1578404635%3DHadir" TargetMode="External"/><Relationship Id="rId947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%26entry.1578404635%3DHadir" TargetMode="External"/><Relationship Id="rId946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84006956%26entry.1578404635%3DHadir" TargetMode="External"/><Relationship Id="rId945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5319720%26entry.1578404635%3DHadir" TargetMode="External"/><Relationship Id="rId944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2685479%26entry.1578404635%3DHadir" TargetMode="External"/><Relationship Id="rId939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83876462%26entry.1578404635%3DHadir" TargetMode="External"/><Relationship Id="rId938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1624427%26entry.1578404635%3DHadir" TargetMode="External"/><Relationship Id="rId937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89737965%26entry.1578404635%3DHadir" TargetMode="External"/><Relationship Id="rId932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8773886%26entry.1578404635%3DHadir" TargetMode="External"/><Relationship Id="rId931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3081754398%26entry.1578404635%3DHadir" TargetMode="External"/><Relationship Id="rId930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83317171%26entry.1578404635%3DHadir" TargetMode="External"/><Relationship Id="rId936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3423349%26entry.1578404635%3DHadir" TargetMode="External"/><Relationship Id="rId935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88667313%26entry.1578404635%3DHadir" TargetMode="External"/><Relationship Id="rId934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86293694%26entry.1578404635%3DHadir" TargetMode="External"/><Relationship Id="rId933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8848130%26entry.1578404635%3DHadir" TargetMode="External"/><Relationship Id="rId950" Type="http://schemas.openxmlformats.org/officeDocument/2006/relationships/table" Target="../tables/table3.xml"/><Relationship Id="rId590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85437129%26entry.1578404635%3DHadir" TargetMode="External"/><Relationship Id="rId107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1769169%26entry.1578404635%3DHadir" TargetMode="External"/><Relationship Id="rId106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2150853%26entry.1578404635%3DHadir" TargetMode="External"/><Relationship Id="rId105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7095977%26entry.1578404635%3DHadir" TargetMode="External"/><Relationship Id="rId589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2697249%26entry.1578404635%3DHadir" TargetMode="External"/><Relationship Id="rId104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4211640%26entry.1578404635%3DHadir" TargetMode="External"/><Relationship Id="rId588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81265372%26entry.1578404635%3DHadir" TargetMode="External"/><Relationship Id="rId109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3096846304%26entry.1578404635%3DHadir" TargetMode="External"/><Relationship Id="rId108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3190164%26entry.1578404635%3DHadir" TargetMode="External"/><Relationship Id="rId583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6304229%26entry.1578404635%3DHadir" TargetMode="External"/><Relationship Id="rId582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72787144%26entry.1578404635%3DHadir" TargetMode="External"/><Relationship Id="rId581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4079262%26entry.1578404635%3DHadir" TargetMode="External"/><Relationship Id="rId580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5556013%26entry.1578404635%3DHadir" TargetMode="External"/><Relationship Id="rId103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4767807%26entry.1578404635%3DHadir" TargetMode="External"/><Relationship Id="rId587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85027044%26entry.1578404635%3DHadir" TargetMode="External"/><Relationship Id="rId102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9768822%26entry.1578404635%3DHadir" TargetMode="External"/><Relationship Id="rId586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4935892%26entry.1578404635%3DHadir" TargetMode="External"/><Relationship Id="rId101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4686377%26entry.1578404635%3DHadir" TargetMode="External"/><Relationship Id="rId585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84548048%26entry.1578404635%3DHadir" TargetMode="External"/><Relationship Id="rId100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6892367%26entry.1578404635%3DHadir" TargetMode="External"/><Relationship Id="rId584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3907013%26entry.1578404635%3DHadir" TargetMode="External"/><Relationship Id="rId579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2343794%26entry.1578404635%3DHadir" TargetMode="External"/><Relationship Id="rId578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7830870%26entry.1578404635%3DHadir" TargetMode="External"/><Relationship Id="rId577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4946777%26entry.1578404635%3DHadir" TargetMode="External"/><Relationship Id="rId572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82650076%26entry.1578404635%3DHadir" TargetMode="External"/><Relationship Id="rId571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5657800%26entry.1578404635%3DHadir" TargetMode="External"/><Relationship Id="rId570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3092211203%26entry.1578404635%3DHadir" TargetMode="External"/><Relationship Id="rId576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5788052%26entry.1578404635%3DHadir" TargetMode="External"/><Relationship Id="rId575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86704012%26entry.1578404635%3DHadir" TargetMode="External"/><Relationship Id="rId574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3097669813%26entry.1578404635%3DHadir" TargetMode="External"/><Relationship Id="rId573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5420383%26entry.1578404635%3DHadir" TargetMode="External"/><Relationship Id="rId129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7838813%26entry.1578404635%3DHadir" TargetMode="External"/><Relationship Id="rId128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3659705%26entry.1578404635%3DHadir" TargetMode="External"/><Relationship Id="rId127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4160993%26entry.1578404635%3DHadir" TargetMode="External"/><Relationship Id="rId126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87811342%26entry.1578404635%3DHadir" TargetMode="External"/><Relationship Id="rId121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9721617%26entry.1578404635%3DHadir" TargetMode="External"/><Relationship Id="rId120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6930882%26entry.1578404635%3DHadir" TargetMode="External"/><Relationship Id="rId125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5491750%26entry.1578404635%3DHadir" TargetMode="External"/><Relationship Id="rId124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6136353%26entry.1578404635%3DHadir" TargetMode="External"/><Relationship Id="rId123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6443881%26entry.1578404635%3DHadir" TargetMode="External"/><Relationship Id="rId122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1188685%26entry.1578404635%3DHadir" TargetMode="External"/><Relationship Id="rId118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2263541%26entry.1578404635%3DHadir" TargetMode="External"/><Relationship Id="rId117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5055522%26entry.1578404635%3DHadir" TargetMode="External"/><Relationship Id="rId116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3104085681%26entry.1578404635%3DHadir" TargetMode="External"/><Relationship Id="rId115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6292164%26entry.1578404635%3DHadir" TargetMode="External"/><Relationship Id="rId599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4698679%26entry.1578404635%3DHadir" TargetMode="External"/><Relationship Id="rId119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1178036%26entry.1578404635%3DHadir" TargetMode="External"/><Relationship Id="rId110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4716348%26entry.1578404635%3DHadir" TargetMode="External"/><Relationship Id="rId594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4722345%26entry.1578404635%3DHadir" TargetMode="External"/><Relationship Id="rId593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8951883%26entry.1578404635%3DHadir" TargetMode="External"/><Relationship Id="rId592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6763243%26entry.1578404635%3DHadir" TargetMode="External"/><Relationship Id="rId591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8656322%26entry.1578404635%3DHadir" TargetMode="External"/><Relationship Id="rId114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7603092%26entry.1578404635%3DHadir" TargetMode="External"/><Relationship Id="rId598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3778675%26entry.1578404635%3DHadir" TargetMode="External"/><Relationship Id="rId113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2114748%26entry.1578404635%3DHadir" TargetMode="External"/><Relationship Id="rId597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84361496%26entry.1578404635%3DHadir" TargetMode="External"/><Relationship Id="rId112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7540821%26entry.1578404635%3DHadir" TargetMode="External"/><Relationship Id="rId596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3505380%26entry.1578404635%3DHadir" TargetMode="External"/><Relationship Id="rId111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2174126%26entry.1578404635%3DHadir" TargetMode="External"/><Relationship Id="rId595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7193046%26entry.1578404635%3DHadir" TargetMode="External"/><Relationship Id="rId547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1061057%26entry.1578404635%3DHadir" TargetMode="External"/><Relationship Id="rId546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3286737%26entry.1578404635%3DHadir" TargetMode="External"/><Relationship Id="rId545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84290235%26entry.1578404635%3DHadir" TargetMode="External"/><Relationship Id="rId544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84290235%26entry.1578404635%3DHadir" TargetMode="External"/><Relationship Id="rId549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82747470%26entry.1578404635%3DHadir" TargetMode="External"/><Relationship Id="rId548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5163025%26entry.1578404635%3DHadir" TargetMode="External"/><Relationship Id="rId543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2827580%26entry.1578404635%3DHadir" TargetMode="External"/><Relationship Id="rId542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3098805753%26entry.1578404635%3DHadir" TargetMode="External"/><Relationship Id="rId541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1033788%26entry.1578404635%3DHadir" TargetMode="External"/><Relationship Id="rId540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4989387%26entry.1578404635%3DHadir" TargetMode="External"/><Relationship Id="rId536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3083447726%26entry.1578404635%3DHadir" TargetMode="External"/><Relationship Id="rId535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83667654%26entry.1578404635%3DHadir" TargetMode="External"/><Relationship Id="rId534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3623036%26entry.1578404635%3DHadir" TargetMode="External"/><Relationship Id="rId533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8256549%26entry.1578404635%3DHadir" TargetMode="External"/><Relationship Id="rId539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83833819%26entry.1578404635%3DHadir" TargetMode="External"/><Relationship Id="rId538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7736512%26entry.1578404635%3DHadir" TargetMode="External"/><Relationship Id="rId537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8849381%26entry.1578404635%3DHadir" TargetMode="External"/><Relationship Id="rId532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7202517%26entry.1578404635%3DHadir" TargetMode="External"/><Relationship Id="rId531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1012038%26entry.1578404635%3DHadir" TargetMode="External"/><Relationship Id="rId530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6213576%26entry.1578404635%3DHadir" TargetMode="External"/><Relationship Id="rId569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1447390%26entry.1578404635%3DHadir" TargetMode="External"/><Relationship Id="rId568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89204896%26entry.1578404635%3DHadir" TargetMode="External"/><Relationship Id="rId567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4260903%26entry.1578404635%3DHadir" TargetMode="External"/><Relationship Id="rId566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9954531%26entry.1578404635%3DHadir" TargetMode="External"/><Relationship Id="rId561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2622229%26entry.1578404635%3DHadir" TargetMode="External"/><Relationship Id="rId560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6851574%26entry.1578404635%3DHadir" TargetMode="External"/><Relationship Id="rId565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9310873%26entry.1578404635%3DHadir" TargetMode="External"/><Relationship Id="rId564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82539116%26entry.1578404635%3DHadir" TargetMode="External"/><Relationship Id="rId563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5691756%26entry.1578404635%3DHadir" TargetMode="External"/><Relationship Id="rId562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81916428%26entry.1578404635%3DHadir" TargetMode="External"/><Relationship Id="rId558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83641645%26entry.1578404635%3DHadir" TargetMode="External"/><Relationship Id="rId557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83016159%26entry.1578404635%3DHadir" TargetMode="External"/><Relationship Id="rId556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2707821%26entry.1578404635%3DHadir" TargetMode="External"/><Relationship Id="rId555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8621054%26entry.1578404635%3DHadir" TargetMode="External"/><Relationship Id="rId559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3262366%26entry.1578404635%3DHadir" TargetMode="External"/><Relationship Id="rId550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85011294%26entry.1578404635%3DHadir" TargetMode="External"/><Relationship Id="rId554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86733881%26entry.1578404635%3DHadir" TargetMode="External"/><Relationship Id="rId553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83581318%26entry.1578404635%3DHadir" TargetMode="External"/><Relationship Id="rId552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83638898%26entry.1578404635%3DHadir" TargetMode="External"/><Relationship Id="rId551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2385645%26entry.1578404635%3DHadir" TargetMode="External"/><Relationship Id="rId495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3777854%26entry.1578404635%3DHadir" TargetMode="External"/><Relationship Id="rId494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5778047%26entry.1578404635%3DHadir" TargetMode="External"/><Relationship Id="rId493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3035193%26entry.1578404635%3DHadir" TargetMode="External"/><Relationship Id="rId492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4431854%26entry.1578404635%3DHadir" TargetMode="External"/><Relationship Id="rId499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6368920%26entry.1578404635%3DHadir" TargetMode="External"/><Relationship Id="rId498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2148224%26entry.1578404635%3DHadir" TargetMode="External"/><Relationship Id="rId497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3887571%26entry.1578404635%3DHadir" TargetMode="External"/><Relationship Id="rId496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3109116422%26entry.1578404635%3DHadir" TargetMode="External"/><Relationship Id="rId907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7734463%26entry.1578404635%3DHadir" TargetMode="External"/><Relationship Id="rId906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3087304976%26entry.1578404635%3DHadir" TargetMode="External"/><Relationship Id="rId905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4095735%26entry.1578404635%3DHadir" TargetMode="External"/><Relationship Id="rId904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9423367%26entry.1578404635%3DHadir" TargetMode="External"/><Relationship Id="rId909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84357788%26entry.1578404635%3DHadir" TargetMode="External"/><Relationship Id="rId908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4647744%26entry.1578404635%3DHadir" TargetMode="External"/><Relationship Id="rId903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4807008%26entry.1578404635%3DHadir" TargetMode="External"/><Relationship Id="rId902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5386380%26entry.1578404635%3DHadir" TargetMode="External"/><Relationship Id="rId901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7494938%26entry.1578404635%3DHadir" TargetMode="External"/><Relationship Id="rId900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6931224%26entry.1578404635%3DHadir" TargetMode="External"/><Relationship Id="rId929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87336074%26entry.1578404635%3DHadir" TargetMode="External"/><Relationship Id="rId928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8994125%26entry.1578404635%3DHadir" TargetMode="External"/><Relationship Id="rId927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5159012%26entry.1578404635%3DHadir" TargetMode="External"/><Relationship Id="rId926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8700438%26entry.1578404635%3DHadir" TargetMode="External"/><Relationship Id="rId921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1519291%26entry.1578404635%3DHadir" TargetMode="External"/><Relationship Id="rId920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3311941%26entry.1578404635%3DHadir" TargetMode="External"/><Relationship Id="rId925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3088903236%26entry.1578404635%3DHadir" TargetMode="External"/><Relationship Id="rId924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81527579%26entry.1578404635%3DHadir" TargetMode="External"/><Relationship Id="rId923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83597126%26entry.1578404635%3DHadir" TargetMode="External"/><Relationship Id="rId922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3772011%26entry.1578404635%3DHadir" TargetMode="External"/><Relationship Id="rId918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3167605%26entry.1578404635%3DHadir" TargetMode="External"/><Relationship Id="rId917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6383417%26entry.1578404635%3DHadir" TargetMode="External"/><Relationship Id="rId916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6418415%26entry.1578404635%3DHadir" TargetMode="External"/><Relationship Id="rId915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87718590%26entry.1578404635%3DHadir" TargetMode="External"/><Relationship Id="rId919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6872219%26entry.1578404635%3DHadir" TargetMode="External"/><Relationship Id="rId910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7253280%26entry.1578404635%3DHadir" TargetMode="External"/><Relationship Id="rId914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8551657%26entry.1578404635%3DHadir" TargetMode="External"/><Relationship Id="rId913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84218795%26entry.1578404635%3DHadir" TargetMode="External"/><Relationship Id="rId912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3091238165%26entry.1578404635%3DHadir" TargetMode="External"/><Relationship Id="rId911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83949375%26entry.1578404635%3DHadir" TargetMode="External"/><Relationship Id="rId866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3094789704%26entry.1578404635%3DHadir" TargetMode="External"/><Relationship Id="rId865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3083166460%26entry.1578404635%3DHadir" TargetMode="External"/><Relationship Id="rId864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2577014%26entry.1578404635%3DHadir" TargetMode="External"/><Relationship Id="rId863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84114869%26entry.1578404635%3DHadir" TargetMode="External"/><Relationship Id="rId869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89493881%26entry.1578404635%3DHadir" TargetMode="External"/><Relationship Id="rId868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3441573%26entry.1578404635%3DHadir" TargetMode="External"/><Relationship Id="rId867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89336981%26entry.1578404635%3DHadir" TargetMode="External"/><Relationship Id="rId862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4465097%26entry.1578404635%3DHadir" TargetMode="External"/><Relationship Id="rId861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82898817%26entry.1578404635%3DHadir" TargetMode="External"/><Relationship Id="rId860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85810407%26entry.1578404635%3DHadir" TargetMode="External"/><Relationship Id="rId855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3091944997%26entry.1578404635%3DHadir" TargetMode="External"/><Relationship Id="rId854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82472809%26entry.1578404635%3DHadir" TargetMode="External"/><Relationship Id="rId853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2821103%26entry.1578404635%3DHadir" TargetMode="External"/><Relationship Id="rId852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3092618789%26entry.1578404635%3DHadir" TargetMode="External"/><Relationship Id="rId859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88807404%26entry.1578404635%3DHadir" TargetMode="External"/><Relationship Id="rId858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5937371%26entry.1578404635%3DHadir" TargetMode="External"/><Relationship Id="rId857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4864081%26entry.1578404635%3DHadir" TargetMode="External"/><Relationship Id="rId856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81087411%26entry.1578404635%3DHadir" TargetMode="External"/><Relationship Id="rId851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84853605%26entry.1578404635%3DHadir" TargetMode="External"/><Relationship Id="rId850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7179421%26entry.1578404635%3DHadir" TargetMode="External"/><Relationship Id="rId409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4966956%26entry.1578404635%3DHadir" TargetMode="External"/><Relationship Id="rId404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3849649%26entry.1578404635%3DHadir" TargetMode="External"/><Relationship Id="rId888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87408326%26entry.1578404635%3DHadir" TargetMode="External"/><Relationship Id="rId403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4626978%26entry.1578404635%3DHadir" TargetMode="External"/><Relationship Id="rId887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82256467%26entry.1578404635%3DHadir" TargetMode="External"/><Relationship Id="rId402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2329313%26entry.1578404635%3DHadir" TargetMode="External"/><Relationship Id="rId886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82690807%26entry.1578404635%3DHadir" TargetMode="External"/><Relationship Id="rId401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5616025%26entry.1578404635%3DHadir" TargetMode="External"/><Relationship Id="rId885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83924202%26entry.1578404635%3DHadir" TargetMode="External"/><Relationship Id="rId408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4574006%26entry.1578404635%3DHadir" TargetMode="External"/><Relationship Id="rId407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3099544859%26entry.1578404635%3DHadir" TargetMode="External"/><Relationship Id="rId406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2210036%26entry.1578404635%3DHadir" TargetMode="External"/><Relationship Id="rId405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2890859%26entry.1578404635%3DHadir" TargetMode="External"/><Relationship Id="rId889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6589760%26entry.1578404635%3DHadir" TargetMode="External"/><Relationship Id="rId880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1072005%26entry.1578404635%3DHadir" TargetMode="External"/><Relationship Id="rId400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8248691%26entry.1578404635%3DHadir" TargetMode="External"/><Relationship Id="rId884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5657957%26entry.1578404635%3DHadir" TargetMode="External"/><Relationship Id="rId883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87551985%26entry.1578404635%3DHadir" TargetMode="External"/><Relationship Id="rId882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7482971%26entry.1578404635%3DHadir" TargetMode="External"/><Relationship Id="rId881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3123066%26entry.1578404635%3DHadir" TargetMode="External"/><Relationship Id="rId877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87588818%26entry.1578404635%3DHadir" TargetMode="External"/><Relationship Id="rId876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82151570%26entry.1578404635%3DHadir" TargetMode="External"/><Relationship Id="rId875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9988861%26entry.1578404635%3DHadir" TargetMode="External"/><Relationship Id="rId874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9880719%26entry.1578404635%3DHadir" TargetMode="External"/><Relationship Id="rId879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87522984%26entry.1578404635%3DHadir" TargetMode="External"/><Relationship Id="rId878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2093857917%26entry.1578404635%3DHadir" TargetMode="External"/><Relationship Id="rId873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5848946%26entry.1578404635%3DHadir" TargetMode="External"/><Relationship Id="rId872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84316906%26entry.1578404635%3DHadir" TargetMode="External"/><Relationship Id="rId871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85904748%26entry.1578404635%3DHadir" TargetMode="External"/><Relationship Id="rId870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86778655%26entry.1578404635%3DHadir" TargetMode="External"/><Relationship Id="rId829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86863385%26entry.1578404635%3DHadir" TargetMode="External"/><Relationship Id="rId828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8122055%26entry.1578404635%3DHadir" TargetMode="External"/><Relationship Id="rId827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5059901%26entry.1578404635%3DHadir" TargetMode="External"/><Relationship Id="rId822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86360763%26entry.1578404635%3DHadir" TargetMode="External"/><Relationship Id="rId821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86404055%26entry.1578404635%3DHadir" TargetMode="External"/><Relationship Id="rId820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85378932%26entry.1578404635%3DHadir" TargetMode="External"/><Relationship Id="rId826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2404318%26entry.1578404635%3DHadir" TargetMode="External"/><Relationship Id="rId825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4596470%26entry.1578404635%3DHadir" TargetMode="External"/><Relationship Id="rId824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1944011%26entry.1578404635%3DHadir" TargetMode="External"/><Relationship Id="rId823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88924007%26entry.1578404635%3DHadir" TargetMode="External"/><Relationship Id="rId819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1530728%26entry.1578404635%3DHadir" TargetMode="External"/><Relationship Id="rId818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2786372%26entry.1578404635%3DHadir" TargetMode="External"/><Relationship Id="rId817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3479168%26entry.1578404635%3DHadir" TargetMode="External"/><Relationship Id="rId816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87551275%26entry.1578404635%3DHadir" TargetMode="External"/><Relationship Id="rId811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86078004%26entry.1578404635%3DHadir" TargetMode="External"/><Relationship Id="rId810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83352872%26entry.1578404635%3DHadir" TargetMode="External"/><Relationship Id="rId815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82185766%26entry.1578404635%3DHadir" TargetMode="External"/><Relationship Id="rId814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7062478%26entry.1578404635%3DHadir" TargetMode="External"/><Relationship Id="rId813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3969715%26entry.1578404635%3DHadir" TargetMode="External"/><Relationship Id="rId812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8775856%26entry.1578404635%3DHadir" TargetMode="External"/><Relationship Id="rId849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87035501%26entry.1578404635%3DHadir" TargetMode="External"/><Relationship Id="rId844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84865750%26entry.1578404635%3DHadir" TargetMode="External"/><Relationship Id="rId843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88625335%26entry.1578404635%3DHadir" TargetMode="External"/><Relationship Id="rId842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81317101%26entry.1578404635%3DHadir" TargetMode="External"/><Relationship Id="rId841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3270004%26entry.1578404635%3DHadir" TargetMode="External"/><Relationship Id="rId848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2463348%26entry.1578404635%3DHadir" TargetMode="External"/><Relationship Id="rId847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3616890%26entry.1578404635%3DHadir" TargetMode="External"/><Relationship Id="rId846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4394514%26entry.1578404635%3DHadir" TargetMode="External"/><Relationship Id="rId845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89373986%26entry.1578404635%3DHadir" TargetMode="External"/><Relationship Id="rId840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5916190%26entry.1578404635%3DHadir" TargetMode="External"/><Relationship Id="rId839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8441334%26entry.1578404635%3DHadir" TargetMode="External"/><Relationship Id="rId838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82670071%26entry.1578404635%3DHadir" TargetMode="External"/><Relationship Id="rId833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4232336%26entry.1578404635%3DHadir" TargetMode="External"/><Relationship Id="rId832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1126559%26entry.1578404635%3DHadir" TargetMode="External"/><Relationship Id="rId831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6488875%26entry.1578404635%3DHadir" TargetMode="External"/><Relationship Id="rId830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85675402%26entry.1578404635%3DHadir" TargetMode="External"/><Relationship Id="rId837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4426892%26entry.1578404635%3DHadir" TargetMode="External"/><Relationship Id="rId836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3523017%26entry.1578404635%3DHadir" TargetMode="External"/><Relationship Id="rId835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4865307%26entry.1578404635%3DHadir" TargetMode="External"/><Relationship Id="rId834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9920490%26entry.1578404635%3DHadir" TargetMode="External"/><Relationship Id="rId469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3632849%26entry.1578404635%3DHadir" TargetMode="External"/><Relationship Id="rId468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7258754%26entry.1578404635%3DHadir" TargetMode="External"/><Relationship Id="rId467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5717177%26entry.1578404635%3DHadir" TargetMode="External"/><Relationship Id="rId462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2414768%26entry.1578404635%3DHadir" TargetMode="External"/><Relationship Id="rId461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3712588%26entry.1578404635%3DHadir" TargetMode="External"/><Relationship Id="rId460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9258787%26entry.1578404635%3DHadir" TargetMode="External"/><Relationship Id="rId466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5010681%26entry.1578404635%3DHadir" TargetMode="External"/><Relationship Id="rId465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1610224%26entry.1578404635%3DHadir" TargetMode="External"/><Relationship Id="rId464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5542022%26entry.1578404635%3DHadir" TargetMode="External"/><Relationship Id="rId463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6760506%26entry.1578404635%3DHadir" TargetMode="External"/><Relationship Id="rId459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5612000%26entry.1578404635%3DHadir" TargetMode="External"/><Relationship Id="rId458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2000943%26entry.1578404635%3DHadir" TargetMode="External"/><Relationship Id="rId457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6753454%26entry.1578404635%3DHadir" TargetMode="External"/><Relationship Id="rId456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2349928%26entry.1578404635%3DHadir" TargetMode="External"/><Relationship Id="rId451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8812130%26entry.1578404635%3DHadir" TargetMode="External"/><Relationship Id="rId450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5348604%26entry.1578404635%3DHadir" TargetMode="External"/><Relationship Id="rId455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8186648%26entry.1578404635%3DHadir" TargetMode="External"/><Relationship Id="rId454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2179308%26entry.1578404635%3DHadir" TargetMode="External"/><Relationship Id="rId453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1578446%26entry.1578404635%3DHadir" TargetMode="External"/><Relationship Id="rId452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4912922%26entry.1578404635%3DHadir" TargetMode="External"/><Relationship Id="rId491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3093490279%26entry.1578404635%3DHadir" TargetMode="External"/><Relationship Id="rId490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7732804%26entry.1578404635%3DHadir" TargetMode="External"/><Relationship Id="rId489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3652262%26entry.1578404635%3DHadir" TargetMode="External"/><Relationship Id="rId484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2221985%26entry.1578404635%3DHadir" TargetMode="External"/><Relationship Id="rId483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3106961615%26entry.1578404635%3DHadir" TargetMode="External"/><Relationship Id="rId482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2725675%26entry.1578404635%3DHadir" TargetMode="External"/><Relationship Id="rId481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9682985%26entry.1578404635%3DHadir" TargetMode="External"/><Relationship Id="rId488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3091107524%26entry.1578404635%3DHadir" TargetMode="External"/><Relationship Id="rId487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3086279831%26entry.1578404635%3DHadir" TargetMode="External"/><Relationship Id="rId486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4985283%26entry.1578404635%3DHadir" TargetMode="External"/><Relationship Id="rId485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6201622%26entry.1578404635%3DHadir" TargetMode="External"/><Relationship Id="rId480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9010502%26entry.1578404635%3DHadir" TargetMode="External"/><Relationship Id="rId479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2099366441%26entry.1578404635%3DHadir" TargetMode="External"/><Relationship Id="rId478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8675973%26entry.1578404635%3DHadir" TargetMode="External"/><Relationship Id="rId473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3866965%26entry.1578404635%3DHadir" TargetMode="External"/><Relationship Id="rId472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5770130%26entry.1578404635%3DHadir" TargetMode="External"/><Relationship Id="rId471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7950619%26entry.1578404635%3DHadir" TargetMode="External"/><Relationship Id="rId470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5748224%26entry.1578404635%3DHadir" TargetMode="External"/><Relationship Id="rId477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1396555%26entry.1578404635%3DHadir" TargetMode="External"/><Relationship Id="rId476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7831985%26entry.1578404635%3DHadir" TargetMode="External"/><Relationship Id="rId475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3002808%26entry.1578404635%3DHadir" TargetMode="External"/><Relationship Id="rId474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3097129671%26entry.1578404635%3DHadir" TargetMode="External"/><Relationship Id="rId426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9775444%26entry.1578404635%3DHadir" TargetMode="External"/><Relationship Id="rId425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8718382%26entry.1578404635%3DHadir" TargetMode="External"/><Relationship Id="rId424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8413702%26entry.1578404635%3DHadir" TargetMode="External"/><Relationship Id="rId423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8540094%26entry.1578404635%3DHadir" TargetMode="External"/><Relationship Id="rId429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9013664%26entry.1578404635%3DHadir" TargetMode="External"/><Relationship Id="rId428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8324867%26entry.1578404635%3DHadir" TargetMode="External"/><Relationship Id="rId427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9542213%26entry.1578404635%3DHadir" TargetMode="External"/><Relationship Id="rId422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3204066%26entry.1578404635%3DHadir" TargetMode="External"/><Relationship Id="rId421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4313180%26entry.1578404635%3DHadir" TargetMode="External"/><Relationship Id="rId420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7831413%26entry.1578404635%3DHadir" TargetMode="External"/><Relationship Id="rId415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8105659%26entry.1578404635%3DHadir" TargetMode="External"/><Relationship Id="rId899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3097549496%26entry.1578404635%3DHadir" TargetMode="External"/><Relationship Id="rId414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9589144%26entry.1578404635%3DHadir" TargetMode="External"/><Relationship Id="rId898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87176231%26entry.1578404635%3DHadir" TargetMode="External"/><Relationship Id="rId413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13735828%26entry.1578404635%3DHadir" TargetMode="External"/><Relationship Id="rId897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3099484913%26entry.1578404635%3DHadir" TargetMode="External"/><Relationship Id="rId412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8516941%26entry.1578404635%3DHadir" TargetMode="External"/><Relationship Id="rId896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2834368%26entry.1578404635%3DHadir" TargetMode="External"/><Relationship Id="rId419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3103591489%26entry.1578404635%3DHadir" TargetMode="External"/><Relationship Id="rId418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9464483%26entry.1578404635%3DHadir" TargetMode="External"/><Relationship Id="rId417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3643944%26entry.1578404635%3DHadir" TargetMode="External"/><Relationship Id="rId416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1758520%26entry.1578404635%3DHadir" TargetMode="External"/><Relationship Id="rId891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1633107%26entry.1578404635%3DHadir" TargetMode="External"/><Relationship Id="rId890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3094653721%26entry.1578404635%3DHadir" TargetMode="External"/><Relationship Id="rId411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3101402781%26entry.1578404635%3DHadir" TargetMode="External"/><Relationship Id="rId895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89115919%26entry.1578404635%3DHadir" TargetMode="External"/><Relationship Id="rId410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2208567%26entry.1578404635%3DHadir" TargetMode="External"/><Relationship Id="rId894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85208150%26entry.1578404635%3DHadir" TargetMode="External"/><Relationship Id="rId893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3084804073%26entry.1578404635%3DHadir" TargetMode="External"/><Relationship Id="rId892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2593035%26entry.1578404635%3DHadir" TargetMode="External"/><Relationship Id="rId448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6465537%26entry.1578404635%3DHadir" TargetMode="External"/><Relationship Id="rId447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3335479%26entry.1578404635%3DHadir" TargetMode="External"/><Relationship Id="rId446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7372379%26entry.1578404635%3DHadir" TargetMode="External"/><Relationship Id="rId445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18415302%26entry.1578404635%3DHadir" TargetMode="External"/><Relationship Id="rId449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3732986%26entry.1578404635%3DHadir" TargetMode="External"/><Relationship Id="rId440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6506746%26entry.1578404635%3DHadir" TargetMode="External"/><Relationship Id="rId444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2709548%26entry.1578404635%3DHadir" TargetMode="External"/><Relationship Id="rId443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8365392%26entry.1578404635%3DHadir" TargetMode="External"/><Relationship Id="rId442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8527903%26entry.1578404635%3DHadir" TargetMode="External"/><Relationship Id="rId441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5529275%26entry.1578404635%3DHadir" TargetMode="External"/><Relationship Id="rId437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3105650741%26entry.1578404635%3DHadir" TargetMode="External"/><Relationship Id="rId436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1964014%26entry.1578404635%3DHadir" TargetMode="External"/><Relationship Id="rId435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7138954%26entry.1578404635%3DHadir" TargetMode="External"/><Relationship Id="rId434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4439014%26entry.1578404635%3DHadir" TargetMode="External"/><Relationship Id="rId439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3193565%26entry.1578404635%3DHadir" TargetMode="External"/><Relationship Id="rId438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1891047%26entry.1578404635%3DHadir" TargetMode="External"/><Relationship Id="rId433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9678017%26entry.1578404635%3DHadir" TargetMode="External"/><Relationship Id="rId432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1952413%26entry.1578404635%3DHadir" TargetMode="External"/><Relationship Id="rId431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096963702%26entry.1578404635%3DHadir" TargetMode="External"/><Relationship Id="rId430" Type="http://schemas.openxmlformats.org/officeDocument/2006/relationships/hyperlink" Target="https://quickchart.io/qr?size=250&amp;text=https%3A%2F%2Fdocs.google.com%2Fforms%2Fd%2Fe%2F1FAIpQLSeZ-R1GrWlAPkfaThGqxeTj0QTtrARw4rroxIIepf2kipn1nw%2FformResponse%3Fusp%3Dpp_url%26entry.1313582257%3D0108561560%26entry.1578404635%3DHadir" TargetMode="Externa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Relationship Id="rId3" Type="http://schemas.openxmlformats.org/officeDocument/2006/relationships/table" Target="../tables/table4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Relationship Id="rId3" Type="http://schemas.openxmlformats.org/officeDocument/2006/relationships/table" Target="../tables/table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Relationship Id="rId3" Type="http://schemas.openxmlformats.org/officeDocument/2006/relationships/table" Target="../tables/table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Relationship Id="rId3" Type="http://schemas.openxmlformats.org/officeDocument/2006/relationships/table" Target="../tables/table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Relationship Id="rId3" Type="http://schemas.openxmlformats.org/officeDocument/2006/relationships/table" Target="../tables/table8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Relationship Id="rId3" Type="http://schemas.openxmlformats.org/officeDocument/2006/relationships/table" Target="../tables/table9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</row>
    <row r="5">
      <c r="A5" s="1" t="s">
        <v>3</v>
      </c>
    </row>
    <row r="6">
      <c r="A6" s="1" t="s">
        <v>4</v>
      </c>
    </row>
    <row r="7">
      <c r="A7" s="1" t="s">
        <v>5</v>
      </c>
    </row>
    <row r="8">
      <c r="A8" s="1" t="s">
        <v>6</v>
      </c>
    </row>
    <row r="10">
      <c r="A10" s="1" t="s">
        <v>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21.5"/>
    <col customWidth="1" min="3" max="3" width="10.25"/>
    <col customWidth="1" min="4" max="5" width="18.88"/>
    <col customWidth="1" min="6" max="6" width="8.13"/>
    <col customWidth="1" min="7" max="7" width="12.63"/>
    <col customWidth="1" min="8" max="8" width="9.63"/>
    <col customWidth="1" min="9" max="9" width="10.38"/>
    <col customWidth="1" min="10" max="10" width="10.75"/>
    <col customWidth="1" min="11" max="11" width="18.88"/>
    <col customWidth="1" min="12" max="12" width="23.38"/>
    <col customWidth="1" min="13" max="19" width="18.88"/>
  </cols>
  <sheetData>
    <row r="1" ht="22.5" customHeight="1">
      <c r="A1" s="2" t="s">
        <v>8</v>
      </c>
      <c r="B1" s="2" t="s">
        <v>9</v>
      </c>
      <c r="C1" s="2" t="s">
        <v>10</v>
      </c>
      <c r="D1" s="3" t="s">
        <v>11</v>
      </c>
      <c r="E1" s="2" t="s">
        <v>12</v>
      </c>
      <c r="F1" s="2" t="s">
        <v>13</v>
      </c>
      <c r="G1" s="2" t="s">
        <v>14</v>
      </c>
      <c r="H1" s="2" t="s">
        <v>15</v>
      </c>
      <c r="I1" s="2" t="s">
        <v>16</v>
      </c>
      <c r="J1" s="2" t="s">
        <v>17</v>
      </c>
      <c r="K1" s="2" t="s">
        <v>18</v>
      </c>
      <c r="L1" s="2" t="s">
        <v>0</v>
      </c>
      <c r="M1" s="2" t="s">
        <v>19</v>
      </c>
    </row>
    <row r="2" ht="22.5" customHeight="1">
      <c r="A2" s="4">
        <v>45969.31841877315</v>
      </c>
      <c r="B2" s="5" t="s">
        <v>20</v>
      </c>
      <c r="C2" s="6" t="s">
        <v>21</v>
      </c>
      <c r="D2" s="6" t="s">
        <v>22</v>
      </c>
    </row>
    <row r="3" ht="22.5" customHeight="1">
      <c r="A3" s="4">
        <v>45969.320032881944</v>
      </c>
      <c r="B3" s="7">
        <v>3.103220251E9</v>
      </c>
      <c r="C3" s="6" t="s">
        <v>21</v>
      </c>
      <c r="D3" s="6" t="s">
        <v>22</v>
      </c>
    </row>
    <row r="4" ht="22.5" customHeight="1">
      <c r="A4" s="4">
        <v>45969.32051391204</v>
      </c>
      <c r="B4" s="5" t="s">
        <v>23</v>
      </c>
      <c r="C4" s="6" t="s">
        <v>21</v>
      </c>
      <c r="D4" s="6" t="s">
        <v>22</v>
      </c>
    </row>
    <row r="5" ht="22.5" customHeight="1">
      <c r="A5" s="4">
        <v>45969.32073840278</v>
      </c>
      <c r="B5" s="5" t="s">
        <v>24</v>
      </c>
      <c r="C5" s="6" t="s">
        <v>21</v>
      </c>
      <c r="D5" s="6" t="s">
        <v>22</v>
      </c>
    </row>
    <row r="6" ht="22.5" customHeight="1">
      <c r="A6" s="4">
        <v>45969.32114526621</v>
      </c>
      <c r="B6" s="5" t="s">
        <v>25</v>
      </c>
      <c r="C6" s="6" t="s">
        <v>21</v>
      </c>
      <c r="D6" s="6" t="s">
        <v>22</v>
      </c>
    </row>
    <row r="7" ht="22.5" customHeight="1">
      <c r="A7" s="4">
        <v>45969.350735370375</v>
      </c>
      <c r="B7" s="5" t="s">
        <v>26</v>
      </c>
      <c r="C7" s="6" t="s">
        <v>21</v>
      </c>
      <c r="D7" s="6" t="s">
        <v>22</v>
      </c>
    </row>
    <row r="8" ht="22.5" customHeight="1">
      <c r="A8" s="4">
        <v>45983.334548287035</v>
      </c>
      <c r="B8" s="5" t="s">
        <v>20</v>
      </c>
      <c r="C8" s="6" t="s">
        <v>21</v>
      </c>
      <c r="D8" s="6" t="s">
        <v>22</v>
      </c>
    </row>
    <row r="9" ht="22.5" customHeight="1">
      <c r="A9" s="4">
        <v>45983.335184791664</v>
      </c>
      <c r="B9" s="5" t="s">
        <v>23</v>
      </c>
      <c r="C9" s="6" t="s">
        <v>21</v>
      </c>
      <c r="D9" s="6" t="s">
        <v>22</v>
      </c>
    </row>
    <row r="10" ht="22.5" customHeight="1">
      <c r="A10" s="4">
        <v>45983.336061469905</v>
      </c>
      <c r="B10" s="5" t="s">
        <v>27</v>
      </c>
      <c r="C10" s="6" t="s">
        <v>21</v>
      </c>
      <c r="D10" s="6" t="s">
        <v>22</v>
      </c>
    </row>
    <row r="11" ht="22.5" customHeight="1">
      <c r="A11" s="4">
        <v>45983.33647967593</v>
      </c>
      <c r="B11" s="7">
        <v>3.103220251E9</v>
      </c>
      <c r="C11" s="6" t="s">
        <v>21</v>
      </c>
      <c r="D11" s="6" t="s">
        <v>22</v>
      </c>
    </row>
    <row r="12" ht="22.5" customHeight="1">
      <c r="A12" s="4">
        <v>45983.336962395835</v>
      </c>
      <c r="B12" s="5" t="s">
        <v>24</v>
      </c>
      <c r="C12" s="6" t="s">
        <v>21</v>
      </c>
      <c r="D12" s="6" t="s">
        <v>22</v>
      </c>
    </row>
    <row r="13" ht="22.5" customHeight="1">
      <c r="A13" s="4">
        <v>45983.33798305556</v>
      </c>
      <c r="B13" s="5" t="s">
        <v>26</v>
      </c>
      <c r="C13" s="6" t="s">
        <v>21</v>
      </c>
      <c r="D13" s="6" t="s">
        <v>22</v>
      </c>
    </row>
    <row r="14" ht="22.5" customHeight="1">
      <c r="A14" s="4">
        <v>45983.33841725695</v>
      </c>
      <c r="B14" s="5" t="s">
        <v>28</v>
      </c>
      <c r="C14" s="6" t="s">
        <v>21</v>
      </c>
      <c r="D14" s="6" t="s">
        <v>22</v>
      </c>
    </row>
    <row r="15" ht="22.5" customHeight="1">
      <c r="A15" s="4">
        <v>45983.33924410879</v>
      </c>
      <c r="B15" s="5" t="s">
        <v>29</v>
      </c>
      <c r="C15" s="6" t="s">
        <v>21</v>
      </c>
      <c r="D15" s="6" t="s">
        <v>22</v>
      </c>
    </row>
    <row r="16" ht="22.5" customHeight="1">
      <c r="A16" s="4">
        <v>45983.339703749996</v>
      </c>
      <c r="B16" s="5" t="s">
        <v>30</v>
      </c>
      <c r="C16" s="6" t="s">
        <v>21</v>
      </c>
      <c r="D16" s="6" t="s">
        <v>22</v>
      </c>
    </row>
    <row r="17" ht="22.5" customHeight="1">
      <c r="A17" s="4">
        <v>45983.340708703705</v>
      </c>
      <c r="B17" s="5" t="s">
        <v>31</v>
      </c>
      <c r="C17" s="6" t="s">
        <v>21</v>
      </c>
      <c r="D17" s="6" t="s">
        <v>22</v>
      </c>
    </row>
    <row r="18" ht="22.5" customHeight="1">
      <c r="A18" s="4">
        <v>45983.34149614583</v>
      </c>
      <c r="B18" s="5" t="s">
        <v>32</v>
      </c>
      <c r="C18" s="6" t="s">
        <v>21</v>
      </c>
      <c r="D18" s="6" t="s">
        <v>22</v>
      </c>
    </row>
    <row r="19" ht="22.5" customHeight="1">
      <c r="A19" s="4">
        <v>45983.354637372686</v>
      </c>
      <c r="B19" s="7">
        <v>3.092618789E9</v>
      </c>
      <c r="C19" s="6" t="s">
        <v>21</v>
      </c>
      <c r="D19" s="6" t="s">
        <v>33</v>
      </c>
    </row>
    <row r="20" ht="22.5" customHeight="1">
      <c r="A20" s="4">
        <v>45983.37999501158</v>
      </c>
      <c r="B20" s="5" t="s">
        <v>34</v>
      </c>
      <c r="C20" s="6" t="s">
        <v>21</v>
      </c>
      <c r="D20" s="6" t="s">
        <v>35</v>
      </c>
    </row>
    <row r="21" ht="22.5" customHeight="1">
      <c r="A21" s="4">
        <v>45983.38028186343</v>
      </c>
      <c r="B21" s="5" t="s">
        <v>36</v>
      </c>
      <c r="C21" s="6" t="s">
        <v>21</v>
      </c>
      <c r="D21" s="6" t="s">
        <v>35</v>
      </c>
    </row>
    <row r="22" ht="22.5" customHeight="1">
      <c r="A22" s="4">
        <v>45983.38073453704</v>
      </c>
      <c r="B22" s="5" t="s">
        <v>37</v>
      </c>
      <c r="C22" s="6" t="s">
        <v>21</v>
      </c>
      <c r="D22" s="6" t="s">
        <v>35</v>
      </c>
    </row>
    <row r="23" ht="22.5" customHeight="1">
      <c r="A23" s="4">
        <v>45983.381057245366</v>
      </c>
      <c r="B23" s="5" t="s">
        <v>38</v>
      </c>
      <c r="C23" s="6" t="s">
        <v>21</v>
      </c>
      <c r="D23" s="6" t="s">
        <v>35</v>
      </c>
    </row>
    <row r="24" ht="22.5" customHeight="1">
      <c r="A24" s="4">
        <v>45983.381349351854</v>
      </c>
      <c r="B24" s="5" t="s">
        <v>39</v>
      </c>
      <c r="C24" s="6" t="s">
        <v>21</v>
      </c>
      <c r="D24" s="6" t="s">
        <v>35</v>
      </c>
    </row>
    <row r="25" ht="22.5" customHeight="1">
      <c r="A25" s="4">
        <v>45983.38164440972</v>
      </c>
      <c r="B25" s="5" t="s">
        <v>40</v>
      </c>
      <c r="C25" s="6" t="s">
        <v>21</v>
      </c>
      <c r="D25" s="6" t="s">
        <v>35</v>
      </c>
    </row>
    <row r="26" ht="22.5" customHeight="1">
      <c r="A26" s="4">
        <v>45983.38192230324</v>
      </c>
      <c r="B26" s="5" t="s">
        <v>41</v>
      </c>
      <c r="C26" s="6" t="s">
        <v>21</v>
      </c>
      <c r="D26" s="6" t="s">
        <v>35</v>
      </c>
    </row>
    <row r="27" ht="22.5" customHeight="1">
      <c r="A27" s="4">
        <v>45983.38262935185</v>
      </c>
      <c r="B27" s="5" t="s">
        <v>42</v>
      </c>
      <c r="C27" s="6" t="s">
        <v>21</v>
      </c>
      <c r="D27" s="6" t="s">
        <v>35</v>
      </c>
    </row>
    <row r="28" ht="22.5" customHeight="1">
      <c r="A28" s="4">
        <v>45983.40547474537</v>
      </c>
      <c r="B28" s="5" t="s">
        <v>43</v>
      </c>
      <c r="C28" s="6" t="s">
        <v>21</v>
      </c>
      <c r="D28" s="6" t="s">
        <v>33</v>
      </c>
    </row>
    <row r="29" ht="22.5" customHeight="1">
      <c r="A29" s="4">
        <v>46053.3097258912</v>
      </c>
      <c r="B29" s="5" t="s">
        <v>25</v>
      </c>
      <c r="C29" s="6" t="s">
        <v>21</v>
      </c>
      <c r="D29" s="6" t="s">
        <v>22</v>
      </c>
    </row>
    <row r="30" ht="22.5" customHeight="1">
      <c r="A30" s="4">
        <v>46053.31225722222</v>
      </c>
      <c r="B30" s="5" t="s">
        <v>28</v>
      </c>
      <c r="C30" s="6" t="s">
        <v>21</v>
      </c>
      <c r="D30" s="6" t="s">
        <v>22</v>
      </c>
    </row>
    <row r="31" ht="22.5" customHeight="1">
      <c r="A31" s="4">
        <v>46053.333874930555</v>
      </c>
      <c r="B31" s="5" t="s">
        <v>30</v>
      </c>
      <c r="C31" s="6" t="s">
        <v>21</v>
      </c>
      <c r="D31" s="6" t="s">
        <v>22</v>
      </c>
    </row>
    <row r="32" ht="22.5" customHeight="1">
      <c r="A32" s="4">
        <v>46053.33406966436</v>
      </c>
      <c r="B32" s="5" t="s">
        <v>31</v>
      </c>
      <c r="C32" s="6" t="s">
        <v>21</v>
      </c>
      <c r="D32" s="6" t="s">
        <v>22</v>
      </c>
    </row>
    <row r="33" ht="22.5" customHeight="1">
      <c r="A33" s="4">
        <v>46053.33447392361</v>
      </c>
      <c r="B33" s="5" t="s">
        <v>44</v>
      </c>
      <c r="C33" s="6" t="s">
        <v>21</v>
      </c>
      <c r="D33" s="6" t="s">
        <v>22</v>
      </c>
    </row>
    <row r="34" ht="22.5" customHeight="1">
      <c r="A34" s="4">
        <v>46053.334856319445</v>
      </c>
      <c r="B34" s="5" t="s">
        <v>27</v>
      </c>
      <c r="C34" s="6" t="s">
        <v>21</v>
      </c>
      <c r="D34" s="6" t="s">
        <v>22</v>
      </c>
    </row>
    <row r="35" ht="22.5" customHeight="1">
      <c r="A35" s="4">
        <v>46053.335819513886</v>
      </c>
      <c r="B35" s="5" t="s">
        <v>32</v>
      </c>
      <c r="C35" s="6" t="s">
        <v>21</v>
      </c>
      <c r="D35" s="6" t="s">
        <v>22</v>
      </c>
    </row>
    <row r="36" ht="22.5" customHeight="1">
      <c r="A36" s="4">
        <v>46053.33629020833</v>
      </c>
      <c r="B36" s="5" t="s">
        <v>24</v>
      </c>
      <c r="C36" s="6" t="s">
        <v>21</v>
      </c>
      <c r="D36" s="6" t="s">
        <v>22</v>
      </c>
    </row>
    <row r="37" ht="22.5" customHeight="1">
      <c r="A37" s="4">
        <v>46053.336835532406</v>
      </c>
      <c r="B37" s="5" t="s">
        <v>23</v>
      </c>
      <c r="C37" s="6" t="s">
        <v>21</v>
      </c>
      <c r="D37" s="6" t="s">
        <v>22</v>
      </c>
    </row>
    <row r="38" ht="22.5" customHeight="1">
      <c r="A38" s="4">
        <v>46053.33719096065</v>
      </c>
      <c r="B38" s="5" t="s">
        <v>20</v>
      </c>
      <c r="C38" s="6" t="s">
        <v>21</v>
      </c>
      <c r="D38" s="6" t="s">
        <v>22</v>
      </c>
    </row>
    <row r="39" ht="22.5" customHeight="1">
      <c r="A39" s="4">
        <v>46053.3373521412</v>
      </c>
      <c r="B39" s="7">
        <v>3.103220251E9</v>
      </c>
      <c r="C39" s="6" t="s">
        <v>21</v>
      </c>
      <c r="D39" s="6" t="s">
        <v>22</v>
      </c>
    </row>
    <row r="40" ht="22.5" customHeight="1">
      <c r="A40" s="4">
        <v>46056.26346163194</v>
      </c>
      <c r="B40" s="7" t="s">
        <v>45</v>
      </c>
      <c r="C40" s="6" t="s">
        <v>21</v>
      </c>
      <c r="D40" s="6" t="s">
        <v>46</v>
      </c>
    </row>
    <row r="41" ht="22.5" customHeight="1">
      <c r="A41" s="4">
        <v>46067.69869019676</v>
      </c>
      <c r="B41" s="5" t="s">
        <v>26</v>
      </c>
      <c r="C41" s="6" t="s">
        <v>21</v>
      </c>
      <c r="D41" s="6" t="s">
        <v>22</v>
      </c>
    </row>
    <row r="42" ht="22.5" customHeight="1">
      <c r="A42" s="4">
        <v>46067.69896292824</v>
      </c>
      <c r="B42" s="5" t="s">
        <v>29</v>
      </c>
      <c r="C42" s="6" t="s">
        <v>21</v>
      </c>
      <c r="D42" s="6" t="s">
        <v>22</v>
      </c>
    </row>
    <row r="43" ht="22.5" customHeight="1">
      <c r="A43" s="4">
        <v>46067.699272604164</v>
      </c>
      <c r="B43" s="5" t="s">
        <v>30</v>
      </c>
      <c r="C43" s="6" t="s">
        <v>21</v>
      </c>
      <c r="D43" s="6" t="s">
        <v>22</v>
      </c>
    </row>
    <row r="44" ht="22.5" customHeight="1">
      <c r="A44" s="4">
        <v>46067.69949077546</v>
      </c>
      <c r="B44" s="5" t="s">
        <v>27</v>
      </c>
      <c r="C44" s="6" t="s">
        <v>21</v>
      </c>
      <c r="D44" s="6" t="s">
        <v>22</v>
      </c>
    </row>
    <row r="45" ht="22.5" customHeight="1">
      <c r="A45" s="4">
        <v>46067.69969146991</v>
      </c>
      <c r="B45" s="5" t="s">
        <v>32</v>
      </c>
      <c r="C45" s="6" t="s">
        <v>21</v>
      </c>
      <c r="D45" s="6" t="s">
        <v>22</v>
      </c>
    </row>
    <row r="46" ht="22.5" customHeight="1">
      <c r="A46" s="4">
        <v>46067.70357898148</v>
      </c>
      <c r="B46" s="5" t="s">
        <v>20</v>
      </c>
      <c r="C46" s="6" t="s">
        <v>21</v>
      </c>
      <c r="D46" s="6" t="s">
        <v>22</v>
      </c>
    </row>
    <row r="47" ht="22.5" customHeight="1">
      <c r="A47" s="4">
        <v>46067.71951221065</v>
      </c>
      <c r="B47" s="5" t="s">
        <v>47</v>
      </c>
      <c r="C47" s="6" t="s">
        <v>21</v>
      </c>
      <c r="D47" s="6" t="s">
        <v>22</v>
      </c>
    </row>
    <row r="48" ht="22.5" customHeight="1">
      <c r="A48" s="4">
        <v>46067.76809592593</v>
      </c>
      <c r="B48" s="5" t="s">
        <v>48</v>
      </c>
      <c r="C48" s="6" t="s">
        <v>21</v>
      </c>
      <c r="D48" s="6" t="s">
        <v>22</v>
      </c>
    </row>
    <row r="49" ht="22.5" customHeight="1">
      <c r="A49" s="4">
        <v>46088.31633990741</v>
      </c>
      <c r="B49" s="7" t="s">
        <v>49</v>
      </c>
      <c r="C49" s="6" t="s">
        <v>21</v>
      </c>
      <c r="D49" s="6" t="s">
        <v>50</v>
      </c>
    </row>
    <row r="50" ht="22.5" customHeight="1">
      <c r="A50" s="4">
        <v>46088.35127903935</v>
      </c>
      <c r="B50" s="7" t="s">
        <v>51</v>
      </c>
      <c r="C50" s="6" t="s">
        <v>21</v>
      </c>
      <c r="D50" s="6" t="s">
        <v>50</v>
      </c>
    </row>
    <row r="51" ht="22.5" customHeight="1">
      <c r="A51" s="4">
        <v>46088.351445520835</v>
      </c>
      <c r="B51" s="7" t="s">
        <v>52</v>
      </c>
      <c r="C51" s="6" t="s">
        <v>21</v>
      </c>
      <c r="D51" s="6" t="s">
        <v>50</v>
      </c>
    </row>
    <row r="52" ht="22.5" customHeight="1">
      <c r="A52" s="4">
        <v>46088.367610925925</v>
      </c>
      <c r="B52" s="7" t="s">
        <v>53</v>
      </c>
      <c r="C52" s="6" t="s">
        <v>21</v>
      </c>
      <c r="D52" s="6" t="s">
        <v>50</v>
      </c>
    </row>
    <row r="53" ht="22.5" customHeight="1">
      <c r="A53" s="4">
        <v>46088.379513912034</v>
      </c>
      <c r="B53" s="7" t="s">
        <v>54</v>
      </c>
      <c r="C53" s="6" t="s">
        <v>21</v>
      </c>
      <c r="D53" s="6" t="s">
        <v>55</v>
      </c>
    </row>
    <row r="54" ht="22.5" customHeight="1">
      <c r="A54" s="4">
        <v>46088.38029901621</v>
      </c>
      <c r="B54" s="7" t="s">
        <v>56</v>
      </c>
      <c r="C54" s="6" t="s">
        <v>21</v>
      </c>
      <c r="D54" s="6" t="s">
        <v>55</v>
      </c>
    </row>
    <row r="55" ht="22.5" customHeight="1">
      <c r="A55" s="4">
        <v>46088.41532346065</v>
      </c>
      <c r="B55" s="7" t="s">
        <v>57</v>
      </c>
      <c r="C55" s="6" t="s">
        <v>21</v>
      </c>
      <c r="D55" s="6" t="s">
        <v>58</v>
      </c>
    </row>
    <row r="56" ht="22.5" customHeight="1">
      <c r="A56" s="4">
        <v>46088.41560583333</v>
      </c>
      <c r="B56" s="7" t="s">
        <v>59</v>
      </c>
      <c r="C56" s="6" t="s">
        <v>21</v>
      </c>
      <c r="D56" s="6" t="s">
        <v>58</v>
      </c>
    </row>
    <row r="57" ht="22.5" customHeight="1">
      <c r="A57" s="4">
        <v>46088.41588554398</v>
      </c>
      <c r="B57" s="7" t="s">
        <v>60</v>
      </c>
      <c r="C57" s="6" t="s">
        <v>21</v>
      </c>
      <c r="D57" s="6" t="s">
        <v>58</v>
      </c>
    </row>
    <row r="58" ht="22.5" customHeight="1">
      <c r="A58" s="4">
        <v>46088.416134548606</v>
      </c>
      <c r="B58" s="7" t="s">
        <v>61</v>
      </c>
      <c r="C58" s="6" t="s">
        <v>21</v>
      </c>
      <c r="D58" s="6" t="s">
        <v>58</v>
      </c>
    </row>
    <row r="59" ht="22.5" customHeight="1">
      <c r="A59" s="4">
        <v>46088.41644166667</v>
      </c>
      <c r="B59" s="7" t="s">
        <v>62</v>
      </c>
      <c r="C59" s="6" t="s">
        <v>21</v>
      </c>
      <c r="D59" s="6" t="s">
        <v>58</v>
      </c>
    </row>
    <row r="60" ht="22.5" customHeight="1">
      <c r="A60" s="4">
        <v>46088.417997488425</v>
      </c>
      <c r="B60" s="7" t="s">
        <v>63</v>
      </c>
      <c r="C60" s="6" t="s">
        <v>21</v>
      </c>
      <c r="D60" s="6" t="s">
        <v>64</v>
      </c>
    </row>
    <row r="61" ht="22.5" customHeight="1">
      <c r="A61" s="4">
        <v>46088.41823737268</v>
      </c>
      <c r="B61" s="7" t="s">
        <v>65</v>
      </c>
      <c r="C61" s="6" t="s">
        <v>21</v>
      </c>
      <c r="D61" s="6" t="s">
        <v>64</v>
      </c>
    </row>
    <row r="62" ht="22.5" customHeight="1">
      <c r="A62" s="4">
        <v>46088.41842361111</v>
      </c>
      <c r="B62" s="7" t="s">
        <v>66</v>
      </c>
      <c r="C62" s="6" t="s">
        <v>21</v>
      </c>
      <c r="D62" s="6" t="s">
        <v>64</v>
      </c>
    </row>
    <row r="63" ht="22.5" customHeight="1">
      <c r="A63" s="4">
        <v>46088.41862383102</v>
      </c>
      <c r="B63" s="7" t="s">
        <v>67</v>
      </c>
      <c r="C63" s="6" t="s">
        <v>21</v>
      </c>
      <c r="D63" s="6" t="s">
        <v>64</v>
      </c>
    </row>
    <row r="64" ht="22.5" customHeight="1">
      <c r="A64" s="4">
        <v>46088.4187890625</v>
      </c>
      <c r="B64" s="7" t="s">
        <v>68</v>
      </c>
      <c r="C64" s="6" t="s">
        <v>21</v>
      </c>
      <c r="D64" s="6" t="s">
        <v>64</v>
      </c>
    </row>
    <row r="65" ht="22.5" customHeight="1">
      <c r="A65" s="4">
        <v>46088.44027518519</v>
      </c>
      <c r="B65" s="7" t="s">
        <v>69</v>
      </c>
      <c r="C65" s="6" t="s">
        <v>21</v>
      </c>
      <c r="D65" s="6" t="s">
        <v>70</v>
      </c>
    </row>
    <row r="66" ht="22.5" customHeight="1">
      <c r="A66" s="4">
        <v>46088.44066633102</v>
      </c>
      <c r="B66" s="7" t="s">
        <v>71</v>
      </c>
      <c r="C66" s="6" t="s">
        <v>21</v>
      </c>
      <c r="D66" s="6" t="s">
        <v>70</v>
      </c>
    </row>
    <row r="67" ht="22.5" customHeight="1">
      <c r="A67" s="4">
        <v>46088.44280240741</v>
      </c>
      <c r="B67" s="7" t="s">
        <v>72</v>
      </c>
      <c r="C67" s="6" t="s">
        <v>21</v>
      </c>
      <c r="D67" s="6" t="s">
        <v>73</v>
      </c>
    </row>
    <row r="68" ht="22.5" customHeight="1">
      <c r="A68" s="4">
        <v>46088.45835059028</v>
      </c>
      <c r="B68" s="7" t="s">
        <v>74</v>
      </c>
      <c r="C68" s="6" t="s">
        <v>21</v>
      </c>
      <c r="D68" s="6" t="s">
        <v>73</v>
      </c>
    </row>
    <row r="69" ht="22.5" customHeight="1">
      <c r="A69" s="4">
        <v>46088.45851863426</v>
      </c>
      <c r="B69" s="7" t="s">
        <v>75</v>
      </c>
      <c r="C69" s="6" t="s">
        <v>21</v>
      </c>
      <c r="D69" s="6" t="s">
        <v>73</v>
      </c>
    </row>
    <row r="70" ht="22.5" customHeight="1">
      <c r="A70" s="4">
        <v>46088.4586400463</v>
      </c>
      <c r="B70" s="7" t="s">
        <v>76</v>
      </c>
      <c r="C70" s="6" t="s">
        <v>21</v>
      </c>
      <c r="D70" s="6" t="s">
        <v>73</v>
      </c>
    </row>
    <row r="71" ht="22.5" customHeight="1">
      <c r="A71" s="4">
        <v>46088.45876891204</v>
      </c>
      <c r="B71" s="7" t="s">
        <v>77</v>
      </c>
      <c r="C71" s="6" t="s">
        <v>21</v>
      </c>
      <c r="D71" s="6" t="s">
        <v>73</v>
      </c>
    </row>
    <row r="72" ht="22.5" customHeight="1">
      <c r="A72" s="4">
        <v>46088.45902709491</v>
      </c>
      <c r="B72" s="7" t="s">
        <v>78</v>
      </c>
      <c r="C72" s="6" t="s">
        <v>21</v>
      </c>
      <c r="D72" s="6" t="s">
        <v>73</v>
      </c>
    </row>
    <row r="73" ht="22.5" customHeight="1">
      <c r="A73" s="4">
        <v>46088.46144834491</v>
      </c>
      <c r="B73" s="7" t="s">
        <v>79</v>
      </c>
      <c r="C73" s="6" t="s">
        <v>21</v>
      </c>
      <c r="D73" s="6" t="s">
        <v>73</v>
      </c>
    </row>
    <row r="74" ht="22.5" customHeight="1">
      <c r="A74" s="4">
        <v>46088.47230341435</v>
      </c>
      <c r="B74" s="7" t="s">
        <v>80</v>
      </c>
      <c r="C74" s="6" t="s">
        <v>21</v>
      </c>
      <c r="D74" s="6" t="s">
        <v>73</v>
      </c>
    </row>
    <row r="75" ht="22.5" customHeight="1">
      <c r="A75" s="4">
        <v>46088.48852387731</v>
      </c>
      <c r="B75" s="7" t="s">
        <v>81</v>
      </c>
      <c r="C75" s="6" t="s">
        <v>21</v>
      </c>
      <c r="D75" s="6" t="s">
        <v>82</v>
      </c>
    </row>
    <row r="76" ht="22.5" customHeight="1">
      <c r="A76" s="4">
        <v>46088.48898403935</v>
      </c>
      <c r="B76" s="7" t="s">
        <v>83</v>
      </c>
      <c r="C76" s="6" t="s">
        <v>21</v>
      </c>
      <c r="D76" s="6" t="s">
        <v>82</v>
      </c>
    </row>
    <row r="77" ht="22.5" customHeight="1">
      <c r="A77" s="4">
        <v>46088.489387152775</v>
      </c>
      <c r="B77" s="7" t="s">
        <v>84</v>
      </c>
      <c r="C77" s="6" t="s">
        <v>21</v>
      </c>
      <c r="D77" s="6" t="s">
        <v>82</v>
      </c>
    </row>
    <row r="78" ht="22.5" customHeight="1">
      <c r="A78" s="4">
        <v>46088.489899374996</v>
      </c>
      <c r="B78" s="7" t="s">
        <v>85</v>
      </c>
      <c r="C78" s="6" t="s">
        <v>21</v>
      </c>
      <c r="D78" s="6" t="s">
        <v>82</v>
      </c>
    </row>
    <row r="79" ht="22.5" customHeight="1">
      <c r="A79" s="4">
        <v>46088.490528159724</v>
      </c>
      <c r="B79" s="7" t="s">
        <v>86</v>
      </c>
      <c r="C79" s="6" t="s">
        <v>21</v>
      </c>
      <c r="D79" s="6" t="s">
        <v>82</v>
      </c>
    </row>
    <row r="80" ht="22.5" customHeight="1">
      <c r="A80" s="4">
        <v>46088.49133152778</v>
      </c>
      <c r="B80" s="7" t="s">
        <v>87</v>
      </c>
      <c r="C80" s="6" t="s">
        <v>21</v>
      </c>
      <c r="D80" s="6" t="s">
        <v>82</v>
      </c>
    </row>
    <row r="81" ht="22.5" customHeight="1">
      <c r="A81" s="4">
        <v>46088.49171324074</v>
      </c>
      <c r="B81" s="7" t="s">
        <v>88</v>
      </c>
      <c r="C81" s="6" t="s">
        <v>21</v>
      </c>
      <c r="D81" s="6" t="s">
        <v>82</v>
      </c>
    </row>
    <row r="82" ht="22.5" customHeight="1">
      <c r="A82" s="4">
        <v>46088.49210314815</v>
      </c>
      <c r="B82" s="7" t="s">
        <v>89</v>
      </c>
      <c r="C82" s="6" t="s">
        <v>21</v>
      </c>
      <c r="D82" s="6" t="s">
        <v>82</v>
      </c>
    </row>
    <row r="83" ht="22.5" customHeight="1">
      <c r="A83" s="4">
        <v>46088.492473182865</v>
      </c>
      <c r="B83" s="7" t="s">
        <v>90</v>
      </c>
      <c r="C83" s="6" t="s">
        <v>21</v>
      </c>
      <c r="D83" s="6" t="s">
        <v>82</v>
      </c>
    </row>
    <row r="84" ht="22.5" customHeight="1">
      <c r="A84" s="4">
        <v>46088.49296798611</v>
      </c>
      <c r="B84" s="7" t="s">
        <v>91</v>
      </c>
      <c r="C84" s="6" t="s">
        <v>21</v>
      </c>
      <c r="D84" s="6" t="s">
        <v>82</v>
      </c>
    </row>
    <row r="85" ht="22.5" customHeight="1">
      <c r="A85" s="4">
        <v>46088.49874681713</v>
      </c>
      <c r="B85" s="5" t="s">
        <v>92</v>
      </c>
      <c r="C85" s="6" t="s">
        <v>21</v>
      </c>
      <c r="D85" s="6" t="s">
        <v>93</v>
      </c>
    </row>
    <row r="86" ht="22.5" customHeight="1">
      <c r="A86" s="4">
        <v>46088.499088819444</v>
      </c>
      <c r="B86" s="5" t="s">
        <v>94</v>
      </c>
      <c r="C86" s="6" t="s">
        <v>21</v>
      </c>
      <c r="D86" s="6" t="s">
        <v>93</v>
      </c>
    </row>
    <row r="87" ht="22.5" customHeight="1">
      <c r="A87" s="4">
        <v>46088.500920983795</v>
      </c>
      <c r="B87" s="7" t="s">
        <v>95</v>
      </c>
      <c r="C87" s="6" t="s">
        <v>21</v>
      </c>
      <c r="D87" s="6" t="s">
        <v>96</v>
      </c>
    </row>
    <row r="88" ht="22.5" customHeight="1">
      <c r="A88" s="4">
        <v>46088.503758067134</v>
      </c>
      <c r="B88" s="7" t="s">
        <v>95</v>
      </c>
      <c r="C88" s="6" t="s">
        <v>21</v>
      </c>
      <c r="D88" s="6" t="s">
        <v>55</v>
      </c>
    </row>
    <row r="89" ht="22.5" customHeight="1">
      <c r="A89" s="4">
        <v>46088.50534844908</v>
      </c>
      <c r="B89" s="7" t="s">
        <v>97</v>
      </c>
      <c r="C89" s="6" t="s">
        <v>21</v>
      </c>
      <c r="D89" s="6" t="s">
        <v>96</v>
      </c>
    </row>
    <row r="90" ht="22.5" customHeight="1">
      <c r="A90" s="4">
        <v>46088.505680208335</v>
      </c>
      <c r="B90" s="7" t="s">
        <v>98</v>
      </c>
      <c r="C90" s="6" t="s">
        <v>21</v>
      </c>
      <c r="D90" s="6" t="s">
        <v>96</v>
      </c>
    </row>
    <row r="91" ht="22.5" customHeight="1">
      <c r="A91" s="4">
        <v>46088.50590996528</v>
      </c>
      <c r="B91" s="7" t="s">
        <v>98</v>
      </c>
      <c r="C91" s="6" t="s">
        <v>21</v>
      </c>
      <c r="D91" s="6" t="s">
        <v>96</v>
      </c>
    </row>
    <row r="92" ht="22.5" customHeight="1">
      <c r="A92" s="4">
        <v>46088.506085671295</v>
      </c>
      <c r="B92" s="7" t="s">
        <v>99</v>
      </c>
      <c r="C92" s="6" t="s">
        <v>21</v>
      </c>
      <c r="D92" s="6" t="s">
        <v>96</v>
      </c>
    </row>
    <row r="93" ht="22.5" customHeight="1">
      <c r="A93" s="4">
        <v>46088.50633267361</v>
      </c>
      <c r="B93" s="7" t="s">
        <v>100</v>
      </c>
      <c r="C93" s="6" t="s">
        <v>21</v>
      </c>
      <c r="D93" s="6" t="s">
        <v>96</v>
      </c>
    </row>
    <row r="94" ht="22.5" customHeight="1">
      <c r="A94" s="4">
        <v>46088.50658273148</v>
      </c>
      <c r="B94" s="7" t="s">
        <v>101</v>
      </c>
      <c r="C94" s="6" t="s">
        <v>21</v>
      </c>
      <c r="D94" s="6" t="s">
        <v>96</v>
      </c>
    </row>
    <row r="95" ht="22.5" customHeight="1">
      <c r="A95" s="4">
        <v>46088.50803291667</v>
      </c>
      <c r="B95" s="7" t="s">
        <v>102</v>
      </c>
      <c r="C95" s="6" t="s">
        <v>21</v>
      </c>
      <c r="D95" s="6" t="s">
        <v>93</v>
      </c>
    </row>
    <row r="96" ht="22.5" customHeight="1">
      <c r="A96" s="4">
        <v>46088.50957271991</v>
      </c>
      <c r="B96" s="7" t="s">
        <v>103</v>
      </c>
      <c r="C96" s="6" t="s">
        <v>21</v>
      </c>
      <c r="D96" s="6" t="s">
        <v>73</v>
      </c>
    </row>
    <row r="97" ht="22.5" customHeight="1">
      <c r="A97" s="4">
        <v>46088.523089375</v>
      </c>
      <c r="B97" s="7" t="s">
        <v>104</v>
      </c>
      <c r="C97" s="6" t="s">
        <v>21</v>
      </c>
      <c r="D97" s="6" t="s">
        <v>105</v>
      </c>
    </row>
    <row r="98" ht="22.5" customHeight="1">
      <c r="A98" s="4">
        <v>46088.5272969213</v>
      </c>
      <c r="B98" s="7" t="s">
        <v>106</v>
      </c>
      <c r="C98" s="6" t="s">
        <v>21</v>
      </c>
      <c r="D98" s="6" t="s">
        <v>105</v>
      </c>
    </row>
    <row r="99" ht="22.5" customHeight="1">
      <c r="A99" s="4">
        <v>46088.52799986111</v>
      </c>
      <c r="B99" s="7" t="s">
        <v>107</v>
      </c>
      <c r="C99" s="6" t="s">
        <v>21</v>
      </c>
      <c r="D99" s="6" t="s">
        <v>105</v>
      </c>
    </row>
    <row r="100" ht="22.5" customHeight="1">
      <c r="A100" s="4">
        <v>46088.53611581019</v>
      </c>
      <c r="B100" s="7" t="s">
        <v>107</v>
      </c>
      <c r="C100" s="6" t="s">
        <v>21</v>
      </c>
      <c r="D100" s="6" t="s">
        <v>105</v>
      </c>
    </row>
    <row r="101" ht="22.5" customHeight="1">
      <c r="A101" s="4">
        <v>46088.53653896991</v>
      </c>
      <c r="B101" s="7" t="s">
        <v>108</v>
      </c>
      <c r="C101" s="6" t="s">
        <v>21</v>
      </c>
      <c r="D101" s="6" t="s">
        <v>105</v>
      </c>
    </row>
    <row r="102" ht="22.5" customHeight="1">
      <c r="A102" s="4">
        <v>46088.711638692126</v>
      </c>
      <c r="B102" s="7" t="s">
        <v>109</v>
      </c>
      <c r="C102" s="6" t="s">
        <v>21</v>
      </c>
      <c r="D102" s="6" t="s">
        <v>110</v>
      </c>
    </row>
    <row r="103" ht="22.5" customHeight="1">
      <c r="A103" s="4">
        <v>46088.712218761575</v>
      </c>
      <c r="B103" s="7" t="s">
        <v>111</v>
      </c>
      <c r="C103" s="6" t="s">
        <v>21</v>
      </c>
      <c r="D103" s="6" t="s">
        <v>110</v>
      </c>
    </row>
    <row r="104" ht="22.5" customHeight="1">
      <c r="A104" s="4">
        <v>46088.71280288194</v>
      </c>
      <c r="B104" s="7" t="s">
        <v>112</v>
      </c>
      <c r="C104" s="6" t="s">
        <v>21</v>
      </c>
      <c r="D104" s="6" t="s">
        <v>110</v>
      </c>
    </row>
    <row r="105" ht="22.5" customHeight="1">
      <c r="A105" s="4">
        <v>46088.714094571755</v>
      </c>
      <c r="B105" s="7" t="s">
        <v>113</v>
      </c>
      <c r="C105" s="6" t="s">
        <v>21</v>
      </c>
      <c r="D105" s="6" t="s">
        <v>110</v>
      </c>
    </row>
    <row r="106" ht="22.5" customHeight="1">
      <c r="A106" s="4">
        <v>46088.71728380787</v>
      </c>
      <c r="B106" s="7" t="s">
        <v>114</v>
      </c>
      <c r="C106" s="6" t="s">
        <v>21</v>
      </c>
      <c r="D106" s="6" t="s">
        <v>110</v>
      </c>
    </row>
    <row r="107" ht="22.5" customHeight="1">
      <c r="A107" s="4">
        <v>46088.71840240741</v>
      </c>
      <c r="B107" s="7" t="s">
        <v>115</v>
      </c>
      <c r="C107" s="6" t="s">
        <v>21</v>
      </c>
      <c r="D107" s="6" t="s">
        <v>110</v>
      </c>
    </row>
    <row r="108" ht="22.5" customHeight="1">
      <c r="A108" s="4">
        <v>46089.19593642361</v>
      </c>
      <c r="B108" s="7" t="s">
        <v>116</v>
      </c>
      <c r="C108" s="6" t="s">
        <v>21</v>
      </c>
      <c r="D108" s="6" t="s">
        <v>117</v>
      </c>
    </row>
    <row r="109" ht="22.5" customHeight="1">
      <c r="A109" s="4">
        <v>46089.19625255787</v>
      </c>
      <c r="B109" s="7" t="s">
        <v>118</v>
      </c>
      <c r="C109" s="6" t="s">
        <v>21</v>
      </c>
      <c r="D109" s="6" t="s">
        <v>117</v>
      </c>
    </row>
    <row r="110" ht="22.5" customHeight="1">
      <c r="A110" s="4">
        <v>46089.19643753472</v>
      </c>
      <c r="B110" s="7" t="s">
        <v>119</v>
      </c>
      <c r="C110" s="6" t="s">
        <v>21</v>
      </c>
      <c r="D110" s="6" t="s">
        <v>117</v>
      </c>
    </row>
    <row r="111" ht="22.5" customHeight="1">
      <c r="A111" s="4">
        <v>46089.196642511575</v>
      </c>
      <c r="B111" s="7" t="s">
        <v>120</v>
      </c>
      <c r="C111" s="6" t="s">
        <v>21</v>
      </c>
      <c r="D111" s="6" t="s">
        <v>117</v>
      </c>
    </row>
    <row r="112" ht="22.5" customHeight="1">
      <c r="A112" s="4">
        <v>46089.19683954861</v>
      </c>
      <c r="B112" s="7" t="s">
        <v>121</v>
      </c>
      <c r="C112" s="6" t="s">
        <v>21</v>
      </c>
      <c r="D112" s="6" t="s">
        <v>117</v>
      </c>
    </row>
    <row r="113" ht="22.5" customHeight="1">
      <c r="A113" s="4">
        <v>46089.19704704861</v>
      </c>
      <c r="B113" s="7" t="s">
        <v>122</v>
      </c>
      <c r="C113" s="6" t="s">
        <v>21</v>
      </c>
      <c r="D113" s="6" t="s">
        <v>117</v>
      </c>
    </row>
    <row r="114" ht="22.5" customHeight="1">
      <c r="A114" s="4">
        <v>46089.19723644676</v>
      </c>
      <c r="B114" s="7" t="s">
        <v>123</v>
      </c>
      <c r="C114" s="6" t="s">
        <v>21</v>
      </c>
      <c r="D114" s="6" t="s">
        <v>117</v>
      </c>
    </row>
    <row r="115" ht="22.5" customHeight="1">
      <c r="A115" s="4">
        <v>46089.197449942134</v>
      </c>
      <c r="B115" s="7" t="s">
        <v>124</v>
      </c>
      <c r="C115" s="6" t="s">
        <v>21</v>
      </c>
      <c r="D115" s="6" t="s">
        <v>117</v>
      </c>
    </row>
    <row r="116" ht="22.5" customHeight="1">
      <c r="A116" s="4">
        <v>46089.19773486111</v>
      </c>
      <c r="B116" s="7" t="s">
        <v>124</v>
      </c>
      <c r="C116" s="6" t="s">
        <v>21</v>
      </c>
      <c r="D116" s="6" t="s">
        <v>117</v>
      </c>
    </row>
    <row r="117" ht="22.5" customHeight="1">
      <c r="A117" s="4">
        <v>46089.197910208335</v>
      </c>
      <c r="B117" s="7" t="s">
        <v>123</v>
      </c>
      <c r="C117" s="6" t="s">
        <v>21</v>
      </c>
      <c r="D117" s="6" t="s">
        <v>117</v>
      </c>
    </row>
    <row r="118" ht="22.5" customHeight="1">
      <c r="A118" s="4">
        <v>46089.77835658565</v>
      </c>
      <c r="B118" s="7" t="s">
        <v>125</v>
      </c>
      <c r="C118" s="6" t="s">
        <v>21</v>
      </c>
      <c r="D118" s="6" t="s">
        <v>126</v>
      </c>
    </row>
    <row r="119" ht="22.5" customHeight="1">
      <c r="A119" s="4">
        <v>46089.780574386576</v>
      </c>
      <c r="B119" s="7" t="s">
        <v>127</v>
      </c>
      <c r="C119" s="6" t="s">
        <v>21</v>
      </c>
      <c r="D119" s="6" t="s">
        <v>126</v>
      </c>
    </row>
    <row r="120" ht="22.5" customHeight="1">
      <c r="A120" s="4">
        <v>46089.78285636574</v>
      </c>
      <c r="B120" s="7" t="s">
        <v>128</v>
      </c>
      <c r="C120" s="6" t="s">
        <v>21</v>
      </c>
      <c r="D120" s="6" t="s">
        <v>126</v>
      </c>
    </row>
    <row r="121" ht="22.5" customHeight="1">
      <c r="A121" s="4">
        <v>46089.785369386576</v>
      </c>
      <c r="B121" s="7" t="s">
        <v>129</v>
      </c>
      <c r="C121" s="6" t="s">
        <v>21</v>
      </c>
      <c r="D121" s="6" t="s">
        <v>126</v>
      </c>
    </row>
    <row r="122" ht="22.5" customHeight="1">
      <c r="A122" s="4">
        <v>46090.428100081015</v>
      </c>
      <c r="B122" s="7" t="s">
        <v>130</v>
      </c>
      <c r="C122" s="6" t="s">
        <v>21</v>
      </c>
      <c r="D122" s="6" t="s">
        <v>131</v>
      </c>
    </row>
    <row r="123" ht="22.5" customHeight="1">
      <c r="A123" s="4">
        <v>46090.43109203703</v>
      </c>
      <c r="B123" s="7" t="s">
        <v>132</v>
      </c>
      <c r="C123" s="6" t="s">
        <v>21</v>
      </c>
      <c r="D123" s="6" t="s">
        <v>131</v>
      </c>
    </row>
    <row r="124" ht="22.5" customHeight="1">
      <c r="A124" s="4">
        <v>46090.43213371528</v>
      </c>
      <c r="B124" s="7" t="s">
        <v>133</v>
      </c>
      <c r="C124" s="6" t="s">
        <v>21</v>
      </c>
      <c r="D124" s="6" t="s">
        <v>131</v>
      </c>
    </row>
    <row r="125" ht="22.5" customHeight="1">
      <c r="A125" s="4">
        <v>46090.43301421296</v>
      </c>
      <c r="B125" s="7" t="s">
        <v>134</v>
      </c>
      <c r="C125" s="6" t="s">
        <v>21</v>
      </c>
      <c r="D125" s="6" t="s">
        <v>131</v>
      </c>
    </row>
    <row r="126" ht="22.5" customHeight="1">
      <c r="A126" s="4">
        <v>46090.43385758102</v>
      </c>
      <c r="B126" s="7" t="s">
        <v>135</v>
      </c>
      <c r="C126" s="6" t="s">
        <v>21</v>
      </c>
      <c r="D126" s="6" t="s">
        <v>131</v>
      </c>
    </row>
    <row r="127" ht="22.5" customHeight="1">
      <c r="A127" s="4">
        <v>46090.43502833333</v>
      </c>
      <c r="B127" s="7" t="s">
        <v>136</v>
      </c>
      <c r="C127" s="6" t="s">
        <v>21</v>
      </c>
      <c r="D127" s="6" t="s">
        <v>131</v>
      </c>
    </row>
    <row r="128" ht="22.5" customHeight="1">
      <c r="A128" s="4">
        <v>46123.31782631944</v>
      </c>
      <c r="B128" s="7" t="s">
        <v>137</v>
      </c>
      <c r="C128" s="6" t="s">
        <v>21</v>
      </c>
      <c r="D128" s="6" t="s">
        <v>22</v>
      </c>
    </row>
    <row r="129" ht="22.5" customHeight="1">
      <c r="A129" s="4">
        <v>46123.318186261575</v>
      </c>
      <c r="B129" s="7" t="s">
        <v>138</v>
      </c>
      <c r="C129" s="6" t="s">
        <v>21</v>
      </c>
      <c r="D129" s="6" t="s">
        <v>22</v>
      </c>
    </row>
    <row r="130" ht="22.5" customHeight="1">
      <c r="A130" s="4">
        <v>46123.318415648144</v>
      </c>
      <c r="B130" s="7" t="s">
        <v>139</v>
      </c>
      <c r="C130" s="6" t="s">
        <v>21</v>
      </c>
      <c r="D130" s="6" t="s">
        <v>22</v>
      </c>
    </row>
    <row r="131" ht="22.5" customHeight="1">
      <c r="A131" s="4">
        <v>46123.323988738426</v>
      </c>
      <c r="B131" s="7" t="s">
        <v>140</v>
      </c>
      <c r="C131" s="6" t="s">
        <v>21</v>
      </c>
      <c r="D131" s="6" t="s">
        <v>22</v>
      </c>
    </row>
    <row r="132" ht="22.5" customHeight="1">
      <c r="A132" s="4">
        <v>46130.800660821755</v>
      </c>
      <c r="B132" s="7" t="s">
        <v>141</v>
      </c>
      <c r="C132" s="6" t="s">
        <v>21</v>
      </c>
      <c r="D132" s="6" t="s">
        <v>82</v>
      </c>
    </row>
    <row r="133" ht="22.5" customHeight="1">
      <c r="A133" s="4">
        <v>46130.802030439816</v>
      </c>
      <c r="B133" s="7" t="s">
        <v>49</v>
      </c>
      <c r="C133" s="6" t="s">
        <v>21</v>
      </c>
      <c r="D133" s="6" t="s">
        <v>82</v>
      </c>
    </row>
    <row r="134" ht="22.5" customHeight="1">
      <c r="A134" s="4">
        <v>46137.32635916666</v>
      </c>
      <c r="B134" s="7" t="s">
        <v>142</v>
      </c>
      <c r="C134" s="6" t="s">
        <v>21</v>
      </c>
      <c r="D134" s="6" t="s">
        <v>22</v>
      </c>
    </row>
    <row r="135" ht="22.5" customHeight="1">
      <c r="A135" s="4">
        <v>46137.326930462965</v>
      </c>
      <c r="B135" s="7" t="s">
        <v>143</v>
      </c>
      <c r="C135" s="6" t="s">
        <v>21</v>
      </c>
      <c r="D135" s="6" t="s">
        <v>22</v>
      </c>
    </row>
    <row r="136" ht="22.5" customHeight="1">
      <c r="A136" s="4">
        <v>46137.32707642361</v>
      </c>
      <c r="B136" s="7" t="s">
        <v>144</v>
      </c>
      <c r="C136" s="6" t="s">
        <v>21</v>
      </c>
      <c r="D136" s="6" t="s">
        <v>22</v>
      </c>
    </row>
    <row r="137" ht="22.5" customHeight="1">
      <c r="A137" s="4">
        <v>46137.32731717592</v>
      </c>
      <c r="B137" s="7" t="s">
        <v>139</v>
      </c>
      <c r="C137" s="6" t="s">
        <v>21</v>
      </c>
      <c r="D137" s="6" t="s">
        <v>22</v>
      </c>
    </row>
    <row r="138" ht="22.5" customHeight="1">
      <c r="A138" s="4">
        <v>46137.32744422454</v>
      </c>
      <c r="B138" s="7" t="s">
        <v>138</v>
      </c>
      <c r="C138" s="6" t="s">
        <v>21</v>
      </c>
      <c r="D138" s="6" t="s">
        <v>22</v>
      </c>
    </row>
    <row r="139" ht="22.5" customHeight="1">
      <c r="A139" s="4">
        <v>46137.32810572917</v>
      </c>
      <c r="B139" s="7" t="s">
        <v>145</v>
      </c>
      <c r="C139" s="6" t="s">
        <v>21</v>
      </c>
      <c r="D139" s="6" t="s">
        <v>22</v>
      </c>
    </row>
    <row r="140" ht="22.5" customHeight="1">
      <c r="A140" s="4">
        <v>46137.33599756945</v>
      </c>
      <c r="B140" s="7" t="s">
        <v>146</v>
      </c>
      <c r="C140" s="6" t="s">
        <v>21</v>
      </c>
      <c r="D140" s="6" t="s">
        <v>22</v>
      </c>
    </row>
    <row r="141" ht="22.5" customHeight="1">
      <c r="A141" s="4">
        <v>46137.37826498842</v>
      </c>
      <c r="B141" s="7" t="s">
        <v>147</v>
      </c>
      <c r="C141" s="6" t="s">
        <v>21</v>
      </c>
      <c r="D141" s="6" t="s">
        <v>55</v>
      </c>
    </row>
    <row r="142" ht="22.5" customHeight="1">
      <c r="A142" s="4">
        <v>46137.37855130787</v>
      </c>
      <c r="B142" s="7" t="s">
        <v>148</v>
      </c>
      <c r="C142" s="6" t="s">
        <v>21</v>
      </c>
      <c r="D142" s="6" t="s">
        <v>55</v>
      </c>
    </row>
    <row r="143" ht="22.5" customHeight="1">
      <c r="A143" s="4">
        <v>46137.49163412037</v>
      </c>
      <c r="B143" s="7" t="s">
        <v>149</v>
      </c>
      <c r="C143" s="6" t="s">
        <v>21</v>
      </c>
      <c r="D143" s="6" t="s">
        <v>64</v>
      </c>
    </row>
    <row r="144" ht="22.5" customHeight="1">
      <c r="A144" s="4">
        <v>46137.491806921294</v>
      </c>
      <c r="B144" s="7" t="s">
        <v>63</v>
      </c>
      <c r="C144" s="6" t="s">
        <v>21</v>
      </c>
      <c r="D144" s="6" t="s">
        <v>64</v>
      </c>
    </row>
    <row r="145" ht="22.5" customHeight="1">
      <c r="A145" s="4">
        <v>46137.49196842592</v>
      </c>
      <c r="B145" s="7" t="s">
        <v>67</v>
      </c>
      <c r="C145" s="6" t="s">
        <v>21</v>
      </c>
      <c r="D145" s="6" t="s">
        <v>64</v>
      </c>
    </row>
    <row r="146" ht="22.5" customHeight="1">
      <c r="A146" s="4">
        <v>46137.49211115741</v>
      </c>
      <c r="B146" s="7" t="s">
        <v>68</v>
      </c>
      <c r="C146" s="6" t="s">
        <v>21</v>
      </c>
      <c r="D146" s="6" t="s">
        <v>64</v>
      </c>
    </row>
    <row r="147" ht="22.5" customHeight="1">
      <c r="A147" s="4">
        <v>46137.49232334491</v>
      </c>
      <c r="B147" s="7" t="s">
        <v>65</v>
      </c>
      <c r="C147" s="6" t="s">
        <v>21</v>
      </c>
      <c r="D147" s="6" t="s">
        <v>64</v>
      </c>
    </row>
    <row r="148" ht="22.5" customHeight="1">
      <c r="A148" s="4">
        <v>46137.4924587037</v>
      </c>
      <c r="B148" s="7" t="s">
        <v>150</v>
      </c>
      <c r="C148" s="6" t="s">
        <v>21</v>
      </c>
      <c r="D148" s="6" t="s">
        <v>64</v>
      </c>
    </row>
    <row r="149" ht="22.5" customHeight="1">
      <c r="A149" s="4">
        <v>46138.82489392361</v>
      </c>
      <c r="B149" s="7" t="s">
        <v>87</v>
      </c>
      <c r="C149" s="6" t="s">
        <v>21</v>
      </c>
      <c r="D149" s="6" t="s">
        <v>82</v>
      </c>
    </row>
    <row r="150" ht="22.5" customHeight="1">
      <c r="A150" s="4">
        <v>46138.82587221065</v>
      </c>
      <c r="B150" s="7" t="s">
        <v>81</v>
      </c>
      <c r="C150" s="6" t="s">
        <v>21</v>
      </c>
      <c r="D150" s="6" t="s">
        <v>82</v>
      </c>
    </row>
    <row r="151" ht="22.5" customHeight="1">
      <c r="A151" s="4">
        <v>46138.826619803236</v>
      </c>
      <c r="B151" s="7" t="s">
        <v>83</v>
      </c>
      <c r="C151" s="6" t="s">
        <v>21</v>
      </c>
      <c r="D151" s="6" t="s">
        <v>82</v>
      </c>
    </row>
    <row r="152" ht="22.5" customHeight="1">
      <c r="A152" s="4">
        <v>46138.82705497685</v>
      </c>
      <c r="B152" s="7" t="s">
        <v>84</v>
      </c>
      <c r="C152" s="6" t="s">
        <v>21</v>
      </c>
      <c r="D152" s="6" t="s">
        <v>82</v>
      </c>
    </row>
    <row r="153" ht="22.5" customHeight="1">
      <c r="A153" s="4">
        <v>46138.82745001157</v>
      </c>
      <c r="B153" s="7" t="s">
        <v>85</v>
      </c>
      <c r="C153" s="6" t="s">
        <v>21</v>
      </c>
      <c r="D153" s="6" t="s">
        <v>82</v>
      </c>
    </row>
    <row r="154" ht="22.5" customHeight="1">
      <c r="A154" s="4">
        <v>46138.82782684028</v>
      </c>
      <c r="B154" s="7" t="s">
        <v>86</v>
      </c>
      <c r="C154" s="6" t="s">
        <v>21</v>
      </c>
      <c r="D154" s="6" t="s">
        <v>82</v>
      </c>
    </row>
    <row r="155" ht="22.5" customHeight="1">
      <c r="A155" s="4">
        <v>46151.42058842593</v>
      </c>
      <c r="B155" s="7" t="s">
        <v>63</v>
      </c>
      <c r="C155" s="6" t="s">
        <v>21</v>
      </c>
      <c r="D155" s="6" t="s">
        <v>64</v>
      </c>
    </row>
    <row r="156" ht="22.5" customHeight="1">
      <c r="A156" s="4">
        <v>46151.42078421296</v>
      </c>
      <c r="B156" s="7" t="s">
        <v>151</v>
      </c>
      <c r="C156" s="6" t="s">
        <v>21</v>
      </c>
      <c r="D156" s="6" t="s">
        <v>64</v>
      </c>
    </row>
    <row r="157" ht="22.5" customHeight="1">
      <c r="A157" s="4">
        <v>46151.42109413195</v>
      </c>
      <c r="B157" s="7" t="s">
        <v>67</v>
      </c>
      <c r="C157" s="6" t="s">
        <v>21</v>
      </c>
      <c r="D157" s="6" t="s">
        <v>64</v>
      </c>
    </row>
    <row r="158" ht="22.5" customHeight="1">
      <c r="A158" s="4">
        <v>46151.42126649305</v>
      </c>
      <c r="B158" s="7" t="s">
        <v>68</v>
      </c>
      <c r="C158" s="6" t="s">
        <v>21</v>
      </c>
      <c r="D158" s="6" t="s">
        <v>64</v>
      </c>
    </row>
    <row r="159" ht="22.5" customHeight="1">
      <c r="A159" s="4">
        <v>46151.421526875</v>
      </c>
      <c r="B159" s="7" t="s">
        <v>65</v>
      </c>
      <c r="C159" s="6" t="s">
        <v>21</v>
      </c>
      <c r="D159" s="6" t="s">
        <v>64</v>
      </c>
    </row>
    <row r="160" ht="22.5" customHeight="1">
      <c r="A160" s="4">
        <v>46151.42168028935</v>
      </c>
      <c r="B160" s="7" t="s">
        <v>150</v>
      </c>
      <c r="C160" s="6" t="s">
        <v>21</v>
      </c>
      <c r="D160" s="6" t="s">
        <v>64</v>
      </c>
    </row>
    <row r="161" ht="22.5" customHeight="1">
      <c r="A161" s="4">
        <v>46151.421842951386</v>
      </c>
      <c r="B161" s="7" t="s">
        <v>152</v>
      </c>
      <c r="C161" s="6" t="s">
        <v>21</v>
      </c>
      <c r="D161" s="6" t="s">
        <v>64</v>
      </c>
    </row>
    <row r="162" ht="22.5" customHeight="1">
      <c r="A162" s="4">
        <v>46151.83525981482</v>
      </c>
      <c r="B162" s="7" t="s">
        <v>153</v>
      </c>
      <c r="C162" s="6" t="s">
        <v>21</v>
      </c>
      <c r="D162" s="6" t="s">
        <v>154</v>
      </c>
    </row>
    <row r="163" ht="22.5" customHeight="1">
      <c r="A163" s="4">
        <v>46151.997722534725</v>
      </c>
      <c r="B163" s="7" t="s">
        <v>89</v>
      </c>
      <c r="C163" s="6" t="s">
        <v>21</v>
      </c>
      <c r="D163" s="6" t="s">
        <v>82</v>
      </c>
    </row>
    <row r="164" ht="22.5" customHeight="1">
      <c r="A164" s="4">
        <v>46151.998399027776</v>
      </c>
      <c r="B164" s="7" t="s">
        <v>81</v>
      </c>
      <c r="C164" s="6" t="s">
        <v>21</v>
      </c>
      <c r="D164" s="6" t="s">
        <v>82</v>
      </c>
    </row>
    <row r="165" ht="22.5" customHeight="1">
      <c r="A165" s="4">
        <v>46151.99885403935</v>
      </c>
      <c r="B165" s="7" t="s">
        <v>84</v>
      </c>
      <c r="C165" s="6" t="s">
        <v>21</v>
      </c>
      <c r="D165" s="6" t="s">
        <v>82</v>
      </c>
    </row>
    <row r="166" ht="22.5" customHeight="1">
      <c r="A166" s="4">
        <v>46151.999591678235</v>
      </c>
      <c r="B166" s="7" t="s">
        <v>85</v>
      </c>
      <c r="C166" s="6" t="s">
        <v>21</v>
      </c>
      <c r="D166" s="6" t="s">
        <v>82</v>
      </c>
    </row>
    <row r="167" ht="22.5" customHeight="1">
      <c r="A167" s="4">
        <v>46152.65029857639</v>
      </c>
      <c r="B167" s="7" t="s">
        <v>153</v>
      </c>
      <c r="C167" s="6" t="s">
        <v>21</v>
      </c>
      <c r="D167" s="6" t="s">
        <v>154</v>
      </c>
    </row>
    <row r="168" ht="22.5" customHeight="1">
      <c r="A168" s="4">
        <v>46152.650472037036</v>
      </c>
      <c r="B168" s="7" t="s">
        <v>153</v>
      </c>
      <c r="C168" s="6" t="s">
        <v>21</v>
      </c>
      <c r="D168" s="6" t="s">
        <v>154</v>
      </c>
    </row>
    <row r="169" ht="22.5" customHeight="1">
      <c r="A169" s="4">
        <v>46152.7897995949</v>
      </c>
      <c r="B169" s="7" t="s">
        <v>155</v>
      </c>
      <c r="C169" s="6" t="s">
        <v>21</v>
      </c>
      <c r="D169" s="6" t="s">
        <v>154</v>
      </c>
    </row>
    <row r="170" ht="22.5" customHeight="1">
      <c r="A170" s="4">
        <v>46152.78989480324</v>
      </c>
      <c r="B170" s="7" t="s">
        <v>155</v>
      </c>
      <c r="C170" s="6" t="s">
        <v>21</v>
      </c>
      <c r="D170" s="6" t="s">
        <v>154</v>
      </c>
    </row>
    <row r="171" ht="22.5" customHeight="1">
      <c r="A171" s="4">
        <v>46152.79035263888</v>
      </c>
      <c r="B171" s="7" t="s">
        <v>156</v>
      </c>
      <c r="C171" s="6" t="s">
        <v>21</v>
      </c>
      <c r="D171" s="6" t="s">
        <v>154</v>
      </c>
    </row>
    <row r="172" ht="22.5" customHeight="1">
      <c r="A172" s="4">
        <v>46152.79045555556</v>
      </c>
      <c r="B172" s="7" t="s">
        <v>156</v>
      </c>
      <c r="C172" s="6" t="s">
        <v>21</v>
      </c>
      <c r="D172" s="6" t="s">
        <v>154</v>
      </c>
    </row>
    <row r="173" ht="22.5" customHeight="1">
      <c r="A173" s="4">
        <v>46152.791000972225</v>
      </c>
      <c r="B173" s="7" t="s">
        <v>157</v>
      </c>
      <c r="C173" s="6" t="s">
        <v>21</v>
      </c>
      <c r="D173" s="6" t="s">
        <v>154</v>
      </c>
    </row>
    <row r="174" ht="22.5" customHeight="1">
      <c r="A174" s="4">
        <v>46152.79217789352</v>
      </c>
      <c r="B174" s="7" t="s">
        <v>158</v>
      </c>
      <c r="C174" s="6" t="s">
        <v>21</v>
      </c>
      <c r="D174" s="6" t="s">
        <v>154</v>
      </c>
    </row>
    <row r="175" ht="22.5" customHeight="1">
      <c r="A175" s="4">
        <v>46152.79226</v>
      </c>
      <c r="B175" s="7" t="s">
        <v>158</v>
      </c>
      <c r="C175" s="6" t="s">
        <v>21</v>
      </c>
      <c r="D175" s="6" t="s">
        <v>154</v>
      </c>
    </row>
    <row r="176" ht="22.5" customHeight="1">
      <c r="A176" s="4">
        <v>46152.792334502315</v>
      </c>
      <c r="B176" s="7" t="s">
        <v>158</v>
      </c>
      <c r="C176" s="6" t="s">
        <v>21</v>
      </c>
      <c r="D176" s="6" t="s">
        <v>154</v>
      </c>
    </row>
    <row r="177" ht="22.5" customHeight="1">
      <c r="A177" s="4">
        <v>46152.79343878472</v>
      </c>
      <c r="B177" s="7" t="s">
        <v>159</v>
      </c>
      <c r="C177" s="6" t="s">
        <v>21</v>
      </c>
      <c r="D177" s="6" t="s">
        <v>154</v>
      </c>
    </row>
    <row r="178" ht="22.5" customHeight="1">
      <c r="A178" s="4">
        <v>46152.79362494213</v>
      </c>
      <c r="B178" s="7" t="s">
        <v>159</v>
      </c>
      <c r="C178" s="6" t="s">
        <v>21</v>
      </c>
      <c r="D178" s="6" t="s">
        <v>154</v>
      </c>
    </row>
    <row r="179" ht="22.5" customHeight="1">
      <c r="A179" s="4">
        <v>46152.82523569444</v>
      </c>
      <c r="B179" s="7" t="s">
        <v>160</v>
      </c>
      <c r="C179" s="6" t="s">
        <v>21</v>
      </c>
      <c r="D179" s="6" t="s">
        <v>154</v>
      </c>
    </row>
    <row r="180" ht="22.5" customHeight="1">
      <c r="A180" s="4">
        <v>46152.825318414354</v>
      </c>
      <c r="B180" s="7" t="s">
        <v>160</v>
      </c>
      <c r="C180" s="6" t="s">
        <v>21</v>
      </c>
      <c r="D180" s="6" t="s">
        <v>154</v>
      </c>
    </row>
    <row r="181" ht="22.5" customHeight="1">
      <c r="A181" s="4">
        <v>46152.82542496528</v>
      </c>
      <c r="B181" s="7" t="s">
        <v>160</v>
      </c>
      <c r="C181" s="6" t="s">
        <v>21</v>
      </c>
      <c r="D181" s="6" t="s">
        <v>154</v>
      </c>
    </row>
    <row r="182" ht="22.5" customHeight="1">
      <c r="A182" s="4">
        <v>46156.014142025466</v>
      </c>
      <c r="B182" s="6" t="s">
        <v>116</v>
      </c>
      <c r="C182" s="6" t="s">
        <v>21</v>
      </c>
      <c r="D182" s="6" t="s">
        <v>117</v>
      </c>
    </row>
    <row r="183" ht="22.5" customHeight="1">
      <c r="A183" s="4">
        <v>46156.0156603125</v>
      </c>
      <c r="B183" s="6" t="s">
        <v>116</v>
      </c>
      <c r="C183" s="6" t="s">
        <v>21</v>
      </c>
      <c r="D183" s="6" t="s">
        <v>117</v>
      </c>
    </row>
    <row r="184" ht="22.5" customHeight="1">
      <c r="A184" s="4">
        <v>46156.01588762732</v>
      </c>
      <c r="B184" s="6" t="s">
        <v>116</v>
      </c>
      <c r="C184" s="6" t="s">
        <v>21</v>
      </c>
      <c r="D184" s="6" t="s">
        <v>117</v>
      </c>
    </row>
    <row r="185" ht="22.5" customHeight="1">
      <c r="A185" s="4">
        <v>46156.016337106485</v>
      </c>
      <c r="B185" s="6" t="s">
        <v>118</v>
      </c>
      <c r="C185" s="6" t="s">
        <v>21</v>
      </c>
      <c r="D185" s="6" t="s">
        <v>117</v>
      </c>
    </row>
    <row r="186" ht="22.5" customHeight="1">
      <c r="A186" s="4">
        <v>46156.016502303246</v>
      </c>
      <c r="B186" s="6" t="s">
        <v>118</v>
      </c>
      <c r="C186" s="6" t="s">
        <v>21</v>
      </c>
      <c r="D186" s="6" t="s">
        <v>117</v>
      </c>
    </row>
    <row r="187" ht="22.5" customHeight="1">
      <c r="A187" s="4">
        <v>46156.01665990741</v>
      </c>
      <c r="B187" s="6" t="s">
        <v>118</v>
      </c>
      <c r="C187" s="6" t="s">
        <v>21</v>
      </c>
      <c r="D187" s="6" t="s">
        <v>117</v>
      </c>
    </row>
    <row r="188" ht="22.5" customHeight="1">
      <c r="A188" s="4">
        <v>46156.018511863425</v>
      </c>
      <c r="B188" s="6" t="s">
        <v>119</v>
      </c>
      <c r="C188" s="6" t="s">
        <v>21</v>
      </c>
      <c r="D188" s="6" t="s">
        <v>117</v>
      </c>
    </row>
    <row r="189" ht="22.5" customHeight="1">
      <c r="A189" s="4">
        <v>46156.01868003472</v>
      </c>
      <c r="B189" s="6" t="s">
        <v>119</v>
      </c>
      <c r="C189" s="6" t="s">
        <v>21</v>
      </c>
      <c r="D189" s="6" t="s">
        <v>117</v>
      </c>
    </row>
    <row r="190" ht="22.5" customHeight="1">
      <c r="A190" s="4">
        <v>46156.01884135416</v>
      </c>
      <c r="B190" s="6" t="s">
        <v>119</v>
      </c>
      <c r="C190" s="6" t="s">
        <v>21</v>
      </c>
      <c r="D190" s="6" t="s">
        <v>117</v>
      </c>
    </row>
    <row r="191" ht="22.5" customHeight="1">
      <c r="A191" s="4">
        <v>46156.019033668985</v>
      </c>
      <c r="B191" s="6" t="s">
        <v>120</v>
      </c>
      <c r="C191" s="6" t="s">
        <v>21</v>
      </c>
      <c r="D191" s="6" t="s">
        <v>117</v>
      </c>
    </row>
    <row r="192" ht="22.5" customHeight="1">
      <c r="A192" s="4">
        <v>46156.01936582176</v>
      </c>
      <c r="B192" s="6" t="s">
        <v>120</v>
      </c>
      <c r="C192" s="6" t="s">
        <v>21</v>
      </c>
      <c r="D192" s="6" t="s">
        <v>117</v>
      </c>
    </row>
    <row r="193" ht="22.5" customHeight="1">
      <c r="A193" s="4">
        <v>46156.0195140625</v>
      </c>
      <c r="B193" s="6" t="s">
        <v>120</v>
      </c>
      <c r="C193" s="6" t="s">
        <v>21</v>
      </c>
      <c r="D193" s="6" t="s">
        <v>117</v>
      </c>
    </row>
    <row r="194" ht="22.5" customHeight="1">
      <c r="A194" s="4">
        <v>46156.02007162037</v>
      </c>
      <c r="B194" s="6" t="s">
        <v>121</v>
      </c>
      <c r="C194" s="6" t="s">
        <v>21</v>
      </c>
      <c r="D194" s="6" t="s">
        <v>117</v>
      </c>
    </row>
    <row r="195" ht="22.5" customHeight="1">
      <c r="A195" s="4">
        <v>46156.020738935185</v>
      </c>
      <c r="B195" s="6" t="s">
        <v>161</v>
      </c>
      <c r="C195" s="6" t="s">
        <v>21</v>
      </c>
      <c r="D195" s="6" t="s">
        <v>117</v>
      </c>
    </row>
    <row r="196" ht="22.5" customHeight="1">
      <c r="A196" s="4">
        <v>46156.02090459491</v>
      </c>
      <c r="B196" s="6" t="s">
        <v>161</v>
      </c>
      <c r="C196" s="6" t="s">
        <v>21</v>
      </c>
      <c r="D196" s="6" t="s">
        <v>117</v>
      </c>
    </row>
    <row r="197" ht="22.5" customHeight="1">
      <c r="A197" s="4">
        <v>46156.02123291667</v>
      </c>
      <c r="B197" s="6" t="s">
        <v>122</v>
      </c>
      <c r="C197" s="6" t="s">
        <v>21</v>
      </c>
      <c r="D197" s="6" t="s">
        <v>117</v>
      </c>
    </row>
    <row r="198" ht="22.5" customHeight="1">
      <c r="A198" s="4">
        <v>46156.02138175926</v>
      </c>
      <c r="B198" s="6" t="s">
        <v>122</v>
      </c>
      <c r="C198" s="6" t="s">
        <v>21</v>
      </c>
      <c r="D198" s="6" t="s">
        <v>117</v>
      </c>
    </row>
    <row r="199" ht="22.5" customHeight="1">
      <c r="A199" s="4">
        <v>46156.02180686343</v>
      </c>
      <c r="B199" s="6" t="s">
        <v>123</v>
      </c>
      <c r="C199" s="6" t="s">
        <v>21</v>
      </c>
      <c r="D199" s="6" t="s">
        <v>117</v>
      </c>
    </row>
    <row r="200" ht="22.5" customHeight="1">
      <c r="A200" s="4">
        <v>46156.02195927083</v>
      </c>
      <c r="B200" s="6" t="s">
        <v>123</v>
      </c>
      <c r="C200" s="6" t="s">
        <v>21</v>
      </c>
      <c r="D200" s="6" t="s">
        <v>117</v>
      </c>
    </row>
    <row r="201" ht="22.5" customHeight="1">
      <c r="A201" s="4">
        <v>46156.02211304398</v>
      </c>
      <c r="B201" s="6" t="s">
        <v>123</v>
      </c>
      <c r="C201" s="6" t="s">
        <v>21</v>
      </c>
      <c r="D201" s="6" t="s">
        <v>117</v>
      </c>
    </row>
    <row r="202" ht="22.5" customHeight="1">
      <c r="A202" s="4">
        <v>46156.02246922454</v>
      </c>
      <c r="B202" s="6" t="s">
        <v>124</v>
      </c>
      <c r="C202" s="6" t="s">
        <v>21</v>
      </c>
      <c r="D202" s="6" t="s">
        <v>117</v>
      </c>
    </row>
    <row r="203" ht="22.5" customHeight="1">
      <c r="A203" s="4">
        <v>46156.022614745365</v>
      </c>
      <c r="B203" s="6" t="s">
        <v>124</v>
      </c>
      <c r="C203" s="6" t="s">
        <v>21</v>
      </c>
      <c r="D203" s="6" t="s">
        <v>117</v>
      </c>
    </row>
    <row r="204" ht="22.5" customHeight="1">
      <c r="A204" s="4">
        <v>46156.02276074074</v>
      </c>
      <c r="B204" s="6" t="s">
        <v>124</v>
      </c>
      <c r="C204" s="6" t="s">
        <v>21</v>
      </c>
      <c r="D204" s="6" t="s">
        <v>117</v>
      </c>
    </row>
    <row r="205" ht="22.5" customHeight="1">
      <c r="A205" s="4">
        <v>46156.02317991898</v>
      </c>
      <c r="B205" s="6" t="s">
        <v>162</v>
      </c>
      <c r="C205" s="6" t="s">
        <v>21</v>
      </c>
      <c r="D205" s="6" t="s">
        <v>117</v>
      </c>
    </row>
    <row r="206" ht="22.5" customHeight="1">
      <c r="A206" s="4">
        <v>46156.0236315625</v>
      </c>
      <c r="B206" s="6" t="s">
        <v>163</v>
      </c>
      <c r="C206" s="6" t="s">
        <v>21</v>
      </c>
      <c r="D206" s="6" t="s">
        <v>117</v>
      </c>
    </row>
    <row r="207" ht="22.5" customHeight="1">
      <c r="A207" s="4">
        <v>46156.023781446755</v>
      </c>
      <c r="B207" s="6" t="s">
        <v>163</v>
      </c>
      <c r="C207" s="6" t="s">
        <v>21</v>
      </c>
      <c r="D207" s="6" t="s">
        <v>117</v>
      </c>
    </row>
    <row r="208" ht="22.5" customHeight="1">
      <c r="A208" s="4">
        <v>46156.02392180555</v>
      </c>
      <c r="B208" s="6" t="s">
        <v>163</v>
      </c>
      <c r="C208" s="6" t="s">
        <v>21</v>
      </c>
      <c r="D208" s="6" t="s">
        <v>117</v>
      </c>
    </row>
    <row r="209" ht="22.5" customHeight="1">
      <c r="A209" s="4">
        <v>46156.024211111115</v>
      </c>
      <c r="B209" s="6" t="s">
        <v>164</v>
      </c>
      <c r="C209" s="6" t="s">
        <v>21</v>
      </c>
      <c r="D209" s="6" t="s">
        <v>117</v>
      </c>
    </row>
    <row r="210" ht="22.5" customHeight="1">
      <c r="A210" s="4">
        <v>46156.02437318287</v>
      </c>
      <c r="B210" s="6" t="s">
        <v>164</v>
      </c>
      <c r="C210" s="6" t="s">
        <v>21</v>
      </c>
      <c r="D210" s="6" t="s">
        <v>117</v>
      </c>
    </row>
    <row r="211" ht="22.5" customHeight="1">
      <c r="A211" s="4">
        <v>46156.02453412037</v>
      </c>
      <c r="B211" s="6" t="s">
        <v>164</v>
      </c>
      <c r="C211" s="6" t="s">
        <v>21</v>
      </c>
      <c r="D211" s="6" t="s">
        <v>117</v>
      </c>
    </row>
    <row r="212" ht="22.5" customHeight="1">
      <c r="A212" s="4">
        <v>46159.78085047453</v>
      </c>
      <c r="B212" s="6" t="s">
        <v>165</v>
      </c>
      <c r="C212" s="6" t="s">
        <v>21</v>
      </c>
      <c r="D212" s="6" t="s">
        <v>166</v>
      </c>
    </row>
    <row r="213" ht="22.5" customHeight="1">
      <c r="A213" s="4">
        <v>46159.78160780093</v>
      </c>
      <c r="B213" s="6" t="s">
        <v>165</v>
      </c>
      <c r="C213" s="6" t="s">
        <v>21</v>
      </c>
      <c r="D213" s="6" t="s">
        <v>166</v>
      </c>
    </row>
    <row r="214" ht="22.5" customHeight="1">
      <c r="A214" s="4">
        <v>46159.78192255787</v>
      </c>
      <c r="B214" s="6" t="s">
        <v>165</v>
      </c>
      <c r="C214" s="6" t="s">
        <v>21</v>
      </c>
      <c r="D214" s="6" t="s">
        <v>166</v>
      </c>
    </row>
    <row r="215" ht="22.5" customHeight="1">
      <c r="A215" s="4">
        <v>46159.78230803241</v>
      </c>
      <c r="B215" s="6" t="s">
        <v>165</v>
      </c>
      <c r="C215" s="6" t="s">
        <v>21</v>
      </c>
      <c r="D215" s="6" t="s">
        <v>166</v>
      </c>
    </row>
    <row r="216" ht="22.5" customHeight="1">
      <c r="A216" s="4">
        <v>46159.78399322917</v>
      </c>
      <c r="B216" s="6" t="s">
        <v>167</v>
      </c>
      <c r="C216" s="6" t="s">
        <v>21</v>
      </c>
      <c r="D216" s="6" t="s">
        <v>166</v>
      </c>
    </row>
    <row r="217" ht="22.5" customHeight="1">
      <c r="A217" s="4">
        <v>46159.78447427083</v>
      </c>
      <c r="B217" s="6" t="s">
        <v>167</v>
      </c>
      <c r="C217" s="6" t="s">
        <v>21</v>
      </c>
      <c r="D217" s="6" t="s">
        <v>166</v>
      </c>
    </row>
    <row r="218" ht="22.5" customHeight="1">
      <c r="A218" s="4">
        <v>46159.78511589121</v>
      </c>
      <c r="B218" s="6" t="s">
        <v>168</v>
      </c>
      <c r="C218" s="6" t="s">
        <v>21</v>
      </c>
      <c r="D218" s="6" t="s">
        <v>166</v>
      </c>
    </row>
    <row r="219" ht="22.5" customHeight="1">
      <c r="A219" s="4">
        <v>46159.78600224537</v>
      </c>
      <c r="B219" s="6" t="s">
        <v>169</v>
      </c>
      <c r="C219" s="6" t="s">
        <v>21</v>
      </c>
      <c r="D219" s="6" t="s">
        <v>166</v>
      </c>
    </row>
    <row r="220" ht="22.5" customHeight="1">
      <c r="A220" s="4">
        <v>46159.78631145833</v>
      </c>
      <c r="B220" s="6" t="s">
        <v>169</v>
      </c>
      <c r="C220" s="6" t="s">
        <v>21</v>
      </c>
      <c r="D220" s="6" t="s">
        <v>166</v>
      </c>
    </row>
    <row r="221" ht="22.5" customHeight="1">
      <c r="A221" s="4">
        <v>46159.78670064815</v>
      </c>
      <c r="B221" s="6" t="s">
        <v>169</v>
      </c>
      <c r="C221" s="6" t="s">
        <v>21</v>
      </c>
      <c r="D221" s="6" t="s">
        <v>166</v>
      </c>
    </row>
    <row r="222" ht="22.5" customHeight="1">
      <c r="A222" s="4">
        <v>46159.78776537037</v>
      </c>
      <c r="B222" s="6" t="s">
        <v>170</v>
      </c>
      <c r="C222" s="6" t="s">
        <v>21</v>
      </c>
      <c r="D222" s="6" t="s">
        <v>166</v>
      </c>
    </row>
    <row r="223" ht="22.5" customHeight="1">
      <c r="A223" s="4">
        <v>46159.78825305555</v>
      </c>
      <c r="B223" s="6" t="s">
        <v>170</v>
      </c>
      <c r="C223" s="6" t="s">
        <v>21</v>
      </c>
      <c r="D223" s="6" t="s">
        <v>166</v>
      </c>
    </row>
    <row r="224" ht="22.5" customHeight="1">
      <c r="A224" s="4">
        <v>46159.78863405093</v>
      </c>
      <c r="B224" s="6" t="s">
        <v>170</v>
      </c>
      <c r="C224" s="6" t="s">
        <v>21</v>
      </c>
      <c r="D224" s="6" t="s">
        <v>166</v>
      </c>
    </row>
    <row r="225" ht="22.5" customHeight="1">
      <c r="A225" s="4">
        <v>46159.78877318287</v>
      </c>
      <c r="B225" s="6" t="s">
        <v>170</v>
      </c>
      <c r="C225" s="6" t="s">
        <v>21</v>
      </c>
      <c r="D225" s="6" t="s">
        <v>166</v>
      </c>
    </row>
    <row r="226" ht="22.5" customHeight="1">
      <c r="A226" s="4">
        <v>46159.7894165162</v>
      </c>
      <c r="B226" s="6" t="s">
        <v>171</v>
      </c>
      <c r="C226" s="6" t="s">
        <v>21</v>
      </c>
      <c r="D226" s="6" t="s">
        <v>172</v>
      </c>
    </row>
    <row r="227" ht="22.5" customHeight="1">
      <c r="A227" s="4">
        <v>46159.79010064815</v>
      </c>
      <c r="B227" s="6" t="s">
        <v>171</v>
      </c>
      <c r="C227" s="6" t="s">
        <v>21</v>
      </c>
      <c r="D227" s="6" t="s">
        <v>166</v>
      </c>
    </row>
    <row r="228" ht="22.5" customHeight="1">
      <c r="A228" s="4">
        <v>46159.79029805555</v>
      </c>
      <c r="B228" s="6" t="s">
        <v>171</v>
      </c>
      <c r="C228" s="6" t="s">
        <v>21</v>
      </c>
      <c r="D228" s="6" t="s">
        <v>166</v>
      </c>
    </row>
    <row r="229" ht="22.5" customHeight="1">
      <c r="A229" s="4">
        <v>46159.793324178245</v>
      </c>
      <c r="B229" s="6" t="s">
        <v>171</v>
      </c>
      <c r="C229" s="6" t="s">
        <v>21</v>
      </c>
      <c r="D229" s="6" t="s">
        <v>166</v>
      </c>
    </row>
    <row r="230" ht="22.5" customHeight="1">
      <c r="A230" s="4">
        <v>46159.794229756946</v>
      </c>
      <c r="B230" s="6" t="s">
        <v>173</v>
      </c>
      <c r="C230" s="6" t="s">
        <v>21</v>
      </c>
      <c r="D230" s="6" t="s">
        <v>166</v>
      </c>
    </row>
    <row r="231" ht="22.5" customHeight="1">
      <c r="A231" s="4">
        <v>46159.79622421296</v>
      </c>
      <c r="B231" s="6" t="s">
        <v>174</v>
      </c>
      <c r="C231" s="6" t="s">
        <v>21</v>
      </c>
      <c r="D231" s="6" t="s">
        <v>166</v>
      </c>
    </row>
    <row r="232" ht="22.5" customHeight="1">
      <c r="A232" s="4">
        <v>46159.79638829861</v>
      </c>
      <c r="B232" s="6" t="s">
        <v>174</v>
      </c>
      <c r="C232" s="6" t="s">
        <v>21</v>
      </c>
      <c r="D232" s="6" t="s">
        <v>166</v>
      </c>
    </row>
    <row r="233" ht="22.5" customHeight="1">
      <c r="A233" s="4">
        <v>46159.79649922454</v>
      </c>
      <c r="B233" s="6" t="s">
        <v>174</v>
      </c>
      <c r="C233" s="6" t="s">
        <v>21</v>
      </c>
      <c r="D233" s="6" t="s">
        <v>166</v>
      </c>
    </row>
    <row r="234" ht="22.5" customHeight="1">
      <c r="A234" s="4">
        <v>46159.79660761574</v>
      </c>
      <c r="B234" s="6" t="s">
        <v>174</v>
      </c>
      <c r="C234" s="6" t="s">
        <v>21</v>
      </c>
      <c r="D234" s="6" t="s">
        <v>166</v>
      </c>
    </row>
    <row r="235" ht="22.5" customHeight="1">
      <c r="A235" s="4">
        <v>46159.7978219213</v>
      </c>
      <c r="B235" s="6" t="s">
        <v>175</v>
      </c>
      <c r="C235" s="6" t="s">
        <v>21</v>
      </c>
      <c r="D235" s="6" t="s">
        <v>166</v>
      </c>
    </row>
    <row r="236" ht="22.5" customHeight="1">
      <c r="A236" s="4">
        <v>46159.797924722225</v>
      </c>
      <c r="B236" s="6" t="s">
        <v>175</v>
      </c>
      <c r="C236" s="6" t="s">
        <v>21</v>
      </c>
      <c r="D236" s="6" t="s">
        <v>166</v>
      </c>
    </row>
    <row r="237" ht="22.5" customHeight="1">
      <c r="A237" s="4">
        <v>46159.798029178244</v>
      </c>
      <c r="B237" s="6" t="s">
        <v>175</v>
      </c>
      <c r="C237" s="6" t="s">
        <v>21</v>
      </c>
      <c r="D237" s="6" t="s">
        <v>166</v>
      </c>
    </row>
    <row r="238" ht="22.5" customHeight="1">
      <c r="A238" s="4">
        <v>46159.79813193287</v>
      </c>
      <c r="B238" s="6" t="s">
        <v>175</v>
      </c>
      <c r="C238" s="6" t="s">
        <v>21</v>
      </c>
      <c r="D238" s="6" t="s">
        <v>166</v>
      </c>
    </row>
    <row r="239" ht="22.5" customHeight="1">
      <c r="A239" s="4">
        <v>46159.79893334491</v>
      </c>
      <c r="B239" s="6" t="s">
        <v>176</v>
      </c>
      <c r="C239" s="6" t="s">
        <v>21</v>
      </c>
      <c r="D239" s="6" t="s">
        <v>166</v>
      </c>
    </row>
    <row r="240" ht="22.5" customHeight="1">
      <c r="A240" s="4">
        <v>46159.79906012732</v>
      </c>
      <c r="B240" s="6" t="s">
        <v>176</v>
      </c>
      <c r="C240" s="6" t="s">
        <v>21</v>
      </c>
      <c r="D240" s="6" t="s">
        <v>166</v>
      </c>
    </row>
    <row r="241" ht="22.5" customHeight="1">
      <c r="A241" s="4">
        <v>46159.79917125</v>
      </c>
      <c r="B241" s="6" t="s">
        <v>176</v>
      </c>
      <c r="C241" s="6" t="s">
        <v>21</v>
      </c>
      <c r="D241" s="6" t="s">
        <v>166</v>
      </c>
    </row>
    <row r="242" ht="22.5" customHeight="1">
      <c r="A242" s="4">
        <v>46159.79926775463</v>
      </c>
      <c r="B242" s="6" t="s">
        <v>176</v>
      </c>
      <c r="C242" s="6" t="s">
        <v>21</v>
      </c>
      <c r="D242" s="6" t="s">
        <v>166</v>
      </c>
    </row>
    <row r="243" ht="22.5" customHeight="1">
      <c r="A243" s="4">
        <v>46159.80005196759</v>
      </c>
      <c r="B243" s="6" t="s">
        <v>177</v>
      </c>
      <c r="C243" s="6" t="s">
        <v>21</v>
      </c>
      <c r="D243" s="6" t="s">
        <v>166</v>
      </c>
    </row>
    <row r="244" ht="22.5" customHeight="1">
      <c r="A244" s="4">
        <v>46159.80018651621</v>
      </c>
      <c r="B244" s="6" t="s">
        <v>177</v>
      </c>
      <c r="C244" s="6" t="s">
        <v>21</v>
      </c>
      <c r="D244" s="6" t="s">
        <v>166</v>
      </c>
    </row>
    <row r="245" ht="22.5" customHeight="1">
      <c r="A245" s="4">
        <v>46159.80085738426</v>
      </c>
      <c r="B245" s="6" t="s">
        <v>178</v>
      </c>
      <c r="C245" s="6" t="s">
        <v>21</v>
      </c>
      <c r="D245" s="6" t="s">
        <v>166</v>
      </c>
    </row>
    <row r="246" ht="22.5" customHeight="1">
      <c r="A246" s="4">
        <v>46159.800974513884</v>
      </c>
      <c r="B246" s="6" t="s">
        <v>177</v>
      </c>
      <c r="C246" s="6" t="s">
        <v>21</v>
      </c>
      <c r="D246" s="6" t="s">
        <v>166</v>
      </c>
    </row>
    <row r="247" ht="22.5" customHeight="1">
      <c r="A247" s="4">
        <v>46159.80107799769</v>
      </c>
      <c r="B247" s="6" t="s">
        <v>177</v>
      </c>
      <c r="C247" s="6" t="s">
        <v>21</v>
      </c>
      <c r="D247" s="6" t="s">
        <v>166</v>
      </c>
    </row>
    <row r="248" ht="22.5" customHeight="1">
      <c r="A248" s="4">
        <v>46161.8521433912</v>
      </c>
      <c r="B248" s="6" t="s">
        <v>179</v>
      </c>
      <c r="C248" s="6" t="s">
        <v>21</v>
      </c>
      <c r="D248" s="6" t="s">
        <v>180</v>
      </c>
    </row>
    <row r="249" ht="22.5" customHeight="1">
      <c r="A249" s="4">
        <v>46161.8524865625</v>
      </c>
      <c r="B249" s="6" t="s">
        <v>179</v>
      </c>
      <c r="C249" s="6" t="s">
        <v>21</v>
      </c>
      <c r="D249" s="6" t="s">
        <v>180</v>
      </c>
    </row>
    <row r="250" ht="22.5" customHeight="1">
      <c r="A250" s="4">
        <v>46161.85265407407</v>
      </c>
      <c r="B250" s="6" t="s">
        <v>179</v>
      </c>
      <c r="C250" s="6" t="s">
        <v>21</v>
      </c>
      <c r="D250" s="6" t="s">
        <v>180</v>
      </c>
    </row>
    <row r="251" ht="22.5" customHeight="1">
      <c r="A251" s="4">
        <v>46161.85281502314</v>
      </c>
      <c r="B251" s="6" t="s">
        <v>179</v>
      </c>
      <c r="C251" s="6" t="s">
        <v>21</v>
      </c>
      <c r="D251" s="6" t="s">
        <v>180</v>
      </c>
    </row>
    <row r="252" ht="22.5" customHeight="1">
      <c r="A252" s="4">
        <v>46161.85308190972</v>
      </c>
      <c r="B252" s="6" t="s">
        <v>179</v>
      </c>
      <c r="C252" s="6" t="s">
        <v>21</v>
      </c>
      <c r="D252" s="6" t="s">
        <v>180</v>
      </c>
    </row>
    <row r="253" ht="22.5" customHeight="1">
      <c r="A253" s="4">
        <v>46161.853234780094</v>
      </c>
      <c r="B253" s="6" t="s">
        <v>179</v>
      </c>
      <c r="C253" s="6" t="s">
        <v>21</v>
      </c>
      <c r="D253" s="6" t="s">
        <v>180</v>
      </c>
    </row>
    <row r="254" ht="22.5" customHeight="1">
      <c r="A254" s="4">
        <v>46161.85338939815</v>
      </c>
      <c r="B254" s="6" t="s">
        <v>179</v>
      </c>
      <c r="C254" s="6" t="s">
        <v>21</v>
      </c>
      <c r="D254" s="6" t="s">
        <v>180</v>
      </c>
    </row>
    <row r="255" ht="22.5" customHeight="1">
      <c r="A255" s="4">
        <v>46161.85356974537</v>
      </c>
      <c r="B255" s="6" t="s">
        <v>179</v>
      </c>
      <c r="C255" s="6" t="s">
        <v>21</v>
      </c>
      <c r="D255" s="6" t="s">
        <v>180</v>
      </c>
    </row>
    <row r="256" ht="22.5" customHeight="1">
      <c r="A256" s="4">
        <v>46161.853705104164</v>
      </c>
      <c r="B256" s="6" t="s">
        <v>179</v>
      </c>
      <c r="C256" s="6" t="s">
        <v>21</v>
      </c>
      <c r="D256" s="6" t="s">
        <v>180</v>
      </c>
    </row>
    <row r="257" ht="22.5" customHeight="1">
      <c r="A257" s="4">
        <v>46161.85436237269</v>
      </c>
      <c r="B257" s="6" t="s">
        <v>181</v>
      </c>
      <c r="C257" s="6" t="s">
        <v>21</v>
      </c>
      <c r="D257" s="6" t="s">
        <v>180</v>
      </c>
    </row>
    <row r="258" ht="22.5" customHeight="1">
      <c r="A258" s="4">
        <v>46161.85448877315</v>
      </c>
      <c r="B258" s="6" t="s">
        <v>181</v>
      </c>
      <c r="C258" s="6" t="s">
        <v>21</v>
      </c>
      <c r="D258" s="6" t="s">
        <v>180</v>
      </c>
    </row>
    <row r="259" ht="22.5" customHeight="1">
      <c r="A259" s="4">
        <v>46161.854606134264</v>
      </c>
      <c r="B259" s="6" t="s">
        <v>181</v>
      </c>
      <c r="C259" s="6" t="s">
        <v>21</v>
      </c>
      <c r="D259" s="6" t="s">
        <v>180</v>
      </c>
    </row>
    <row r="260" ht="22.5" customHeight="1">
      <c r="A260" s="4">
        <v>46161.85471629629</v>
      </c>
      <c r="B260" s="6" t="s">
        <v>181</v>
      </c>
      <c r="C260" s="6" t="s">
        <v>21</v>
      </c>
      <c r="D260" s="6" t="s">
        <v>180</v>
      </c>
    </row>
    <row r="261" ht="22.5" customHeight="1">
      <c r="A261" s="4">
        <v>46161.85483143519</v>
      </c>
      <c r="B261" s="6" t="s">
        <v>181</v>
      </c>
      <c r="C261" s="6" t="s">
        <v>21</v>
      </c>
      <c r="D261" s="6" t="s">
        <v>180</v>
      </c>
    </row>
    <row r="262" ht="22.5" customHeight="1">
      <c r="A262" s="4">
        <v>46161.854955925926</v>
      </c>
      <c r="B262" s="6" t="s">
        <v>181</v>
      </c>
      <c r="C262" s="6" t="s">
        <v>21</v>
      </c>
      <c r="D262" s="6" t="s">
        <v>180</v>
      </c>
    </row>
    <row r="263" ht="22.5" customHeight="1">
      <c r="A263" s="4">
        <v>46161.85507091435</v>
      </c>
      <c r="B263" s="6" t="s">
        <v>181</v>
      </c>
      <c r="C263" s="6" t="s">
        <v>21</v>
      </c>
      <c r="D263" s="6" t="s">
        <v>180</v>
      </c>
    </row>
    <row r="264" ht="22.5" customHeight="1">
      <c r="A264" s="4">
        <v>46161.85518789352</v>
      </c>
      <c r="B264" s="6" t="s">
        <v>181</v>
      </c>
      <c r="C264" s="6" t="s">
        <v>21</v>
      </c>
      <c r="D264" s="6" t="s">
        <v>180</v>
      </c>
    </row>
    <row r="265" ht="22.5" customHeight="1">
      <c r="A265" s="4">
        <v>46161.85536032407</v>
      </c>
      <c r="B265" s="6" t="s">
        <v>181</v>
      </c>
      <c r="C265" s="6" t="s">
        <v>21</v>
      </c>
      <c r="D265" s="6" t="s">
        <v>180</v>
      </c>
    </row>
    <row r="266" ht="22.5" customHeight="1">
      <c r="A266" s="4">
        <v>46161.8634237963</v>
      </c>
      <c r="B266" s="6" t="s">
        <v>182</v>
      </c>
      <c r="C266" s="6" t="s">
        <v>21</v>
      </c>
      <c r="D266" s="6" t="s">
        <v>180</v>
      </c>
    </row>
    <row r="267" ht="22.5" customHeight="1">
      <c r="A267" s="4">
        <v>46161.863536585646</v>
      </c>
      <c r="B267" s="6" t="s">
        <v>182</v>
      </c>
      <c r="C267" s="6" t="s">
        <v>21</v>
      </c>
      <c r="D267" s="6" t="s">
        <v>180</v>
      </c>
    </row>
    <row r="268" ht="22.5" customHeight="1">
      <c r="A268" s="4">
        <v>46161.86365179398</v>
      </c>
      <c r="B268" s="6" t="s">
        <v>182</v>
      </c>
      <c r="C268" s="6" t="s">
        <v>21</v>
      </c>
      <c r="D268" s="6" t="s">
        <v>180</v>
      </c>
    </row>
    <row r="269" ht="22.5" customHeight="1">
      <c r="A269" s="4">
        <v>46161.86377667824</v>
      </c>
      <c r="B269" s="6" t="s">
        <v>182</v>
      </c>
      <c r="C269" s="6" t="s">
        <v>21</v>
      </c>
      <c r="D269" s="6" t="s">
        <v>180</v>
      </c>
    </row>
    <row r="270" ht="22.5" customHeight="1">
      <c r="A270" s="4">
        <v>46161.86390670139</v>
      </c>
      <c r="B270" s="6" t="s">
        <v>182</v>
      </c>
      <c r="C270" s="6" t="s">
        <v>21</v>
      </c>
      <c r="D270" s="6" t="s">
        <v>180</v>
      </c>
    </row>
    <row r="271" ht="22.5" customHeight="1">
      <c r="A271" s="4">
        <v>46161.86401373842</v>
      </c>
      <c r="B271" s="6" t="s">
        <v>182</v>
      </c>
      <c r="C271" s="6" t="s">
        <v>21</v>
      </c>
      <c r="D271" s="6" t="s">
        <v>180</v>
      </c>
    </row>
    <row r="272" ht="22.5" customHeight="1">
      <c r="A272" s="4">
        <v>46161.86409927084</v>
      </c>
      <c r="B272" s="6" t="s">
        <v>182</v>
      </c>
      <c r="C272" s="6" t="s">
        <v>21</v>
      </c>
      <c r="D272" s="6" t="s">
        <v>180</v>
      </c>
    </row>
    <row r="273" ht="22.5" customHeight="1">
      <c r="A273" s="4">
        <v>46161.86423199074</v>
      </c>
      <c r="B273" s="6" t="s">
        <v>182</v>
      </c>
      <c r="C273" s="6" t="s">
        <v>21</v>
      </c>
      <c r="D273" s="6" t="s">
        <v>180</v>
      </c>
    </row>
    <row r="274" ht="22.5" customHeight="1">
      <c r="A274" s="4">
        <v>46161.86747777778</v>
      </c>
      <c r="B274" s="6" t="s">
        <v>183</v>
      </c>
      <c r="C274" s="6" t="s">
        <v>21</v>
      </c>
      <c r="D274" s="6" t="s">
        <v>180</v>
      </c>
    </row>
    <row r="275" ht="22.5" customHeight="1">
      <c r="A275" s="4">
        <v>46161.867588587964</v>
      </c>
      <c r="B275" s="6" t="s">
        <v>183</v>
      </c>
      <c r="C275" s="6" t="s">
        <v>21</v>
      </c>
      <c r="D275" s="6" t="s">
        <v>180</v>
      </c>
    </row>
    <row r="276" ht="22.5" customHeight="1">
      <c r="A276" s="4">
        <v>46161.86768572917</v>
      </c>
      <c r="B276" s="6" t="s">
        <v>183</v>
      </c>
      <c r="C276" s="6" t="s">
        <v>21</v>
      </c>
      <c r="D276" s="6" t="s">
        <v>180</v>
      </c>
    </row>
    <row r="277" ht="22.5" customHeight="1">
      <c r="A277" s="4">
        <v>46161.86777388889</v>
      </c>
      <c r="B277" s="6" t="s">
        <v>183</v>
      </c>
      <c r="C277" s="6" t="s">
        <v>21</v>
      </c>
      <c r="D277" s="6" t="s">
        <v>180</v>
      </c>
    </row>
    <row r="278" ht="22.5" customHeight="1">
      <c r="A278" s="4">
        <v>46161.86786599537</v>
      </c>
      <c r="B278" s="6" t="s">
        <v>183</v>
      </c>
      <c r="C278" s="6" t="s">
        <v>21</v>
      </c>
      <c r="D278" s="6" t="s">
        <v>180</v>
      </c>
    </row>
    <row r="279" ht="22.5" customHeight="1">
      <c r="A279" s="4">
        <v>46161.867961157404</v>
      </c>
      <c r="B279" s="6" t="s">
        <v>183</v>
      </c>
      <c r="C279" s="6" t="s">
        <v>21</v>
      </c>
      <c r="D279" s="6" t="s">
        <v>180</v>
      </c>
    </row>
    <row r="280" ht="22.5" customHeight="1">
      <c r="A280" s="4">
        <v>46161.86804746528</v>
      </c>
      <c r="B280" s="6" t="s">
        <v>183</v>
      </c>
      <c r="C280" s="6" t="s">
        <v>21</v>
      </c>
      <c r="D280" s="6" t="s">
        <v>180</v>
      </c>
    </row>
    <row r="281" ht="22.5" customHeight="1">
      <c r="A281" s="4">
        <v>46161.86923302083</v>
      </c>
      <c r="B281" s="6" t="s">
        <v>184</v>
      </c>
      <c r="C281" s="6" t="s">
        <v>21</v>
      </c>
      <c r="D281" s="6" t="s">
        <v>180</v>
      </c>
    </row>
    <row r="282" ht="22.5" customHeight="1">
      <c r="A282" s="4">
        <v>46161.86933244213</v>
      </c>
      <c r="B282" s="6" t="s">
        <v>184</v>
      </c>
      <c r="C282" s="6" t="s">
        <v>21</v>
      </c>
      <c r="D282" s="6" t="s">
        <v>180</v>
      </c>
    </row>
    <row r="283" ht="22.5" customHeight="1">
      <c r="A283" s="4">
        <v>46161.86942666667</v>
      </c>
      <c r="B283" s="6" t="s">
        <v>184</v>
      </c>
      <c r="C283" s="6" t="s">
        <v>21</v>
      </c>
      <c r="D283" s="6" t="s">
        <v>180</v>
      </c>
    </row>
    <row r="284" ht="22.5" customHeight="1">
      <c r="A284" s="4">
        <v>46161.86951701389</v>
      </c>
      <c r="B284" s="6" t="s">
        <v>184</v>
      </c>
      <c r="C284" s="6" t="s">
        <v>21</v>
      </c>
      <c r="D284" s="6" t="s">
        <v>180</v>
      </c>
    </row>
    <row r="285" ht="22.5" customHeight="1">
      <c r="A285" s="4">
        <v>46161.86961101852</v>
      </c>
      <c r="B285" s="6" t="s">
        <v>184</v>
      </c>
      <c r="C285" s="6" t="s">
        <v>21</v>
      </c>
      <c r="D285" s="6" t="s">
        <v>180</v>
      </c>
    </row>
    <row r="286" ht="22.5" customHeight="1">
      <c r="A286" s="4">
        <v>46161.86970459491</v>
      </c>
      <c r="B286" s="6" t="s">
        <v>184</v>
      </c>
      <c r="C286" s="6" t="s">
        <v>21</v>
      </c>
      <c r="D286" s="6" t="s">
        <v>180</v>
      </c>
    </row>
    <row r="287" ht="22.5" customHeight="1">
      <c r="A287" s="4">
        <v>46161.86979971065</v>
      </c>
      <c r="B287" s="6" t="s">
        <v>184</v>
      </c>
      <c r="C287" s="6" t="s">
        <v>21</v>
      </c>
      <c r="D287" s="6" t="s">
        <v>180</v>
      </c>
    </row>
    <row r="288" ht="22.5" customHeight="1">
      <c r="A288" s="4">
        <v>46161.87011039352</v>
      </c>
      <c r="B288" s="6" t="s">
        <v>185</v>
      </c>
      <c r="C288" s="6" t="s">
        <v>21</v>
      </c>
      <c r="D288" s="6" t="s">
        <v>180</v>
      </c>
    </row>
    <row r="289" ht="22.5" customHeight="1">
      <c r="A289" s="4">
        <v>46161.87022486111</v>
      </c>
      <c r="B289" s="6" t="s">
        <v>185</v>
      </c>
      <c r="C289" s="6" t="s">
        <v>21</v>
      </c>
      <c r="D289" s="6" t="s">
        <v>180</v>
      </c>
    </row>
    <row r="290" ht="22.5" customHeight="1">
      <c r="A290" s="4">
        <v>46161.87032101852</v>
      </c>
      <c r="B290" s="6" t="s">
        <v>185</v>
      </c>
      <c r="C290" s="6" t="s">
        <v>21</v>
      </c>
      <c r="D290" s="6" t="s">
        <v>180</v>
      </c>
    </row>
    <row r="291" ht="22.5" customHeight="1">
      <c r="A291" s="4">
        <v>46161.8704106713</v>
      </c>
      <c r="B291" s="6" t="s">
        <v>185</v>
      </c>
      <c r="C291" s="6" t="s">
        <v>21</v>
      </c>
      <c r="D291" s="6" t="s">
        <v>180</v>
      </c>
    </row>
    <row r="292" ht="22.5" customHeight="1">
      <c r="A292" s="4">
        <v>46161.87049635417</v>
      </c>
      <c r="B292" s="6" t="s">
        <v>185</v>
      </c>
      <c r="C292" s="6" t="s">
        <v>21</v>
      </c>
      <c r="D292" s="6" t="s">
        <v>180</v>
      </c>
    </row>
    <row r="293" ht="22.5" customHeight="1">
      <c r="A293" s="4">
        <v>46161.87058180556</v>
      </c>
      <c r="B293" s="6" t="s">
        <v>185</v>
      </c>
      <c r="C293" s="6" t="s">
        <v>21</v>
      </c>
      <c r="D293" s="6" t="s">
        <v>180</v>
      </c>
    </row>
    <row r="294" ht="22.5" customHeight="1">
      <c r="A294" s="4">
        <v>46161.870669641205</v>
      </c>
      <c r="B294" s="6" t="s">
        <v>185</v>
      </c>
      <c r="C294" s="6" t="s">
        <v>21</v>
      </c>
      <c r="D294" s="6" t="s">
        <v>180</v>
      </c>
    </row>
    <row r="295" ht="22.5" customHeight="1">
      <c r="A295" s="4">
        <v>46161.871096145835</v>
      </c>
      <c r="B295" s="6" t="s">
        <v>186</v>
      </c>
      <c r="C295" s="6" t="s">
        <v>21</v>
      </c>
      <c r="D295" s="6" t="s">
        <v>180</v>
      </c>
    </row>
    <row r="296" ht="22.5" customHeight="1">
      <c r="A296" s="4">
        <v>46161.87119082176</v>
      </c>
      <c r="B296" s="6" t="s">
        <v>186</v>
      </c>
      <c r="C296" s="6" t="s">
        <v>21</v>
      </c>
      <c r="D296" s="6" t="s">
        <v>180</v>
      </c>
    </row>
    <row r="297" ht="22.5" customHeight="1">
      <c r="A297" s="4">
        <v>46161.87127969907</v>
      </c>
      <c r="B297" s="6" t="s">
        <v>186</v>
      </c>
      <c r="C297" s="6" t="s">
        <v>21</v>
      </c>
      <c r="D297" s="6" t="s">
        <v>180</v>
      </c>
    </row>
    <row r="298" ht="22.5" customHeight="1">
      <c r="A298" s="4">
        <v>46161.87139803241</v>
      </c>
      <c r="B298" s="6" t="s">
        <v>186</v>
      </c>
      <c r="C298" s="6" t="s">
        <v>21</v>
      </c>
      <c r="D298" s="6" t="s">
        <v>180</v>
      </c>
    </row>
    <row r="299" ht="22.5" customHeight="1">
      <c r="A299" s="4">
        <v>46161.871492673614</v>
      </c>
      <c r="B299" s="6" t="s">
        <v>186</v>
      </c>
      <c r="C299" s="6" t="s">
        <v>21</v>
      </c>
      <c r="D299" s="6" t="s">
        <v>180</v>
      </c>
    </row>
    <row r="300" ht="22.5" customHeight="1">
      <c r="A300" s="4">
        <v>46161.87158278935</v>
      </c>
      <c r="B300" s="6" t="s">
        <v>186</v>
      </c>
      <c r="C300" s="6" t="s">
        <v>21</v>
      </c>
      <c r="D300" s="6" t="s">
        <v>180</v>
      </c>
    </row>
    <row r="301" ht="22.5" customHeight="1">
      <c r="A301" s="4">
        <v>46161.871678379626</v>
      </c>
      <c r="B301" s="6" t="s">
        <v>186</v>
      </c>
      <c r="C301" s="6" t="s">
        <v>21</v>
      </c>
      <c r="D301" s="6" t="s">
        <v>180</v>
      </c>
    </row>
    <row r="302" ht="22.5" customHeight="1">
      <c r="A302" s="4">
        <v>46161.87203628472</v>
      </c>
      <c r="B302" s="6" t="s">
        <v>187</v>
      </c>
      <c r="C302" s="6" t="s">
        <v>21</v>
      </c>
      <c r="D302" s="6" t="s">
        <v>180</v>
      </c>
    </row>
    <row r="303" ht="22.5" customHeight="1">
      <c r="A303" s="4">
        <v>46161.87212392361</v>
      </c>
      <c r="B303" s="6" t="s">
        <v>187</v>
      </c>
      <c r="C303" s="6" t="s">
        <v>21</v>
      </c>
      <c r="D303" s="6" t="s">
        <v>180</v>
      </c>
    </row>
    <row r="304" ht="22.5" customHeight="1">
      <c r="A304" s="4">
        <v>46161.87221706018</v>
      </c>
      <c r="B304" s="6" t="s">
        <v>187</v>
      </c>
      <c r="C304" s="6" t="s">
        <v>21</v>
      </c>
      <c r="D304" s="6" t="s">
        <v>180</v>
      </c>
    </row>
    <row r="305" ht="22.5" customHeight="1">
      <c r="A305" s="4">
        <v>46161.87231202546</v>
      </c>
      <c r="B305" s="6" t="s">
        <v>187</v>
      </c>
      <c r="C305" s="6" t="s">
        <v>21</v>
      </c>
      <c r="D305" s="6" t="s">
        <v>180</v>
      </c>
    </row>
    <row r="306" ht="22.5" customHeight="1">
      <c r="A306" s="4">
        <v>46161.87240678241</v>
      </c>
      <c r="B306" s="6" t="s">
        <v>187</v>
      </c>
      <c r="C306" s="6" t="s">
        <v>21</v>
      </c>
      <c r="D306" s="6" t="s">
        <v>180</v>
      </c>
    </row>
    <row r="307" ht="22.5" customHeight="1">
      <c r="A307" s="4">
        <v>46161.87249912037</v>
      </c>
      <c r="B307" s="6" t="s">
        <v>187</v>
      </c>
      <c r="C307" s="6" t="s">
        <v>21</v>
      </c>
      <c r="D307" s="6" t="s">
        <v>180</v>
      </c>
    </row>
    <row r="308" ht="22.5" customHeight="1">
      <c r="A308" s="4">
        <v>46161.87259483796</v>
      </c>
      <c r="B308" s="6" t="s">
        <v>187</v>
      </c>
      <c r="C308" s="6" t="s">
        <v>21</v>
      </c>
      <c r="D308" s="6" t="s">
        <v>180</v>
      </c>
    </row>
    <row r="309" ht="22.5" customHeight="1">
      <c r="A309" s="4">
        <v>46161.87268714121</v>
      </c>
      <c r="B309" s="6" t="s">
        <v>187</v>
      </c>
      <c r="C309" s="6" t="s">
        <v>21</v>
      </c>
      <c r="D309" s="6" t="s">
        <v>180</v>
      </c>
    </row>
    <row r="310" ht="22.5" customHeight="1">
      <c r="A310" s="4">
        <v>46161.872783900464</v>
      </c>
      <c r="B310" s="6" t="s">
        <v>187</v>
      </c>
      <c r="C310" s="6" t="s">
        <v>21</v>
      </c>
      <c r="D310" s="6" t="s">
        <v>180</v>
      </c>
    </row>
    <row r="311" ht="22.5" customHeight="1">
      <c r="A311" s="4">
        <v>46161.87288434028</v>
      </c>
      <c r="B311" s="6" t="s">
        <v>187</v>
      </c>
      <c r="C311" s="6" t="s">
        <v>21</v>
      </c>
      <c r="D311" s="6" t="s">
        <v>180</v>
      </c>
    </row>
    <row r="312" ht="22.5" customHeight="1">
      <c r="A312" s="4">
        <v>46161.87321341435</v>
      </c>
      <c r="B312" s="6" t="s">
        <v>188</v>
      </c>
      <c r="C312" s="6" t="s">
        <v>21</v>
      </c>
      <c r="D312" s="6" t="s">
        <v>180</v>
      </c>
    </row>
    <row r="313" ht="22.5" customHeight="1">
      <c r="A313" s="4">
        <v>46161.873326574074</v>
      </c>
      <c r="B313" s="6" t="s">
        <v>188</v>
      </c>
      <c r="C313" s="6" t="s">
        <v>21</v>
      </c>
      <c r="D313" s="6" t="s">
        <v>180</v>
      </c>
    </row>
    <row r="314" ht="22.5" customHeight="1">
      <c r="A314" s="4">
        <v>46161.87343327547</v>
      </c>
      <c r="B314" s="6" t="s">
        <v>188</v>
      </c>
      <c r="C314" s="6" t="s">
        <v>21</v>
      </c>
      <c r="D314" s="6" t="s">
        <v>180</v>
      </c>
    </row>
    <row r="315" ht="22.5" customHeight="1">
      <c r="A315" s="4">
        <v>46161.87355899306</v>
      </c>
      <c r="B315" s="6" t="s">
        <v>188</v>
      </c>
      <c r="C315" s="6" t="s">
        <v>21</v>
      </c>
      <c r="D315" s="6" t="s">
        <v>180</v>
      </c>
    </row>
    <row r="316" ht="22.5" customHeight="1">
      <c r="A316" s="4">
        <v>46161.873671203706</v>
      </c>
      <c r="B316" s="6" t="s">
        <v>188</v>
      </c>
      <c r="C316" s="6" t="s">
        <v>21</v>
      </c>
      <c r="D316" s="6" t="s">
        <v>180</v>
      </c>
    </row>
    <row r="317" ht="22.5" customHeight="1">
      <c r="A317" s="4">
        <v>46161.87376958333</v>
      </c>
      <c r="B317" s="6" t="s">
        <v>188</v>
      </c>
      <c r="C317" s="6" t="s">
        <v>21</v>
      </c>
      <c r="D317" s="6" t="s">
        <v>180</v>
      </c>
    </row>
    <row r="318" ht="22.5" customHeight="1">
      <c r="A318" s="4">
        <v>46161.87387297454</v>
      </c>
      <c r="B318" s="6" t="s">
        <v>188</v>
      </c>
      <c r="C318" s="6" t="s">
        <v>21</v>
      </c>
      <c r="D318" s="6" t="s">
        <v>180</v>
      </c>
    </row>
    <row r="319" ht="22.5" customHeight="1">
      <c r="A319" s="4">
        <v>46161.87403506944</v>
      </c>
      <c r="B319" s="6" t="s">
        <v>188</v>
      </c>
      <c r="C319" s="6" t="s">
        <v>21</v>
      </c>
      <c r="D319" s="6" t="s">
        <v>180</v>
      </c>
    </row>
    <row r="320" ht="22.5" customHeight="1">
      <c r="A320" s="4">
        <v>46161.87416640046</v>
      </c>
      <c r="B320" s="6" t="s">
        <v>188</v>
      </c>
      <c r="C320" s="6" t="s">
        <v>21</v>
      </c>
      <c r="D320" s="6" t="s">
        <v>180</v>
      </c>
    </row>
    <row r="321" ht="22.5" customHeight="1">
      <c r="A321" s="4">
        <v>46161.874736666665</v>
      </c>
      <c r="B321" s="6" t="s">
        <v>189</v>
      </c>
      <c r="C321" s="6" t="s">
        <v>21</v>
      </c>
      <c r="D321" s="6" t="s">
        <v>180</v>
      </c>
    </row>
    <row r="322" ht="22.5" customHeight="1">
      <c r="A322" s="4">
        <v>46161.874898333335</v>
      </c>
      <c r="B322" s="6" t="s">
        <v>189</v>
      </c>
      <c r="C322" s="6" t="s">
        <v>21</v>
      </c>
      <c r="D322" s="6" t="s">
        <v>180</v>
      </c>
    </row>
    <row r="323" ht="22.5" customHeight="1">
      <c r="A323" s="4">
        <v>46161.875172824075</v>
      </c>
      <c r="B323" s="6" t="s">
        <v>189</v>
      </c>
      <c r="C323" s="6" t="s">
        <v>21</v>
      </c>
      <c r="D323" s="6" t="s">
        <v>180</v>
      </c>
    </row>
    <row r="324" ht="22.5" customHeight="1">
      <c r="A324" s="4">
        <v>46161.875272997684</v>
      </c>
      <c r="B324" s="6" t="s">
        <v>189</v>
      </c>
      <c r="C324" s="6" t="s">
        <v>21</v>
      </c>
      <c r="D324" s="6" t="s">
        <v>180</v>
      </c>
    </row>
    <row r="325" ht="22.5" customHeight="1">
      <c r="A325" s="4">
        <v>46161.87536288194</v>
      </c>
      <c r="B325" s="6" t="s">
        <v>189</v>
      </c>
      <c r="C325" s="6" t="s">
        <v>21</v>
      </c>
      <c r="D325" s="6" t="s">
        <v>180</v>
      </c>
    </row>
    <row r="326" ht="22.5" customHeight="1">
      <c r="A326" s="4">
        <v>46161.87550958333</v>
      </c>
      <c r="B326" s="6" t="s">
        <v>189</v>
      </c>
      <c r="C326" s="6" t="s">
        <v>21</v>
      </c>
      <c r="D326" s="6" t="s">
        <v>180</v>
      </c>
    </row>
    <row r="327" ht="22.5" customHeight="1">
      <c r="A327" s="4">
        <v>46161.87565548611</v>
      </c>
      <c r="B327" s="6" t="s">
        <v>189</v>
      </c>
      <c r="C327" s="6" t="s">
        <v>21</v>
      </c>
      <c r="D327" s="6" t="s">
        <v>180</v>
      </c>
    </row>
    <row r="328" ht="22.5" customHeight="1">
      <c r="A328" s="4">
        <v>46161.876841516205</v>
      </c>
      <c r="B328" s="6" t="s">
        <v>190</v>
      </c>
      <c r="C328" s="6" t="s">
        <v>21</v>
      </c>
      <c r="D328" s="6" t="s">
        <v>180</v>
      </c>
    </row>
    <row r="329" ht="22.5" customHeight="1">
      <c r="A329" s="4">
        <v>46161.876970682875</v>
      </c>
      <c r="B329" s="6" t="s">
        <v>190</v>
      </c>
      <c r="C329" s="6" t="s">
        <v>21</v>
      </c>
      <c r="D329" s="6" t="s">
        <v>180</v>
      </c>
    </row>
    <row r="330" ht="22.5" customHeight="1">
      <c r="A330" s="4">
        <v>46161.87713650463</v>
      </c>
      <c r="B330" s="6" t="s">
        <v>190</v>
      </c>
      <c r="C330" s="6" t="s">
        <v>21</v>
      </c>
      <c r="D330" s="6" t="s">
        <v>180</v>
      </c>
    </row>
    <row r="331" ht="22.5" customHeight="1">
      <c r="A331" s="4">
        <v>46161.877285891205</v>
      </c>
      <c r="B331" s="6" t="s">
        <v>190</v>
      </c>
      <c r="C331" s="6" t="s">
        <v>21</v>
      </c>
      <c r="D331" s="6" t="s">
        <v>180</v>
      </c>
    </row>
    <row r="332" ht="22.5" customHeight="1">
      <c r="A332" s="4">
        <v>46161.87741414351</v>
      </c>
      <c r="B332" s="6" t="s">
        <v>190</v>
      </c>
      <c r="C332" s="6" t="s">
        <v>21</v>
      </c>
      <c r="D332" s="6" t="s">
        <v>180</v>
      </c>
    </row>
    <row r="333" ht="22.5" customHeight="1">
      <c r="A333" s="4">
        <v>46161.87753733796</v>
      </c>
      <c r="B333" s="6" t="s">
        <v>190</v>
      </c>
      <c r="C333" s="6" t="s">
        <v>21</v>
      </c>
      <c r="D333" s="6" t="s">
        <v>180</v>
      </c>
    </row>
    <row r="334" ht="22.5" customHeight="1">
      <c r="A334" s="4">
        <v>46161.877978020835</v>
      </c>
      <c r="B334" s="6" t="s">
        <v>191</v>
      </c>
      <c r="C334" s="6" t="s">
        <v>21</v>
      </c>
      <c r="D334" s="6" t="s">
        <v>180</v>
      </c>
    </row>
    <row r="335" ht="22.5" customHeight="1">
      <c r="A335" s="4">
        <v>46161.87838792824</v>
      </c>
      <c r="B335" s="6" t="s">
        <v>191</v>
      </c>
      <c r="C335" s="6" t="s">
        <v>21</v>
      </c>
      <c r="D335" s="6" t="s">
        <v>180</v>
      </c>
    </row>
    <row r="336" ht="22.5" customHeight="1">
      <c r="A336" s="4">
        <v>46161.878542025464</v>
      </c>
      <c r="B336" s="6" t="s">
        <v>191</v>
      </c>
      <c r="C336" s="6" t="s">
        <v>21</v>
      </c>
      <c r="D336" s="6" t="s">
        <v>180</v>
      </c>
    </row>
    <row r="337" ht="22.5" customHeight="1">
      <c r="A337" s="4">
        <v>46161.87864519676</v>
      </c>
      <c r="B337" s="6" t="s">
        <v>191</v>
      </c>
      <c r="C337" s="6" t="s">
        <v>21</v>
      </c>
      <c r="D337" s="6" t="s">
        <v>180</v>
      </c>
    </row>
    <row r="338" ht="22.5" customHeight="1">
      <c r="A338" s="4">
        <v>46161.87875927083</v>
      </c>
      <c r="B338" s="6" t="s">
        <v>191</v>
      </c>
      <c r="C338" s="6" t="s">
        <v>21</v>
      </c>
      <c r="D338" s="6" t="s">
        <v>180</v>
      </c>
    </row>
    <row r="339" ht="22.5" customHeight="1">
      <c r="A339" s="4">
        <v>46161.878883321755</v>
      </c>
      <c r="B339" s="6" t="s">
        <v>191</v>
      </c>
      <c r="C339" s="6" t="s">
        <v>21</v>
      </c>
      <c r="D339" s="6" t="s">
        <v>180</v>
      </c>
    </row>
    <row r="340" ht="22.5" customHeight="1">
      <c r="A340" s="4">
        <v>46161.878980486115</v>
      </c>
      <c r="B340" s="6" t="s">
        <v>191</v>
      </c>
      <c r="C340" s="6" t="s">
        <v>21</v>
      </c>
      <c r="D340" s="6" t="s">
        <v>180</v>
      </c>
    </row>
    <row r="341" ht="22.5" customHeight="1">
      <c r="A341" s="4">
        <v>46161.87907710648</v>
      </c>
      <c r="B341" s="6" t="s">
        <v>191</v>
      </c>
      <c r="C341" s="6" t="s">
        <v>21</v>
      </c>
      <c r="D341" s="6" t="s">
        <v>180</v>
      </c>
    </row>
    <row r="342" ht="22.5" customHeight="1">
      <c r="A342" s="4">
        <v>46161.879172256944</v>
      </c>
      <c r="B342" s="6" t="s">
        <v>191</v>
      </c>
      <c r="C342" s="6" t="s">
        <v>21</v>
      </c>
      <c r="D342" s="6" t="s">
        <v>180</v>
      </c>
    </row>
    <row r="343" ht="22.5" customHeight="1">
      <c r="A343" s="4">
        <v>46165.323443553236</v>
      </c>
      <c r="B343" s="6" t="s">
        <v>142</v>
      </c>
      <c r="C343" s="6" t="s">
        <v>21</v>
      </c>
      <c r="D343" s="6" t="s">
        <v>22</v>
      </c>
    </row>
    <row r="344" ht="22.5" customHeight="1">
      <c r="A344" s="4">
        <v>46165.32360891203</v>
      </c>
      <c r="B344" s="6" t="s">
        <v>145</v>
      </c>
      <c r="C344" s="6" t="s">
        <v>21</v>
      </c>
      <c r="D344" s="6" t="s">
        <v>22</v>
      </c>
    </row>
    <row r="345" ht="22.5" customHeight="1">
      <c r="A345" s="4">
        <v>46165.32375483796</v>
      </c>
      <c r="B345" s="6" t="s">
        <v>144</v>
      </c>
      <c r="C345" s="6" t="s">
        <v>21</v>
      </c>
      <c r="D345" s="6" t="s">
        <v>22</v>
      </c>
    </row>
    <row r="346" ht="22.5" customHeight="1">
      <c r="A346" s="4">
        <v>46165.323879641204</v>
      </c>
      <c r="B346" s="6" t="s">
        <v>192</v>
      </c>
      <c r="C346" s="6" t="s">
        <v>21</v>
      </c>
      <c r="D346" s="6" t="s">
        <v>22</v>
      </c>
    </row>
    <row r="347" ht="22.5" customHeight="1">
      <c r="A347" s="4">
        <v>46165.32406774306</v>
      </c>
      <c r="B347" s="6" t="s">
        <v>137</v>
      </c>
      <c r="C347" s="6" t="s">
        <v>21</v>
      </c>
      <c r="D347" s="6" t="s">
        <v>22</v>
      </c>
    </row>
    <row r="348" ht="22.5" customHeight="1">
      <c r="A348" s="4">
        <v>46165.324170300926</v>
      </c>
      <c r="B348" s="6" t="s">
        <v>137</v>
      </c>
      <c r="C348" s="6" t="s">
        <v>21</v>
      </c>
      <c r="D348" s="6" t="s">
        <v>22</v>
      </c>
    </row>
    <row r="349" ht="22.5" customHeight="1">
      <c r="A349" s="4">
        <v>46165.3247969213</v>
      </c>
      <c r="B349" s="6" t="s">
        <v>139</v>
      </c>
      <c r="C349" s="6" t="s">
        <v>21</v>
      </c>
      <c r="D349" s="6" t="s">
        <v>22</v>
      </c>
    </row>
    <row r="350" ht="22.5" customHeight="1">
      <c r="A350" s="4">
        <v>46165.3249340162</v>
      </c>
      <c r="B350" s="6" t="s">
        <v>138</v>
      </c>
      <c r="C350" s="6" t="s">
        <v>21</v>
      </c>
      <c r="D350" s="6" t="s">
        <v>22</v>
      </c>
    </row>
    <row r="351" ht="22.5" customHeight="1">
      <c r="A351" s="4">
        <v>46165.32644967592</v>
      </c>
      <c r="B351" s="6" t="s">
        <v>193</v>
      </c>
      <c r="C351" s="6" t="s">
        <v>21</v>
      </c>
      <c r="D351" s="6" t="s">
        <v>22</v>
      </c>
    </row>
    <row r="352" ht="22.5" customHeight="1">
      <c r="A352" s="4">
        <v>46165.3285290162</v>
      </c>
      <c r="B352" s="6" t="s">
        <v>146</v>
      </c>
      <c r="C352" s="6" t="s">
        <v>21</v>
      </c>
      <c r="D352" s="6" t="s">
        <v>22</v>
      </c>
    </row>
    <row r="353" ht="22.5" customHeight="1">
      <c r="A353" s="4">
        <v>46165.35064957176</v>
      </c>
      <c r="B353" s="6" t="s">
        <v>140</v>
      </c>
      <c r="C353" s="6" t="s">
        <v>21</v>
      </c>
      <c r="D353" s="6" t="s">
        <v>22</v>
      </c>
    </row>
    <row r="354" ht="22.5" customHeight="1">
      <c r="A354" s="4">
        <v>46165.392726886574</v>
      </c>
      <c r="B354" s="6" t="s">
        <v>67</v>
      </c>
      <c r="C354" s="6" t="s">
        <v>21</v>
      </c>
      <c r="D354" s="6" t="s">
        <v>64</v>
      </c>
    </row>
    <row r="355" ht="22.5" customHeight="1">
      <c r="A355" s="4">
        <v>46165.392916412035</v>
      </c>
      <c r="B355" s="6" t="s">
        <v>63</v>
      </c>
      <c r="C355" s="6" t="s">
        <v>21</v>
      </c>
      <c r="D355" s="6" t="s">
        <v>64</v>
      </c>
    </row>
    <row r="356" ht="22.5" customHeight="1">
      <c r="A356" s="4">
        <v>46165.393072719904</v>
      </c>
      <c r="B356" s="6" t="s">
        <v>152</v>
      </c>
      <c r="C356" s="6" t="s">
        <v>21</v>
      </c>
      <c r="D356" s="6" t="s">
        <v>64</v>
      </c>
    </row>
    <row r="357" ht="22.5" customHeight="1">
      <c r="A357" s="4">
        <v>46165.39320842593</v>
      </c>
      <c r="B357" s="6" t="s">
        <v>151</v>
      </c>
      <c r="C357" s="6" t="s">
        <v>21</v>
      </c>
      <c r="D357" s="6" t="s">
        <v>64</v>
      </c>
    </row>
    <row r="358" ht="22.5" customHeight="1">
      <c r="A358" s="4">
        <v>46165.39334983796</v>
      </c>
      <c r="B358" s="6" t="s">
        <v>68</v>
      </c>
      <c r="C358" s="6" t="s">
        <v>21</v>
      </c>
      <c r="D358" s="6" t="s">
        <v>64</v>
      </c>
    </row>
    <row r="359" ht="22.5" customHeight="1">
      <c r="A359" s="4">
        <v>46165.393485092594</v>
      </c>
      <c r="B359" s="6" t="s">
        <v>194</v>
      </c>
      <c r="C359" s="6" t="s">
        <v>21</v>
      </c>
      <c r="D359" s="6" t="s">
        <v>64</v>
      </c>
    </row>
    <row r="360" ht="22.5" customHeight="1">
      <c r="A360" s="4">
        <v>46165.39362725694</v>
      </c>
      <c r="B360" s="6" t="s">
        <v>195</v>
      </c>
      <c r="C360" s="6" t="s">
        <v>21</v>
      </c>
      <c r="D360" s="6" t="s">
        <v>64</v>
      </c>
    </row>
    <row r="361" ht="22.5" customHeight="1">
      <c r="A361" s="4">
        <v>46165.3937678588</v>
      </c>
      <c r="B361" s="6" t="s">
        <v>149</v>
      </c>
      <c r="C361" s="6" t="s">
        <v>21</v>
      </c>
      <c r="D361" s="6" t="s">
        <v>64</v>
      </c>
    </row>
    <row r="362" ht="22.5" customHeight="1">
      <c r="A362" s="4">
        <v>46165.3940333912</v>
      </c>
      <c r="B362" s="6" t="s">
        <v>65</v>
      </c>
      <c r="C362" s="6" t="s">
        <v>21</v>
      </c>
      <c r="D362" s="6" t="s">
        <v>64</v>
      </c>
    </row>
    <row r="363" ht="22.5" customHeight="1">
      <c r="A363" s="4">
        <v>46165.394223842595</v>
      </c>
      <c r="B363" s="6" t="s">
        <v>196</v>
      </c>
      <c r="C363" s="6" t="s">
        <v>21</v>
      </c>
      <c r="D363" s="6" t="s">
        <v>64</v>
      </c>
    </row>
    <row r="364" ht="22.5" customHeight="1">
      <c r="A364" s="4">
        <v>46165.39437556713</v>
      </c>
      <c r="B364" s="6" t="s">
        <v>197</v>
      </c>
      <c r="C364" s="6" t="s">
        <v>21</v>
      </c>
      <c r="D364" s="6" t="s">
        <v>64</v>
      </c>
    </row>
    <row r="365" ht="22.5" customHeight="1">
      <c r="A365" s="4">
        <v>46165.917041030094</v>
      </c>
      <c r="B365" s="6" t="s">
        <v>87</v>
      </c>
      <c r="C365" s="6" t="s">
        <v>21</v>
      </c>
      <c r="D365" s="6" t="s">
        <v>82</v>
      </c>
    </row>
    <row r="366" ht="22.5" customHeight="1">
      <c r="A366" s="4">
        <v>46165.920034375</v>
      </c>
      <c r="B366" s="6" t="s">
        <v>89</v>
      </c>
      <c r="C366" s="6" t="s">
        <v>21</v>
      </c>
      <c r="D366" s="6" t="s">
        <v>82</v>
      </c>
    </row>
    <row r="367" ht="22.5" customHeight="1">
      <c r="A367" s="4">
        <v>46165.92042699074</v>
      </c>
      <c r="B367" s="6" t="s">
        <v>90</v>
      </c>
      <c r="C367" s="6" t="s">
        <v>21</v>
      </c>
      <c r="D367" s="6" t="s">
        <v>82</v>
      </c>
    </row>
    <row r="368" ht="22.5" customHeight="1">
      <c r="A368" s="4">
        <v>46165.92077003472</v>
      </c>
      <c r="B368" s="6" t="s">
        <v>91</v>
      </c>
      <c r="C368" s="6" t="s">
        <v>21</v>
      </c>
      <c r="D368" s="6" t="s">
        <v>82</v>
      </c>
    </row>
    <row r="369" ht="22.5" customHeight="1">
      <c r="A369" s="4">
        <v>46165.92117450231</v>
      </c>
      <c r="B369" s="6" t="s">
        <v>81</v>
      </c>
      <c r="C369" s="6" t="s">
        <v>21</v>
      </c>
      <c r="D369" s="6" t="s">
        <v>82</v>
      </c>
    </row>
    <row r="370" ht="22.5" customHeight="1">
      <c r="A370" s="4">
        <v>46165.92151079861</v>
      </c>
      <c r="B370" s="6" t="s">
        <v>84</v>
      </c>
      <c r="C370" s="6" t="s">
        <v>21</v>
      </c>
      <c r="D370" s="6" t="s">
        <v>82</v>
      </c>
    </row>
    <row r="371" ht="22.5" customHeight="1">
      <c r="A371" s="4">
        <v>46165.9218453125</v>
      </c>
      <c r="B371" s="6" t="s">
        <v>86</v>
      </c>
      <c r="C371" s="6" t="s">
        <v>21</v>
      </c>
      <c r="D371" s="6" t="s">
        <v>82</v>
      </c>
    </row>
    <row r="372">
      <c r="B372" s="8"/>
      <c r="G372" s="8"/>
      <c r="M372" s="8"/>
    </row>
    <row r="373">
      <c r="B373" s="8"/>
      <c r="G373" s="8"/>
      <c r="M373" s="8"/>
    </row>
    <row r="374">
      <c r="B374" s="8"/>
      <c r="G374" s="8"/>
      <c r="M374" s="8"/>
    </row>
    <row r="375">
      <c r="B375" s="8"/>
      <c r="G375" s="8"/>
      <c r="M375" s="8"/>
    </row>
    <row r="376">
      <c r="B376" s="8"/>
      <c r="G376" s="8"/>
      <c r="M376" s="8"/>
    </row>
    <row r="377">
      <c r="B377" s="8"/>
      <c r="G377" s="8"/>
      <c r="M377" s="8"/>
    </row>
    <row r="378">
      <c r="B378" s="8"/>
      <c r="G378" s="8"/>
      <c r="M378" s="8"/>
    </row>
    <row r="379">
      <c r="B379" s="8"/>
      <c r="G379" s="8"/>
      <c r="M379" s="8"/>
    </row>
    <row r="380">
      <c r="B380" s="8"/>
      <c r="G380" s="8"/>
      <c r="M380" s="8"/>
    </row>
    <row r="381">
      <c r="B381" s="8"/>
      <c r="G381" s="8"/>
      <c r="M381" s="8"/>
    </row>
    <row r="382">
      <c r="B382" s="8"/>
      <c r="G382" s="8"/>
      <c r="M382" s="8"/>
    </row>
    <row r="383">
      <c r="B383" s="8"/>
      <c r="G383" s="8"/>
      <c r="M383" s="8"/>
    </row>
    <row r="384">
      <c r="B384" s="8"/>
      <c r="G384" s="8"/>
      <c r="M384" s="8"/>
    </row>
    <row r="385">
      <c r="B385" s="8"/>
      <c r="G385" s="8"/>
      <c r="M385" s="8"/>
    </row>
    <row r="386">
      <c r="B386" s="8"/>
      <c r="G386" s="8"/>
      <c r="M386" s="8"/>
    </row>
    <row r="387">
      <c r="B387" s="8"/>
      <c r="G387" s="8"/>
      <c r="M387" s="8"/>
    </row>
    <row r="388">
      <c r="B388" s="8"/>
      <c r="G388" s="8"/>
      <c r="M388" s="8"/>
    </row>
    <row r="389">
      <c r="B389" s="8"/>
      <c r="G389" s="8"/>
      <c r="M389" s="8"/>
    </row>
    <row r="390">
      <c r="B390" s="8"/>
      <c r="G390" s="8"/>
      <c r="M390" s="8"/>
    </row>
    <row r="391">
      <c r="B391" s="8"/>
      <c r="G391" s="8"/>
      <c r="M391" s="8"/>
    </row>
    <row r="392">
      <c r="B392" s="8"/>
      <c r="G392" s="8"/>
      <c r="M392" s="8"/>
    </row>
    <row r="393">
      <c r="B393" s="8"/>
      <c r="G393" s="8"/>
      <c r="M393" s="8"/>
    </row>
    <row r="394">
      <c r="B394" s="8"/>
      <c r="G394" s="8"/>
      <c r="M394" s="8"/>
    </row>
    <row r="395">
      <c r="B395" s="8"/>
      <c r="G395" s="8"/>
      <c r="M395" s="8"/>
    </row>
    <row r="396">
      <c r="B396" s="8"/>
      <c r="G396" s="8"/>
      <c r="M396" s="8"/>
    </row>
    <row r="397">
      <c r="B397" s="8"/>
      <c r="G397" s="8"/>
      <c r="M397" s="8"/>
    </row>
    <row r="398">
      <c r="B398" s="8"/>
      <c r="G398" s="8"/>
      <c r="M398" s="8"/>
    </row>
    <row r="399">
      <c r="B399" s="8"/>
      <c r="G399" s="8"/>
      <c r="M399" s="8"/>
    </row>
    <row r="400">
      <c r="B400" s="8"/>
      <c r="G400" s="8"/>
      <c r="M400" s="8"/>
    </row>
    <row r="401">
      <c r="B401" s="8"/>
      <c r="G401" s="8"/>
      <c r="M401" s="8"/>
    </row>
    <row r="402">
      <c r="B402" s="8"/>
      <c r="G402" s="8"/>
      <c r="M402" s="8"/>
    </row>
    <row r="403">
      <c r="B403" s="8"/>
      <c r="G403" s="8"/>
      <c r="M403" s="8"/>
    </row>
    <row r="404">
      <c r="B404" s="8"/>
      <c r="G404" s="8"/>
      <c r="M404" s="8"/>
    </row>
    <row r="405">
      <c r="B405" s="8"/>
      <c r="G405" s="8"/>
      <c r="M405" s="8"/>
    </row>
    <row r="406">
      <c r="B406" s="8"/>
      <c r="G406" s="8"/>
      <c r="M406" s="8"/>
    </row>
    <row r="407">
      <c r="B407" s="8"/>
      <c r="G407" s="8"/>
      <c r="M407" s="8"/>
    </row>
    <row r="408">
      <c r="B408" s="8"/>
      <c r="G408" s="8"/>
      <c r="M408" s="8"/>
    </row>
    <row r="409">
      <c r="B409" s="8"/>
      <c r="G409" s="8"/>
      <c r="M409" s="8"/>
    </row>
    <row r="410">
      <c r="B410" s="8"/>
      <c r="G410" s="8"/>
      <c r="M410" s="8"/>
    </row>
    <row r="411">
      <c r="B411" s="8"/>
      <c r="G411" s="8"/>
      <c r="M411" s="8"/>
    </row>
    <row r="412">
      <c r="B412" s="8"/>
      <c r="G412" s="8"/>
      <c r="M412" s="8"/>
    </row>
    <row r="413">
      <c r="B413" s="8"/>
      <c r="G413" s="8"/>
      <c r="M413" s="8"/>
    </row>
    <row r="414">
      <c r="B414" s="8"/>
      <c r="G414" s="8"/>
      <c r="M414" s="8"/>
    </row>
    <row r="415">
      <c r="B415" s="8"/>
      <c r="G415" s="8"/>
      <c r="M415" s="8"/>
    </row>
    <row r="416">
      <c r="B416" s="8"/>
      <c r="G416" s="8"/>
      <c r="M416" s="8"/>
    </row>
    <row r="417">
      <c r="B417" s="8"/>
      <c r="G417" s="8"/>
      <c r="M417" s="8"/>
    </row>
    <row r="418">
      <c r="B418" s="8"/>
      <c r="G418" s="8"/>
      <c r="M418" s="8"/>
    </row>
    <row r="419">
      <c r="B419" s="8"/>
      <c r="G419" s="8"/>
      <c r="M419" s="8"/>
    </row>
    <row r="420">
      <c r="B420" s="8"/>
      <c r="G420" s="8"/>
      <c r="M420" s="8"/>
    </row>
    <row r="421">
      <c r="B421" s="8"/>
      <c r="G421" s="8"/>
      <c r="M421" s="8"/>
    </row>
    <row r="422">
      <c r="B422" s="8"/>
      <c r="G422" s="8"/>
      <c r="M422" s="8"/>
    </row>
    <row r="423">
      <c r="B423" s="8"/>
      <c r="G423" s="8"/>
      <c r="M423" s="8"/>
    </row>
    <row r="424">
      <c r="B424" s="8"/>
      <c r="G424" s="8"/>
      <c r="M424" s="8"/>
    </row>
    <row r="425">
      <c r="B425" s="8"/>
      <c r="G425" s="8"/>
      <c r="M425" s="8"/>
    </row>
    <row r="426">
      <c r="B426" s="8"/>
      <c r="G426" s="8"/>
      <c r="M426" s="8"/>
    </row>
    <row r="427">
      <c r="B427" s="8"/>
      <c r="G427" s="8"/>
      <c r="M427" s="8"/>
    </row>
    <row r="428">
      <c r="B428" s="8"/>
      <c r="G428" s="8"/>
      <c r="M428" s="8"/>
    </row>
    <row r="429">
      <c r="B429" s="8"/>
      <c r="G429" s="8"/>
      <c r="M429" s="8"/>
    </row>
    <row r="430">
      <c r="B430" s="8"/>
      <c r="G430" s="8"/>
      <c r="M430" s="8"/>
    </row>
    <row r="431">
      <c r="B431" s="8"/>
      <c r="G431" s="8"/>
      <c r="M431" s="8"/>
    </row>
    <row r="432">
      <c r="B432" s="8"/>
      <c r="G432" s="8"/>
      <c r="M432" s="8"/>
    </row>
    <row r="433">
      <c r="B433" s="8"/>
      <c r="G433" s="8"/>
      <c r="M433" s="8"/>
    </row>
    <row r="434">
      <c r="B434" s="8"/>
      <c r="G434" s="8"/>
      <c r="M434" s="8"/>
    </row>
    <row r="435">
      <c r="B435" s="8"/>
      <c r="G435" s="8"/>
      <c r="M435" s="8"/>
    </row>
    <row r="436">
      <c r="B436" s="8"/>
      <c r="G436" s="8"/>
      <c r="M436" s="8"/>
    </row>
    <row r="437">
      <c r="B437" s="8"/>
      <c r="G437" s="8"/>
      <c r="M437" s="8"/>
    </row>
    <row r="438">
      <c r="B438" s="8"/>
      <c r="G438" s="8"/>
      <c r="M438" s="8"/>
    </row>
    <row r="439">
      <c r="B439" s="8"/>
      <c r="G439" s="8"/>
      <c r="M439" s="8"/>
    </row>
    <row r="440">
      <c r="B440" s="8"/>
      <c r="G440" s="8"/>
      <c r="M440" s="8"/>
    </row>
    <row r="441">
      <c r="B441" s="8"/>
      <c r="G441" s="8"/>
      <c r="M441" s="8"/>
    </row>
    <row r="442">
      <c r="B442" s="8"/>
      <c r="G442" s="8"/>
      <c r="M442" s="8"/>
    </row>
    <row r="443">
      <c r="B443" s="8"/>
      <c r="G443" s="8"/>
      <c r="M443" s="8"/>
    </row>
    <row r="444">
      <c r="B444" s="8"/>
      <c r="G444" s="8"/>
      <c r="M444" s="8"/>
    </row>
    <row r="445">
      <c r="B445" s="8"/>
      <c r="G445" s="8"/>
      <c r="M445" s="8"/>
    </row>
    <row r="446">
      <c r="B446" s="8"/>
      <c r="G446" s="8"/>
      <c r="M446" s="8"/>
    </row>
    <row r="447">
      <c r="B447" s="8"/>
      <c r="G447" s="8"/>
      <c r="M447" s="8"/>
    </row>
    <row r="448">
      <c r="B448" s="8"/>
      <c r="G448" s="8"/>
      <c r="M448" s="8"/>
    </row>
    <row r="449">
      <c r="B449" s="8"/>
      <c r="G449" s="8"/>
      <c r="M449" s="8"/>
    </row>
    <row r="450">
      <c r="B450" s="8"/>
      <c r="G450" s="8"/>
      <c r="M450" s="8"/>
    </row>
    <row r="451">
      <c r="B451" s="8"/>
      <c r="G451" s="8"/>
      <c r="M451" s="8"/>
    </row>
    <row r="452">
      <c r="B452" s="8"/>
      <c r="G452" s="8"/>
      <c r="M452" s="8"/>
    </row>
    <row r="453">
      <c r="B453" s="8"/>
      <c r="G453" s="8"/>
      <c r="M453" s="8"/>
    </row>
    <row r="454">
      <c r="B454" s="8"/>
      <c r="G454" s="8"/>
      <c r="M454" s="8"/>
    </row>
    <row r="455">
      <c r="B455" s="8"/>
      <c r="G455" s="8"/>
      <c r="M455" s="8"/>
    </row>
    <row r="456">
      <c r="B456" s="8"/>
      <c r="G456" s="8"/>
      <c r="M456" s="8"/>
    </row>
    <row r="457">
      <c r="B457" s="8"/>
      <c r="G457" s="8"/>
      <c r="M457" s="8"/>
    </row>
    <row r="458">
      <c r="B458" s="8"/>
      <c r="G458" s="8"/>
      <c r="M458" s="8"/>
    </row>
    <row r="459">
      <c r="B459" s="8"/>
      <c r="G459" s="8"/>
      <c r="M459" s="8"/>
    </row>
    <row r="460">
      <c r="B460" s="8"/>
      <c r="G460" s="8"/>
      <c r="M460" s="8"/>
    </row>
    <row r="461">
      <c r="B461" s="8"/>
      <c r="G461" s="8"/>
      <c r="M461" s="8"/>
    </row>
    <row r="462">
      <c r="B462" s="8"/>
      <c r="G462" s="8"/>
      <c r="M462" s="8"/>
    </row>
    <row r="463">
      <c r="B463" s="8"/>
      <c r="G463" s="8"/>
      <c r="M463" s="8"/>
    </row>
    <row r="464">
      <c r="B464" s="8"/>
      <c r="G464" s="8"/>
      <c r="M464" s="8"/>
    </row>
    <row r="465">
      <c r="B465" s="8"/>
      <c r="G465" s="8"/>
      <c r="M465" s="8"/>
    </row>
    <row r="466">
      <c r="B466" s="8"/>
      <c r="G466" s="8"/>
      <c r="M466" s="8"/>
    </row>
    <row r="467">
      <c r="B467" s="8"/>
      <c r="G467" s="8"/>
      <c r="M467" s="8"/>
    </row>
    <row r="468">
      <c r="B468" s="8"/>
      <c r="G468" s="8"/>
      <c r="M468" s="8"/>
    </row>
    <row r="469">
      <c r="B469" s="8"/>
      <c r="G469" s="8"/>
      <c r="M469" s="8"/>
    </row>
    <row r="470">
      <c r="B470" s="8"/>
      <c r="G470" s="8"/>
      <c r="M470" s="8"/>
    </row>
    <row r="471">
      <c r="B471" s="8"/>
      <c r="G471" s="8"/>
      <c r="M471" s="8"/>
    </row>
    <row r="472">
      <c r="B472" s="8"/>
      <c r="G472" s="8"/>
      <c r="M472" s="8"/>
    </row>
    <row r="473">
      <c r="B473" s="8"/>
      <c r="G473" s="8"/>
      <c r="M473" s="8"/>
    </row>
    <row r="474">
      <c r="B474" s="8"/>
      <c r="G474" s="8"/>
      <c r="M474" s="8"/>
    </row>
    <row r="475">
      <c r="B475" s="8"/>
      <c r="G475" s="8"/>
      <c r="M475" s="8"/>
    </row>
    <row r="476">
      <c r="B476" s="8"/>
      <c r="G476" s="8"/>
      <c r="M476" s="8"/>
    </row>
    <row r="477">
      <c r="B477" s="8"/>
      <c r="G477" s="8"/>
      <c r="M477" s="8"/>
    </row>
    <row r="478">
      <c r="B478" s="8"/>
      <c r="G478" s="8"/>
      <c r="M478" s="8"/>
    </row>
    <row r="479">
      <c r="B479" s="8"/>
      <c r="G479" s="8"/>
      <c r="M479" s="8"/>
    </row>
    <row r="480">
      <c r="B480" s="8"/>
      <c r="G480" s="8"/>
      <c r="M480" s="8"/>
    </row>
    <row r="481">
      <c r="B481" s="8"/>
      <c r="G481" s="8"/>
      <c r="M481" s="8"/>
    </row>
    <row r="482">
      <c r="B482" s="8"/>
      <c r="G482" s="8"/>
      <c r="M482" s="8"/>
    </row>
    <row r="483">
      <c r="B483" s="8"/>
      <c r="G483" s="8"/>
      <c r="M483" s="8"/>
    </row>
    <row r="484">
      <c r="B484" s="8"/>
      <c r="G484" s="8"/>
      <c r="M484" s="8"/>
    </row>
    <row r="485">
      <c r="B485" s="8"/>
      <c r="G485" s="8"/>
      <c r="M485" s="8"/>
    </row>
    <row r="486">
      <c r="B486" s="8"/>
      <c r="G486" s="8"/>
      <c r="M486" s="8"/>
    </row>
    <row r="487">
      <c r="B487" s="8"/>
      <c r="G487" s="8"/>
      <c r="M487" s="8"/>
    </row>
    <row r="488">
      <c r="B488" s="8"/>
      <c r="G488" s="8"/>
      <c r="M488" s="8"/>
    </row>
    <row r="489">
      <c r="B489" s="8"/>
      <c r="G489" s="8"/>
      <c r="M489" s="8"/>
    </row>
    <row r="490">
      <c r="B490" s="8"/>
      <c r="G490" s="8"/>
      <c r="M490" s="8"/>
    </row>
    <row r="491">
      <c r="B491" s="8"/>
      <c r="G491" s="8"/>
      <c r="M491" s="8"/>
    </row>
    <row r="492">
      <c r="B492" s="8"/>
      <c r="G492" s="8"/>
      <c r="M492" s="8"/>
    </row>
    <row r="493">
      <c r="B493" s="8"/>
      <c r="G493" s="8"/>
      <c r="M493" s="8"/>
    </row>
    <row r="494">
      <c r="B494" s="8"/>
      <c r="G494" s="8"/>
      <c r="M494" s="8"/>
    </row>
    <row r="495">
      <c r="B495" s="8"/>
      <c r="G495" s="8"/>
      <c r="M495" s="8"/>
    </row>
    <row r="496">
      <c r="B496" s="8"/>
      <c r="G496" s="8"/>
      <c r="M496" s="8"/>
    </row>
    <row r="497">
      <c r="B497" s="8"/>
      <c r="G497" s="8"/>
      <c r="M497" s="8"/>
    </row>
    <row r="498">
      <c r="B498" s="8"/>
      <c r="G498" s="8"/>
      <c r="M498" s="8"/>
    </row>
    <row r="499">
      <c r="B499" s="8"/>
      <c r="G499" s="8"/>
      <c r="M499" s="8"/>
    </row>
    <row r="500">
      <c r="B500" s="8"/>
      <c r="G500" s="8"/>
      <c r="M500" s="8"/>
    </row>
    <row r="501">
      <c r="B501" s="8"/>
      <c r="G501" s="8"/>
      <c r="M501" s="8"/>
    </row>
    <row r="502">
      <c r="B502" s="8"/>
      <c r="G502" s="8"/>
      <c r="M502" s="8"/>
    </row>
    <row r="503">
      <c r="B503" s="8"/>
      <c r="G503" s="8"/>
      <c r="M503" s="8"/>
    </row>
    <row r="504">
      <c r="B504" s="8"/>
      <c r="G504" s="8"/>
      <c r="M504" s="8"/>
    </row>
    <row r="505">
      <c r="B505" s="8"/>
      <c r="G505" s="8"/>
      <c r="M505" s="8"/>
    </row>
    <row r="506">
      <c r="B506" s="8"/>
      <c r="G506" s="8"/>
      <c r="M506" s="8"/>
    </row>
    <row r="507">
      <c r="B507" s="8"/>
      <c r="G507" s="8"/>
      <c r="M507" s="8"/>
    </row>
    <row r="508">
      <c r="B508" s="8"/>
      <c r="G508" s="8"/>
      <c r="M508" s="8"/>
    </row>
    <row r="509">
      <c r="B509" s="8"/>
      <c r="G509" s="8"/>
      <c r="M509" s="8"/>
    </row>
    <row r="510">
      <c r="B510" s="8"/>
      <c r="G510" s="8"/>
      <c r="M510" s="8"/>
    </row>
    <row r="511">
      <c r="B511" s="8"/>
      <c r="G511" s="8"/>
      <c r="M511" s="8"/>
    </row>
    <row r="512">
      <c r="B512" s="8"/>
      <c r="G512" s="8"/>
      <c r="M512" s="8"/>
    </row>
    <row r="513">
      <c r="B513" s="8"/>
      <c r="G513" s="8"/>
      <c r="M513" s="8"/>
    </row>
    <row r="514">
      <c r="B514" s="8"/>
      <c r="G514" s="8"/>
      <c r="M514" s="8"/>
    </row>
    <row r="515">
      <c r="B515" s="8"/>
      <c r="G515" s="8"/>
      <c r="M515" s="8"/>
    </row>
    <row r="516">
      <c r="B516" s="8"/>
      <c r="G516" s="8"/>
      <c r="M516" s="8"/>
    </row>
    <row r="517">
      <c r="B517" s="8"/>
      <c r="G517" s="8"/>
      <c r="M517" s="8"/>
    </row>
    <row r="518">
      <c r="B518" s="8"/>
      <c r="G518" s="8"/>
      <c r="M518" s="8"/>
    </row>
    <row r="519">
      <c r="B519" s="8"/>
      <c r="G519" s="8"/>
      <c r="M519" s="8"/>
    </row>
    <row r="520">
      <c r="B520" s="8"/>
      <c r="G520" s="8"/>
      <c r="M520" s="8"/>
    </row>
    <row r="521">
      <c r="B521" s="8"/>
      <c r="G521" s="8"/>
      <c r="M521" s="8"/>
    </row>
    <row r="522">
      <c r="B522" s="8"/>
      <c r="G522" s="8"/>
      <c r="M522" s="8"/>
    </row>
    <row r="523">
      <c r="B523" s="8"/>
      <c r="G523" s="8"/>
      <c r="M523" s="8"/>
    </row>
    <row r="524">
      <c r="B524" s="8"/>
      <c r="G524" s="8"/>
      <c r="M524" s="8"/>
    </row>
    <row r="525">
      <c r="B525" s="8"/>
      <c r="G525" s="8"/>
      <c r="M525" s="8"/>
    </row>
    <row r="526">
      <c r="B526" s="8"/>
      <c r="G526" s="8"/>
      <c r="M526" s="8"/>
    </row>
    <row r="527">
      <c r="B527" s="8"/>
      <c r="G527" s="8"/>
      <c r="M527" s="8"/>
    </row>
    <row r="528">
      <c r="B528" s="8"/>
      <c r="G528" s="8"/>
      <c r="M528" s="8"/>
    </row>
    <row r="529">
      <c r="B529" s="8"/>
      <c r="G529" s="8"/>
      <c r="M529" s="8"/>
    </row>
    <row r="530">
      <c r="B530" s="8"/>
      <c r="G530" s="8"/>
      <c r="M530" s="8"/>
    </row>
    <row r="531">
      <c r="B531" s="8"/>
      <c r="G531" s="8"/>
      <c r="M531" s="8"/>
    </row>
    <row r="532">
      <c r="B532" s="8"/>
      <c r="G532" s="8"/>
      <c r="M532" s="8"/>
    </row>
    <row r="533">
      <c r="B533" s="8"/>
      <c r="G533" s="8"/>
      <c r="M533" s="8"/>
    </row>
    <row r="534">
      <c r="B534" s="8"/>
      <c r="G534" s="8"/>
      <c r="M534" s="8"/>
    </row>
    <row r="535">
      <c r="B535" s="8"/>
      <c r="G535" s="8"/>
      <c r="M535" s="8"/>
    </row>
    <row r="536">
      <c r="B536" s="8"/>
      <c r="G536" s="8"/>
      <c r="M536" s="8"/>
    </row>
    <row r="537">
      <c r="B537" s="8"/>
      <c r="G537" s="8"/>
      <c r="M537" s="8"/>
    </row>
    <row r="538">
      <c r="B538" s="8"/>
      <c r="G538" s="8"/>
      <c r="M538" s="8"/>
    </row>
    <row r="539">
      <c r="B539" s="8"/>
      <c r="G539" s="8"/>
      <c r="M539" s="8"/>
    </row>
    <row r="540">
      <c r="B540" s="8"/>
      <c r="G540" s="8"/>
      <c r="M540" s="8"/>
    </row>
    <row r="541">
      <c r="B541" s="8"/>
      <c r="G541" s="8"/>
      <c r="M541" s="8"/>
    </row>
    <row r="542">
      <c r="B542" s="8"/>
      <c r="G542" s="8"/>
      <c r="M542" s="8"/>
    </row>
    <row r="543">
      <c r="B543" s="8"/>
      <c r="G543" s="8"/>
      <c r="M543" s="8"/>
    </row>
    <row r="544">
      <c r="B544" s="8"/>
      <c r="G544" s="8"/>
      <c r="M544" s="8"/>
    </row>
    <row r="545">
      <c r="B545" s="8"/>
      <c r="G545" s="8"/>
      <c r="M545" s="8"/>
    </row>
    <row r="546">
      <c r="B546" s="8"/>
      <c r="G546" s="8"/>
      <c r="M546" s="8"/>
    </row>
    <row r="547">
      <c r="B547" s="8"/>
      <c r="G547" s="8"/>
      <c r="M547" s="8"/>
    </row>
    <row r="548">
      <c r="B548" s="8"/>
      <c r="G548" s="8"/>
      <c r="M548" s="8"/>
    </row>
    <row r="549">
      <c r="B549" s="8"/>
      <c r="G549" s="8"/>
      <c r="M549" s="8"/>
    </row>
    <row r="550">
      <c r="B550" s="8"/>
      <c r="G550" s="8"/>
      <c r="M550" s="8"/>
    </row>
    <row r="551">
      <c r="B551" s="8"/>
      <c r="G551" s="8"/>
      <c r="M551" s="8"/>
    </row>
    <row r="552">
      <c r="B552" s="8"/>
      <c r="G552" s="8"/>
      <c r="M552" s="8"/>
    </row>
    <row r="553">
      <c r="B553" s="8"/>
      <c r="G553" s="8"/>
      <c r="M553" s="8"/>
    </row>
    <row r="554">
      <c r="B554" s="8"/>
      <c r="G554" s="8"/>
      <c r="M554" s="8"/>
    </row>
    <row r="555">
      <c r="B555" s="8"/>
      <c r="G555" s="8"/>
      <c r="M555" s="8"/>
    </row>
    <row r="556">
      <c r="B556" s="8"/>
      <c r="G556" s="8"/>
      <c r="M556" s="8"/>
    </row>
    <row r="557">
      <c r="B557" s="8"/>
      <c r="G557" s="8"/>
      <c r="M557" s="8"/>
    </row>
    <row r="558">
      <c r="B558" s="8"/>
      <c r="G558" s="8"/>
      <c r="M558" s="8"/>
    </row>
    <row r="559">
      <c r="B559" s="8"/>
      <c r="G559" s="8"/>
      <c r="M559" s="8"/>
    </row>
    <row r="560">
      <c r="B560" s="8"/>
      <c r="G560" s="8"/>
      <c r="M560" s="8"/>
    </row>
    <row r="561">
      <c r="B561" s="8"/>
      <c r="G561" s="8"/>
      <c r="M561" s="8"/>
    </row>
    <row r="562">
      <c r="B562" s="8"/>
      <c r="G562" s="8"/>
      <c r="M562" s="8"/>
    </row>
    <row r="563">
      <c r="B563" s="8"/>
      <c r="G563" s="8"/>
      <c r="M563" s="8"/>
    </row>
    <row r="564">
      <c r="B564" s="8"/>
      <c r="G564" s="8"/>
      <c r="M564" s="8"/>
    </row>
    <row r="565">
      <c r="B565" s="8"/>
      <c r="G565" s="8"/>
      <c r="M565" s="8"/>
    </row>
    <row r="566">
      <c r="B566" s="8"/>
      <c r="G566" s="8"/>
      <c r="M566" s="8"/>
    </row>
    <row r="567">
      <c r="B567" s="8"/>
      <c r="G567" s="8"/>
      <c r="M567" s="8"/>
    </row>
    <row r="568">
      <c r="B568" s="8"/>
      <c r="G568" s="8"/>
      <c r="M568" s="8"/>
    </row>
    <row r="569">
      <c r="B569" s="8"/>
      <c r="G569" s="8"/>
      <c r="M569" s="8"/>
    </row>
    <row r="570">
      <c r="B570" s="8"/>
      <c r="G570" s="8"/>
      <c r="M570" s="8"/>
    </row>
    <row r="571">
      <c r="B571" s="8"/>
      <c r="G571" s="8"/>
      <c r="M571" s="8"/>
    </row>
    <row r="572">
      <c r="B572" s="8"/>
      <c r="G572" s="8"/>
      <c r="M572" s="8"/>
    </row>
    <row r="573">
      <c r="B573" s="8"/>
      <c r="G573" s="8"/>
      <c r="M573" s="8"/>
    </row>
    <row r="574">
      <c r="B574" s="8"/>
      <c r="G574" s="8"/>
      <c r="M574" s="8"/>
    </row>
    <row r="575">
      <c r="B575" s="8"/>
      <c r="G575" s="8"/>
      <c r="M575" s="8"/>
    </row>
    <row r="576">
      <c r="B576" s="8"/>
      <c r="G576" s="8"/>
      <c r="M576" s="8"/>
    </row>
    <row r="577">
      <c r="B577" s="8"/>
      <c r="G577" s="8"/>
      <c r="M577" s="8"/>
    </row>
    <row r="578">
      <c r="B578" s="8"/>
      <c r="G578" s="8"/>
      <c r="M578" s="8"/>
    </row>
    <row r="579">
      <c r="B579" s="8"/>
      <c r="G579" s="8"/>
      <c r="M579" s="8"/>
    </row>
    <row r="580">
      <c r="B580" s="8"/>
      <c r="G580" s="8"/>
      <c r="M580" s="8"/>
    </row>
    <row r="581">
      <c r="B581" s="8"/>
      <c r="G581" s="8"/>
      <c r="M581" s="8"/>
    </row>
    <row r="582">
      <c r="B582" s="8"/>
      <c r="G582" s="8"/>
      <c r="M582" s="8"/>
    </row>
    <row r="583">
      <c r="B583" s="8"/>
      <c r="G583" s="8"/>
      <c r="M583" s="8"/>
    </row>
    <row r="584">
      <c r="B584" s="8"/>
      <c r="G584" s="8"/>
      <c r="M584" s="8"/>
    </row>
    <row r="585">
      <c r="B585" s="8"/>
      <c r="G585" s="8"/>
      <c r="M585" s="8"/>
    </row>
    <row r="586">
      <c r="B586" s="8"/>
      <c r="G586" s="8"/>
      <c r="M586" s="8"/>
    </row>
    <row r="587">
      <c r="B587" s="8"/>
      <c r="G587" s="8"/>
      <c r="M587" s="8"/>
    </row>
    <row r="588">
      <c r="B588" s="8"/>
      <c r="G588" s="8"/>
      <c r="M588" s="8"/>
    </row>
    <row r="589">
      <c r="B589" s="8"/>
      <c r="G589" s="8"/>
      <c r="M589" s="8"/>
    </row>
    <row r="590">
      <c r="B590" s="8"/>
      <c r="G590" s="8"/>
      <c r="M590" s="8"/>
    </row>
    <row r="591">
      <c r="B591" s="8"/>
      <c r="G591" s="8"/>
      <c r="M591" s="8"/>
    </row>
    <row r="592">
      <c r="B592" s="8"/>
      <c r="G592" s="8"/>
      <c r="M592" s="8"/>
    </row>
    <row r="593">
      <c r="B593" s="8"/>
      <c r="G593" s="8"/>
      <c r="M593" s="8"/>
    </row>
    <row r="594">
      <c r="B594" s="8"/>
      <c r="G594" s="8"/>
      <c r="M594" s="8"/>
    </row>
    <row r="595">
      <c r="B595" s="8"/>
      <c r="G595" s="8"/>
      <c r="M595" s="8"/>
    </row>
    <row r="596">
      <c r="B596" s="8"/>
      <c r="G596" s="8"/>
      <c r="M596" s="8"/>
    </row>
    <row r="597">
      <c r="B597" s="8"/>
      <c r="G597" s="8"/>
      <c r="M597" s="8"/>
    </row>
    <row r="598">
      <c r="B598" s="8"/>
      <c r="G598" s="8"/>
      <c r="M598" s="8"/>
    </row>
    <row r="599">
      <c r="B599" s="8"/>
      <c r="G599" s="8"/>
      <c r="M599" s="8"/>
    </row>
    <row r="600">
      <c r="B600" s="8"/>
      <c r="G600" s="8"/>
      <c r="M600" s="8"/>
    </row>
    <row r="601">
      <c r="B601" s="8"/>
      <c r="G601" s="8"/>
      <c r="M601" s="8"/>
    </row>
    <row r="602">
      <c r="B602" s="8"/>
      <c r="G602" s="8"/>
      <c r="M602" s="8"/>
    </row>
    <row r="603">
      <c r="B603" s="8"/>
      <c r="G603" s="8"/>
      <c r="M603" s="8"/>
    </row>
    <row r="604">
      <c r="B604" s="8"/>
      <c r="G604" s="8"/>
      <c r="M604" s="8"/>
    </row>
    <row r="605">
      <c r="B605" s="8"/>
      <c r="G605" s="8"/>
      <c r="M605" s="8"/>
    </row>
    <row r="606">
      <c r="B606" s="8"/>
      <c r="G606" s="8"/>
      <c r="M606" s="8"/>
    </row>
    <row r="607">
      <c r="B607" s="8"/>
      <c r="G607" s="8"/>
      <c r="M607" s="8"/>
    </row>
    <row r="608">
      <c r="B608" s="8"/>
      <c r="G608" s="8"/>
      <c r="M608" s="8"/>
    </row>
    <row r="609">
      <c r="B609" s="8"/>
      <c r="G609" s="8"/>
      <c r="M609" s="8"/>
    </row>
    <row r="610">
      <c r="B610" s="8"/>
      <c r="G610" s="8"/>
      <c r="M610" s="8"/>
    </row>
    <row r="611">
      <c r="B611" s="8"/>
      <c r="G611" s="8"/>
      <c r="M611" s="8"/>
    </row>
    <row r="612">
      <c r="B612" s="8"/>
      <c r="G612" s="8"/>
      <c r="M612" s="8"/>
    </row>
    <row r="613">
      <c r="B613" s="8"/>
      <c r="G613" s="8"/>
      <c r="M613" s="8"/>
    </row>
    <row r="614">
      <c r="B614" s="8"/>
      <c r="G614" s="8"/>
      <c r="M614" s="8"/>
    </row>
    <row r="615">
      <c r="B615" s="8"/>
      <c r="G615" s="8"/>
      <c r="M615" s="8"/>
    </row>
    <row r="616">
      <c r="B616" s="8"/>
      <c r="G616" s="8"/>
      <c r="M616" s="8"/>
    </row>
    <row r="617">
      <c r="B617" s="8"/>
      <c r="G617" s="8"/>
      <c r="M617" s="8"/>
    </row>
    <row r="618">
      <c r="B618" s="8"/>
      <c r="G618" s="8"/>
      <c r="M618" s="8"/>
    </row>
    <row r="619">
      <c r="B619" s="8"/>
      <c r="G619" s="8"/>
      <c r="M619" s="8"/>
    </row>
    <row r="620">
      <c r="B620" s="8"/>
      <c r="G620" s="8"/>
      <c r="M620" s="8"/>
    </row>
    <row r="621">
      <c r="B621" s="8"/>
      <c r="G621" s="8"/>
      <c r="M621" s="8"/>
    </row>
    <row r="622">
      <c r="B622" s="8"/>
      <c r="G622" s="8"/>
      <c r="M622" s="8"/>
    </row>
    <row r="623">
      <c r="B623" s="8"/>
      <c r="G623" s="8"/>
      <c r="M623" s="8"/>
    </row>
    <row r="624">
      <c r="B624" s="8"/>
      <c r="G624" s="8"/>
      <c r="M624" s="8"/>
    </row>
    <row r="625">
      <c r="B625" s="8"/>
      <c r="G625" s="8"/>
      <c r="M625" s="8"/>
    </row>
    <row r="626">
      <c r="B626" s="8"/>
      <c r="G626" s="8"/>
      <c r="M626" s="8"/>
    </row>
    <row r="627">
      <c r="B627" s="8"/>
      <c r="G627" s="8"/>
      <c r="M627" s="8"/>
    </row>
    <row r="628">
      <c r="B628" s="8"/>
      <c r="G628" s="8"/>
      <c r="M628" s="8"/>
    </row>
    <row r="629">
      <c r="B629" s="8"/>
      <c r="G629" s="8"/>
      <c r="M629" s="8"/>
    </row>
    <row r="630">
      <c r="B630" s="8"/>
      <c r="G630" s="8"/>
      <c r="M630" s="8"/>
    </row>
    <row r="631">
      <c r="B631" s="8"/>
      <c r="G631" s="8"/>
      <c r="M631" s="8"/>
    </row>
    <row r="632">
      <c r="B632" s="8"/>
      <c r="G632" s="8"/>
      <c r="M632" s="8"/>
    </row>
    <row r="633">
      <c r="B633" s="8"/>
      <c r="G633" s="8"/>
      <c r="M633" s="8"/>
    </row>
    <row r="634">
      <c r="B634" s="8"/>
      <c r="G634" s="8"/>
      <c r="M634" s="8"/>
    </row>
    <row r="635">
      <c r="B635" s="8"/>
      <c r="G635" s="8"/>
      <c r="M635" s="8"/>
    </row>
    <row r="636">
      <c r="B636" s="8"/>
      <c r="G636" s="8"/>
      <c r="M636" s="8"/>
    </row>
    <row r="637">
      <c r="B637" s="8"/>
      <c r="G637" s="8"/>
      <c r="M637" s="8"/>
    </row>
    <row r="638">
      <c r="B638" s="8"/>
      <c r="G638" s="8"/>
      <c r="M638" s="8"/>
    </row>
    <row r="639">
      <c r="B639" s="8"/>
      <c r="G639" s="8"/>
      <c r="M639" s="8"/>
    </row>
    <row r="640">
      <c r="B640" s="8"/>
      <c r="G640" s="8"/>
      <c r="M640" s="8"/>
    </row>
    <row r="641">
      <c r="B641" s="8"/>
      <c r="G641" s="8"/>
      <c r="M641" s="8"/>
    </row>
    <row r="642">
      <c r="B642" s="8"/>
      <c r="G642" s="8"/>
      <c r="M642" s="8"/>
    </row>
    <row r="643">
      <c r="B643" s="8"/>
      <c r="G643" s="8"/>
      <c r="M643" s="8"/>
    </row>
    <row r="644">
      <c r="B644" s="8"/>
      <c r="G644" s="8"/>
      <c r="M644" s="8"/>
    </row>
    <row r="645">
      <c r="B645" s="8"/>
      <c r="G645" s="8"/>
      <c r="M645" s="8"/>
    </row>
    <row r="646">
      <c r="B646" s="8"/>
      <c r="G646" s="8"/>
      <c r="M646" s="8"/>
    </row>
    <row r="647">
      <c r="B647" s="8"/>
      <c r="G647" s="8"/>
      <c r="M647" s="8"/>
    </row>
    <row r="648">
      <c r="B648" s="8"/>
      <c r="G648" s="8"/>
      <c r="M648" s="8"/>
    </row>
    <row r="649">
      <c r="B649" s="8"/>
      <c r="G649" s="8"/>
      <c r="M649" s="8"/>
    </row>
    <row r="650">
      <c r="B650" s="8"/>
      <c r="G650" s="8"/>
      <c r="M650" s="8"/>
    </row>
    <row r="651">
      <c r="B651" s="8"/>
      <c r="G651" s="8"/>
      <c r="M651" s="8"/>
    </row>
    <row r="652">
      <c r="B652" s="8"/>
      <c r="G652" s="8"/>
      <c r="M652" s="8"/>
    </row>
    <row r="653">
      <c r="B653" s="8"/>
      <c r="G653" s="8"/>
      <c r="M653" s="8"/>
    </row>
    <row r="654">
      <c r="B654" s="8"/>
      <c r="G654" s="8"/>
      <c r="M654" s="8"/>
    </row>
    <row r="655">
      <c r="B655" s="8"/>
      <c r="G655" s="8"/>
      <c r="M655" s="8"/>
    </row>
    <row r="656">
      <c r="B656" s="8"/>
      <c r="G656" s="8"/>
      <c r="M656" s="8"/>
    </row>
    <row r="657">
      <c r="B657" s="8"/>
      <c r="G657" s="8"/>
      <c r="M657" s="8"/>
    </row>
    <row r="658">
      <c r="B658" s="8"/>
      <c r="G658" s="8"/>
      <c r="M658" s="8"/>
    </row>
    <row r="659">
      <c r="B659" s="8"/>
      <c r="G659" s="8"/>
      <c r="M659" s="8"/>
    </row>
    <row r="660">
      <c r="B660" s="8"/>
      <c r="G660" s="8"/>
      <c r="M660" s="8"/>
    </row>
    <row r="661">
      <c r="B661" s="8"/>
      <c r="G661" s="8"/>
      <c r="M661" s="8"/>
    </row>
    <row r="662">
      <c r="B662" s="8"/>
      <c r="G662" s="8"/>
      <c r="M662" s="8"/>
    </row>
    <row r="663">
      <c r="B663" s="8"/>
      <c r="G663" s="8"/>
      <c r="M663" s="8"/>
    </row>
    <row r="664">
      <c r="B664" s="8"/>
      <c r="G664" s="8"/>
      <c r="M664" s="8"/>
    </row>
    <row r="665">
      <c r="B665" s="8"/>
      <c r="G665" s="8"/>
      <c r="M665" s="8"/>
    </row>
    <row r="666">
      <c r="B666" s="8"/>
      <c r="G666" s="8"/>
      <c r="M666" s="8"/>
    </row>
    <row r="667">
      <c r="B667" s="8"/>
      <c r="G667" s="8"/>
      <c r="M667" s="8"/>
    </row>
    <row r="668">
      <c r="B668" s="8"/>
      <c r="G668" s="8"/>
      <c r="M668" s="8"/>
    </row>
    <row r="669">
      <c r="B669" s="8"/>
      <c r="G669" s="8"/>
      <c r="M669" s="8"/>
    </row>
    <row r="670">
      <c r="B670" s="8"/>
      <c r="G670" s="8"/>
      <c r="M670" s="8"/>
    </row>
    <row r="671">
      <c r="B671" s="8"/>
      <c r="G671" s="8"/>
      <c r="M671" s="8"/>
    </row>
    <row r="672">
      <c r="B672" s="8"/>
      <c r="G672" s="8"/>
      <c r="M672" s="8"/>
    </row>
    <row r="673">
      <c r="B673" s="8"/>
      <c r="G673" s="8"/>
      <c r="M673" s="8"/>
    </row>
    <row r="674">
      <c r="B674" s="8"/>
      <c r="G674" s="8"/>
      <c r="M674" s="8"/>
    </row>
    <row r="675">
      <c r="B675" s="8"/>
      <c r="G675" s="8"/>
      <c r="M675" s="8"/>
    </row>
    <row r="676">
      <c r="B676" s="8"/>
      <c r="G676" s="8"/>
      <c r="M676" s="8"/>
    </row>
    <row r="677">
      <c r="B677" s="8"/>
      <c r="G677" s="8"/>
      <c r="M677" s="8"/>
    </row>
    <row r="678">
      <c r="B678" s="8"/>
      <c r="G678" s="8"/>
      <c r="M678" s="8"/>
    </row>
    <row r="679">
      <c r="B679" s="8"/>
      <c r="G679" s="8"/>
      <c r="M679" s="8"/>
    </row>
    <row r="680">
      <c r="B680" s="8"/>
      <c r="G680" s="8"/>
      <c r="M680" s="8"/>
    </row>
    <row r="681">
      <c r="B681" s="8"/>
      <c r="G681" s="8"/>
      <c r="M681" s="8"/>
    </row>
    <row r="682">
      <c r="B682" s="8"/>
      <c r="G682" s="8"/>
      <c r="M682" s="8"/>
    </row>
    <row r="683">
      <c r="B683" s="8"/>
      <c r="G683" s="8"/>
      <c r="M683" s="8"/>
    </row>
    <row r="684">
      <c r="B684" s="8"/>
      <c r="G684" s="8"/>
      <c r="M684" s="8"/>
    </row>
    <row r="685">
      <c r="B685" s="8"/>
      <c r="G685" s="8"/>
      <c r="M685" s="8"/>
    </row>
    <row r="686">
      <c r="B686" s="8"/>
      <c r="G686" s="8"/>
      <c r="M686" s="8"/>
    </row>
    <row r="687">
      <c r="B687" s="8"/>
      <c r="G687" s="8"/>
      <c r="M687" s="8"/>
    </row>
    <row r="688">
      <c r="B688" s="8"/>
      <c r="G688" s="8"/>
      <c r="M688" s="8"/>
    </row>
    <row r="689">
      <c r="B689" s="8"/>
      <c r="G689" s="8"/>
      <c r="M689" s="8"/>
    </row>
    <row r="690">
      <c r="B690" s="8"/>
      <c r="G690" s="8"/>
      <c r="M690" s="8"/>
    </row>
    <row r="691">
      <c r="B691" s="8"/>
      <c r="G691" s="8"/>
      <c r="M691" s="8"/>
    </row>
    <row r="692">
      <c r="B692" s="8"/>
      <c r="G692" s="8"/>
      <c r="M692" s="8"/>
    </row>
    <row r="693">
      <c r="B693" s="8"/>
      <c r="G693" s="8"/>
      <c r="M693" s="8"/>
    </row>
    <row r="694">
      <c r="B694" s="8"/>
      <c r="G694" s="8"/>
      <c r="M694" s="8"/>
    </row>
    <row r="695">
      <c r="B695" s="8"/>
      <c r="G695" s="8"/>
      <c r="M695" s="8"/>
    </row>
    <row r="696">
      <c r="B696" s="8"/>
      <c r="G696" s="8"/>
      <c r="M696" s="8"/>
    </row>
    <row r="697">
      <c r="B697" s="8"/>
      <c r="G697" s="8"/>
      <c r="M697" s="8"/>
    </row>
    <row r="698">
      <c r="B698" s="8"/>
      <c r="G698" s="8"/>
      <c r="M698" s="8"/>
    </row>
    <row r="699">
      <c r="B699" s="8"/>
      <c r="G699" s="8"/>
      <c r="M699" s="8"/>
    </row>
    <row r="700">
      <c r="B700" s="8"/>
      <c r="G700" s="8"/>
      <c r="M700" s="8"/>
    </row>
    <row r="701">
      <c r="B701" s="8"/>
      <c r="G701" s="8"/>
      <c r="M701" s="8"/>
    </row>
    <row r="702">
      <c r="B702" s="8"/>
      <c r="G702" s="8"/>
      <c r="M702" s="8"/>
    </row>
    <row r="703">
      <c r="B703" s="8"/>
      <c r="G703" s="8"/>
      <c r="M703" s="8"/>
    </row>
    <row r="704">
      <c r="B704" s="8"/>
      <c r="G704" s="8"/>
      <c r="M704" s="8"/>
    </row>
    <row r="705">
      <c r="B705" s="8"/>
      <c r="G705" s="8"/>
      <c r="M705" s="8"/>
    </row>
    <row r="706">
      <c r="B706" s="8"/>
      <c r="G706" s="8"/>
      <c r="M706" s="8"/>
    </row>
    <row r="707">
      <c r="B707" s="8"/>
      <c r="G707" s="8"/>
      <c r="M707" s="8"/>
    </row>
    <row r="708">
      <c r="B708" s="8"/>
      <c r="G708" s="8"/>
      <c r="M708" s="8"/>
    </row>
    <row r="709">
      <c r="B709" s="8"/>
      <c r="G709" s="8"/>
      <c r="M709" s="8"/>
    </row>
    <row r="710">
      <c r="B710" s="8"/>
      <c r="G710" s="8"/>
      <c r="M710" s="8"/>
    </row>
    <row r="711">
      <c r="B711" s="8"/>
      <c r="G711" s="8"/>
      <c r="M711" s="8"/>
    </row>
    <row r="712">
      <c r="B712" s="8"/>
      <c r="G712" s="8"/>
      <c r="M712" s="8"/>
    </row>
    <row r="713">
      <c r="B713" s="8"/>
      <c r="G713" s="8"/>
      <c r="M713" s="8"/>
    </row>
    <row r="714">
      <c r="B714" s="8"/>
      <c r="G714" s="8"/>
      <c r="M714" s="8"/>
    </row>
    <row r="715">
      <c r="B715" s="8"/>
      <c r="G715" s="8"/>
      <c r="M715" s="8"/>
    </row>
    <row r="716">
      <c r="B716" s="8"/>
      <c r="G716" s="8"/>
      <c r="M716" s="8"/>
    </row>
    <row r="717">
      <c r="B717" s="8"/>
      <c r="G717" s="8"/>
      <c r="M717" s="8"/>
    </row>
    <row r="718">
      <c r="B718" s="8"/>
      <c r="G718" s="8"/>
      <c r="M718" s="8"/>
    </row>
    <row r="719">
      <c r="B719" s="8"/>
      <c r="G719" s="8"/>
      <c r="M719" s="8"/>
    </row>
    <row r="720">
      <c r="B720" s="8"/>
      <c r="G720" s="8"/>
      <c r="M720" s="8"/>
    </row>
    <row r="721">
      <c r="B721" s="8"/>
      <c r="G721" s="8"/>
      <c r="M721" s="8"/>
    </row>
    <row r="722">
      <c r="B722" s="8"/>
      <c r="G722" s="8"/>
      <c r="M722" s="8"/>
    </row>
    <row r="723">
      <c r="B723" s="8"/>
      <c r="G723" s="8"/>
      <c r="M723" s="8"/>
    </row>
    <row r="724">
      <c r="B724" s="8"/>
      <c r="G724" s="8"/>
      <c r="M724" s="8"/>
    </row>
    <row r="725">
      <c r="B725" s="8"/>
      <c r="G725" s="8"/>
      <c r="M725" s="8"/>
    </row>
    <row r="726">
      <c r="B726" s="8"/>
      <c r="G726" s="8"/>
      <c r="M726" s="8"/>
    </row>
    <row r="727">
      <c r="B727" s="8"/>
      <c r="G727" s="8"/>
      <c r="M727" s="8"/>
    </row>
    <row r="728">
      <c r="B728" s="8"/>
      <c r="G728" s="8"/>
      <c r="M728" s="8"/>
    </row>
    <row r="729">
      <c r="B729" s="8"/>
      <c r="G729" s="8"/>
      <c r="M729" s="8"/>
    </row>
    <row r="730">
      <c r="B730" s="8"/>
      <c r="G730" s="8"/>
      <c r="M730" s="8"/>
    </row>
    <row r="731">
      <c r="B731" s="8"/>
      <c r="G731" s="8"/>
      <c r="M731" s="8"/>
    </row>
    <row r="732">
      <c r="B732" s="8"/>
      <c r="G732" s="8"/>
      <c r="M732" s="8"/>
    </row>
    <row r="733">
      <c r="B733" s="8"/>
      <c r="G733" s="8"/>
      <c r="M733" s="8"/>
    </row>
    <row r="734">
      <c r="B734" s="8"/>
      <c r="G734" s="8"/>
      <c r="M734" s="8"/>
    </row>
    <row r="735">
      <c r="B735" s="8"/>
      <c r="G735" s="8"/>
      <c r="M735" s="8"/>
    </row>
    <row r="736">
      <c r="B736" s="8"/>
      <c r="G736" s="8"/>
      <c r="M736" s="8"/>
    </row>
    <row r="737">
      <c r="B737" s="8"/>
      <c r="G737" s="8"/>
      <c r="M737" s="8"/>
    </row>
    <row r="738">
      <c r="B738" s="8"/>
      <c r="G738" s="8"/>
      <c r="M738" s="8"/>
    </row>
    <row r="739">
      <c r="B739" s="8"/>
      <c r="G739" s="8"/>
      <c r="M739" s="8"/>
    </row>
    <row r="740">
      <c r="B740" s="8"/>
      <c r="G740" s="8"/>
      <c r="M740" s="8"/>
    </row>
    <row r="741">
      <c r="B741" s="8"/>
      <c r="G741" s="8"/>
      <c r="M741" s="8"/>
    </row>
    <row r="742">
      <c r="B742" s="8"/>
      <c r="G742" s="8"/>
      <c r="M742" s="8"/>
    </row>
    <row r="743">
      <c r="B743" s="8"/>
      <c r="G743" s="8"/>
      <c r="M743" s="8"/>
    </row>
    <row r="744">
      <c r="B744" s="8"/>
      <c r="G744" s="8"/>
      <c r="M744" s="8"/>
    </row>
    <row r="745">
      <c r="B745" s="8"/>
      <c r="G745" s="8"/>
      <c r="M745" s="8"/>
    </row>
    <row r="746">
      <c r="B746" s="8"/>
      <c r="G746" s="8"/>
      <c r="M746" s="8"/>
    </row>
    <row r="747">
      <c r="B747" s="8"/>
      <c r="G747" s="8"/>
      <c r="M747" s="8"/>
    </row>
    <row r="748">
      <c r="B748" s="8"/>
      <c r="G748" s="8"/>
      <c r="M748" s="8"/>
    </row>
    <row r="749">
      <c r="B749" s="8"/>
      <c r="G749" s="8"/>
      <c r="M749" s="8"/>
    </row>
    <row r="750">
      <c r="B750" s="8"/>
      <c r="G750" s="8"/>
      <c r="M750" s="8"/>
    </row>
    <row r="751">
      <c r="B751" s="8"/>
      <c r="G751" s="8"/>
      <c r="M751" s="8"/>
    </row>
    <row r="752">
      <c r="B752" s="8"/>
      <c r="G752" s="8"/>
      <c r="M752" s="8"/>
    </row>
    <row r="753">
      <c r="B753" s="8"/>
      <c r="G753" s="8"/>
      <c r="M753" s="8"/>
    </row>
    <row r="754">
      <c r="B754" s="8"/>
      <c r="G754" s="8"/>
      <c r="M754" s="8"/>
    </row>
    <row r="755">
      <c r="B755" s="8"/>
      <c r="G755" s="8"/>
      <c r="M755" s="8"/>
    </row>
    <row r="756">
      <c r="B756" s="8"/>
      <c r="G756" s="8"/>
      <c r="M756" s="8"/>
    </row>
    <row r="757">
      <c r="B757" s="8"/>
      <c r="G757" s="8"/>
      <c r="M757" s="8"/>
    </row>
    <row r="758">
      <c r="B758" s="8"/>
      <c r="G758" s="8"/>
      <c r="M758" s="8"/>
    </row>
    <row r="759">
      <c r="B759" s="8"/>
      <c r="G759" s="8"/>
      <c r="M759" s="8"/>
    </row>
    <row r="760">
      <c r="B760" s="8"/>
      <c r="G760" s="8"/>
      <c r="M760" s="8"/>
    </row>
    <row r="761">
      <c r="B761" s="8"/>
      <c r="G761" s="8"/>
      <c r="M761" s="8"/>
    </row>
    <row r="762">
      <c r="B762" s="8"/>
      <c r="G762" s="8"/>
      <c r="M762" s="8"/>
    </row>
    <row r="763">
      <c r="B763" s="8"/>
      <c r="G763" s="8"/>
      <c r="M763" s="8"/>
    </row>
    <row r="764">
      <c r="B764" s="8"/>
      <c r="G764" s="8"/>
      <c r="M764" s="8"/>
    </row>
    <row r="765">
      <c r="B765" s="8"/>
      <c r="G765" s="8"/>
      <c r="M765" s="8"/>
    </row>
    <row r="766">
      <c r="B766" s="8"/>
      <c r="G766" s="8"/>
      <c r="M766" s="8"/>
    </row>
    <row r="767">
      <c r="B767" s="8"/>
      <c r="G767" s="8"/>
      <c r="M767" s="8"/>
    </row>
    <row r="768">
      <c r="B768" s="8"/>
      <c r="G768" s="8"/>
      <c r="M768" s="8"/>
    </row>
    <row r="769">
      <c r="B769" s="8"/>
      <c r="G769" s="8"/>
      <c r="M769" s="8"/>
    </row>
    <row r="770">
      <c r="B770" s="8"/>
      <c r="G770" s="8"/>
      <c r="M770" s="8"/>
    </row>
    <row r="771">
      <c r="B771" s="8"/>
      <c r="G771" s="8"/>
      <c r="M771" s="8"/>
    </row>
    <row r="772">
      <c r="B772" s="8"/>
      <c r="G772" s="8"/>
      <c r="M772" s="8"/>
    </row>
    <row r="773">
      <c r="B773" s="8"/>
      <c r="G773" s="8"/>
      <c r="M773" s="8"/>
    </row>
    <row r="774">
      <c r="B774" s="8"/>
      <c r="G774" s="8"/>
      <c r="M774" s="8"/>
    </row>
    <row r="775">
      <c r="B775" s="8"/>
      <c r="G775" s="8"/>
      <c r="M775" s="8"/>
    </row>
    <row r="776">
      <c r="B776" s="8"/>
      <c r="G776" s="8"/>
      <c r="M776" s="8"/>
    </row>
    <row r="777">
      <c r="B777" s="8"/>
      <c r="G777" s="8"/>
      <c r="M777" s="8"/>
    </row>
    <row r="778">
      <c r="B778" s="8"/>
      <c r="G778" s="8"/>
      <c r="M778" s="8"/>
    </row>
    <row r="779">
      <c r="B779" s="8"/>
      <c r="G779" s="8"/>
      <c r="M779" s="8"/>
    </row>
    <row r="780">
      <c r="B780" s="8"/>
      <c r="G780" s="8"/>
      <c r="M780" s="8"/>
    </row>
    <row r="781">
      <c r="B781" s="8"/>
      <c r="G781" s="8"/>
      <c r="M781" s="8"/>
    </row>
    <row r="782">
      <c r="B782" s="8"/>
      <c r="G782" s="8"/>
      <c r="M782" s="8"/>
    </row>
    <row r="783">
      <c r="B783" s="8"/>
      <c r="G783" s="8"/>
      <c r="M783" s="8"/>
    </row>
    <row r="784">
      <c r="B784" s="8"/>
      <c r="G784" s="8"/>
      <c r="M784" s="8"/>
    </row>
    <row r="785">
      <c r="B785" s="8"/>
      <c r="G785" s="8"/>
      <c r="M785" s="8"/>
    </row>
    <row r="786">
      <c r="B786" s="8"/>
      <c r="G786" s="8"/>
      <c r="M786" s="8"/>
    </row>
    <row r="787">
      <c r="B787" s="8"/>
      <c r="G787" s="8"/>
      <c r="M787" s="8"/>
    </row>
    <row r="788">
      <c r="B788" s="8"/>
      <c r="G788" s="8"/>
      <c r="M788" s="8"/>
    </row>
    <row r="789">
      <c r="B789" s="8"/>
      <c r="G789" s="8"/>
      <c r="M789" s="8"/>
    </row>
    <row r="790">
      <c r="B790" s="8"/>
      <c r="G790" s="8"/>
      <c r="M790" s="8"/>
    </row>
    <row r="791">
      <c r="B791" s="8"/>
      <c r="G791" s="8"/>
      <c r="M791" s="8"/>
    </row>
    <row r="792">
      <c r="B792" s="8"/>
      <c r="G792" s="8"/>
      <c r="M792" s="8"/>
    </row>
    <row r="793">
      <c r="B793" s="8"/>
      <c r="G793" s="8"/>
      <c r="M793" s="8"/>
    </row>
    <row r="794">
      <c r="B794" s="8"/>
      <c r="G794" s="8"/>
      <c r="M794" s="8"/>
    </row>
    <row r="795">
      <c r="B795" s="8"/>
      <c r="G795" s="8"/>
      <c r="M795" s="8"/>
    </row>
    <row r="796">
      <c r="B796" s="8"/>
      <c r="G796" s="8"/>
      <c r="M796" s="8"/>
    </row>
    <row r="797">
      <c r="B797" s="8"/>
      <c r="G797" s="8"/>
      <c r="M797" s="8"/>
    </row>
    <row r="798">
      <c r="B798" s="8"/>
      <c r="G798" s="8"/>
      <c r="M798" s="8"/>
    </row>
    <row r="799">
      <c r="B799" s="8"/>
      <c r="G799" s="8"/>
      <c r="M799" s="8"/>
    </row>
    <row r="800">
      <c r="B800" s="8"/>
      <c r="G800" s="8"/>
      <c r="M800" s="8"/>
    </row>
    <row r="801">
      <c r="B801" s="8"/>
      <c r="G801" s="8"/>
      <c r="M801" s="8"/>
    </row>
    <row r="802">
      <c r="B802" s="8"/>
      <c r="G802" s="8"/>
      <c r="M802" s="8"/>
    </row>
    <row r="803">
      <c r="B803" s="8"/>
      <c r="G803" s="8"/>
      <c r="M803" s="8"/>
    </row>
    <row r="804">
      <c r="B804" s="8"/>
      <c r="G804" s="8"/>
      <c r="M804" s="8"/>
    </row>
    <row r="805">
      <c r="B805" s="8"/>
      <c r="G805" s="8"/>
      <c r="M805" s="8"/>
    </row>
    <row r="806">
      <c r="B806" s="8"/>
      <c r="G806" s="8"/>
      <c r="M806" s="8"/>
    </row>
    <row r="807">
      <c r="B807" s="8"/>
      <c r="G807" s="8"/>
      <c r="M807" s="8"/>
    </row>
    <row r="808">
      <c r="B808" s="8"/>
      <c r="G808" s="8"/>
      <c r="M808" s="8"/>
    </row>
    <row r="809">
      <c r="B809" s="8"/>
      <c r="G809" s="8"/>
      <c r="M809" s="8"/>
    </row>
    <row r="810">
      <c r="B810" s="8"/>
      <c r="G810" s="8"/>
      <c r="M810" s="8"/>
    </row>
    <row r="811">
      <c r="B811" s="8"/>
      <c r="G811" s="8"/>
      <c r="M811" s="8"/>
    </row>
    <row r="812">
      <c r="B812" s="8"/>
      <c r="G812" s="8"/>
      <c r="M812" s="8"/>
    </row>
    <row r="813">
      <c r="B813" s="8"/>
      <c r="G813" s="8"/>
      <c r="M813" s="8"/>
    </row>
    <row r="814">
      <c r="B814" s="8"/>
      <c r="G814" s="8"/>
      <c r="M814" s="8"/>
    </row>
    <row r="815">
      <c r="B815" s="8"/>
      <c r="G815" s="8"/>
      <c r="M815" s="8"/>
    </row>
    <row r="816">
      <c r="B816" s="8"/>
      <c r="G816" s="8"/>
      <c r="M816" s="8"/>
    </row>
    <row r="817">
      <c r="B817" s="8"/>
      <c r="G817" s="8"/>
      <c r="M817" s="8"/>
    </row>
    <row r="818">
      <c r="B818" s="8"/>
      <c r="G818" s="8"/>
      <c r="M818" s="8"/>
    </row>
    <row r="819">
      <c r="B819" s="8"/>
      <c r="G819" s="8"/>
      <c r="M819" s="8"/>
    </row>
    <row r="820">
      <c r="B820" s="8"/>
      <c r="G820" s="8"/>
      <c r="M820" s="8"/>
    </row>
    <row r="821">
      <c r="B821" s="8"/>
      <c r="G821" s="8"/>
      <c r="M821" s="8"/>
    </row>
    <row r="822">
      <c r="B822" s="8"/>
      <c r="G822" s="8"/>
      <c r="M822" s="8"/>
    </row>
    <row r="823">
      <c r="B823" s="8"/>
      <c r="G823" s="8"/>
      <c r="M823" s="8"/>
    </row>
    <row r="824">
      <c r="B824" s="8"/>
      <c r="G824" s="8"/>
      <c r="M824" s="8"/>
    </row>
    <row r="825">
      <c r="B825" s="8"/>
      <c r="G825" s="8"/>
      <c r="M825" s="8"/>
    </row>
    <row r="826">
      <c r="B826" s="8"/>
      <c r="G826" s="8"/>
      <c r="M826" s="8"/>
    </row>
    <row r="827">
      <c r="B827" s="8"/>
      <c r="G827" s="8"/>
      <c r="M827" s="8"/>
    </row>
    <row r="828">
      <c r="B828" s="8"/>
      <c r="G828" s="8"/>
      <c r="M828" s="8"/>
    </row>
    <row r="829">
      <c r="B829" s="8"/>
      <c r="G829" s="8"/>
      <c r="M829" s="8"/>
    </row>
    <row r="830">
      <c r="B830" s="8"/>
      <c r="G830" s="8"/>
      <c r="M830" s="8"/>
    </row>
    <row r="831">
      <c r="B831" s="8"/>
      <c r="G831" s="8"/>
      <c r="M831" s="8"/>
    </row>
    <row r="832">
      <c r="B832" s="8"/>
      <c r="G832" s="8"/>
      <c r="M832" s="8"/>
    </row>
    <row r="833">
      <c r="B833" s="8"/>
      <c r="G833" s="8"/>
      <c r="M833" s="8"/>
    </row>
    <row r="834">
      <c r="B834" s="8"/>
      <c r="G834" s="8"/>
      <c r="M834" s="8"/>
    </row>
    <row r="835">
      <c r="B835" s="8"/>
      <c r="G835" s="8"/>
      <c r="M835" s="8"/>
    </row>
    <row r="836">
      <c r="B836" s="8"/>
      <c r="G836" s="8"/>
      <c r="M836" s="8"/>
    </row>
    <row r="837">
      <c r="B837" s="8"/>
      <c r="G837" s="8"/>
      <c r="M837" s="8"/>
    </row>
    <row r="838">
      <c r="B838" s="8"/>
      <c r="G838" s="8"/>
      <c r="M838" s="8"/>
    </row>
    <row r="839">
      <c r="B839" s="8"/>
      <c r="G839" s="8"/>
      <c r="M839" s="8"/>
    </row>
    <row r="840">
      <c r="B840" s="8"/>
      <c r="G840" s="8"/>
      <c r="M840" s="8"/>
    </row>
    <row r="841">
      <c r="B841" s="8"/>
      <c r="G841" s="8"/>
      <c r="M841" s="8"/>
    </row>
    <row r="842">
      <c r="B842" s="8"/>
      <c r="G842" s="8"/>
      <c r="M842" s="8"/>
    </row>
    <row r="843">
      <c r="B843" s="8"/>
      <c r="G843" s="8"/>
      <c r="M843" s="8"/>
    </row>
    <row r="844">
      <c r="B844" s="8"/>
      <c r="G844" s="8"/>
      <c r="M844" s="8"/>
    </row>
    <row r="845">
      <c r="B845" s="8"/>
      <c r="G845" s="8"/>
      <c r="M845" s="8"/>
    </row>
    <row r="846">
      <c r="B846" s="8"/>
      <c r="G846" s="8"/>
      <c r="M846" s="8"/>
    </row>
    <row r="847">
      <c r="B847" s="8"/>
      <c r="G847" s="8"/>
      <c r="M847" s="8"/>
    </row>
    <row r="848">
      <c r="B848" s="8"/>
      <c r="G848" s="8"/>
      <c r="M848" s="8"/>
    </row>
    <row r="849">
      <c r="B849" s="8"/>
      <c r="G849" s="8"/>
      <c r="M849" s="8"/>
    </row>
    <row r="850">
      <c r="B850" s="8"/>
      <c r="G850" s="8"/>
      <c r="M850" s="8"/>
    </row>
    <row r="851">
      <c r="B851" s="8"/>
      <c r="G851" s="8"/>
      <c r="M851" s="8"/>
    </row>
    <row r="852">
      <c r="B852" s="8"/>
      <c r="G852" s="8"/>
      <c r="M852" s="8"/>
    </row>
    <row r="853">
      <c r="B853" s="8"/>
      <c r="G853" s="8"/>
      <c r="M853" s="8"/>
    </row>
    <row r="854">
      <c r="B854" s="8"/>
      <c r="G854" s="8"/>
      <c r="M854" s="8"/>
    </row>
    <row r="855">
      <c r="B855" s="8"/>
      <c r="G855" s="8"/>
      <c r="M855" s="8"/>
    </row>
    <row r="856">
      <c r="B856" s="8"/>
      <c r="G856" s="8"/>
      <c r="M856" s="8"/>
    </row>
    <row r="857">
      <c r="B857" s="8"/>
      <c r="G857" s="8"/>
      <c r="M857" s="8"/>
    </row>
    <row r="858">
      <c r="B858" s="8"/>
      <c r="G858" s="8"/>
      <c r="M858" s="8"/>
    </row>
    <row r="859">
      <c r="B859" s="8"/>
      <c r="G859" s="8"/>
      <c r="M859" s="8"/>
    </row>
    <row r="860">
      <c r="B860" s="8"/>
      <c r="G860" s="8"/>
      <c r="M860" s="8"/>
    </row>
    <row r="861">
      <c r="B861" s="8"/>
      <c r="G861" s="8"/>
      <c r="M861" s="8"/>
    </row>
    <row r="862">
      <c r="B862" s="8"/>
      <c r="G862" s="8"/>
      <c r="M862" s="8"/>
    </row>
    <row r="863">
      <c r="B863" s="8"/>
      <c r="G863" s="8"/>
      <c r="M863" s="8"/>
    </row>
    <row r="864">
      <c r="B864" s="8"/>
      <c r="G864" s="8"/>
      <c r="M864" s="8"/>
    </row>
    <row r="865">
      <c r="B865" s="8"/>
      <c r="G865" s="8"/>
      <c r="M865" s="8"/>
    </row>
    <row r="866">
      <c r="B866" s="8"/>
      <c r="G866" s="8"/>
      <c r="M866" s="8"/>
    </row>
    <row r="867">
      <c r="B867" s="8"/>
      <c r="G867" s="8"/>
      <c r="M867" s="8"/>
    </row>
    <row r="868">
      <c r="B868" s="8"/>
      <c r="G868" s="8"/>
      <c r="M868" s="8"/>
    </row>
    <row r="869">
      <c r="B869" s="8"/>
      <c r="G869" s="8"/>
      <c r="M869" s="8"/>
    </row>
    <row r="870">
      <c r="B870" s="8"/>
      <c r="G870" s="8"/>
      <c r="M870" s="8"/>
    </row>
    <row r="871">
      <c r="B871" s="8"/>
      <c r="G871" s="8"/>
      <c r="M871" s="8"/>
    </row>
    <row r="872">
      <c r="B872" s="8"/>
      <c r="G872" s="8"/>
      <c r="M872" s="8"/>
    </row>
    <row r="873">
      <c r="B873" s="8"/>
      <c r="G873" s="8"/>
      <c r="M873" s="8"/>
    </row>
    <row r="874">
      <c r="B874" s="8"/>
      <c r="G874" s="8"/>
      <c r="M874" s="8"/>
    </row>
    <row r="875">
      <c r="B875" s="8"/>
      <c r="G875" s="8"/>
      <c r="M875" s="8"/>
    </row>
    <row r="876">
      <c r="B876" s="8"/>
      <c r="G876" s="8"/>
      <c r="M876" s="8"/>
    </row>
    <row r="877">
      <c r="B877" s="8"/>
      <c r="G877" s="8"/>
      <c r="M877" s="8"/>
    </row>
    <row r="878">
      <c r="B878" s="8"/>
      <c r="G878" s="8"/>
      <c r="M878" s="8"/>
    </row>
    <row r="879">
      <c r="B879" s="8"/>
      <c r="G879" s="8"/>
      <c r="M879" s="8"/>
    </row>
    <row r="880">
      <c r="B880" s="8"/>
      <c r="G880" s="8"/>
      <c r="M880" s="8"/>
    </row>
    <row r="881">
      <c r="B881" s="8"/>
      <c r="G881" s="8"/>
      <c r="M881" s="8"/>
    </row>
    <row r="882">
      <c r="B882" s="8"/>
      <c r="G882" s="8"/>
      <c r="M882" s="8"/>
    </row>
    <row r="883">
      <c r="B883" s="8"/>
      <c r="G883" s="8"/>
      <c r="M883" s="8"/>
    </row>
    <row r="884">
      <c r="B884" s="8"/>
      <c r="G884" s="8"/>
      <c r="M884" s="8"/>
    </row>
    <row r="885">
      <c r="B885" s="8"/>
      <c r="G885" s="8"/>
      <c r="M885" s="8"/>
    </row>
    <row r="886">
      <c r="B886" s="8"/>
      <c r="G886" s="8"/>
      <c r="M886" s="8"/>
    </row>
    <row r="887">
      <c r="B887" s="8"/>
      <c r="G887" s="8"/>
      <c r="M887" s="8"/>
    </row>
    <row r="888">
      <c r="B888" s="8"/>
      <c r="G888" s="8"/>
      <c r="M888" s="8"/>
    </row>
    <row r="889">
      <c r="B889" s="8"/>
      <c r="G889" s="8"/>
      <c r="M889" s="8"/>
    </row>
    <row r="890">
      <c r="B890" s="8"/>
      <c r="G890" s="8"/>
      <c r="M890" s="8"/>
    </row>
    <row r="891">
      <c r="B891" s="8"/>
      <c r="G891" s="8"/>
      <c r="M891" s="8"/>
    </row>
    <row r="892">
      <c r="B892" s="8"/>
      <c r="G892" s="8"/>
      <c r="M892" s="8"/>
    </row>
    <row r="893">
      <c r="B893" s="8"/>
      <c r="G893" s="8"/>
      <c r="M893" s="8"/>
    </row>
    <row r="894">
      <c r="B894" s="8"/>
      <c r="G894" s="8"/>
      <c r="M894" s="8"/>
    </row>
    <row r="895">
      <c r="B895" s="8"/>
      <c r="G895" s="8"/>
      <c r="M895" s="8"/>
    </row>
    <row r="896">
      <c r="B896" s="8"/>
      <c r="G896" s="8"/>
      <c r="M896" s="8"/>
    </row>
    <row r="897">
      <c r="B897" s="8"/>
      <c r="G897" s="8"/>
      <c r="M897" s="8"/>
    </row>
    <row r="898">
      <c r="B898" s="8"/>
      <c r="G898" s="8"/>
      <c r="M898" s="8"/>
    </row>
    <row r="899">
      <c r="B899" s="8"/>
      <c r="G899" s="8"/>
      <c r="M899" s="8"/>
    </row>
    <row r="900">
      <c r="B900" s="8"/>
      <c r="G900" s="8"/>
      <c r="M900" s="8"/>
    </row>
    <row r="901">
      <c r="B901" s="8"/>
      <c r="G901" s="8"/>
      <c r="M901" s="8"/>
    </row>
    <row r="902">
      <c r="B902" s="8"/>
      <c r="G902" s="8"/>
      <c r="M902" s="8"/>
    </row>
    <row r="903">
      <c r="B903" s="8"/>
      <c r="G903" s="8"/>
      <c r="M903" s="8"/>
    </row>
    <row r="904">
      <c r="B904" s="8"/>
      <c r="G904" s="8"/>
      <c r="M904" s="8"/>
    </row>
    <row r="905">
      <c r="B905" s="8"/>
      <c r="G905" s="8"/>
      <c r="M905" s="8"/>
    </row>
    <row r="906">
      <c r="B906" s="8"/>
      <c r="G906" s="8"/>
      <c r="M906" s="8"/>
    </row>
    <row r="907">
      <c r="B907" s="8"/>
      <c r="G907" s="8"/>
      <c r="M907" s="8"/>
    </row>
    <row r="908">
      <c r="B908" s="8"/>
      <c r="G908" s="8"/>
      <c r="M908" s="8"/>
    </row>
    <row r="909">
      <c r="B909" s="8"/>
      <c r="G909" s="8"/>
      <c r="M909" s="8"/>
    </row>
    <row r="910">
      <c r="B910" s="8"/>
      <c r="G910" s="8"/>
      <c r="M910" s="8"/>
    </row>
    <row r="911">
      <c r="B911" s="8"/>
      <c r="G911" s="8"/>
      <c r="M911" s="8"/>
    </row>
    <row r="912">
      <c r="B912" s="8"/>
      <c r="G912" s="8"/>
      <c r="M912" s="8"/>
    </row>
    <row r="913">
      <c r="B913" s="8"/>
      <c r="G913" s="8"/>
      <c r="M913" s="8"/>
    </row>
    <row r="914">
      <c r="B914" s="8"/>
      <c r="G914" s="8"/>
      <c r="M914" s="8"/>
    </row>
    <row r="915">
      <c r="B915" s="8"/>
      <c r="G915" s="8"/>
      <c r="M915" s="8"/>
    </row>
    <row r="916">
      <c r="B916" s="8"/>
      <c r="G916" s="8"/>
      <c r="M916" s="8"/>
    </row>
    <row r="917">
      <c r="B917" s="8"/>
      <c r="G917" s="8"/>
      <c r="M917" s="8"/>
    </row>
    <row r="918">
      <c r="B918" s="8"/>
      <c r="G918" s="8"/>
      <c r="M918" s="8"/>
    </row>
    <row r="919">
      <c r="B919" s="8"/>
      <c r="G919" s="8"/>
      <c r="M919" s="8"/>
    </row>
    <row r="920">
      <c r="B920" s="8"/>
      <c r="G920" s="8"/>
      <c r="M920" s="8"/>
    </row>
    <row r="921">
      <c r="B921" s="8"/>
      <c r="G921" s="8"/>
      <c r="M921" s="8"/>
    </row>
    <row r="922">
      <c r="B922" s="8"/>
      <c r="G922" s="8"/>
      <c r="M922" s="8"/>
    </row>
    <row r="923">
      <c r="B923" s="8"/>
      <c r="G923" s="8"/>
      <c r="M923" s="8"/>
    </row>
    <row r="924">
      <c r="B924" s="8"/>
      <c r="G924" s="8"/>
      <c r="M924" s="8"/>
    </row>
    <row r="925">
      <c r="B925" s="8"/>
      <c r="G925" s="8"/>
      <c r="M925" s="8"/>
    </row>
    <row r="926">
      <c r="B926" s="8"/>
      <c r="G926" s="8"/>
      <c r="M926" s="8"/>
    </row>
    <row r="927">
      <c r="B927" s="8"/>
      <c r="G927" s="8"/>
      <c r="M927" s="8"/>
    </row>
    <row r="928">
      <c r="B928" s="8"/>
      <c r="G928" s="8"/>
      <c r="M928" s="8"/>
    </row>
    <row r="929">
      <c r="B929" s="8"/>
      <c r="G929" s="8"/>
      <c r="M929" s="8"/>
    </row>
    <row r="930">
      <c r="B930" s="8"/>
      <c r="G930" s="8"/>
      <c r="M930" s="8"/>
    </row>
    <row r="931">
      <c r="B931" s="8"/>
      <c r="G931" s="8"/>
      <c r="M931" s="8"/>
    </row>
    <row r="932">
      <c r="B932" s="8"/>
      <c r="G932" s="8"/>
      <c r="M932" s="8"/>
    </row>
    <row r="933">
      <c r="B933" s="8"/>
      <c r="G933" s="8"/>
      <c r="M933" s="8"/>
    </row>
    <row r="934">
      <c r="B934" s="8"/>
      <c r="G934" s="8"/>
      <c r="M934" s="8"/>
    </row>
    <row r="935">
      <c r="B935" s="8"/>
      <c r="G935" s="8"/>
      <c r="M935" s="8"/>
    </row>
    <row r="936">
      <c r="B936" s="8"/>
      <c r="G936" s="8"/>
      <c r="M936" s="8"/>
    </row>
    <row r="937">
      <c r="B937" s="8"/>
      <c r="G937" s="8"/>
      <c r="M937" s="8"/>
    </row>
    <row r="938">
      <c r="B938" s="8"/>
      <c r="G938" s="8"/>
      <c r="M938" s="8"/>
    </row>
    <row r="939">
      <c r="B939" s="8"/>
      <c r="G939" s="8"/>
      <c r="M939" s="8"/>
    </row>
    <row r="940">
      <c r="B940" s="8"/>
      <c r="G940" s="8"/>
      <c r="M940" s="8"/>
    </row>
    <row r="941">
      <c r="B941" s="8"/>
      <c r="G941" s="8"/>
      <c r="M941" s="8"/>
    </row>
    <row r="942">
      <c r="B942" s="8"/>
      <c r="G942" s="8"/>
      <c r="M942" s="8"/>
    </row>
    <row r="943">
      <c r="B943" s="8"/>
      <c r="G943" s="8"/>
      <c r="M943" s="8"/>
    </row>
    <row r="944">
      <c r="B944" s="8"/>
      <c r="G944" s="8"/>
      <c r="M944" s="8"/>
    </row>
    <row r="945">
      <c r="B945" s="8"/>
      <c r="G945" s="8"/>
      <c r="M945" s="8"/>
    </row>
    <row r="946">
      <c r="B946" s="8"/>
      <c r="G946" s="8"/>
      <c r="M946" s="8"/>
    </row>
    <row r="947">
      <c r="B947" s="8"/>
      <c r="G947" s="8"/>
      <c r="M947" s="8"/>
    </row>
    <row r="948">
      <c r="B948" s="8"/>
      <c r="G948" s="8"/>
      <c r="M948" s="8"/>
    </row>
    <row r="949">
      <c r="B949" s="8"/>
      <c r="G949" s="8"/>
      <c r="M949" s="8"/>
    </row>
    <row r="950">
      <c r="B950" s="8"/>
      <c r="G950" s="8"/>
      <c r="M950" s="8"/>
    </row>
    <row r="951">
      <c r="B951" s="8"/>
      <c r="G951" s="8"/>
      <c r="M951" s="8"/>
    </row>
    <row r="952">
      <c r="B952" s="8"/>
      <c r="G952" s="8"/>
      <c r="M952" s="8"/>
    </row>
    <row r="953">
      <c r="B953" s="8"/>
      <c r="G953" s="8"/>
      <c r="M953" s="8"/>
    </row>
    <row r="954">
      <c r="B954" s="8"/>
      <c r="G954" s="8"/>
      <c r="M954" s="8"/>
    </row>
    <row r="955">
      <c r="B955" s="8"/>
      <c r="G955" s="8"/>
      <c r="M955" s="8"/>
    </row>
    <row r="956">
      <c r="B956" s="8"/>
      <c r="G956" s="8"/>
      <c r="M956" s="8"/>
    </row>
    <row r="957">
      <c r="B957" s="8"/>
      <c r="G957" s="8"/>
      <c r="M957" s="8"/>
    </row>
    <row r="958">
      <c r="B958" s="8"/>
      <c r="G958" s="8"/>
      <c r="M958" s="8"/>
    </row>
    <row r="959">
      <c r="B959" s="8"/>
      <c r="G959" s="8"/>
      <c r="M959" s="8"/>
    </row>
    <row r="960">
      <c r="B960" s="8"/>
      <c r="G960" s="8"/>
      <c r="M960" s="8"/>
    </row>
    <row r="961">
      <c r="B961" s="8"/>
      <c r="G961" s="8"/>
      <c r="M961" s="8"/>
    </row>
    <row r="962">
      <c r="B962" s="8"/>
      <c r="G962" s="8"/>
      <c r="M962" s="8"/>
    </row>
    <row r="963">
      <c r="B963" s="8"/>
      <c r="G963" s="8"/>
      <c r="M963" s="8"/>
    </row>
    <row r="964">
      <c r="B964" s="8"/>
      <c r="G964" s="8"/>
      <c r="M964" s="8"/>
    </row>
    <row r="965">
      <c r="B965" s="8"/>
      <c r="G965" s="8"/>
      <c r="M965" s="8"/>
    </row>
    <row r="966">
      <c r="B966" s="8"/>
      <c r="G966" s="8"/>
      <c r="M966" s="8"/>
    </row>
    <row r="967">
      <c r="B967" s="8"/>
      <c r="G967" s="8"/>
      <c r="M967" s="8"/>
    </row>
    <row r="968">
      <c r="B968" s="8"/>
      <c r="G968" s="8"/>
      <c r="M968" s="8"/>
    </row>
    <row r="969">
      <c r="B969" s="8"/>
      <c r="G969" s="8"/>
      <c r="M969" s="8"/>
    </row>
    <row r="970">
      <c r="B970" s="8"/>
      <c r="G970" s="8"/>
      <c r="M970" s="8"/>
    </row>
    <row r="971">
      <c r="B971" s="8"/>
      <c r="G971" s="8"/>
      <c r="M971" s="8"/>
    </row>
    <row r="972">
      <c r="B972" s="8"/>
      <c r="G972" s="8"/>
      <c r="M972" s="8"/>
    </row>
    <row r="973">
      <c r="B973" s="8"/>
      <c r="G973" s="8"/>
      <c r="M973" s="8"/>
    </row>
    <row r="974">
      <c r="B974" s="8"/>
      <c r="G974" s="8"/>
      <c r="M974" s="8"/>
    </row>
    <row r="975">
      <c r="B975" s="8"/>
      <c r="G975" s="8"/>
      <c r="M975" s="8"/>
    </row>
    <row r="976">
      <c r="B976" s="8"/>
      <c r="G976" s="8"/>
      <c r="M976" s="8"/>
    </row>
    <row r="977">
      <c r="B977" s="8"/>
      <c r="G977" s="8"/>
      <c r="M977" s="8"/>
    </row>
    <row r="978">
      <c r="B978" s="8"/>
      <c r="G978" s="8"/>
      <c r="M978" s="8"/>
    </row>
    <row r="979">
      <c r="B979" s="8"/>
      <c r="G979" s="8"/>
      <c r="M979" s="8"/>
    </row>
    <row r="980">
      <c r="B980" s="8"/>
      <c r="G980" s="8"/>
      <c r="M980" s="8"/>
    </row>
    <row r="981">
      <c r="B981" s="8"/>
      <c r="G981" s="8"/>
      <c r="M981" s="8"/>
    </row>
    <row r="982">
      <c r="B982" s="8"/>
      <c r="G982" s="8"/>
      <c r="M982" s="8"/>
    </row>
    <row r="983">
      <c r="B983" s="8"/>
      <c r="G983" s="8"/>
      <c r="M983" s="8"/>
    </row>
    <row r="984">
      <c r="B984" s="8"/>
      <c r="G984" s="8"/>
      <c r="M984" s="8"/>
    </row>
    <row r="985">
      <c r="B985" s="8"/>
      <c r="G985" s="8"/>
      <c r="M985" s="8"/>
    </row>
    <row r="986">
      <c r="B986" s="8"/>
      <c r="G986" s="8"/>
      <c r="M986" s="8"/>
    </row>
    <row r="987">
      <c r="B987" s="8"/>
      <c r="G987" s="8"/>
      <c r="M987" s="8"/>
    </row>
    <row r="988">
      <c r="B988" s="8"/>
      <c r="G988" s="8"/>
      <c r="M988" s="8"/>
    </row>
    <row r="989">
      <c r="B989" s="8"/>
      <c r="G989" s="8"/>
      <c r="M989" s="8"/>
    </row>
    <row r="990">
      <c r="B990" s="8"/>
      <c r="G990" s="8"/>
      <c r="M990" s="8"/>
    </row>
    <row r="991">
      <c r="B991" s="8"/>
      <c r="G991" s="8"/>
      <c r="M991" s="8"/>
    </row>
    <row r="992">
      <c r="B992" s="8"/>
      <c r="G992" s="8"/>
      <c r="M992" s="8"/>
    </row>
    <row r="993">
      <c r="B993" s="8"/>
      <c r="G993" s="8"/>
      <c r="M993" s="8"/>
    </row>
    <row r="994">
      <c r="B994" s="8"/>
      <c r="G994" s="8"/>
      <c r="M994" s="8"/>
    </row>
    <row r="995">
      <c r="B995" s="8"/>
      <c r="G995" s="8"/>
      <c r="M995" s="8"/>
    </row>
    <row r="996">
      <c r="B996" s="8"/>
      <c r="G996" s="8"/>
      <c r="M996" s="8"/>
    </row>
    <row r="997">
      <c r="B997" s="8"/>
      <c r="G997" s="8"/>
      <c r="M997" s="8"/>
    </row>
    <row r="998">
      <c r="B998" s="8"/>
      <c r="G998" s="8"/>
      <c r="M998" s="8"/>
    </row>
    <row r="999">
      <c r="B999" s="8"/>
      <c r="G999" s="8"/>
      <c r="M999" s="8"/>
    </row>
    <row r="1000">
      <c r="B1000" s="8"/>
      <c r="G1000" s="8"/>
      <c r="M1000" s="8"/>
    </row>
    <row r="1001">
      <c r="B1001" s="8"/>
      <c r="G1001" s="8"/>
      <c r="M1001" s="8"/>
    </row>
    <row r="1002">
      <c r="B1002" s="8"/>
      <c r="G1002" s="8"/>
      <c r="M1002" s="8"/>
    </row>
    <row r="1003">
      <c r="B1003" s="8"/>
      <c r="G1003" s="8"/>
      <c r="M1003" s="8"/>
    </row>
    <row r="1004">
      <c r="B1004" s="8"/>
      <c r="G1004" s="8"/>
      <c r="M1004" s="8"/>
    </row>
    <row r="1005">
      <c r="B1005" s="8"/>
      <c r="G1005" s="8"/>
      <c r="M1005" s="8"/>
    </row>
    <row r="1006">
      <c r="B1006" s="8"/>
      <c r="G1006" s="8"/>
      <c r="M1006" s="8"/>
    </row>
    <row r="1007">
      <c r="B1007" s="8"/>
      <c r="G1007" s="8"/>
      <c r="M1007" s="8"/>
    </row>
    <row r="1008">
      <c r="B1008" s="8"/>
      <c r="G1008" s="8"/>
      <c r="M1008" s="8"/>
    </row>
    <row r="1009">
      <c r="B1009" s="8"/>
      <c r="G1009" s="8"/>
      <c r="M1009" s="8"/>
    </row>
    <row r="1010">
      <c r="B1010" s="8"/>
      <c r="G1010" s="8"/>
      <c r="M1010" s="8"/>
    </row>
    <row r="1011">
      <c r="B1011" s="8"/>
      <c r="G1011" s="8"/>
      <c r="M1011" s="8"/>
    </row>
    <row r="1012">
      <c r="B1012" s="8"/>
      <c r="G1012" s="8"/>
      <c r="M1012" s="8"/>
    </row>
    <row r="1013">
      <c r="B1013" s="8"/>
      <c r="G1013" s="8"/>
      <c r="M1013" s="8"/>
    </row>
    <row r="1014">
      <c r="B1014" s="8"/>
      <c r="G1014" s="8"/>
      <c r="M1014" s="8"/>
    </row>
    <row r="1015">
      <c r="B1015" s="8"/>
      <c r="G1015" s="8"/>
      <c r="M1015" s="8"/>
    </row>
    <row r="1016">
      <c r="B1016" s="8"/>
      <c r="G1016" s="8"/>
      <c r="M1016" s="8"/>
    </row>
    <row r="1017">
      <c r="B1017" s="8"/>
      <c r="G1017" s="8"/>
      <c r="M1017" s="8"/>
    </row>
    <row r="1018">
      <c r="B1018" s="8"/>
      <c r="G1018" s="8"/>
      <c r="M1018" s="8"/>
    </row>
    <row r="1019">
      <c r="B1019" s="8"/>
      <c r="G1019" s="8"/>
      <c r="M1019" s="8"/>
    </row>
    <row r="1020">
      <c r="B1020" s="8"/>
      <c r="G1020" s="8"/>
      <c r="M1020" s="8"/>
    </row>
    <row r="1021">
      <c r="B1021" s="8"/>
      <c r="G1021" s="8"/>
      <c r="M1021" s="8"/>
    </row>
    <row r="1022">
      <c r="B1022" s="8"/>
      <c r="G1022" s="8"/>
      <c r="M1022" s="8"/>
    </row>
    <row r="1023">
      <c r="B1023" s="8"/>
      <c r="G1023" s="8"/>
      <c r="M1023" s="8"/>
    </row>
    <row r="1024">
      <c r="B1024" s="8"/>
      <c r="G1024" s="8"/>
      <c r="M1024" s="8"/>
    </row>
    <row r="1025">
      <c r="B1025" s="8"/>
      <c r="G1025" s="8"/>
      <c r="M1025" s="8"/>
    </row>
    <row r="1026">
      <c r="B1026" s="8"/>
      <c r="G1026" s="8"/>
      <c r="M1026" s="8"/>
    </row>
    <row r="1027">
      <c r="B1027" s="8"/>
      <c r="G1027" s="8"/>
      <c r="M1027" s="8"/>
    </row>
    <row r="1028">
      <c r="B1028" s="8"/>
      <c r="G1028" s="8"/>
      <c r="M1028" s="8"/>
    </row>
    <row r="1029">
      <c r="B1029" s="8"/>
      <c r="G1029" s="8"/>
      <c r="M1029" s="8"/>
    </row>
    <row r="1030">
      <c r="B1030" s="8"/>
      <c r="G1030" s="8"/>
      <c r="M1030" s="8"/>
    </row>
    <row r="1031">
      <c r="B1031" s="8"/>
      <c r="G1031" s="8"/>
      <c r="M1031" s="8"/>
    </row>
    <row r="1032">
      <c r="B1032" s="8"/>
      <c r="G1032" s="8"/>
      <c r="M1032" s="8"/>
    </row>
    <row r="1033">
      <c r="B1033" s="8"/>
      <c r="G1033" s="8"/>
      <c r="M1033" s="8"/>
    </row>
    <row r="1034">
      <c r="B1034" s="8"/>
      <c r="G1034" s="8"/>
      <c r="M1034" s="8"/>
    </row>
    <row r="1035">
      <c r="B1035" s="8"/>
      <c r="G1035" s="8"/>
      <c r="M1035" s="8"/>
    </row>
    <row r="1036">
      <c r="B1036" s="8"/>
      <c r="G1036" s="8"/>
      <c r="M1036" s="8"/>
    </row>
    <row r="1037">
      <c r="B1037" s="8"/>
      <c r="G1037" s="8"/>
      <c r="M1037" s="8"/>
    </row>
    <row r="1038">
      <c r="B1038" s="8"/>
      <c r="G1038" s="8"/>
      <c r="M1038" s="8"/>
    </row>
    <row r="1039">
      <c r="B1039" s="8"/>
      <c r="G1039" s="8"/>
      <c r="M1039" s="8"/>
    </row>
    <row r="1040">
      <c r="B1040" s="8"/>
      <c r="G1040" s="8"/>
      <c r="M1040" s="8"/>
    </row>
    <row r="1041">
      <c r="B1041" s="8"/>
      <c r="G1041" s="8"/>
      <c r="M1041" s="8"/>
    </row>
    <row r="1042">
      <c r="B1042" s="8"/>
      <c r="G1042" s="8"/>
      <c r="M1042" s="8"/>
    </row>
    <row r="1043">
      <c r="B1043" s="8"/>
      <c r="G1043" s="8"/>
      <c r="M1043" s="8"/>
    </row>
    <row r="1044">
      <c r="B1044" s="8"/>
      <c r="G1044" s="8"/>
      <c r="M1044" s="8"/>
    </row>
    <row r="1045">
      <c r="B1045" s="8"/>
      <c r="G1045" s="8"/>
      <c r="M1045" s="8"/>
    </row>
    <row r="1046">
      <c r="B1046" s="8"/>
      <c r="G1046" s="8"/>
      <c r="M1046" s="8"/>
    </row>
    <row r="1047">
      <c r="B1047" s="8"/>
      <c r="G1047" s="8"/>
      <c r="M1047" s="8"/>
    </row>
    <row r="1048">
      <c r="B1048" s="8"/>
      <c r="G1048" s="8"/>
      <c r="M1048" s="8"/>
    </row>
    <row r="1049">
      <c r="B1049" s="8"/>
      <c r="G1049" s="8"/>
      <c r="M1049" s="8"/>
    </row>
    <row r="1050">
      <c r="B1050" s="8"/>
      <c r="G1050" s="8"/>
      <c r="M1050" s="8"/>
    </row>
    <row r="1051">
      <c r="B1051" s="8"/>
      <c r="G1051" s="8"/>
      <c r="M1051" s="8"/>
    </row>
    <row r="1052">
      <c r="B1052" s="8"/>
      <c r="G1052" s="8"/>
      <c r="M1052" s="8"/>
    </row>
    <row r="1053">
      <c r="B1053" s="8"/>
      <c r="G1053" s="8"/>
      <c r="M1053" s="8"/>
    </row>
    <row r="1054">
      <c r="B1054" s="8"/>
      <c r="G1054" s="8"/>
      <c r="M1054" s="8"/>
    </row>
    <row r="1055">
      <c r="B1055" s="8"/>
      <c r="G1055" s="8"/>
      <c r="M1055" s="8"/>
    </row>
    <row r="1056">
      <c r="B1056" s="8"/>
      <c r="G1056" s="8"/>
      <c r="M1056" s="8"/>
    </row>
    <row r="1057">
      <c r="B1057" s="8"/>
      <c r="G1057" s="8"/>
      <c r="M1057" s="8"/>
    </row>
    <row r="1058">
      <c r="B1058" s="8"/>
      <c r="G1058" s="8"/>
      <c r="M1058" s="8"/>
    </row>
    <row r="1059">
      <c r="B1059" s="8"/>
      <c r="G1059" s="8"/>
      <c r="M1059" s="8"/>
    </row>
    <row r="1060">
      <c r="B1060" s="8"/>
      <c r="G1060" s="8"/>
      <c r="M1060" s="8"/>
    </row>
    <row r="1061">
      <c r="B1061" s="8"/>
      <c r="G1061" s="8"/>
      <c r="M1061" s="8"/>
    </row>
    <row r="1062">
      <c r="B1062" s="8"/>
      <c r="G1062" s="8"/>
      <c r="M1062" s="8"/>
    </row>
    <row r="1063">
      <c r="B1063" s="8"/>
      <c r="G1063" s="8"/>
      <c r="M1063" s="8"/>
    </row>
    <row r="1064">
      <c r="B1064" s="8"/>
      <c r="G1064" s="8"/>
      <c r="M1064" s="8"/>
    </row>
    <row r="1065">
      <c r="B1065" s="8"/>
      <c r="G1065" s="8"/>
      <c r="M1065" s="8"/>
    </row>
    <row r="1066">
      <c r="B1066" s="8"/>
      <c r="G1066" s="8"/>
      <c r="M1066" s="8"/>
    </row>
    <row r="1067">
      <c r="B1067" s="8"/>
      <c r="G1067" s="8"/>
      <c r="M1067" s="8"/>
    </row>
    <row r="1068">
      <c r="B1068" s="8"/>
      <c r="G1068" s="8"/>
      <c r="M1068" s="8"/>
    </row>
    <row r="1069">
      <c r="B1069" s="8"/>
      <c r="G1069" s="8"/>
      <c r="M1069" s="8"/>
    </row>
    <row r="1070">
      <c r="B1070" s="8"/>
      <c r="G1070" s="8"/>
      <c r="M1070" s="8"/>
    </row>
    <row r="1071">
      <c r="B1071" s="8"/>
      <c r="G1071" s="8"/>
      <c r="M1071" s="8"/>
    </row>
    <row r="1072">
      <c r="B1072" s="8"/>
      <c r="G1072" s="8"/>
      <c r="M1072" s="8"/>
    </row>
    <row r="1073">
      <c r="B1073" s="8"/>
      <c r="G1073" s="8"/>
      <c r="M1073" s="8"/>
    </row>
    <row r="1074">
      <c r="B1074" s="8"/>
      <c r="G1074" s="8"/>
      <c r="M1074" s="8"/>
    </row>
    <row r="1075">
      <c r="B1075" s="8"/>
      <c r="G1075" s="8"/>
      <c r="M1075" s="8"/>
    </row>
    <row r="1076">
      <c r="B1076" s="8"/>
      <c r="G1076" s="8"/>
      <c r="M1076" s="8"/>
    </row>
    <row r="1077">
      <c r="B1077" s="8"/>
      <c r="G1077" s="8"/>
      <c r="M1077" s="8"/>
    </row>
    <row r="1078">
      <c r="B1078" s="8"/>
      <c r="G1078" s="8"/>
      <c r="M1078" s="8"/>
    </row>
    <row r="1079">
      <c r="B1079" s="8"/>
      <c r="G1079" s="8"/>
      <c r="M1079" s="8"/>
    </row>
    <row r="1080">
      <c r="B1080" s="8"/>
      <c r="G1080" s="8"/>
      <c r="M1080" s="8"/>
    </row>
    <row r="1081">
      <c r="B1081" s="8"/>
      <c r="G1081" s="8"/>
      <c r="M1081" s="8"/>
    </row>
    <row r="1082">
      <c r="B1082" s="8"/>
      <c r="G1082" s="8"/>
      <c r="M1082" s="8"/>
    </row>
    <row r="1083">
      <c r="B1083" s="8"/>
      <c r="G1083" s="8"/>
      <c r="M1083" s="8"/>
    </row>
    <row r="1084">
      <c r="B1084" s="8"/>
      <c r="G1084" s="8"/>
      <c r="M1084" s="8"/>
    </row>
    <row r="1085">
      <c r="B1085" s="8"/>
      <c r="G1085" s="8"/>
      <c r="M1085" s="8"/>
    </row>
    <row r="1086">
      <c r="B1086" s="8"/>
      <c r="G1086" s="8"/>
      <c r="M1086" s="8"/>
    </row>
    <row r="1087">
      <c r="B1087" s="8"/>
      <c r="G1087" s="8"/>
      <c r="M1087" s="8"/>
    </row>
    <row r="1088">
      <c r="B1088" s="8"/>
      <c r="G1088" s="8"/>
      <c r="M1088" s="8"/>
    </row>
    <row r="1089">
      <c r="B1089" s="8"/>
      <c r="G1089" s="8"/>
      <c r="M1089" s="8"/>
    </row>
    <row r="1090">
      <c r="B1090" s="8"/>
      <c r="G1090" s="8"/>
      <c r="M1090" s="8"/>
    </row>
    <row r="1091">
      <c r="B1091" s="8"/>
      <c r="G1091" s="8"/>
      <c r="M1091" s="8"/>
    </row>
    <row r="1092">
      <c r="B1092" s="8"/>
      <c r="G1092" s="8"/>
      <c r="M1092" s="8"/>
    </row>
    <row r="1093">
      <c r="B1093" s="8"/>
      <c r="G1093" s="8"/>
      <c r="M1093" s="8"/>
    </row>
    <row r="1094">
      <c r="B1094" s="8"/>
      <c r="G1094" s="8"/>
      <c r="M1094" s="8"/>
    </row>
    <row r="1095">
      <c r="B1095" s="8"/>
      <c r="G1095" s="8"/>
      <c r="M1095" s="8"/>
    </row>
    <row r="1096">
      <c r="B1096" s="8"/>
      <c r="G1096" s="8"/>
      <c r="M1096" s="8"/>
    </row>
    <row r="1097">
      <c r="B1097" s="8"/>
      <c r="G1097" s="8"/>
      <c r="M1097" s="8"/>
    </row>
    <row r="1098">
      <c r="B1098" s="8"/>
      <c r="G1098" s="8"/>
      <c r="M1098" s="8"/>
    </row>
    <row r="1099">
      <c r="B1099" s="8"/>
      <c r="G1099" s="8"/>
      <c r="M1099" s="8"/>
    </row>
    <row r="1100">
      <c r="B1100" s="8"/>
      <c r="G1100" s="8"/>
      <c r="M1100" s="8"/>
    </row>
    <row r="1101">
      <c r="B1101" s="8"/>
      <c r="G1101" s="8"/>
      <c r="M1101" s="8"/>
    </row>
    <row r="1102">
      <c r="B1102" s="8"/>
      <c r="G1102" s="8"/>
      <c r="M1102" s="8"/>
    </row>
    <row r="1103">
      <c r="B1103" s="8"/>
      <c r="G1103" s="8"/>
      <c r="M1103" s="8"/>
    </row>
    <row r="1104">
      <c r="B1104" s="8"/>
      <c r="G1104" s="8"/>
      <c r="M1104" s="8"/>
    </row>
    <row r="1105">
      <c r="B1105" s="8"/>
      <c r="G1105" s="8"/>
      <c r="M1105" s="8"/>
    </row>
    <row r="1106">
      <c r="B1106" s="8"/>
      <c r="G1106" s="8"/>
      <c r="M1106" s="8"/>
    </row>
    <row r="1107">
      <c r="B1107" s="8"/>
      <c r="G1107" s="8"/>
      <c r="M1107" s="8"/>
    </row>
    <row r="1108">
      <c r="B1108" s="8"/>
      <c r="G1108" s="8"/>
      <c r="M1108" s="8"/>
    </row>
    <row r="1109">
      <c r="B1109" s="8"/>
      <c r="G1109" s="8"/>
      <c r="M1109" s="8"/>
    </row>
    <row r="1110">
      <c r="B1110" s="8"/>
      <c r="G1110" s="8"/>
      <c r="M1110" s="8"/>
    </row>
    <row r="1111">
      <c r="B1111" s="8"/>
      <c r="G1111" s="8"/>
      <c r="M1111" s="8"/>
    </row>
    <row r="1112">
      <c r="B1112" s="8"/>
      <c r="G1112" s="8"/>
      <c r="M1112" s="8"/>
    </row>
    <row r="1113">
      <c r="B1113" s="8"/>
      <c r="G1113" s="8"/>
      <c r="M1113" s="8"/>
    </row>
    <row r="1114">
      <c r="B1114" s="8"/>
      <c r="G1114" s="8"/>
      <c r="M1114" s="8"/>
    </row>
    <row r="1115">
      <c r="B1115" s="8"/>
      <c r="G1115" s="8"/>
      <c r="M1115" s="8"/>
    </row>
    <row r="1116">
      <c r="B1116" s="8"/>
      <c r="G1116" s="8"/>
      <c r="M1116" s="8"/>
    </row>
    <row r="1117">
      <c r="B1117" s="8"/>
      <c r="G1117" s="8"/>
      <c r="M1117" s="8"/>
    </row>
    <row r="1118">
      <c r="B1118" s="8"/>
      <c r="G1118" s="8"/>
      <c r="M1118" s="8"/>
    </row>
    <row r="1119">
      <c r="B1119" s="8"/>
      <c r="G1119" s="8"/>
      <c r="M1119" s="8"/>
    </row>
    <row r="1120">
      <c r="B1120" s="8"/>
      <c r="G1120" s="8"/>
      <c r="M1120" s="8"/>
    </row>
    <row r="1121">
      <c r="B1121" s="8"/>
      <c r="G1121" s="8"/>
      <c r="M1121" s="8"/>
    </row>
    <row r="1122">
      <c r="B1122" s="8"/>
      <c r="G1122" s="8"/>
      <c r="M1122" s="8"/>
    </row>
    <row r="1123">
      <c r="B1123" s="8"/>
      <c r="G1123" s="8"/>
      <c r="M1123" s="8"/>
    </row>
    <row r="1124">
      <c r="B1124" s="8"/>
      <c r="G1124" s="8"/>
      <c r="M1124" s="8"/>
    </row>
    <row r="1125">
      <c r="B1125" s="8"/>
      <c r="G1125" s="8"/>
      <c r="M1125" s="8"/>
    </row>
    <row r="1126">
      <c r="B1126" s="8"/>
      <c r="G1126" s="8"/>
      <c r="M1126" s="8"/>
    </row>
    <row r="1127">
      <c r="B1127" s="8"/>
      <c r="G1127" s="8"/>
      <c r="M1127" s="8"/>
    </row>
    <row r="1128">
      <c r="B1128" s="8"/>
      <c r="G1128" s="8"/>
      <c r="M1128" s="8"/>
    </row>
    <row r="1129">
      <c r="B1129" s="8"/>
      <c r="G1129" s="8"/>
      <c r="M1129" s="8"/>
    </row>
    <row r="1130">
      <c r="B1130" s="8"/>
      <c r="G1130" s="8"/>
      <c r="M1130" s="8"/>
    </row>
    <row r="1131">
      <c r="B1131" s="8"/>
      <c r="G1131" s="8"/>
      <c r="M1131" s="8"/>
    </row>
    <row r="1132">
      <c r="B1132" s="8"/>
      <c r="G1132" s="8"/>
      <c r="M1132" s="8"/>
    </row>
    <row r="1133">
      <c r="B1133" s="8"/>
      <c r="G1133" s="8"/>
      <c r="M1133" s="8"/>
    </row>
    <row r="1134">
      <c r="B1134" s="8"/>
      <c r="G1134" s="8"/>
      <c r="M1134" s="8"/>
    </row>
    <row r="1135">
      <c r="B1135" s="8"/>
      <c r="G1135" s="8"/>
      <c r="M1135" s="8"/>
    </row>
    <row r="1136">
      <c r="B1136" s="8"/>
      <c r="G1136" s="8"/>
      <c r="M1136" s="8"/>
    </row>
    <row r="1137">
      <c r="B1137" s="8"/>
      <c r="G1137" s="8"/>
      <c r="M1137" s="8"/>
    </row>
    <row r="1138">
      <c r="B1138" s="8"/>
      <c r="G1138" s="8"/>
      <c r="M1138" s="8"/>
    </row>
    <row r="1139">
      <c r="B1139" s="8"/>
      <c r="G1139" s="8"/>
      <c r="M1139" s="8"/>
    </row>
    <row r="1140">
      <c r="B1140" s="8"/>
      <c r="G1140" s="8"/>
      <c r="M1140" s="8"/>
    </row>
    <row r="1141">
      <c r="B1141" s="8"/>
      <c r="G1141" s="8"/>
      <c r="M1141" s="8"/>
    </row>
    <row r="1142">
      <c r="B1142" s="8"/>
      <c r="G1142" s="8"/>
      <c r="M1142" s="8"/>
    </row>
    <row r="1143">
      <c r="B1143" s="8"/>
      <c r="G1143" s="8"/>
      <c r="M1143" s="8"/>
    </row>
    <row r="1144">
      <c r="B1144" s="8"/>
      <c r="G1144" s="8"/>
      <c r="M1144" s="8"/>
    </row>
    <row r="1145">
      <c r="B1145" s="8"/>
      <c r="G1145" s="8"/>
      <c r="M1145" s="8"/>
    </row>
    <row r="1146">
      <c r="B1146" s="8"/>
      <c r="G1146" s="8"/>
      <c r="M1146" s="8"/>
    </row>
    <row r="1147">
      <c r="B1147" s="8"/>
      <c r="G1147" s="8"/>
      <c r="M1147" s="8"/>
    </row>
    <row r="1148">
      <c r="B1148" s="8"/>
      <c r="G1148" s="8"/>
      <c r="M1148" s="8"/>
    </row>
    <row r="1149">
      <c r="B1149" s="8"/>
      <c r="G1149" s="8"/>
      <c r="M1149" s="8"/>
    </row>
    <row r="1150">
      <c r="B1150" s="8"/>
      <c r="G1150" s="8"/>
      <c r="M1150" s="8"/>
    </row>
    <row r="1151">
      <c r="B1151" s="8"/>
      <c r="G1151" s="8"/>
      <c r="M1151" s="8"/>
    </row>
    <row r="1152">
      <c r="B1152" s="8"/>
      <c r="G1152" s="8"/>
      <c r="M1152" s="8"/>
    </row>
    <row r="1153">
      <c r="B1153" s="8"/>
      <c r="G1153" s="8"/>
      <c r="M1153" s="8"/>
    </row>
    <row r="1154">
      <c r="B1154" s="8"/>
      <c r="G1154" s="8"/>
      <c r="M1154" s="8"/>
    </row>
    <row r="1155">
      <c r="B1155" s="8"/>
      <c r="G1155" s="8"/>
      <c r="M1155" s="8"/>
    </row>
    <row r="1156">
      <c r="B1156" s="8"/>
      <c r="G1156" s="8"/>
      <c r="M1156" s="8"/>
    </row>
    <row r="1157">
      <c r="B1157" s="8"/>
      <c r="G1157" s="8"/>
      <c r="M1157" s="8"/>
    </row>
    <row r="1158">
      <c r="B1158" s="8"/>
      <c r="G1158" s="8"/>
      <c r="M1158" s="8"/>
    </row>
    <row r="1159">
      <c r="B1159" s="8"/>
      <c r="G1159" s="8"/>
      <c r="M1159" s="8"/>
    </row>
    <row r="1160">
      <c r="B1160" s="8"/>
      <c r="G1160" s="8"/>
      <c r="M1160" s="8"/>
    </row>
    <row r="1161">
      <c r="B1161" s="8"/>
      <c r="G1161" s="8"/>
      <c r="M1161" s="8"/>
    </row>
    <row r="1162">
      <c r="B1162" s="8"/>
      <c r="G1162" s="8"/>
      <c r="M1162" s="8"/>
    </row>
    <row r="1163">
      <c r="B1163" s="8"/>
      <c r="G1163" s="8"/>
      <c r="M1163" s="8"/>
    </row>
    <row r="1164">
      <c r="B1164" s="8"/>
      <c r="G1164" s="8"/>
      <c r="M1164" s="8"/>
    </row>
    <row r="1165">
      <c r="B1165" s="8"/>
      <c r="G1165" s="8"/>
      <c r="M1165" s="8"/>
    </row>
    <row r="1166">
      <c r="B1166" s="8"/>
      <c r="G1166" s="8"/>
      <c r="M1166" s="8"/>
    </row>
    <row r="1167">
      <c r="B1167" s="8"/>
      <c r="G1167" s="8"/>
      <c r="M1167" s="8"/>
    </row>
    <row r="1168">
      <c r="B1168" s="8"/>
      <c r="G1168" s="8"/>
      <c r="M1168" s="8"/>
    </row>
    <row r="1169">
      <c r="B1169" s="8"/>
      <c r="G1169" s="8"/>
      <c r="M1169" s="8"/>
    </row>
    <row r="1170">
      <c r="B1170" s="8"/>
      <c r="G1170" s="8"/>
      <c r="M1170" s="8"/>
    </row>
    <row r="1171">
      <c r="B1171" s="8"/>
      <c r="G1171" s="8"/>
      <c r="M1171" s="8"/>
    </row>
    <row r="1172">
      <c r="B1172" s="8"/>
      <c r="G1172" s="8"/>
      <c r="M1172" s="8"/>
    </row>
    <row r="1173">
      <c r="B1173" s="8"/>
      <c r="G1173" s="8"/>
      <c r="M1173" s="8"/>
    </row>
    <row r="1174">
      <c r="B1174" s="8"/>
      <c r="G1174" s="8"/>
      <c r="M1174" s="8"/>
    </row>
    <row r="1175">
      <c r="B1175" s="8"/>
      <c r="G1175" s="8"/>
      <c r="M1175" s="8"/>
    </row>
    <row r="1176">
      <c r="B1176" s="8"/>
      <c r="G1176" s="8"/>
      <c r="M1176" s="8"/>
    </row>
    <row r="1177">
      <c r="B1177" s="8"/>
      <c r="G1177" s="8"/>
      <c r="M1177" s="8"/>
    </row>
    <row r="1178">
      <c r="B1178" s="8"/>
      <c r="G1178" s="8"/>
      <c r="M1178" s="8"/>
    </row>
    <row r="1179">
      <c r="B1179" s="8"/>
      <c r="G1179" s="8"/>
      <c r="M1179" s="8"/>
    </row>
    <row r="1180">
      <c r="B1180" s="8"/>
      <c r="G1180" s="8"/>
      <c r="M1180" s="8"/>
    </row>
    <row r="1181">
      <c r="B1181" s="8"/>
      <c r="G1181" s="8"/>
      <c r="M1181" s="8"/>
    </row>
    <row r="1182">
      <c r="B1182" s="8"/>
      <c r="G1182" s="8"/>
      <c r="M1182" s="8"/>
    </row>
    <row r="1183">
      <c r="B1183" s="8"/>
      <c r="G1183" s="8"/>
      <c r="M1183" s="8"/>
    </row>
    <row r="1184">
      <c r="B1184" s="8"/>
      <c r="G1184" s="8"/>
      <c r="M1184" s="8"/>
    </row>
    <row r="1185">
      <c r="B1185" s="8"/>
      <c r="G1185" s="8"/>
      <c r="M1185" s="8"/>
    </row>
    <row r="1186">
      <c r="B1186" s="8"/>
      <c r="G1186" s="8"/>
      <c r="M1186" s="8"/>
    </row>
    <row r="1187">
      <c r="B1187" s="8"/>
      <c r="G1187" s="8"/>
      <c r="M1187" s="8"/>
    </row>
    <row r="1188">
      <c r="B1188" s="8"/>
      <c r="G1188" s="8"/>
      <c r="M1188" s="8"/>
    </row>
    <row r="1189">
      <c r="B1189" s="8"/>
      <c r="G1189" s="8"/>
      <c r="M1189" s="8"/>
    </row>
    <row r="1190">
      <c r="B1190" s="8"/>
      <c r="G1190" s="8"/>
      <c r="M1190" s="8"/>
    </row>
    <row r="1191">
      <c r="B1191" s="8"/>
      <c r="G1191" s="8"/>
      <c r="M1191" s="8"/>
    </row>
    <row r="1192">
      <c r="B1192" s="8"/>
      <c r="G1192" s="8"/>
      <c r="M1192" s="8"/>
    </row>
    <row r="1193">
      <c r="B1193" s="8"/>
      <c r="G1193" s="8"/>
      <c r="M1193" s="8"/>
    </row>
    <row r="1194">
      <c r="B1194" s="8"/>
      <c r="G1194" s="8"/>
      <c r="M1194" s="8"/>
    </row>
    <row r="1195">
      <c r="B1195" s="8"/>
      <c r="G1195" s="8"/>
      <c r="M1195" s="8"/>
    </row>
    <row r="1196">
      <c r="B1196" s="8"/>
      <c r="G1196" s="8"/>
      <c r="M1196" s="8"/>
    </row>
    <row r="1197">
      <c r="B1197" s="8"/>
      <c r="G1197" s="8"/>
      <c r="M1197" s="8"/>
    </row>
    <row r="1198">
      <c r="B1198" s="8"/>
      <c r="G1198" s="8"/>
      <c r="M1198" s="8"/>
    </row>
    <row r="1199">
      <c r="B1199" s="8"/>
      <c r="G1199" s="8"/>
      <c r="M1199" s="8"/>
    </row>
    <row r="1200">
      <c r="B1200" s="8"/>
      <c r="G1200" s="8"/>
      <c r="M1200" s="8"/>
    </row>
    <row r="1201">
      <c r="B1201" s="8"/>
      <c r="G1201" s="8"/>
      <c r="M1201" s="8"/>
    </row>
    <row r="1202">
      <c r="B1202" s="8"/>
      <c r="G1202" s="8"/>
      <c r="M1202" s="8"/>
    </row>
    <row r="1203">
      <c r="B1203" s="8"/>
      <c r="G1203" s="8"/>
      <c r="M1203" s="8"/>
    </row>
    <row r="1204">
      <c r="B1204" s="8"/>
      <c r="G1204" s="8"/>
      <c r="M1204" s="8"/>
    </row>
    <row r="1205">
      <c r="B1205" s="8"/>
      <c r="G1205" s="8"/>
      <c r="M1205" s="8"/>
    </row>
    <row r="1206">
      <c r="B1206" s="8"/>
      <c r="G1206" s="8"/>
      <c r="M1206" s="8"/>
    </row>
    <row r="1207">
      <c r="B1207" s="8"/>
      <c r="G1207" s="8"/>
      <c r="M1207" s="8"/>
    </row>
    <row r="1208">
      <c r="B1208" s="8"/>
      <c r="G1208" s="8"/>
      <c r="M1208" s="8"/>
    </row>
    <row r="1209">
      <c r="B1209" s="8"/>
      <c r="G1209" s="8"/>
      <c r="M1209" s="8"/>
    </row>
    <row r="1210">
      <c r="B1210" s="8"/>
      <c r="G1210" s="8"/>
      <c r="M1210" s="8"/>
    </row>
    <row r="1211">
      <c r="B1211" s="8"/>
      <c r="G1211" s="8"/>
      <c r="M1211" s="8"/>
    </row>
    <row r="1212">
      <c r="B1212" s="8"/>
      <c r="G1212" s="8"/>
      <c r="M1212" s="8"/>
    </row>
    <row r="1213">
      <c r="B1213" s="8"/>
      <c r="G1213" s="8"/>
      <c r="M1213" s="8"/>
    </row>
    <row r="1214">
      <c r="B1214" s="8"/>
      <c r="G1214" s="8"/>
      <c r="M1214" s="8"/>
    </row>
    <row r="1215">
      <c r="B1215" s="8"/>
      <c r="G1215" s="8"/>
      <c r="M1215" s="8"/>
    </row>
    <row r="1216">
      <c r="B1216" s="8"/>
      <c r="G1216" s="8"/>
      <c r="M1216" s="8"/>
    </row>
    <row r="1217">
      <c r="B1217" s="8"/>
      <c r="G1217" s="8"/>
      <c r="M1217" s="8"/>
    </row>
    <row r="1218">
      <c r="B1218" s="8"/>
      <c r="G1218" s="8"/>
      <c r="M1218" s="8"/>
    </row>
    <row r="1219">
      <c r="B1219" s="8"/>
      <c r="G1219" s="8"/>
      <c r="M1219" s="8"/>
    </row>
    <row r="1220">
      <c r="B1220" s="8"/>
      <c r="G1220" s="8"/>
      <c r="M1220" s="8"/>
    </row>
    <row r="1221">
      <c r="B1221" s="8"/>
      <c r="G1221" s="8"/>
      <c r="M1221" s="8"/>
    </row>
    <row r="1222">
      <c r="B1222" s="8"/>
      <c r="G1222" s="8"/>
      <c r="M1222" s="8"/>
    </row>
    <row r="1223">
      <c r="B1223" s="8"/>
      <c r="G1223" s="8"/>
      <c r="M1223" s="8"/>
    </row>
    <row r="1224">
      <c r="B1224" s="8"/>
      <c r="G1224" s="8"/>
      <c r="M1224" s="8"/>
    </row>
    <row r="1225">
      <c r="B1225" s="8"/>
      <c r="G1225" s="8"/>
      <c r="M1225" s="8"/>
    </row>
    <row r="1226">
      <c r="B1226" s="8"/>
      <c r="G1226" s="8"/>
      <c r="M1226" s="8"/>
    </row>
    <row r="1227">
      <c r="B1227" s="8"/>
      <c r="G1227" s="8"/>
      <c r="M1227" s="8"/>
    </row>
    <row r="1228">
      <c r="B1228" s="8"/>
      <c r="G1228" s="8"/>
      <c r="M1228" s="8"/>
    </row>
    <row r="1229">
      <c r="B1229" s="8"/>
      <c r="G1229" s="8"/>
      <c r="M1229" s="8"/>
    </row>
    <row r="1230">
      <c r="B1230" s="8"/>
      <c r="G1230" s="8"/>
      <c r="M1230" s="8"/>
    </row>
    <row r="1231">
      <c r="B1231" s="8"/>
      <c r="G1231" s="8"/>
      <c r="M1231" s="8"/>
    </row>
    <row r="1232">
      <c r="B1232" s="8"/>
      <c r="G1232" s="8"/>
      <c r="M1232" s="8"/>
    </row>
    <row r="1233">
      <c r="B1233" s="8"/>
      <c r="G1233" s="8"/>
      <c r="M1233" s="8"/>
    </row>
    <row r="1234">
      <c r="B1234" s="8"/>
      <c r="G1234" s="8"/>
      <c r="M1234" s="8"/>
    </row>
    <row r="1235">
      <c r="B1235" s="8"/>
      <c r="G1235" s="8"/>
      <c r="M1235" s="8"/>
    </row>
    <row r="1236">
      <c r="B1236" s="8"/>
      <c r="G1236" s="8"/>
      <c r="M1236" s="8"/>
    </row>
    <row r="1237">
      <c r="B1237" s="8"/>
      <c r="G1237" s="8"/>
      <c r="M1237" s="8"/>
    </row>
    <row r="1238">
      <c r="B1238" s="8"/>
      <c r="G1238" s="8"/>
      <c r="M1238" s="8"/>
    </row>
    <row r="1239">
      <c r="B1239" s="8"/>
      <c r="G1239" s="8"/>
      <c r="M1239" s="8"/>
    </row>
    <row r="1240">
      <c r="B1240" s="8"/>
      <c r="G1240" s="8"/>
      <c r="M1240" s="8"/>
    </row>
    <row r="1241">
      <c r="B1241" s="8"/>
      <c r="G1241" s="8"/>
      <c r="M1241" s="8"/>
    </row>
    <row r="1242">
      <c r="B1242" s="8"/>
      <c r="G1242" s="8"/>
      <c r="M1242" s="8"/>
    </row>
    <row r="1243">
      <c r="B1243" s="8"/>
      <c r="G1243" s="8"/>
      <c r="M1243" s="8"/>
    </row>
    <row r="1244">
      <c r="B1244" s="8"/>
      <c r="G1244" s="8"/>
      <c r="M1244" s="8"/>
    </row>
    <row r="1245">
      <c r="B1245" s="8"/>
      <c r="G1245" s="8"/>
      <c r="M1245" s="8"/>
    </row>
    <row r="1246">
      <c r="B1246" s="8"/>
      <c r="G1246" s="8"/>
      <c r="M1246" s="8"/>
    </row>
    <row r="1247">
      <c r="B1247" s="8"/>
      <c r="G1247" s="8"/>
      <c r="M1247" s="8"/>
    </row>
    <row r="1248">
      <c r="B1248" s="8"/>
      <c r="G1248" s="8"/>
      <c r="M1248" s="8"/>
    </row>
    <row r="1249">
      <c r="B1249" s="8"/>
      <c r="G1249" s="8"/>
      <c r="M1249" s="8"/>
    </row>
    <row r="1250">
      <c r="B1250" s="8"/>
      <c r="G1250" s="8"/>
      <c r="M1250" s="8"/>
    </row>
    <row r="1251">
      <c r="B1251" s="8"/>
      <c r="G1251" s="8"/>
      <c r="M1251" s="8"/>
    </row>
    <row r="1252">
      <c r="B1252" s="8"/>
      <c r="G1252" s="8"/>
      <c r="M1252" s="8"/>
    </row>
    <row r="1253">
      <c r="B1253" s="8"/>
      <c r="G1253" s="8"/>
      <c r="M1253" s="8"/>
    </row>
    <row r="1254">
      <c r="B1254" s="8"/>
      <c r="G1254" s="8"/>
      <c r="M1254" s="8"/>
    </row>
    <row r="1255">
      <c r="B1255" s="8"/>
      <c r="G1255" s="8"/>
      <c r="M1255" s="8"/>
    </row>
    <row r="1256">
      <c r="B1256" s="8"/>
      <c r="G1256" s="8"/>
      <c r="M1256" s="8"/>
    </row>
    <row r="1257">
      <c r="B1257" s="8"/>
      <c r="G1257" s="8"/>
      <c r="M1257" s="8"/>
    </row>
    <row r="1258">
      <c r="B1258" s="8"/>
      <c r="G1258" s="8"/>
      <c r="M1258" s="8"/>
    </row>
    <row r="1259">
      <c r="B1259" s="8"/>
      <c r="G1259" s="8"/>
      <c r="M1259" s="8"/>
    </row>
    <row r="1260">
      <c r="B1260" s="8"/>
      <c r="G1260" s="8"/>
      <c r="M1260" s="8"/>
    </row>
    <row r="1261">
      <c r="B1261" s="8"/>
      <c r="G1261" s="8"/>
      <c r="M1261" s="8"/>
    </row>
    <row r="1262">
      <c r="B1262" s="8"/>
      <c r="G1262" s="8"/>
      <c r="M1262" s="8"/>
    </row>
    <row r="1263">
      <c r="B1263" s="8"/>
      <c r="G1263" s="8"/>
      <c r="M1263" s="8"/>
    </row>
    <row r="1264">
      <c r="B1264" s="8"/>
      <c r="G1264" s="8"/>
      <c r="M1264" s="8"/>
    </row>
    <row r="1265">
      <c r="B1265" s="8"/>
      <c r="G1265" s="8"/>
      <c r="M1265" s="8"/>
    </row>
    <row r="1266">
      <c r="B1266" s="8"/>
      <c r="G1266" s="8"/>
      <c r="M1266" s="8"/>
    </row>
    <row r="1267">
      <c r="B1267" s="8"/>
      <c r="G1267" s="8"/>
      <c r="M1267" s="8"/>
    </row>
    <row r="1268">
      <c r="B1268" s="8"/>
      <c r="G1268" s="8"/>
      <c r="M1268" s="8"/>
    </row>
    <row r="1269">
      <c r="B1269" s="8"/>
      <c r="G1269" s="8"/>
      <c r="M1269" s="8"/>
    </row>
    <row r="1270">
      <c r="B1270" s="8"/>
      <c r="G1270" s="8"/>
      <c r="M1270" s="8"/>
    </row>
    <row r="1271">
      <c r="B1271" s="8"/>
      <c r="G1271" s="8"/>
      <c r="M1271" s="8"/>
    </row>
    <row r="1272">
      <c r="B1272" s="8"/>
      <c r="G1272" s="8"/>
      <c r="M1272" s="8"/>
    </row>
    <row r="1273">
      <c r="B1273" s="8"/>
      <c r="G1273" s="8"/>
      <c r="M1273" s="8"/>
    </row>
    <row r="1274">
      <c r="B1274" s="8"/>
      <c r="G1274" s="8"/>
      <c r="M1274" s="8"/>
    </row>
    <row r="1275">
      <c r="B1275" s="8"/>
      <c r="G1275" s="8"/>
      <c r="M1275" s="8"/>
    </row>
    <row r="1276">
      <c r="B1276" s="8"/>
      <c r="G1276" s="8"/>
      <c r="M1276" s="8"/>
    </row>
    <row r="1277">
      <c r="B1277" s="8"/>
      <c r="G1277" s="8"/>
      <c r="M1277" s="8"/>
    </row>
    <row r="1278">
      <c r="B1278" s="8"/>
      <c r="G1278" s="8"/>
      <c r="M1278" s="8"/>
    </row>
    <row r="1279">
      <c r="B1279" s="8"/>
      <c r="G1279" s="8"/>
      <c r="M1279" s="8"/>
    </row>
    <row r="1280">
      <c r="B1280" s="8"/>
      <c r="G1280" s="8"/>
      <c r="M1280" s="8"/>
    </row>
    <row r="1281">
      <c r="B1281" s="8"/>
      <c r="G1281" s="8"/>
      <c r="M1281" s="8"/>
    </row>
    <row r="1282">
      <c r="B1282" s="8"/>
      <c r="G1282" s="8"/>
      <c r="M1282" s="8"/>
    </row>
    <row r="1283">
      <c r="B1283" s="8"/>
      <c r="G1283" s="8"/>
      <c r="M1283" s="8"/>
    </row>
    <row r="1284">
      <c r="B1284" s="8"/>
      <c r="G1284" s="8"/>
      <c r="M1284" s="8"/>
    </row>
    <row r="1285">
      <c r="B1285" s="8"/>
      <c r="G1285" s="8"/>
      <c r="M1285" s="8"/>
    </row>
    <row r="1286">
      <c r="B1286" s="8"/>
      <c r="G1286" s="8"/>
      <c r="M1286" s="8"/>
    </row>
    <row r="1287">
      <c r="B1287" s="8"/>
      <c r="G1287" s="8"/>
      <c r="M1287" s="8"/>
    </row>
    <row r="1288">
      <c r="B1288" s="8"/>
      <c r="G1288" s="8"/>
      <c r="M1288" s="8"/>
    </row>
    <row r="1289">
      <c r="B1289" s="8"/>
      <c r="G1289" s="8"/>
      <c r="M1289" s="8"/>
    </row>
    <row r="1290">
      <c r="B1290" s="8"/>
      <c r="G1290" s="8"/>
      <c r="M1290" s="8"/>
    </row>
    <row r="1291">
      <c r="B1291" s="8"/>
      <c r="G1291" s="8"/>
      <c r="M1291" s="8"/>
    </row>
    <row r="1292">
      <c r="B1292" s="8"/>
      <c r="G1292" s="8"/>
      <c r="M1292" s="8"/>
    </row>
    <row r="1293">
      <c r="B1293" s="8"/>
      <c r="G1293" s="8"/>
      <c r="M1293" s="8"/>
    </row>
    <row r="1294">
      <c r="B1294" s="8"/>
      <c r="G1294" s="8"/>
      <c r="M1294" s="8"/>
    </row>
    <row r="1295">
      <c r="B1295" s="8"/>
      <c r="G1295" s="8"/>
      <c r="M1295" s="8"/>
    </row>
    <row r="1296">
      <c r="B1296" s="8"/>
      <c r="G1296" s="8"/>
      <c r="M1296" s="8"/>
    </row>
    <row r="1297">
      <c r="B1297" s="8"/>
      <c r="G1297" s="8"/>
      <c r="M1297" s="8"/>
    </row>
    <row r="1298">
      <c r="B1298" s="8"/>
      <c r="G1298" s="8"/>
      <c r="M1298" s="8"/>
    </row>
    <row r="1299">
      <c r="B1299" s="8"/>
      <c r="G1299" s="8"/>
      <c r="M1299" s="8"/>
    </row>
    <row r="1300">
      <c r="B1300" s="8"/>
      <c r="G1300" s="8"/>
      <c r="M1300" s="8"/>
    </row>
    <row r="1301">
      <c r="B1301" s="8"/>
      <c r="G1301" s="8"/>
      <c r="M1301" s="8"/>
    </row>
    <row r="1302">
      <c r="B1302" s="8"/>
      <c r="G1302" s="8"/>
      <c r="M1302" s="8"/>
    </row>
    <row r="1303">
      <c r="B1303" s="8"/>
      <c r="G1303" s="8"/>
      <c r="M1303" s="8"/>
    </row>
    <row r="1304">
      <c r="B1304" s="8"/>
      <c r="G1304" s="8"/>
      <c r="M1304" s="8"/>
    </row>
    <row r="1305">
      <c r="B1305" s="8"/>
      <c r="G1305" s="8"/>
      <c r="M1305" s="8"/>
    </row>
    <row r="1306">
      <c r="B1306" s="8"/>
      <c r="G1306" s="8"/>
      <c r="M1306" s="8"/>
    </row>
    <row r="1307">
      <c r="B1307" s="8"/>
      <c r="G1307" s="8"/>
      <c r="M1307" s="8"/>
    </row>
    <row r="1308">
      <c r="B1308" s="8"/>
      <c r="G1308" s="8"/>
      <c r="M1308" s="8"/>
    </row>
    <row r="1309">
      <c r="B1309" s="8"/>
      <c r="G1309" s="8"/>
      <c r="M1309" s="8"/>
    </row>
    <row r="1310">
      <c r="B1310" s="8"/>
      <c r="G1310" s="8"/>
      <c r="M1310" s="8"/>
    </row>
    <row r="1311">
      <c r="B1311" s="8"/>
      <c r="G1311" s="8"/>
      <c r="M1311" s="8"/>
    </row>
    <row r="1312">
      <c r="B1312" s="8"/>
      <c r="G1312" s="8"/>
      <c r="M1312" s="8"/>
    </row>
    <row r="1313">
      <c r="B1313" s="8"/>
      <c r="G1313" s="8"/>
      <c r="M1313" s="8"/>
    </row>
    <row r="1314">
      <c r="B1314" s="8"/>
      <c r="G1314" s="8"/>
      <c r="M1314" s="8"/>
    </row>
    <row r="1315">
      <c r="B1315" s="8"/>
      <c r="G1315" s="8"/>
      <c r="M1315" s="8"/>
    </row>
    <row r="1316">
      <c r="B1316" s="8"/>
      <c r="G1316" s="8"/>
      <c r="M1316" s="8"/>
    </row>
    <row r="1317">
      <c r="B1317" s="8"/>
      <c r="G1317" s="8"/>
      <c r="M1317" s="8"/>
    </row>
    <row r="1318">
      <c r="B1318" s="8"/>
      <c r="G1318" s="8"/>
      <c r="M1318" s="8"/>
    </row>
    <row r="1319">
      <c r="B1319" s="8"/>
      <c r="G1319" s="8"/>
      <c r="M1319" s="8"/>
    </row>
    <row r="1320">
      <c r="B1320" s="8"/>
      <c r="G1320" s="8"/>
      <c r="M1320" s="8"/>
    </row>
    <row r="1321">
      <c r="B1321" s="8"/>
      <c r="G1321" s="8"/>
      <c r="M1321" s="8"/>
    </row>
    <row r="1322">
      <c r="B1322" s="8"/>
      <c r="G1322" s="8"/>
      <c r="M1322" s="8"/>
    </row>
    <row r="1323">
      <c r="B1323" s="8"/>
      <c r="G1323" s="8"/>
      <c r="M1323" s="8"/>
    </row>
    <row r="1324">
      <c r="B1324" s="8"/>
      <c r="G1324" s="8"/>
      <c r="M1324" s="8"/>
    </row>
    <row r="1325">
      <c r="B1325" s="8"/>
      <c r="G1325" s="8"/>
      <c r="M1325" s="8"/>
    </row>
    <row r="1326">
      <c r="B1326" s="8"/>
      <c r="G1326" s="8"/>
      <c r="M1326" s="8"/>
    </row>
    <row r="1327">
      <c r="B1327" s="8"/>
      <c r="G1327" s="8"/>
      <c r="M1327" s="8"/>
    </row>
    <row r="1328">
      <c r="B1328" s="8"/>
      <c r="G1328" s="8"/>
      <c r="M1328" s="8"/>
    </row>
    <row r="1329">
      <c r="B1329" s="8"/>
      <c r="G1329" s="8"/>
      <c r="M1329" s="8"/>
    </row>
    <row r="1330">
      <c r="B1330" s="8"/>
      <c r="G1330" s="8"/>
      <c r="M1330" s="8"/>
    </row>
    <row r="1331">
      <c r="B1331" s="8"/>
      <c r="G1331" s="8"/>
      <c r="M1331" s="8"/>
    </row>
    <row r="1332">
      <c r="B1332" s="8"/>
      <c r="G1332" s="8"/>
      <c r="M1332" s="8"/>
    </row>
    <row r="1333">
      <c r="B1333" s="8"/>
      <c r="G1333" s="8"/>
      <c r="M1333" s="8"/>
    </row>
    <row r="1334">
      <c r="B1334" s="8"/>
      <c r="G1334" s="8"/>
      <c r="M1334" s="8"/>
    </row>
    <row r="1335">
      <c r="B1335" s="8"/>
      <c r="G1335" s="8"/>
      <c r="M1335" s="8"/>
    </row>
    <row r="1336">
      <c r="B1336" s="8"/>
      <c r="G1336" s="8"/>
      <c r="M1336" s="8"/>
    </row>
    <row r="1337">
      <c r="B1337" s="8"/>
      <c r="G1337" s="8"/>
      <c r="M1337" s="8"/>
    </row>
    <row r="1338">
      <c r="B1338" s="8"/>
      <c r="G1338" s="8"/>
      <c r="M1338" s="8"/>
    </row>
    <row r="1339">
      <c r="B1339" s="8"/>
      <c r="G1339" s="8"/>
      <c r="M1339" s="8"/>
    </row>
    <row r="1340">
      <c r="B1340" s="8"/>
      <c r="G1340" s="8"/>
      <c r="M1340" s="8"/>
    </row>
    <row r="1341">
      <c r="B1341" s="8"/>
      <c r="G1341" s="8"/>
      <c r="M1341" s="8"/>
    </row>
    <row r="1342">
      <c r="B1342" s="8"/>
      <c r="G1342" s="8"/>
      <c r="M1342" s="8"/>
    </row>
    <row r="1343">
      <c r="B1343" s="8"/>
      <c r="G1343" s="8"/>
      <c r="M1343" s="8"/>
    </row>
    <row r="1344">
      <c r="B1344" s="8"/>
      <c r="G1344" s="8"/>
      <c r="M1344" s="8"/>
    </row>
    <row r="1345">
      <c r="B1345" s="8"/>
      <c r="G1345" s="8"/>
      <c r="M1345" s="8"/>
    </row>
    <row r="1346">
      <c r="B1346" s="8"/>
      <c r="G1346" s="8"/>
      <c r="M1346" s="8"/>
    </row>
    <row r="1347">
      <c r="B1347" s="8"/>
      <c r="G1347" s="8"/>
      <c r="M1347" s="8"/>
    </row>
    <row r="1348">
      <c r="B1348" s="8"/>
      <c r="G1348" s="8"/>
      <c r="M1348" s="8"/>
    </row>
    <row r="1349">
      <c r="B1349" s="8"/>
      <c r="G1349" s="8"/>
      <c r="M1349" s="8"/>
    </row>
    <row r="1350">
      <c r="B1350" s="8"/>
      <c r="G1350" s="8"/>
      <c r="M1350" s="8"/>
    </row>
    <row r="1351">
      <c r="B1351" s="8"/>
      <c r="G1351" s="8"/>
      <c r="M1351" s="8"/>
    </row>
    <row r="1352">
      <c r="B1352" s="8"/>
      <c r="G1352" s="8"/>
      <c r="M1352" s="8"/>
    </row>
    <row r="1353">
      <c r="B1353" s="8"/>
      <c r="G1353" s="8"/>
      <c r="M1353" s="8"/>
    </row>
    <row r="1354">
      <c r="B1354" s="8"/>
      <c r="G1354" s="8"/>
      <c r="M1354" s="8"/>
    </row>
    <row r="1355">
      <c r="B1355" s="8"/>
      <c r="G1355" s="8"/>
      <c r="M1355" s="8"/>
    </row>
    <row r="1356">
      <c r="B1356" s="8"/>
      <c r="G1356" s="8"/>
      <c r="M1356" s="8"/>
    </row>
    <row r="1357">
      <c r="B1357" s="8"/>
      <c r="G1357" s="8"/>
      <c r="M1357" s="8"/>
    </row>
    <row r="1358">
      <c r="B1358" s="8"/>
      <c r="G1358" s="8"/>
      <c r="M1358" s="8"/>
    </row>
    <row r="1359">
      <c r="B1359" s="8"/>
      <c r="G1359" s="8"/>
      <c r="M1359" s="8"/>
    </row>
    <row r="1360">
      <c r="B1360" s="8"/>
      <c r="G1360" s="8"/>
      <c r="M1360" s="8"/>
    </row>
    <row r="1361">
      <c r="B1361" s="8"/>
      <c r="G1361" s="8"/>
      <c r="M1361" s="8"/>
    </row>
    <row r="1362">
      <c r="B1362" s="8"/>
      <c r="G1362" s="8"/>
      <c r="M1362" s="8"/>
    </row>
    <row r="1363">
      <c r="B1363" s="8"/>
      <c r="G1363" s="8"/>
      <c r="M1363" s="8"/>
    </row>
    <row r="1364">
      <c r="B1364" s="8"/>
      <c r="G1364" s="8"/>
      <c r="M1364" s="8"/>
    </row>
    <row r="1365">
      <c r="B1365" s="8"/>
      <c r="G1365" s="8"/>
      <c r="M1365" s="8"/>
    </row>
    <row r="1366">
      <c r="B1366" s="8"/>
      <c r="G1366" s="8"/>
      <c r="M1366" s="8"/>
    </row>
    <row r="1367">
      <c r="B1367" s="8"/>
      <c r="G1367" s="8"/>
      <c r="M1367" s="8"/>
    </row>
    <row r="1368">
      <c r="B1368" s="8"/>
      <c r="G1368" s="8"/>
      <c r="M1368" s="8"/>
    </row>
    <row r="1369">
      <c r="B1369" s="8"/>
      <c r="G1369" s="8"/>
      <c r="M1369" s="8"/>
    </row>
    <row r="1370">
      <c r="B1370" s="8"/>
      <c r="G1370" s="8"/>
      <c r="M1370" s="8"/>
    </row>
    <row r="1371">
      <c r="B1371" s="8"/>
      <c r="G1371" s="8"/>
      <c r="M1371" s="8"/>
    </row>
    <row r="1372">
      <c r="B1372" s="8"/>
      <c r="G1372" s="8"/>
      <c r="M1372" s="8"/>
    </row>
    <row r="1373">
      <c r="B1373" s="8"/>
      <c r="G1373" s="8"/>
      <c r="M1373" s="8"/>
    </row>
    <row r="1374">
      <c r="B1374" s="8"/>
      <c r="G1374" s="8"/>
      <c r="M1374" s="8"/>
    </row>
    <row r="1375">
      <c r="B1375" s="8"/>
      <c r="G1375" s="8"/>
      <c r="M1375" s="8"/>
    </row>
    <row r="1376">
      <c r="B1376" s="8"/>
      <c r="G1376" s="8"/>
      <c r="M1376" s="8"/>
    </row>
    <row r="1377">
      <c r="B1377" s="8"/>
      <c r="G1377" s="8"/>
      <c r="M1377" s="8"/>
    </row>
    <row r="1378">
      <c r="B1378" s="8"/>
      <c r="G1378" s="8"/>
      <c r="M1378" s="8"/>
    </row>
    <row r="1379">
      <c r="B1379" s="8"/>
      <c r="G1379" s="8"/>
      <c r="M1379" s="8"/>
    </row>
    <row r="1380">
      <c r="B1380" s="8"/>
      <c r="G1380" s="8"/>
      <c r="M1380" s="8"/>
    </row>
    <row r="1381">
      <c r="B1381" s="8"/>
      <c r="G1381" s="8"/>
      <c r="M1381" s="8"/>
    </row>
    <row r="1382">
      <c r="B1382" s="8"/>
      <c r="G1382" s="8"/>
      <c r="M1382" s="8"/>
    </row>
    <row r="1383">
      <c r="B1383" s="8"/>
      <c r="G1383" s="8"/>
      <c r="M1383" s="8"/>
    </row>
    <row r="1384">
      <c r="B1384" s="8"/>
      <c r="G1384" s="8"/>
      <c r="M1384" s="8"/>
    </row>
    <row r="1385">
      <c r="B1385" s="8"/>
      <c r="G1385" s="8"/>
      <c r="M1385" s="8"/>
    </row>
    <row r="1386">
      <c r="B1386" s="8"/>
      <c r="G1386" s="8"/>
      <c r="M1386" s="8"/>
    </row>
    <row r="1387">
      <c r="B1387" s="8"/>
      <c r="G1387" s="8"/>
      <c r="M1387" s="8"/>
    </row>
    <row r="1388">
      <c r="B1388" s="8"/>
      <c r="G1388" s="8"/>
      <c r="M1388" s="8"/>
    </row>
    <row r="1389">
      <c r="B1389" s="8"/>
      <c r="G1389" s="8"/>
      <c r="M1389" s="8"/>
    </row>
    <row r="1390">
      <c r="B1390" s="8"/>
      <c r="G1390" s="8"/>
      <c r="M1390" s="8"/>
    </row>
    <row r="1391">
      <c r="B1391" s="8"/>
      <c r="G1391" s="8"/>
      <c r="M1391" s="8"/>
    </row>
    <row r="1392">
      <c r="B1392" s="8"/>
      <c r="G1392" s="8"/>
      <c r="M1392" s="8"/>
    </row>
    <row r="1393">
      <c r="B1393" s="8"/>
      <c r="G1393" s="8"/>
      <c r="M1393" s="8"/>
    </row>
    <row r="1394">
      <c r="B1394" s="8"/>
      <c r="G1394" s="8"/>
      <c r="M1394" s="8"/>
    </row>
    <row r="1395">
      <c r="B1395" s="8"/>
      <c r="G1395" s="8"/>
      <c r="M1395" s="8"/>
    </row>
    <row r="1396">
      <c r="B1396" s="8"/>
      <c r="G1396" s="8"/>
      <c r="M1396" s="8"/>
    </row>
    <row r="1397">
      <c r="B1397" s="8"/>
      <c r="G1397" s="8"/>
      <c r="M1397" s="8"/>
    </row>
    <row r="1398">
      <c r="B1398" s="8"/>
      <c r="G1398" s="8"/>
      <c r="M1398" s="8"/>
    </row>
    <row r="1399">
      <c r="B1399" s="8"/>
      <c r="G1399" s="8"/>
      <c r="M1399" s="8"/>
    </row>
    <row r="1400">
      <c r="B1400" s="8"/>
      <c r="G1400" s="8"/>
      <c r="M1400" s="8"/>
    </row>
    <row r="1401">
      <c r="B1401" s="8"/>
      <c r="G1401" s="8"/>
      <c r="M1401" s="8"/>
    </row>
    <row r="1402">
      <c r="B1402" s="8"/>
      <c r="G1402" s="8"/>
      <c r="M1402" s="8"/>
    </row>
    <row r="1403">
      <c r="B1403" s="8"/>
      <c r="G1403" s="8"/>
      <c r="M1403" s="8"/>
    </row>
    <row r="1404">
      <c r="B1404" s="8"/>
      <c r="G1404" s="8"/>
      <c r="M1404" s="8"/>
    </row>
    <row r="1405">
      <c r="B1405" s="8"/>
      <c r="G1405" s="8"/>
      <c r="M1405" s="8"/>
    </row>
    <row r="1406">
      <c r="B1406" s="8"/>
      <c r="G1406" s="8"/>
      <c r="M1406" s="8"/>
    </row>
    <row r="1407">
      <c r="B1407" s="8"/>
      <c r="G1407" s="8"/>
      <c r="M1407" s="8"/>
    </row>
    <row r="1408">
      <c r="B1408" s="8"/>
      <c r="G1408" s="8"/>
      <c r="M1408" s="8"/>
    </row>
    <row r="1409">
      <c r="B1409" s="8"/>
      <c r="G1409" s="8"/>
      <c r="M1409" s="8"/>
    </row>
    <row r="1410">
      <c r="B1410" s="8"/>
      <c r="G1410" s="8"/>
      <c r="M1410" s="8"/>
    </row>
    <row r="1411">
      <c r="B1411" s="8"/>
      <c r="G1411" s="8"/>
      <c r="M1411" s="8"/>
    </row>
    <row r="1412">
      <c r="B1412" s="8"/>
      <c r="G1412" s="8"/>
      <c r="M1412" s="8"/>
    </row>
    <row r="1413">
      <c r="B1413" s="8"/>
      <c r="G1413" s="8"/>
      <c r="M1413" s="8"/>
    </row>
    <row r="1414">
      <c r="B1414" s="8"/>
      <c r="G1414" s="8"/>
      <c r="M1414" s="8"/>
    </row>
    <row r="1415">
      <c r="B1415" s="8"/>
      <c r="G1415" s="8"/>
      <c r="M1415" s="8"/>
    </row>
    <row r="1416">
      <c r="B1416" s="8"/>
      <c r="G1416" s="8"/>
      <c r="M1416" s="8"/>
    </row>
    <row r="1417">
      <c r="B1417" s="8"/>
      <c r="G1417" s="8"/>
      <c r="M1417" s="8"/>
    </row>
    <row r="1418">
      <c r="B1418" s="8"/>
      <c r="G1418" s="8"/>
      <c r="M1418" s="8"/>
    </row>
    <row r="1419">
      <c r="B1419" s="8"/>
      <c r="G1419" s="8"/>
      <c r="M1419" s="8"/>
    </row>
    <row r="1420">
      <c r="B1420" s="8"/>
      <c r="G1420" s="8"/>
      <c r="M1420" s="8"/>
    </row>
    <row r="1421">
      <c r="B1421" s="8"/>
      <c r="G1421" s="8"/>
      <c r="M1421" s="8"/>
    </row>
    <row r="1422">
      <c r="B1422" s="8"/>
      <c r="G1422" s="8"/>
      <c r="M1422" s="8"/>
    </row>
    <row r="1423">
      <c r="B1423" s="8"/>
      <c r="G1423" s="8"/>
      <c r="M1423" s="8"/>
    </row>
    <row r="1424">
      <c r="B1424" s="8"/>
      <c r="G1424" s="8"/>
      <c r="M1424" s="8"/>
    </row>
    <row r="1425">
      <c r="B1425" s="8"/>
      <c r="G1425" s="8"/>
      <c r="M1425" s="8"/>
    </row>
    <row r="1426">
      <c r="B1426" s="8"/>
      <c r="G1426" s="8"/>
      <c r="M1426" s="8"/>
    </row>
    <row r="1427">
      <c r="B1427" s="8"/>
      <c r="G1427" s="8"/>
      <c r="M1427" s="8"/>
    </row>
    <row r="1428">
      <c r="B1428" s="8"/>
      <c r="G1428" s="8"/>
      <c r="M1428" s="8"/>
    </row>
    <row r="1429">
      <c r="B1429" s="8"/>
      <c r="G1429" s="8"/>
      <c r="M1429" s="8"/>
    </row>
    <row r="1430">
      <c r="B1430" s="8"/>
      <c r="G1430" s="8"/>
      <c r="M1430" s="8"/>
    </row>
    <row r="1431">
      <c r="B1431" s="8"/>
      <c r="G1431" s="8"/>
      <c r="M1431" s="8"/>
    </row>
    <row r="1432">
      <c r="B1432" s="8"/>
      <c r="G1432" s="8"/>
      <c r="M1432" s="8"/>
    </row>
    <row r="1433">
      <c r="B1433" s="8"/>
      <c r="G1433" s="8"/>
      <c r="M1433" s="8"/>
    </row>
    <row r="1434">
      <c r="B1434" s="8"/>
      <c r="G1434" s="8"/>
      <c r="M1434" s="8"/>
    </row>
    <row r="1435">
      <c r="B1435" s="8"/>
      <c r="G1435" s="8"/>
      <c r="M1435" s="8"/>
    </row>
    <row r="1436">
      <c r="B1436" s="8"/>
      <c r="G1436" s="8"/>
      <c r="M1436" s="8"/>
    </row>
    <row r="1437">
      <c r="B1437" s="8"/>
      <c r="G1437" s="8"/>
      <c r="M1437" s="8"/>
    </row>
    <row r="1438">
      <c r="B1438" s="8"/>
      <c r="G1438" s="8"/>
      <c r="M1438" s="8"/>
    </row>
    <row r="1439">
      <c r="B1439" s="8"/>
      <c r="G1439" s="8"/>
      <c r="M1439" s="8"/>
    </row>
    <row r="1440">
      <c r="B1440" s="8"/>
      <c r="G1440" s="8"/>
      <c r="M1440" s="8"/>
    </row>
    <row r="1441">
      <c r="B1441" s="8"/>
      <c r="G1441" s="8"/>
      <c r="M1441" s="8"/>
    </row>
    <row r="1442">
      <c r="B1442" s="8"/>
      <c r="G1442" s="8"/>
      <c r="M1442" s="8"/>
    </row>
    <row r="1443">
      <c r="B1443" s="8"/>
      <c r="G1443" s="8"/>
      <c r="M1443" s="8"/>
    </row>
    <row r="1444">
      <c r="B1444" s="8"/>
      <c r="G1444" s="8"/>
      <c r="M1444" s="8"/>
    </row>
    <row r="1445">
      <c r="B1445" s="8"/>
      <c r="G1445" s="8"/>
      <c r="M1445" s="8"/>
    </row>
    <row r="1446">
      <c r="B1446" s="8"/>
      <c r="G1446" s="8"/>
      <c r="M1446" s="8"/>
    </row>
    <row r="1447">
      <c r="B1447" s="8"/>
      <c r="G1447" s="8"/>
      <c r="M1447" s="8"/>
    </row>
    <row r="1448">
      <c r="B1448" s="8"/>
      <c r="G1448" s="8"/>
      <c r="M1448" s="8"/>
    </row>
    <row r="1449">
      <c r="B1449" s="8"/>
      <c r="G1449" s="8"/>
      <c r="M1449" s="8"/>
    </row>
    <row r="1450">
      <c r="B1450" s="8"/>
      <c r="G1450" s="8"/>
      <c r="M1450" s="8"/>
    </row>
    <row r="1451">
      <c r="B1451" s="8"/>
      <c r="G1451" s="8"/>
      <c r="M1451" s="8"/>
    </row>
    <row r="1452">
      <c r="B1452" s="8"/>
      <c r="G1452" s="8"/>
      <c r="M1452" s="8"/>
    </row>
    <row r="1453">
      <c r="B1453" s="8"/>
      <c r="G1453" s="8"/>
      <c r="M1453" s="8"/>
    </row>
    <row r="1454">
      <c r="B1454" s="8"/>
      <c r="G1454" s="8"/>
      <c r="M1454" s="8"/>
    </row>
    <row r="1455">
      <c r="B1455" s="8"/>
      <c r="G1455" s="8"/>
      <c r="M1455" s="8"/>
    </row>
    <row r="1456">
      <c r="B1456" s="8"/>
      <c r="G1456" s="8"/>
      <c r="M1456" s="8"/>
    </row>
    <row r="1457">
      <c r="B1457" s="8"/>
      <c r="G1457" s="8"/>
      <c r="M1457" s="8"/>
    </row>
    <row r="1458">
      <c r="B1458" s="8"/>
      <c r="G1458" s="8"/>
      <c r="M1458" s="8"/>
    </row>
    <row r="1459">
      <c r="B1459" s="8"/>
      <c r="G1459" s="8"/>
      <c r="M1459" s="8"/>
    </row>
    <row r="1460">
      <c r="B1460" s="8"/>
      <c r="G1460" s="8"/>
      <c r="M1460" s="8"/>
    </row>
    <row r="1461">
      <c r="B1461" s="8"/>
      <c r="G1461" s="8"/>
      <c r="M1461" s="8"/>
    </row>
    <row r="1462">
      <c r="B1462" s="8"/>
      <c r="G1462" s="8"/>
      <c r="M1462" s="8"/>
    </row>
    <row r="1463">
      <c r="B1463" s="8"/>
      <c r="G1463" s="8"/>
      <c r="M1463" s="8"/>
    </row>
    <row r="1464">
      <c r="B1464" s="8"/>
      <c r="G1464" s="8"/>
      <c r="M1464" s="8"/>
    </row>
    <row r="1465">
      <c r="B1465" s="8"/>
      <c r="G1465" s="8"/>
      <c r="M1465" s="8"/>
    </row>
    <row r="1466">
      <c r="B1466" s="8"/>
      <c r="G1466" s="8"/>
      <c r="M1466" s="8"/>
    </row>
    <row r="1467">
      <c r="B1467" s="8"/>
      <c r="G1467" s="8"/>
      <c r="M1467" s="8"/>
    </row>
    <row r="1468">
      <c r="B1468" s="8"/>
      <c r="G1468" s="8"/>
      <c r="M1468" s="8"/>
    </row>
    <row r="1469">
      <c r="B1469" s="8"/>
      <c r="G1469" s="8"/>
      <c r="M1469" s="8"/>
    </row>
    <row r="1470">
      <c r="B1470" s="8"/>
      <c r="G1470" s="8"/>
      <c r="M1470" s="8"/>
    </row>
    <row r="1471">
      <c r="B1471" s="8"/>
      <c r="G1471" s="8"/>
      <c r="M1471" s="8"/>
    </row>
    <row r="1472">
      <c r="B1472" s="8"/>
      <c r="G1472" s="8"/>
      <c r="M1472" s="8"/>
    </row>
    <row r="1473">
      <c r="B1473" s="8"/>
      <c r="G1473" s="8"/>
      <c r="M1473" s="8"/>
    </row>
    <row r="1474">
      <c r="B1474" s="8"/>
      <c r="G1474" s="8"/>
      <c r="M1474" s="8"/>
    </row>
    <row r="1475">
      <c r="B1475" s="8"/>
      <c r="G1475" s="8"/>
      <c r="M1475" s="8"/>
    </row>
    <row r="1476">
      <c r="B1476" s="8"/>
      <c r="G1476" s="8"/>
      <c r="M1476" s="8"/>
    </row>
    <row r="1477">
      <c r="B1477" s="8"/>
      <c r="G1477" s="8"/>
      <c r="M1477" s="8"/>
    </row>
    <row r="1478">
      <c r="B1478" s="8"/>
      <c r="G1478" s="8"/>
      <c r="M1478" s="8"/>
    </row>
    <row r="1479">
      <c r="B1479" s="8"/>
      <c r="G1479" s="8"/>
      <c r="M1479" s="8"/>
    </row>
    <row r="1480">
      <c r="B1480" s="8"/>
      <c r="G1480" s="8"/>
      <c r="M1480" s="8"/>
    </row>
    <row r="1481">
      <c r="B1481" s="8"/>
      <c r="G1481" s="8"/>
      <c r="M1481" s="8"/>
    </row>
    <row r="1482">
      <c r="B1482" s="8"/>
      <c r="G1482" s="8"/>
      <c r="M1482" s="8"/>
    </row>
    <row r="1483">
      <c r="B1483" s="8"/>
      <c r="G1483" s="8"/>
      <c r="M1483" s="8"/>
    </row>
    <row r="1484">
      <c r="B1484" s="8"/>
      <c r="G1484" s="8"/>
      <c r="M1484" s="8"/>
    </row>
    <row r="1485">
      <c r="B1485" s="8"/>
      <c r="G1485" s="8"/>
      <c r="M1485" s="8"/>
    </row>
    <row r="1486">
      <c r="B1486" s="8"/>
      <c r="G1486" s="8"/>
      <c r="M1486" s="8"/>
    </row>
    <row r="1487">
      <c r="B1487" s="8"/>
      <c r="G1487" s="8"/>
      <c r="M1487" s="8"/>
    </row>
    <row r="1488">
      <c r="B1488" s="8"/>
      <c r="G1488" s="8"/>
      <c r="M1488" s="8"/>
    </row>
    <row r="1489">
      <c r="B1489" s="8"/>
      <c r="G1489" s="8"/>
      <c r="M1489" s="8"/>
    </row>
    <row r="1490">
      <c r="B1490" s="8"/>
      <c r="G1490" s="8"/>
      <c r="M1490" s="8"/>
    </row>
    <row r="1491">
      <c r="B1491" s="8"/>
      <c r="G1491" s="8"/>
      <c r="M1491" s="8"/>
    </row>
    <row r="1492">
      <c r="B1492" s="8"/>
      <c r="G1492" s="8"/>
      <c r="M1492" s="8"/>
    </row>
    <row r="1493">
      <c r="B1493" s="8"/>
      <c r="G1493" s="8"/>
      <c r="M1493" s="8"/>
    </row>
    <row r="1494">
      <c r="B1494" s="8"/>
      <c r="G1494" s="8"/>
      <c r="M1494" s="8"/>
    </row>
    <row r="1495">
      <c r="B1495" s="8"/>
      <c r="G1495" s="8"/>
      <c r="M1495" s="8"/>
    </row>
    <row r="1496">
      <c r="B1496" s="8"/>
      <c r="G1496" s="8"/>
      <c r="M1496" s="8"/>
    </row>
    <row r="1497">
      <c r="B1497" s="8"/>
      <c r="G1497" s="8"/>
      <c r="M1497" s="8"/>
    </row>
    <row r="1498">
      <c r="B1498" s="8"/>
      <c r="G1498" s="8"/>
      <c r="M1498" s="8"/>
    </row>
    <row r="1499">
      <c r="B1499" s="8"/>
      <c r="G1499" s="8"/>
      <c r="M1499" s="8"/>
    </row>
    <row r="1500">
      <c r="B1500" s="8"/>
      <c r="G1500" s="8"/>
      <c r="M1500" s="8"/>
    </row>
    <row r="1501">
      <c r="B1501" s="8"/>
      <c r="G1501" s="8"/>
      <c r="M1501" s="8"/>
    </row>
    <row r="1502">
      <c r="B1502" s="8"/>
      <c r="G1502" s="8"/>
      <c r="M1502" s="8"/>
    </row>
    <row r="1503">
      <c r="B1503" s="8"/>
      <c r="G1503" s="8"/>
      <c r="M1503" s="8"/>
    </row>
    <row r="1504">
      <c r="B1504" s="8"/>
      <c r="G1504" s="8"/>
      <c r="M1504" s="8"/>
    </row>
    <row r="1505">
      <c r="B1505" s="8"/>
      <c r="G1505" s="8"/>
      <c r="M1505" s="8"/>
    </row>
    <row r="1506">
      <c r="B1506" s="8"/>
      <c r="G1506" s="8"/>
      <c r="M1506" s="8"/>
    </row>
    <row r="1507">
      <c r="B1507" s="8"/>
      <c r="G1507" s="8"/>
      <c r="M1507" s="8"/>
    </row>
    <row r="1508">
      <c r="B1508" s="8"/>
      <c r="G1508" s="8"/>
      <c r="M1508" s="8"/>
    </row>
    <row r="1509">
      <c r="B1509" s="8"/>
      <c r="G1509" s="8"/>
      <c r="M1509" s="8"/>
    </row>
    <row r="1510">
      <c r="B1510" s="8"/>
      <c r="G1510" s="8"/>
      <c r="M1510" s="8"/>
    </row>
    <row r="1511">
      <c r="B1511" s="8"/>
      <c r="G1511" s="8"/>
      <c r="M1511" s="8"/>
    </row>
    <row r="1512">
      <c r="B1512" s="8"/>
      <c r="G1512" s="8"/>
      <c r="M1512" s="8"/>
    </row>
    <row r="1513">
      <c r="B1513" s="8"/>
      <c r="G1513" s="8"/>
      <c r="M1513" s="8"/>
    </row>
    <row r="1514">
      <c r="B1514" s="8"/>
      <c r="G1514" s="8"/>
      <c r="M1514" s="8"/>
    </row>
    <row r="1515">
      <c r="B1515" s="8"/>
      <c r="G1515" s="8"/>
      <c r="M1515" s="8"/>
    </row>
    <row r="1516">
      <c r="B1516" s="8"/>
      <c r="G1516" s="8"/>
      <c r="M1516" s="8"/>
    </row>
    <row r="1517">
      <c r="B1517" s="8"/>
      <c r="G1517" s="8"/>
      <c r="M1517" s="8"/>
    </row>
    <row r="1518">
      <c r="B1518" s="8"/>
      <c r="G1518" s="8"/>
      <c r="M1518" s="8"/>
    </row>
    <row r="1519">
      <c r="B1519" s="8"/>
      <c r="G1519" s="8"/>
      <c r="M1519" s="8"/>
    </row>
    <row r="1520">
      <c r="B1520" s="8"/>
      <c r="G1520" s="8"/>
      <c r="M1520" s="8"/>
    </row>
    <row r="1521">
      <c r="B1521" s="8"/>
      <c r="G1521" s="8"/>
      <c r="M1521" s="8"/>
    </row>
    <row r="1522">
      <c r="B1522" s="8"/>
      <c r="G1522" s="8"/>
      <c r="M1522" s="8"/>
    </row>
    <row r="1523">
      <c r="B1523" s="8"/>
      <c r="G1523" s="8"/>
      <c r="M1523" s="8"/>
    </row>
    <row r="1524">
      <c r="B1524" s="8"/>
      <c r="G1524" s="8"/>
      <c r="M1524" s="8"/>
    </row>
    <row r="1525">
      <c r="B1525" s="8"/>
      <c r="G1525" s="8"/>
      <c r="M1525" s="8"/>
    </row>
    <row r="1526">
      <c r="B1526" s="8"/>
      <c r="G1526" s="8"/>
      <c r="M1526" s="8"/>
    </row>
    <row r="1527">
      <c r="B1527" s="8"/>
      <c r="G1527" s="8"/>
      <c r="M1527" s="8"/>
    </row>
    <row r="1528">
      <c r="B1528" s="8"/>
      <c r="G1528" s="8"/>
      <c r="M1528" s="8"/>
    </row>
    <row r="1529">
      <c r="B1529" s="8"/>
      <c r="G1529" s="8"/>
      <c r="M1529" s="8"/>
    </row>
    <row r="1530">
      <c r="B1530" s="8"/>
      <c r="G1530" s="8"/>
      <c r="M1530" s="8"/>
    </row>
    <row r="1531">
      <c r="B1531" s="8"/>
      <c r="G1531" s="8"/>
      <c r="M1531" s="8"/>
    </row>
    <row r="1532">
      <c r="B1532" s="8"/>
      <c r="G1532" s="8"/>
      <c r="M1532" s="8"/>
    </row>
    <row r="1533">
      <c r="B1533" s="8"/>
      <c r="G1533" s="8"/>
      <c r="M1533" s="8"/>
    </row>
    <row r="1534">
      <c r="B1534" s="8"/>
      <c r="G1534" s="8"/>
      <c r="M1534" s="8"/>
    </row>
    <row r="1535">
      <c r="B1535" s="8"/>
      <c r="G1535" s="8"/>
      <c r="M1535" s="8"/>
    </row>
    <row r="1536">
      <c r="B1536" s="8"/>
      <c r="G1536" s="8"/>
      <c r="M1536" s="8"/>
    </row>
    <row r="1537">
      <c r="B1537" s="8"/>
      <c r="G1537" s="8"/>
      <c r="M1537" s="8"/>
    </row>
    <row r="1538">
      <c r="B1538" s="8"/>
      <c r="G1538" s="8"/>
      <c r="M1538" s="8"/>
    </row>
    <row r="1539">
      <c r="B1539" s="8"/>
      <c r="G1539" s="8"/>
      <c r="M1539" s="8"/>
    </row>
    <row r="1540">
      <c r="B1540" s="8"/>
      <c r="G1540" s="8"/>
      <c r="M1540" s="8"/>
    </row>
    <row r="1541">
      <c r="B1541" s="8"/>
      <c r="G1541" s="8"/>
      <c r="M1541" s="8"/>
    </row>
    <row r="1542">
      <c r="B1542" s="8"/>
      <c r="G1542" s="8"/>
      <c r="M1542" s="8"/>
    </row>
    <row r="1543">
      <c r="B1543" s="8"/>
      <c r="G1543" s="8"/>
      <c r="M1543" s="8"/>
    </row>
    <row r="1544">
      <c r="B1544" s="8"/>
      <c r="G1544" s="8"/>
      <c r="M1544" s="8"/>
    </row>
    <row r="1545">
      <c r="B1545" s="8"/>
      <c r="G1545" s="8"/>
      <c r="M1545" s="8"/>
    </row>
    <row r="1546">
      <c r="B1546" s="8"/>
      <c r="G1546" s="8"/>
      <c r="M1546" s="8"/>
    </row>
    <row r="1547">
      <c r="B1547" s="8"/>
      <c r="G1547" s="8"/>
      <c r="M1547" s="8"/>
    </row>
    <row r="1548">
      <c r="B1548" s="8"/>
      <c r="G1548" s="8"/>
      <c r="M1548" s="8"/>
    </row>
    <row r="1549">
      <c r="B1549" s="8"/>
      <c r="G1549" s="8"/>
      <c r="M1549" s="8"/>
    </row>
    <row r="1550">
      <c r="B1550" s="8"/>
      <c r="G1550" s="8"/>
      <c r="M1550" s="8"/>
    </row>
    <row r="1551">
      <c r="B1551" s="8"/>
      <c r="G1551" s="8"/>
      <c r="M1551" s="8"/>
    </row>
    <row r="1552">
      <c r="B1552" s="8"/>
      <c r="G1552" s="8"/>
      <c r="M1552" s="8"/>
    </row>
    <row r="1553">
      <c r="B1553" s="8"/>
      <c r="G1553" s="8"/>
      <c r="M1553" s="8"/>
    </row>
    <row r="1554">
      <c r="B1554" s="8"/>
      <c r="G1554" s="8"/>
      <c r="M1554" s="8"/>
    </row>
    <row r="1555">
      <c r="B1555" s="8"/>
      <c r="G1555" s="8"/>
      <c r="M1555" s="8"/>
    </row>
    <row r="1556">
      <c r="B1556" s="8"/>
      <c r="G1556" s="8"/>
      <c r="M1556" s="8"/>
    </row>
    <row r="1557">
      <c r="B1557" s="8"/>
      <c r="G1557" s="8"/>
      <c r="M1557" s="8"/>
    </row>
    <row r="1558">
      <c r="B1558" s="8"/>
      <c r="G1558" s="8"/>
      <c r="M1558" s="8"/>
    </row>
    <row r="1559">
      <c r="B1559" s="8"/>
      <c r="G1559" s="8"/>
      <c r="M1559" s="8"/>
    </row>
    <row r="1560">
      <c r="B1560" s="8"/>
      <c r="G1560" s="8"/>
      <c r="M1560" s="8"/>
    </row>
    <row r="1561">
      <c r="B1561" s="8"/>
      <c r="G1561" s="8"/>
      <c r="M1561" s="8"/>
    </row>
    <row r="1562">
      <c r="B1562" s="8"/>
      <c r="G1562" s="8"/>
      <c r="M1562" s="8"/>
    </row>
    <row r="1563">
      <c r="B1563" s="8"/>
      <c r="G1563" s="8"/>
      <c r="M1563" s="8"/>
    </row>
    <row r="1564">
      <c r="B1564" s="8"/>
      <c r="G1564" s="8"/>
      <c r="M1564" s="8"/>
    </row>
    <row r="1565">
      <c r="B1565" s="8"/>
      <c r="G1565" s="8"/>
      <c r="M1565" s="8"/>
    </row>
    <row r="1566">
      <c r="B1566" s="8"/>
      <c r="G1566" s="8"/>
      <c r="M1566" s="8"/>
    </row>
    <row r="1567">
      <c r="B1567" s="8"/>
      <c r="G1567" s="8"/>
      <c r="M1567" s="8"/>
    </row>
    <row r="1568">
      <c r="B1568" s="8"/>
      <c r="G1568" s="8"/>
      <c r="M1568" s="8"/>
    </row>
    <row r="1569">
      <c r="B1569" s="8"/>
      <c r="G1569" s="8"/>
      <c r="M1569" s="8"/>
    </row>
    <row r="1570">
      <c r="B1570" s="8"/>
      <c r="G1570" s="8"/>
      <c r="M1570" s="8"/>
    </row>
    <row r="1571">
      <c r="B1571" s="8"/>
      <c r="G1571" s="8"/>
      <c r="M1571" s="8"/>
    </row>
    <row r="1572">
      <c r="B1572" s="8"/>
      <c r="G1572" s="8"/>
      <c r="M1572" s="8"/>
    </row>
    <row r="1573">
      <c r="B1573" s="8"/>
      <c r="G1573" s="8"/>
      <c r="M1573" s="8"/>
    </row>
    <row r="1574">
      <c r="B1574" s="8"/>
      <c r="G1574" s="8"/>
      <c r="M1574" s="8"/>
    </row>
    <row r="1575">
      <c r="B1575" s="8"/>
      <c r="G1575" s="8"/>
      <c r="M1575" s="8"/>
    </row>
    <row r="1576">
      <c r="B1576" s="8"/>
      <c r="G1576" s="8"/>
      <c r="M1576" s="8"/>
    </row>
    <row r="1577">
      <c r="B1577" s="8"/>
      <c r="G1577" s="8"/>
      <c r="M1577" s="8"/>
    </row>
    <row r="1578">
      <c r="B1578" s="8"/>
      <c r="G1578" s="8"/>
      <c r="M1578" s="8"/>
    </row>
    <row r="1579">
      <c r="B1579" s="8"/>
      <c r="G1579" s="8"/>
      <c r="M1579" s="8"/>
    </row>
    <row r="1580">
      <c r="B1580" s="8"/>
      <c r="G1580" s="8"/>
      <c r="M1580" s="8"/>
    </row>
    <row r="1581">
      <c r="B1581" s="8"/>
      <c r="G1581" s="8"/>
      <c r="M1581" s="8"/>
    </row>
    <row r="1582">
      <c r="B1582" s="8"/>
      <c r="G1582" s="8"/>
      <c r="M1582" s="8"/>
    </row>
    <row r="1583">
      <c r="B1583" s="8"/>
      <c r="G1583" s="8"/>
      <c r="M1583" s="8"/>
    </row>
    <row r="1584">
      <c r="B1584" s="8"/>
      <c r="G1584" s="8"/>
      <c r="M1584" s="8"/>
    </row>
    <row r="1585">
      <c r="B1585" s="8"/>
      <c r="G1585" s="8"/>
      <c r="M1585" s="8"/>
    </row>
    <row r="1586">
      <c r="B1586" s="8"/>
      <c r="G1586" s="8"/>
      <c r="M1586" s="8"/>
    </row>
    <row r="1587">
      <c r="B1587" s="8"/>
      <c r="G1587" s="8"/>
      <c r="M1587" s="8"/>
    </row>
    <row r="1588">
      <c r="B1588" s="8"/>
      <c r="G1588" s="8"/>
      <c r="M1588" s="8"/>
    </row>
    <row r="1589">
      <c r="B1589" s="8"/>
      <c r="G1589" s="8"/>
      <c r="M1589" s="8"/>
    </row>
    <row r="1590">
      <c r="B1590" s="8"/>
      <c r="G1590" s="8"/>
      <c r="M1590" s="8"/>
    </row>
    <row r="1591">
      <c r="B1591" s="8"/>
      <c r="G1591" s="8"/>
      <c r="M1591" s="8"/>
    </row>
    <row r="1592">
      <c r="B1592" s="8"/>
      <c r="G1592" s="8"/>
      <c r="M1592" s="8"/>
    </row>
    <row r="1593">
      <c r="B1593" s="8"/>
      <c r="G1593" s="8"/>
      <c r="M1593" s="8"/>
    </row>
    <row r="1594">
      <c r="B1594" s="8"/>
      <c r="G1594" s="8"/>
      <c r="M1594" s="8"/>
    </row>
    <row r="1595">
      <c r="B1595" s="8"/>
      <c r="G1595" s="8"/>
      <c r="M1595" s="8"/>
    </row>
    <row r="1596">
      <c r="B1596" s="8"/>
      <c r="G1596" s="8"/>
      <c r="M1596" s="8"/>
    </row>
    <row r="1597">
      <c r="B1597" s="8"/>
      <c r="G1597" s="8"/>
      <c r="M1597" s="8"/>
    </row>
    <row r="1598">
      <c r="B1598" s="8"/>
      <c r="G1598" s="8"/>
      <c r="M1598" s="8"/>
    </row>
    <row r="1599">
      <c r="B1599" s="8"/>
      <c r="G1599" s="8"/>
      <c r="M1599" s="8"/>
    </row>
    <row r="1600">
      <c r="B1600" s="8"/>
      <c r="G1600" s="8"/>
      <c r="M1600" s="8"/>
    </row>
    <row r="1601">
      <c r="B1601" s="8"/>
      <c r="G1601" s="8"/>
      <c r="M1601" s="8"/>
    </row>
    <row r="1602">
      <c r="B1602" s="8"/>
      <c r="G1602" s="8"/>
      <c r="M1602" s="8"/>
    </row>
    <row r="1603">
      <c r="B1603" s="8"/>
      <c r="G1603" s="8"/>
      <c r="M1603" s="8"/>
    </row>
    <row r="1604">
      <c r="B1604" s="8"/>
      <c r="G1604" s="8"/>
      <c r="M1604" s="8"/>
    </row>
    <row r="1605">
      <c r="B1605" s="8"/>
      <c r="G1605" s="8"/>
      <c r="M1605" s="8"/>
    </row>
    <row r="1606">
      <c r="B1606" s="8"/>
      <c r="G1606" s="8"/>
      <c r="M1606" s="8"/>
    </row>
    <row r="1607">
      <c r="B1607" s="8"/>
      <c r="G1607" s="8"/>
      <c r="M1607" s="8"/>
    </row>
    <row r="1608">
      <c r="B1608" s="8"/>
      <c r="G1608" s="8"/>
      <c r="M1608" s="8"/>
    </row>
    <row r="1609">
      <c r="B1609" s="8"/>
      <c r="G1609" s="8"/>
      <c r="M1609" s="8"/>
    </row>
    <row r="1610">
      <c r="B1610" s="8"/>
      <c r="G1610" s="8"/>
      <c r="M1610" s="8"/>
    </row>
    <row r="1611">
      <c r="B1611" s="8"/>
      <c r="G1611" s="8"/>
      <c r="M1611" s="8"/>
    </row>
    <row r="1612">
      <c r="B1612" s="8"/>
      <c r="G1612" s="8"/>
      <c r="M1612" s="8"/>
    </row>
    <row r="1613">
      <c r="B1613" s="8"/>
      <c r="G1613" s="8"/>
      <c r="M1613" s="8"/>
    </row>
    <row r="1614">
      <c r="B1614" s="8"/>
      <c r="G1614" s="8"/>
      <c r="M1614" s="8"/>
    </row>
    <row r="1615">
      <c r="B1615" s="8"/>
      <c r="G1615" s="8"/>
      <c r="M1615" s="8"/>
    </row>
    <row r="1616">
      <c r="B1616" s="8"/>
      <c r="G1616" s="8"/>
      <c r="M1616" s="8"/>
    </row>
    <row r="1617">
      <c r="B1617" s="8"/>
      <c r="G1617" s="8"/>
      <c r="M1617" s="8"/>
    </row>
    <row r="1618">
      <c r="B1618" s="8"/>
      <c r="G1618" s="8"/>
      <c r="M1618" s="8"/>
    </row>
    <row r="1619">
      <c r="B1619" s="8"/>
      <c r="G1619" s="8"/>
      <c r="M1619" s="8"/>
    </row>
    <row r="1620">
      <c r="B1620" s="8"/>
      <c r="G1620" s="8"/>
      <c r="M1620" s="8"/>
    </row>
    <row r="1621">
      <c r="B1621" s="8"/>
      <c r="G1621" s="8"/>
      <c r="M1621" s="8"/>
    </row>
    <row r="1622">
      <c r="B1622" s="8"/>
      <c r="G1622" s="8"/>
      <c r="M1622" s="8"/>
    </row>
    <row r="1623">
      <c r="B1623" s="8"/>
      <c r="G1623" s="8"/>
      <c r="M1623" s="8"/>
    </row>
    <row r="1624">
      <c r="B1624" s="8"/>
      <c r="G1624" s="8"/>
      <c r="M1624" s="8"/>
    </row>
    <row r="1625">
      <c r="B1625" s="8"/>
      <c r="G1625" s="8"/>
      <c r="M1625" s="8"/>
    </row>
    <row r="1626">
      <c r="B1626" s="8"/>
      <c r="G1626" s="8"/>
      <c r="M1626" s="8"/>
    </row>
    <row r="1627">
      <c r="B1627" s="8"/>
      <c r="G1627" s="8"/>
      <c r="M1627" s="8"/>
    </row>
    <row r="1628">
      <c r="B1628" s="8"/>
      <c r="G1628" s="8"/>
      <c r="M1628" s="8"/>
    </row>
    <row r="1629">
      <c r="B1629" s="8"/>
      <c r="G1629" s="8"/>
      <c r="M1629" s="8"/>
    </row>
    <row r="1630">
      <c r="B1630" s="8"/>
      <c r="G1630" s="8"/>
      <c r="M1630" s="8"/>
    </row>
    <row r="1631">
      <c r="B1631" s="8"/>
      <c r="G1631" s="8"/>
      <c r="M1631" s="8"/>
    </row>
    <row r="1632">
      <c r="B1632" s="8"/>
      <c r="G1632" s="8"/>
      <c r="M1632" s="8"/>
    </row>
    <row r="1633">
      <c r="B1633" s="8"/>
      <c r="G1633" s="8"/>
      <c r="M1633" s="8"/>
    </row>
    <row r="1634">
      <c r="B1634" s="8"/>
      <c r="G1634" s="8"/>
      <c r="M1634" s="8"/>
    </row>
    <row r="1635">
      <c r="B1635" s="8"/>
      <c r="G1635" s="8"/>
      <c r="M1635" s="8"/>
    </row>
    <row r="1636">
      <c r="B1636" s="8"/>
      <c r="G1636" s="8"/>
      <c r="M1636" s="8"/>
    </row>
    <row r="1637">
      <c r="B1637" s="8"/>
      <c r="G1637" s="8"/>
      <c r="M1637" s="8"/>
    </row>
    <row r="1638">
      <c r="B1638" s="8"/>
      <c r="G1638" s="8"/>
      <c r="M1638" s="8"/>
    </row>
    <row r="1639">
      <c r="B1639" s="8"/>
      <c r="G1639" s="8"/>
      <c r="M1639" s="8"/>
    </row>
    <row r="1640">
      <c r="B1640" s="8"/>
      <c r="G1640" s="8"/>
      <c r="M1640" s="8"/>
    </row>
    <row r="1641">
      <c r="B1641" s="8"/>
      <c r="G1641" s="8"/>
      <c r="M1641" s="8"/>
    </row>
    <row r="1642">
      <c r="B1642" s="8"/>
      <c r="G1642" s="8"/>
      <c r="M1642" s="8"/>
    </row>
    <row r="1643">
      <c r="B1643" s="8"/>
      <c r="G1643" s="8"/>
      <c r="M1643" s="8"/>
    </row>
    <row r="1644">
      <c r="B1644" s="8"/>
      <c r="G1644" s="8"/>
      <c r="M1644" s="8"/>
    </row>
    <row r="1645">
      <c r="B1645" s="8"/>
      <c r="G1645" s="8"/>
      <c r="M1645" s="8"/>
    </row>
    <row r="1646">
      <c r="B1646" s="8"/>
      <c r="G1646" s="8"/>
      <c r="M1646" s="8"/>
    </row>
    <row r="1647">
      <c r="B1647" s="8"/>
      <c r="G1647" s="8"/>
      <c r="M1647" s="8"/>
    </row>
    <row r="1648">
      <c r="B1648" s="8"/>
      <c r="G1648" s="8"/>
      <c r="M1648" s="8"/>
    </row>
    <row r="1649">
      <c r="B1649" s="8"/>
      <c r="G1649" s="8"/>
      <c r="M1649" s="8"/>
    </row>
    <row r="1650">
      <c r="B1650" s="8"/>
      <c r="G1650" s="8"/>
      <c r="M1650" s="8"/>
    </row>
    <row r="1651">
      <c r="B1651" s="8"/>
      <c r="G1651" s="8"/>
      <c r="M1651" s="8"/>
    </row>
    <row r="1652">
      <c r="B1652" s="8"/>
      <c r="G1652" s="8"/>
      <c r="M1652" s="8"/>
    </row>
    <row r="1653">
      <c r="B1653" s="8"/>
      <c r="G1653" s="8"/>
      <c r="M1653" s="8"/>
    </row>
    <row r="1654">
      <c r="B1654" s="8"/>
      <c r="G1654" s="8"/>
      <c r="M1654" s="8"/>
    </row>
    <row r="1655">
      <c r="B1655" s="8"/>
      <c r="G1655" s="8"/>
      <c r="M1655" s="8"/>
    </row>
    <row r="1656">
      <c r="B1656" s="8"/>
      <c r="G1656" s="8"/>
      <c r="M1656" s="8"/>
    </row>
    <row r="1657">
      <c r="B1657" s="8"/>
      <c r="G1657" s="8"/>
      <c r="M1657" s="8"/>
    </row>
    <row r="1658">
      <c r="B1658" s="8"/>
      <c r="G1658" s="8"/>
      <c r="M1658" s="8"/>
    </row>
    <row r="1659">
      <c r="B1659" s="8"/>
      <c r="G1659" s="8"/>
      <c r="M1659" s="8"/>
    </row>
    <row r="1660">
      <c r="B1660" s="8"/>
      <c r="G1660" s="8"/>
      <c r="M1660" s="8"/>
    </row>
    <row r="1661">
      <c r="B1661" s="8"/>
      <c r="G1661" s="8"/>
      <c r="M1661" s="8"/>
    </row>
    <row r="1662">
      <c r="B1662" s="8"/>
      <c r="G1662" s="8"/>
      <c r="M1662" s="8"/>
    </row>
    <row r="1663">
      <c r="B1663" s="8"/>
      <c r="G1663" s="8"/>
      <c r="M1663" s="8"/>
    </row>
    <row r="1664">
      <c r="B1664" s="8"/>
      <c r="G1664" s="8"/>
      <c r="M1664" s="8"/>
    </row>
    <row r="1665">
      <c r="B1665" s="8"/>
      <c r="G1665" s="8"/>
      <c r="M1665" s="8"/>
    </row>
    <row r="1666">
      <c r="B1666" s="8"/>
      <c r="G1666" s="8"/>
      <c r="M1666" s="8"/>
    </row>
    <row r="1667">
      <c r="B1667" s="8"/>
      <c r="G1667" s="8"/>
      <c r="M1667" s="8"/>
    </row>
    <row r="1668">
      <c r="B1668" s="8"/>
      <c r="G1668" s="8"/>
      <c r="M1668" s="8"/>
    </row>
    <row r="1669">
      <c r="B1669" s="8"/>
      <c r="G1669" s="8"/>
      <c r="M1669" s="8"/>
    </row>
    <row r="1670">
      <c r="B1670" s="8"/>
      <c r="G1670" s="8"/>
      <c r="M1670" s="8"/>
    </row>
    <row r="1671">
      <c r="B1671" s="8"/>
      <c r="G1671" s="8"/>
      <c r="M1671" s="8"/>
    </row>
    <row r="1672">
      <c r="B1672" s="8"/>
      <c r="G1672" s="8"/>
      <c r="M1672" s="8"/>
    </row>
    <row r="1673">
      <c r="B1673" s="8"/>
      <c r="G1673" s="8"/>
      <c r="M1673" s="8"/>
    </row>
    <row r="1674">
      <c r="B1674" s="8"/>
      <c r="G1674" s="8"/>
      <c r="M1674" s="8"/>
    </row>
    <row r="1675">
      <c r="B1675" s="8"/>
      <c r="G1675" s="8"/>
      <c r="M1675" s="8"/>
    </row>
    <row r="1676">
      <c r="B1676" s="8"/>
      <c r="G1676" s="8"/>
      <c r="M1676" s="8"/>
    </row>
    <row r="1677">
      <c r="B1677" s="8"/>
      <c r="G1677" s="8"/>
      <c r="M1677" s="8"/>
    </row>
    <row r="1678">
      <c r="B1678" s="8"/>
      <c r="G1678" s="8"/>
      <c r="M1678" s="8"/>
    </row>
    <row r="1679">
      <c r="B1679" s="8"/>
      <c r="G1679" s="8"/>
      <c r="M1679" s="8"/>
    </row>
    <row r="1680">
      <c r="B1680" s="8"/>
      <c r="G1680" s="8"/>
      <c r="M1680" s="8"/>
    </row>
    <row r="1681">
      <c r="B1681" s="8"/>
      <c r="G1681" s="8"/>
      <c r="M1681" s="8"/>
    </row>
    <row r="1682">
      <c r="B1682" s="8"/>
      <c r="G1682" s="8"/>
      <c r="M1682" s="8"/>
    </row>
    <row r="1683">
      <c r="B1683" s="8"/>
      <c r="G1683" s="8"/>
      <c r="M1683" s="8"/>
    </row>
    <row r="1684">
      <c r="B1684" s="8"/>
      <c r="G1684" s="8"/>
      <c r="M1684" s="8"/>
    </row>
    <row r="1685">
      <c r="B1685" s="8"/>
      <c r="G1685" s="8"/>
      <c r="M1685" s="8"/>
    </row>
    <row r="1686">
      <c r="B1686" s="8"/>
      <c r="G1686" s="8"/>
      <c r="M1686" s="8"/>
    </row>
    <row r="1687">
      <c r="B1687" s="8"/>
      <c r="G1687" s="8"/>
      <c r="M1687" s="8"/>
    </row>
    <row r="1688">
      <c r="B1688" s="8"/>
      <c r="G1688" s="8"/>
      <c r="M1688" s="8"/>
    </row>
    <row r="1689">
      <c r="B1689" s="8"/>
      <c r="G1689" s="8"/>
      <c r="M1689" s="8"/>
    </row>
    <row r="1690">
      <c r="B1690" s="8"/>
      <c r="G1690" s="8"/>
      <c r="M1690" s="8"/>
    </row>
    <row r="1691">
      <c r="B1691" s="8"/>
      <c r="G1691" s="8"/>
      <c r="M1691" s="8"/>
    </row>
    <row r="1692">
      <c r="B1692" s="8"/>
      <c r="G1692" s="8"/>
      <c r="M1692" s="8"/>
    </row>
    <row r="1693">
      <c r="B1693" s="8"/>
      <c r="G1693" s="8"/>
      <c r="M1693" s="8"/>
    </row>
    <row r="1694">
      <c r="B1694" s="8"/>
      <c r="G1694" s="8"/>
      <c r="M1694" s="8"/>
    </row>
    <row r="1695">
      <c r="B1695" s="8"/>
      <c r="G1695" s="8"/>
      <c r="M1695" s="8"/>
    </row>
    <row r="1696">
      <c r="B1696" s="8"/>
      <c r="G1696" s="8"/>
      <c r="M1696" s="8"/>
    </row>
    <row r="1697">
      <c r="B1697" s="8"/>
      <c r="G1697" s="8"/>
      <c r="M1697" s="8"/>
    </row>
    <row r="1698">
      <c r="B1698" s="8"/>
      <c r="G1698" s="8"/>
      <c r="M1698" s="8"/>
    </row>
    <row r="1699">
      <c r="B1699" s="8"/>
      <c r="G1699" s="8"/>
      <c r="M1699" s="8"/>
    </row>
    <row r="1700">
      <c r="B1700" s="8"/>
      <c r="G1700" s="8"/>
      <c r="M1700" s="8"/>
    </row>
    <row r="1701">
      <c r="B1701" s="8"/>
      <c r="G1701" s="8"/>
      <c r="M1701" s="8"/>
    </row>
    <row r="1702">
      <c r="B1702" s="8"/>
      <c r="G1702" s="8"/>
      <c r="M1702" s="8"/>
    </row>
    <row r="1703">
      <c r="B1703" s="8"/>
      <c r="G1703" s="8"/>
      <c r="M1703" s="8"/>
    </row>
    <row r="1704">
      <c r="B1704" s="8"/>
      <c r="G1704" s="8"/>
      <c r="M1704" s="8"/>
    </row>
    <row r="1705">
      <c r="B1705" s="8"/>
      <c r="G1705" s="8"/>
      <c r="M1705" s="8"/>
    </row>
    <row r="1706">
      <c r="B1706" s="8"/>
      <c r="G1706" s="8"/>
      <c r="M1706" s="8"/>
    </row>
    <row r="1707">
      <c r="B1707" s="8"/>
      <c r="G1707" s="8"/>
      <c r="M1707" s="8"/>
    </row>
    <row r="1708">
      <c r="B1708" s="8"/>
      <c r="G1708" s="8"/>
      <c r="M1708" s="8"/>
    </row>
    <row r="1709">
      <c r="B1709" s="8"/>
      <c r="G1709" s="8"/>
      <c r="M1709" s="8"/>
    </row>
    <row r="1710">
      <c r="B1710" s="8"/>
      <c r="G1710" s="8"/>
      <c r="M1710" s="8"/>
    </row>
    <row r="1711">
      <c r="B1711" s="8"/>
      <c r="G1711" s="8"/>
      <c r="M1711" s="8"/>
    </row>
    <row r="1712">
      <c r="B1712" s="8"/>
      <c r="G1712" s="8"/>
      <c r="M1712" s="8"/>
    </row>
    <row r="1713">
      <c r="B1713" s="8"/>
      <c r="G1713" s="8"/>
      <c r="M1713" s="8"/>
    </row>
    <row r="1714">
      <c r="B1714" s="8"/>
      <c r="G1714" s="8"/>
      <c r="M1714" s="8"/>
    </row>
    <row r="1715">
      <c r="B1715" s="8"/>
      <c r="G1715" s="8"/>
      <c r="M1715" s="8"/>
    </row>
    <row r="1716">
      <c r="B1716" s="8"/>
      <c r="G1716" s="8"/>
      <c r="M1716" s="8"/>
    </row>
    <row r="1717">
      <c r="B1717" s="8"/>
      <c r="G1717" s="8"/>
      <c r="M1717" s="8"/>
    </row>
    <row r="1718">
      <c r="B1718" s="8"/>
      <c r="G1718" s="8"/>
      <c r="M1718" s="8"/>
    </row>
    <row r="1719">
      <c r="B1719" s="8"/>
      <c r="G1719" s="8"/>
      <c r="M1719" s="8"/>
    </row>
    <row r="1720">
      <c r="B1720" s="8"/>
      <c r="G1720" s="8"/>
      <c r="M1720" s="8"/>
    </row>
    <row r="1721">
      <c r="B1721" s="8"/>
      <c r="G1721" s="8"/>
      <c r="M1721" s="8"/>
    </row>
    <row r="1722">
      <c r="B1722" s="8"/>
      <c r="G1722" s="8"/>
      <c r="M1722" s="8"/>
    </row>
    <row r="1723">
      <c r="B1723" s="8"/>
      <c r="G1723" s="8"/>
      <c r="M1723" s="8"/>
    </row>
    <row r="1724">
      <c r="B1724" s="8"/>
      <c r="G1724" s="8"/>
      <c r="M1724" s="8"/>
    </row>
    <row r="1725">
      <c r="B1725" s="8"/>
      <c r="G1725" s="8"/>
      <c r="M1725" s="8"/>
    </row>
    <row r="1726">
      <c r="B1726" s="8"/>
      <c r="G1726" s="8"/>
      <c r="M1726" s="8"/>
    </row>
    <row r="1727">
      <c r="B1727" s="8"/>
      <c r="G1727" s="8"/>
      <c r="M1727" s="8"/>
    </row>
    <row r="1728">
      <c r="B1728" s="8"/>
      <c r="G1728" s="8"/>
      <c r="M1728" s="8"/>
    </row>
    <row r="1729">
      <c r="B1729" s="8"/>
      <c r="G1729" s="8"/>
      <c r="M1729" s="8"/>
    </row>
    <row r="1730">
      <c r="B1730" s="8"/>
      <c r="G1730" s="8"/>
      <c r="M1730" s="8"/>
    </row>
    <row r="1731">
      <c r="B1731" s="8"/>
      <c r="G1731" s="8"/>
      <c r="M1731" s="8"/>
    </row>
    <row r="1732">
      <c r="B1732" s="8"/>
      <c r="G1732" s="8"/>
      <c r="M1732" s="8"/>
    </row>
    <row r="1733">
      <c r="B1733" s="8"/>
      <c r="G1733" s="8"/>
      <c r="M1733" s="8"/>
    </row>
    <row r="1734">
      <c r="B1734" s="8"/>
      <c r="G1734" s="8"/>
      <c r="M1734" s="8"/>
    </row>
    <row r="1735">
      <c r="B1735" s="8"/>
      <c r="G1735" s="8"/>
      <c r="M1735" s="8"/>
    </row>
    <row r="1736">
      <c r="B1736" s="8"/>
      <c r="G1736" s="8"/>
      <c r="M1736" s="8"/>
    </row>
    <row r="1737">
      <c r="B1737" s="8"/>
      <c r="G1737" s="8"/>
      <c r="M1737" s="8"/>
    </row>
    <row r="1738">
      <c r="B1738" s="8"/>
      <c r="G1738" s="8"/>
      <c r="M1738" s="8"/>
    </row>
    <row r="1739">
      <c r="B1739" s="8"/>
      <c r="G1739" s="8"/>
      <c r="M1739" s="8"/>
    </row>
    <row r="1740">
      <c r="B1740" s="8"/>
      <c r="G1740" s="8"/>
      <c r="M1740" s="8"/>
    </row>
    <row r="1741">
      <c r="B1741" s="8"/>
      <c r="G1741" s="8"/>
      <c r="M1741" s="8"/>
    </row>
    <row r="1742">
      <c r="B1742" s="8"/>
      <c r="G1742" s="8"/>
      <c r="M1742" s="8"/>
    </row>
    <row r="1743">
      <c r="B1743" s="8"/>
      <c r="G1743" s="8"/>
      <c r="M1743" s="8"/>
    </row>
    <row r="1744">
      <c r="B1744" s="8"/>
      <c r="G1744" s="8"/>
      <c r="M1744" s="8"/>
    </row>
    <row r="1745">
      <c r="B1745" s="8"/>
      <c r="G1745" s="8"/>
      <c r="M1745" s="8"/>
    </row>
    <row r="1746">
      <c r="B1746" s="8"/>
      <c r="G1746" s="8"/>
      <c r="M1746" s="8"/>
    </row>
    <row r="1747">
      <c r="B1747" s="8"/>
      <c r="G1747" s="8"/>
      <c r="M1747" s="8"/>
    </row>
    <row r="1748">
      <c r="B1748" s="8"/>
      <c r="G1748" s="8"/>
      <c r="M1748" s="8"/>
    </row>
    <row r="1749">
      <c r="B1749" s="8"/>
      <c r="G1749" s="8"/>
      <c r="M1749" s="8"/>
    </row>
    <row r="1750">
      <c r="B1750" s="8"/>
      <c r="G1750" s="8"/>
      <c r="M1750" s="8"/>
    </row>
    <row r="1751">
      <c r="B1751" s="8"/>
      <c r="G1751" s="8"/>
      <c r="M1751" s="8"/>
    </row>
    <row r="1752">
      <c r="B1752" s="8"/>
      <c r="G1752" s="8"/>
      <c r="M1752" s="8"/>
    </row>
    <row r="1753">
      <c r="B1753" s="8"/>
      <c r="G1753" s="8"/>
      <c r="M1753" s="8"/>
    </row>
    <row r="1754">
      <c r="B1754" s="8"/>
      <c r="G1754" s="8"/>
      <c r="M1754" s="8"/>
    </row>
    <row r="1755">
      <c r="B1755" s="8"/>
      <c r="G1755" s="8"/>
      <c r="M1755" s="8"/>
    </row>
    <row r="1756">
      <c r="B1756" s="8"/>
      <c r="G1756" s="8"/>
      <c r="M1756" s="8"/>
    </row>
    <row r="1757">
      <c r="B1757" s="8"/>
      <c r="G1757" s="8"/>
      <c r="M1757" s="8"/>
    </row>
    <row r="1758">
      <c r="B1758" s="8"/>
      <c r="G1758" s="8"/>
      <c r="M1758" s="8"/>
    </row>
    <row r="1759">
      <c r="B1759" s="8"/>
      <c r="G1759" s="8"/>
      <c r="M1759" s="8"/>
    </row>
    <row r="1760">
      <c r="B1760" s="8"/>
      <c r="G1760" s="8"/>
      <c r="M1760" s="8"/>
    </row>
    <row r="1761">
      <c r="B1761" s="8"/>
      <c r="G1761" s="8"/>
      <c r="M1761" s="8"/>
    </row>
    <row r="1762">
      <c r="B1762" s="8"/>
      <c r="G1762" s="8"/>
      <c r="M1762" s="8"/>
    </row>
    <row r="1763">
      <c r="B1763" s="8"/>
      <c r="G1763" s="8"/>
      <c r="M1763" s="8"/>
    </row>
    <row r="1764">
      <c r="B1764" s="8"/>
      <c r="G1764" s="8"/>
      <c r="M1764" s="8"/>
    </row>
    <row r="1765">
      <c r="B1765" s="8"/>
      <c r="G1765" s="8"/>
      <c r="M1765" s="8"/>
    </row>
    <row r="1766">
      <c r="B1766" s="8"/>
      <c r="G1766" s="8"/>
      <c r="M1766" s="8"/>
    </row>
    <row r="1767">
      <c r="B1767" s="8"/>
      <c r="G1767" s="8"/>
      <c r="M1767" s="8"/>
    </row>
    <row r="1768">
      <c r="B1768" s="8"/>
      <c r="G1768" s="8"/>
      <c r="M1768" s="8"/>
    </row>
    <row r="1769">
      <c r="B1769" s="8"/>
      <c r="G1769" s="8"/>
      <c r="M1769" s="8"/>
    </row>
    <row r="1770">
      <c r="B1770" s="8"/>
      <c r="G1770" s="8"/>
      <c r="M1770" s="8"/>
    </row>
    <row r="1771">
      <c r="B1771" s="8"/>
      <c r="G1771" s="8"/>
      <c r="M1771" s="8"/>
    </row>
    <row r="1772">
      <c r="B1772" s="8"/>
      <c r="G1772" s="8"/>
      <c r="M1772" s="8"/>
    </row>
    <row r="1773">
      <c r="B1773" s="8"/>
      <c r="G1773" s="8"/>
      <c r="M1773" s="8"/>
    </row>
    <row r="1774">
      <c r="B1774" s="8"/>
      <c r="G1774" s="8"/>
      <c r="M1774" s="8"/>
    </row>
    <row r="1775">
      <c r="B1775" s="8"/>
      <c r="G1775" s="8"/>
      <c r="M1775" s="8"/>
    </row>
    <row r="1776">
      <c r="B1776" s="8"/>
      <c r="G1776" s="8"/>
      <c r="M1776" s="8"/>
    </row>
    <row r="1777">
      <c r="B1777" s="8"/>
      <c r="G1777" s="8"/>
      <c r="M1777" s="8"/>
    </row>
    <row r="1778">
      <c r="B1778" s="8"/>
      <c r="G1778" s="8"/>
      <c r="M1778" s="8"/>
    </row>
    <row r="1779">
      <c r="B1779" s="8"/>
      <c r="G1779" s="8"/>
      <c r="M1779" s="8"/>
    </row>
    <row r="1780">
      <c r="B1780" s="8"/>
      <c r="G1780" s="8"/>
      <c r="M1780" s="8"/>
    </row>
    <row r="1781">
      <c r="B1781" s="8"/>
      <c r="G1781" s="8"/>
      <c r="M1781" s="8"/>
    </row>
    <row r="1782">
      <c r="B1782" s="8"/>
      <c r="G1782" s="8"/>
      <c r="M1782" s="8"/>
    </row>
    <row r="1783">
      <c r="B1783" s="8"/>
      <c r="G1783" s="8"/>
      <c r="M1783" s="8"/>
    </row>
    <row r="1784">
      <c r="B1784" s="8"/>
      <c r="G1784" s="8"/>
      <c r="M1784" s="8"/>
    </row>
    <row r="1785">
      <c r="B1785" s="8"/>
      <c r="G1785" s="8"/>
      <c r="M1785" s="8"/>
    </row>
    <row r="1786">
      <c r="B1786" s="8"/>
      <c r="G1786" s="8"/>
      <c r="M1786" s="8"/>
    </row>
    <row r="1787">
      <c r="B1787" s="8"/>
      <c r="G1787" s="8"/>
      <c r="M1787" s="8"/>
    </row>
    <row r="1788">
      <c r="B1788" s="8"/>
      <c r="G1788" s="8"/>
      <c r="M1788" s="8"/>
    </row>
    <row r="1789">
      <c r="B1789" s="8"/>
      <c r="G1789" s="8"/>
      <c r="M1789" s="8"/>
    </row>
    <row r="1790">
      <c r="B1790" s="8"/>
      <c r="G1790" s="8"/>
      <c r="M1790" s="8"/>
    </row>
    <row r="1791">
      <c r="B1791" s="8"/>
      <c r="G1791" s="8"/>
      <c r="M1791" s="8"/>
    </row>
    <row r="1792">
      <c r="B1792" s="8"/>
      <c r="G1792" s="8"/>
      <c r="M1792" s="8"/>
    </row>
    <row r="1793">
      <c r="B1793" s="8"/>
      <c r="G1793" s="8"/>
      <c r="M1793" s="8"/>
    </row>
    <row r="1794">
      <c r="B1794" s="8"/>
      <c r="G1794" s="8"/>
      <c r="M1794" s="8"/>
    </row>
    <row r="1795">
      <c r="B1795" s="8"/>
      <c r="G1795" s="8"/>
      <c r="M1795" s="8"/>
    </row>
    <row r="1796">
      <c r="B1796" s="8"/>
      <c r="G1796" s="8"/>
      <c r="M1796" s="8"/>
    </row>
    <row r="1797">
      <c r="B1797" s="8"/>
      <c r="G1797" s="8"/>
      <c r="M1797" s="8"/>
    </row>
    <row r="1798">
      <c r="B1798" s="8"/>
      <c r="G1798" s="8"/>
      <c r="M1798" s="8"/>
    </row>
    <row r="1799">
      <c r="B1799" s="8"/>
      <c r="G1799" s="8"/>
      <c r="M1799" s="8"/>
    </row>
    <row r="1800">
      <c r="B1800" s="8"/>
      <c r="G1800" s="8"/>
      <c r="M1800" s="8"/>
    </row>
    <row r="1801">
      <c r="B1801" s="8"/>
      <c r="G1801" s="8"/>
      <c r="M1801" s="8"/>
    </row>
    <row r="1802">
      <c r="B1802" s="8"/>
      <c r="G1802" s="8"/>
      <c r="M1802" s="8"/>
    </row>
    <row r="1803">
      <c r="B1803" s="8"/>
      <c r="G1803" s="8"/>
      <c r="M1803" s="8"/>
    </row>
    <row r="1804">
      <c r="B1804" s="8"/>
      <c r="G1804" s="8"/>
      <c r="M1804" s="8"/>
    </row>
    <row r="1805">
      <c r="B1805" s="8"/>
      <c r="G1805" s="8"/>
      <c r="M1805" s="8"/>
    </row>
    <row r="1806">
      <c r="B1806" s="8"/>
      <c r="G1806" s="8"/>
      <c r="M1806" s="8"/>
    </row>
    <row r="1807">
      <c r="B1807" s="8"/>
      <c r="G1807" s="8"/>
      <c r="M1807" s="8"/>
    </row>
    <row r="1808">
      <c r="B1808" s="8"/>
      <c r="G1808" s="8"/>
      <c r="M1808" s="8"/>
    </row>
    <row r="1809">
      <c r="B1809" s="8"/>
      <c r="G1809" s="8"/>
      <c r="M1809" s="8"/>
    </row>
    <row r="1810">
      <c r="B1810" s="8"/>
      <c r="G1810" s="8"/>
      <c r="M1810" s="8"/>
    </row>
    <row r="1811">
      <c r="B1811" s="8"/>
      <c r="G1811" s="8"/>
      <c r="M1811" s="8"/>
    </row>
    <row r="1812">
      <c r="B1812" s="8"/>
      <c r="G1812" s="8"/>
      <c r="M1812" s="8"/>
    </row>
    <row r="1813">
      <c r="B1813" s="8"/>
      <c r="G1813" s="8"/>
      <c r="M1813" s="8"/>
    </row>
    <row r="1814">
      <c r="B1814" s="8"/>
      <c r="G1814" s="8"/>
      <c r="M1814" s="8"/>
    </row>
    <row r="1815">
      <c r="B1815" s="8"/>
      <c r="G1815" s="8"/>
      <c r="M1815" s="8"/>
    </row>
    <row r="1816">
      <c r="B1816" s="8"/>
      <c r="G1816" s="8"/>
      <c r="M1816" s="8"/>
    </row>
    <row r="1817">
      <c r="B1817" s="8"/>
      <c r="G1817" s="8"/>
      <c r="M1817" s="8"/>
    </row>
    <row r="1818">
      <c r="B1818" s="8"/>
      <c r="G1818" s="8"/>
      <c r="M1818" s="8"/>
    </row>
    <row r="1819">
      <c r="B1819" s="8"/>
      <c r="G1819" s="8"/>
      <c r="M1819" s="8"/>
    </row>
    <row r="1820">
      <c r="B1820" s="8"/>
      <c r="G1820" s="8"/>
      <c r="M1820" s="8"/>
    </row>
    <row r="1821">
      <c r="B1821" s="8"/>
      <c r="G1821" s="8"/>
      <c r="M1821" s="8"/>
    </row>
    <row r="1822">
      <c r="B1822" s="8"/>
      <c r="G1822" s="8"/>
      <c r="M1822" s="8"/>
    </row>
    <row r="1823">
      <c r="B1823" s="8"/>
      <c r="G1823" s="8"/>
      <c r="M1823" s="8"/>
    </row>
    <row r="1824">
      <c r="B1824" s="8"/>
      <c r="G1824" s="8"/>
      <c r="M1824" s="8"/>
    </row>
    <row r="1825">
      <c r="B1825" s="8"/>
      <c r="G1825" s="8"/>
      <c r="M1825" s="8"/>
    </row>
    <row r="1826">
      <c r="B1826" s="8"/>
      <c r="G1826" s="8"/>
      <c r="M1826" s="8"/>
    </row>
    <row r="1827">
      <c r="B1827" s="8"/>
      <c r="G1827" s="8"/>
      <c r="M1827" s="8"/>
    </row>
    <row r="1828">
      <c r="B1828" s="8"/>
      <c r="G1828" s="8"/>
      <c r="M1828" s="8"/>
    </row>
    <row r="1829">
      <c r="B1829" s="8"/>
      <c r="G1829" s="8"/>
      <c r="M1829" s="8"/>
    </row>
    <row r="1830">
      <c r="B1830" s="8"/>
      <c r="G1830" s="8"/>
      <c r="M1830" s="8"/>
    </row>
    <row r="1831">
      <c r="B1831" s="8"/>
      <c r="G1831" s="8"/>
      <c r="M1831" s="8"/>
    </row>
    <row r="1832">
      <c r="B1832" s="8"/>
      <c r="G1832" s="8"/>
      <c r="M1832" s="8"/>
    </row>
    <row r="1833">
      <c r="B1833" s="8"/>
      <c r="G1833" s="8"/>
      <c r="M1833" s="8"/>
    </row>
    <row r="1834">
      <c r="B1834" s="8"/>
      <c r="G1834" s="8"/>
      <c r="M1834" s="8"/>
    </row>
    <row r="1835">
      <c r="B1835" s="8"/>
      <c r="G1835" s="8"/>
      <c r="M1835" s="8"/>
    </row>
    <row r="1836">
      <c r="B1836" s="8"/>
      <c r="G1836" s="8"/>
      <c r="M1836" s="8"/>
    </row>
    <row r="1837">
      <c r="B1837" s="8"/>
      <c r="G1837" s="8"/>
      <c r="M1837" s="8"/>
    </row>
    <row r="1838">
      <c r="B1838" s="8"/>
      <c r="G1838" s="8"/>
      <c r="M1838" s="8"/>
    </row>
    <row r="1839">
      <c r="B1839" s="8"/>
      <c r="G1839" s="8"/>
      <c r="M1839" s="8"/>
    </row>
    <row r="1840">
      <c r="B1840" s="8"/>
      <c r="G1840" s="8"/>
      <c r="M1840" s="8"/>
    </row>
    <row r="1841">
      <c r="B1841" s="8"/>
      <c r="G1841" s="8"/>
      <c r="M1841" s="8"/>
    </row>
    <row r="1842">
      <c r="B1842" s="8"/>
      <c r="G1842" s="8"/>
      <c r="M1842" s="8"/>
    </row>
    <row r="1843">
      <c r="B1843" s="8"/>
      <c r="G1843" s="8"/>
      <c r="M1843" s="8"/>
    </row>
    <row r="1844">
      <c r="B1844" s="8"/>
      <c r="G1844" s="8"/>
      <c r="M1844" s="8"/>
    </row>
    <row r="1845">
      <c r="B1845" s="8"/>
      <c r="G1845" s="8"/>
      <c r="M1845" s="8"/>
    </row>
    <row r="1846">
      <c r="B1846" s="8"/>
      <c r="G1846" s="8"/>
      <c r="M1846" s="8"/>
    </row>
    <row r="1847">
      <c r="B1847" s="8"/>
      <c r="G1847" s="8"/>
      <c r="M1847" s="8"/>
    </row>
    <row r="1848">
      <c r="B1848" s="8"/>
      <c r="G1848" s="8"/>
      <c r="M1848" s="8"/>
    </row>
    <row r="1849">
      <c r="B1849" s="8"/>
      <c r="G1849" s="8"/>
      <c r="M1849" s="8"/>
    </row>
    <row r="1850">
      <c r="B1850" s="8"/>
      <c r="G1850" s="8"/>
      <c r="M1850" s="8"/>
    </row>
    <row r="1851">
      <c r="B1851" s="8"/>
      <c r="G1851" s="8"/>
      <c r="M1851" s="8"/>
    </row>
    <row r="1852">
      <c r="B1852" s="8"/>
      <c r="G1852" s="8"/>
      <c r="M1852" s="8"/>
    </row>
    <row r="1853">
      <c r="B1853" s="8"/>
      <c r="G1853" s="8"/>
      <c r="M1853" s="8"/>
    </row>
    <row r="1854">
      <c r="B1854" s="8"/>
      <c r="G1854" s="8"/>
      <c r="M1854" s="8"/>
    </row>
    <row r="1855">
      <c r="B1855" s="8"/>
      <c r="G1855" s="8"/>
      <c r="M1855" s="8"/>
    </row>
    <row r="1856">
      <c r="B1856" s="8"/>
      <c r="G1856" s="8"/>
      <c r="M1856" s="8"/>
    </row>
    <row r="1857">
      <c r="B1857" s="8"/>
      <c r="G1857" s="8"/>
      <c r="M1857" s="8"/>
    </row>
    <row r="1858">
      <c r="B1858" s="8"/>
      <c r="G1858" s="8"/>
      <c r="M1858" s="8"/>
    </row>
    <row r="1859">
      <c r="B1859" s="8"/>
      <c r="G1859" s="8"/>
      <c r="M1859" s="8"/>
    </row>
    <row r="1860">
      <c r="B1860" s="8"/>
      <c r="G1860" s="8"/>
      <c r="M1860" s="8"/>
    </row>
    <row r="1861">
      <c r="B1861" s="8"/>
      <c r="G1861" s="8"/>
      <c r="M1861" s="8"/>
    </row>
    <row r="1862">
      <c r="B1862" s="8"/>
      <c r="G1862" s="8"/>
      <c r="M1862" s="8"/>
    </row>
    <row r="1863">
      <c r="B1863" s="8"/>
      <c r="G1863" s="8"/>
      <c r="M1863" s="8"/>
    </row>
    <row r="1864">
      <c r="B1864" s="8"/>
      <c r="G1864" s="8"/>
      <c r="M1864" s="8"/>
    </row>
    <row r="1865">
      <c r="B1865" s="8"/>
      <c r="G1865" s="8"/>
      <c r="M1865" s="8"/>
    </row>
    <row r="1866">
      <c r="B1866" s="8"/>
      <c r="G1866" s="8"/>
      <c r="M1866" s="8"/>
    </row>
    <row r="1867">
      <c r="B1867" s="8"/>
      <c r="G1867" s="8"/>
      <c r="M1867" s="8"/>
    </row>
    <row r="1868">
      <c r="B1868" s="8"/>
      <c r="G1868" s="8"/>
      <c r="M1868" s="8"/>
    </row>
    <row r="1869">
      <c r="B1869" s="8"/>
      <c r="G1869" s="8"/>
      <c r="M1869" s="8"/>
    </row>
    <row r="1870">
      <c r="B1870" s="8"/>
      <c r="G1870" s="8"/>
      <c r="M1870" s="8"/>
    </row>
    <row r="1871">
      <c r="B1871" s="8"/>
      <c r="G1871" s="8"/>
      <c r="M1871" s="8"/>
    </row>
    <row r="1872">
      <c r="B1872" s="8"/>
      <c r="G1872" s="8"/>
      <c r="M1872" s="8"/>
    </row>
    <row r="1873">
      <c r="B1873" s="8"/>
      <c r="G1873" s="8"/>
      <c r="M1873" s="8"/>
    </row>
    <row r="1874">
      <c r="B1874" s="8"/>
      <c r="G1874" s="8"/>
      <c r="M1874" s="8"/>
    </row>
    <row r="1875">
      <c r="B1875" s="8"/>
      <c r="G1875" s="8"/>
      <c r="M1875" s="8"/>
    </row>
    <row r="1876">
      <c r="B1876" s="8"/>
      <c r="G1876" s="8"/>
      <c r="M1876" s="8"/>
    </row>
    <row r="1877">
      <c r="B1877" s="8"/>
      <c r="G1877" s="8"/>
      <c r="M1877" s="8"/>
    </row>
    <row r="1878">
      <c r="B1878" s="8"/>
      <c r="G1878" s="8"/>
      <c r="M1878" s="8"/>
    </row>
    <row r="1879">
      <c r="B1879" s="8"/>
      <c r="G1879" s="8"/>
      <c r="M1879" s="8"/>
    </row>
    <row r="1880">
      <c r="B1880" s="8"/>
      <c r="G1880" s="8"/>
      <c r="M1880" s="8"/>
    </row>
    <row r="1881">
      <c r="B1881" s="8"/>
      <c r="G1881" s="8"/>
      <c r="M1881" s="8"/>
    </row>
    <row r="1882">
      <c r="B1882" s="8"/>
      <c r="G1882" s="8"/>
      <c r="M1882" s="8"/>
    </row>
    <row r="1883">
      <c r="B1883" s="8"/>
      <c r="G1883" s="8"/>
      <c r="M1883" s="8"/>
    </row>
    <row r="1884">
      <c r="B1884" s="8"/>
      <c r="G1884" s="8"/>
      <c r="M1884" s="8"/>
    </row>
    <row r="1885">
      <c r="B1885" s="8"/>
      <c r="G1885" s="8"/>
      <c r="M1885" s="8"/>
    </row>
    <row r="1886">
      <c r="B1886" s="8"/>
      <c r="G1886" s="8"/>
      <c r="M1886" s="8"/>
    </row>
    <row r="1887">
      <c r="B1887" s="8"/>
      <c r="G1887" s="8"/>
      <c r="M1887" s="8"/>
    </row>
    <row r="1888">
      <c r="B1888" s="8"/>
      <c r="G1888" s="8"/>
      <c r="M1888" s="8"/>
    </row>
    <row r="1889">
      <c r="B1889" s="8"/>
      <c r="G1889" s="8"/>
      <c r="M1889" s="8"/>
    </row>
    <row r="1890">
      <c r="B1890" s="8"/>
      <c r="G1890" s="8"/>
      <c r="M1890" s="8"/>
    </row>
    <row r="1891">
      <c r="B1891" s="8"/>
      <c r="G1891" s="8"/>
      <c r="M1891" s="8"/>
    </row>
    <row r="1892">
      <c r="B1892" s="8"/>
      <c r="G1892" s="8"/>
      <c r="M1892" s="8"/>
    </row>
    <row r="1893">
      <c r="B1893" s="8"/>
      <c r="G1893" s="8"/>
      <c r="M1893" s="8"/>
    </row>
    <row r="1894">
      <c r="B1894" s="8"/>
      <c r="G1894" s="8"/>
      <c r="M1894" s="8"/>
    </row>
    <row r="1895">
      <c r="B1895" s="8"/>
      <c r="G1895" s="8"/>
      <c r="M1895" s="8"/>
    </row>
    <row r="1896">
      <c r="B1896" s="8"/>
      <c r="G1896" s="8"/>
      <c r="M1896" s="8"/>
    </row>
    <row r="1897">
      <c r="B1897" s="8"/>
      <c r="G1897" s="8"/>
      <c r="M1897" s="8"/>
    </row>
    <row r="1898">
      <c r="B1898" s="8"/>
      <c r="G1898" s="8"/>
      <c r="M1898" s="8"/>
    </row>
    <row r="1899">
      <c r="B1899" s="8"/>
      <c r="G1899" s="8"/>
      <c r="M1899" s="8"/>
    </row>
    <row r="1900">
      <c r="B1900" s="8"/>
      <c r="G1900" s="8"/>
      <c r="M1900" s="8"/>
    </row>
    <row r="1901">
      <c r="B1901" s="8"/>
      <c r="G1901" s="8"/>
      <c r="M1901" s="8"/>
    </row>
    <row r="1902">
      <c r="B1902" s="8"/>
      <c r="G1902" s="8"/>
      <c r="M1902" s="8"/>
    </row>
    <row r="1903">
      <c r="B1903" s="8"/>
      <c r="G1903" s="8"/>
      <c r="M1903" s="8"/>
    </row>
    <row r="1904">
      <c r="B1904" s="8"/>
      <c r="G1904" s="8"/>
      <c r="M1904" s="8"/>
    </row>
    <row r="1905">
      <c r="B1905" s="8"/>
      <c r="G1905" s="8"/>
      <c r="M1905" s="8"/>
    </row>
    <row r="1906">
      <c r="B1906" s="8"/>
      <c r="G1906" s="8"/>
      <c r="M1906" s="8"/>
    </row>
    <row r="1907">
      <c r="B1907" s="8"/>
      <c r="G1907" s="8"/>
      <c r="M1907" s="8"/>
    </row>
    <row r="1908">
      <c r="B1908" s="8"/>
      <c r="G1908" s="8"/>
      <c r="M1908" s="8"/>
    </row>
    <row r="1909">
      <c r="B1909" s="8"/>
      <c r="G1909" s="8"/>
      <c r="M1909" s="8"/>
    </row>
    <row r="1910">
      <c r="B1910" s="8"/>
      <c r="G1910" s="8"/>
      <c r="M1910" s="8"/>
    </row>
    <row r="1911">
      <c r="B1911" s="8"/>
      <c r="G1911" s="8"/>
      <c r="M1911" s="8"/>
    </row>
    <row r="1912">
      <c r="B1912" s="8"/>
      <c r="G1912" s="8"/>
      <c r="M1912" s="8"/>
    </row>
    <row r="1913">
      <c r="B1913" s="8"/>
      <c r="G1913" s="8"/>
      <c r="M1913" s="8"/>
    </row>
    <row r="1914">
      <c r="B1914" s="8"/>
      <c r="G1914" s="8"/>
      <c r="M1914" s="8"/>
    </row>
    <row r="1915">
      <c r="B1915" s="8"/>
      <c r="G1915" s="8"/>
      <c r="M1915" s="8"/>
    </row>
    <row r="1916">
      <c r="B1916" s="8"/>
      <c r="G1916" s="8"/>
      <c r="M1916" s="8"/>
    </row>
    <row r="1917">
      <c r="B1917" s="8"/>
      <c r="G1917" s="8"/>
      <c r="M1917" s="8"/>
    </row>
    <row r="1918">
      <c r="B1918" s="8"/>
      <c r="G1918" s="8"/>
      <c r="M1918" s="8"/>
    </row>
    <row r="1919">
      <c r="B1919" s="8"/>
      <c r="G1919" s="8"/>
      <c r="M1919" s="8"/>
    </row>
    <row r="1920">
      <c r="B1920" s="8"/>
      <c r="G1920" s="8"/>
      <c r="M1920" s="8"/>
    </row>
    <row r="1921">
      <c r="B1921" s="8"/>
      <c r="G1921" s="8"/>
      <c r="M1921" s="8"/>
    </row>
    <row r="1922">
      <c r="B1922" s="8"/>
      <c r="G1922" s="8"/>
      <c r="M1922" s="8"/>
    </row>
    <row r="1923">
      <c r="B1923" s="8"/>
      <c r="G1923" s="8"/>
      <c r="M1923" s="8"/>
    </row>
    <row r="1924">
      <c r="B1924" s="8"/>
      <c r="G1924" s="8"/>
      <c r="M1924" s="8"/>
    </row>
    <row r="1925">
      <c r="B1925" s="8"/>
      <c r="G1925" s="8"/>
      <c r="M1925" s="8"/>
    </row>
    <row r="1926">
      <c r="B1926" s="8"/>
      <c r="G1926" s="8"/>
      <c r="M1926" s="8"/>
    </row>
    <row r="1927">
      <c r="B1927" s="8"/>
      <c r="G1927" s="8"/>
      <c r="M1927" s="8"/>
    </row>
    <row r="1928">
      <c r="B1928" s="8"/>
      <c r="G1928" s="8"/>
      <c r="M1928" s="8"/>
    </row>
    <row r="1929">
      <c r="B1929" s="8"/>
      <c r="G1929" s="8"/>
      <c r="M1929" s="8"/>
    </row>
    <row r="1930">
      <c r="B1930" s="8"/>
      <c r="G1930" s="8"/>
      <c r="M1930" s="8"/>
    </row>
    <row r="1931">
      <c r="B1931" s="8"/>
      <c r="G1931" s="8"/>
      <c r="M1931" s="8"/>
    </row>
    <row r="1932">
      <c r="B1932" s="8"/>
      <c r="G1932" s="8"/>
      <c r="M1932" s="8"/>
    </row>
    <row r="1933">
      <c r="B1933" s="8"/>
      <c r="G1933" s="8"/>
      <c r="M1933" s="8"/>
    </row>
    <row r="1934">
      <c r="B1934" s="8"/>
      <c r="G1934" s="8"/>
      <c r="M1934" s="8"/>
    </row>
    <row r="1935">
      <c r="B1935" s="8"/>
      <c r="G1935" s="8"/>
      <c r="M1935" s="8"/>
    </row>
    <row r="1936">
      <c r="B1936" s="8"/>
      <c r="G1936" s="8"/>
      <c r="M1936" s="8"/>
    </row>
    <row r="1937">
      <c r="B1937" s="8"/>
      <c r="G1937" s="8"/>
      <c r="M1937" s="8"/>
    </row>
    <row r="1938">
      <c r="B1938" s="8"/>
      <c r="G1938" s="8"/>
      <c r="M1938" s="8"/>
    </row>
    <row r="1939">
      <c r="B1939" s="8"/>
      <c r="G1939" s="8"/>
      <c r="M1939" s="8"/>
    </row>
    <row r="1940">
      <c r="B1940" s="8"/>
      <c r="G1940" s="8"/>
      <c r="M1940" s="8"/>
    </row>
    <row r="1941">
      <c r="B1941" s="8"/>
      <c r="G1941" s="8"/>
      <c r="M1941" s="8"/>
    </row>
    <row r="1942">
      <c r="B1942" s="8"/>
      <c r="G1942" s="8"/>
      <c r="M1942" s="8"/>
    </row>
    <row r="1943">
      <c r="B1943" s="8"/>
      <c r="G1943" s="8"/>
      <c r="M1943" s="8"/>
    </row>
    <row r="1944">
      <c r="B1944" s="8"/>
      <c r="G1944" s="8"/>
      <c r="M1944" s="8"/>
    </row>
    <row r="1945">
      <c r="B1945" s="8"/>
      <c r="G1945" s="8"/>
      <c r="M1945" s="8"/>
    </row>
    <row r="1946">
      <c r="B1946" s="8"/>
      <c r="G1946" s="8"/>
      <c r="M1946" s="8"/>
    </row>
    <row r="1947">
      <c r="B1947" s="8"/>
      <c r="G1947" s="8"/>
      <c r="M1947" s="8"/>
    </row>
    <row r="1948">
      <c r="B1948" s="8"/>
      <c r="G1948" s="8"/>
      <c r="M1948" s="8"/>
    </row>
    <row r="1949">
      <c r="B1949" s="8"/>
      <c r="G1949" s="8"/>
      <c r="M1949" s="8"/>
    </row>
    <row r="1950">
      <c r="B1950" s="8"/>
      <c r="G1950" s="8"/>
      <c r="M1950" s="8"/>
    </row>
    <row r="1951">
      <c r="B1951" s="8"/>
      <c r="G1951" s="8"/>
      <c r="M1951" s="8"/>
    </row>
    <row r="1952">
      <c r="B1952" s="8"/>
      <c r="G1952" s="8"/>
      <c r="M1952" s="8"/>
    </row>
    <row r="1953">
      <c r="B1953" s="8"/>
      <c r="G1953" s="8"/>
      <c r="M1953" s="8"/>
    </row>
    <row r="1954">
      <c r="B1954" s="8"/>
      <c r="G1954" s="8"/>
      <c r="M1954" s="8"/>
    </row>
    <row r="1955">
      <c r="B1955" s="8"/>
      <c r="G1955" s="8"/>
      <c r="M1955" s="8"/>
    </row>
    <row r="1956">
      <c r="B1956" s="8"/>
      <c r="G1956" s="8"/>
      <c r="M1956" s="8"/>
    </row>
    <row r="1957">
      <c r="B1957" s="8"/>
      <c r="G1957" s="8"/>
      <c r="M1957" s="8"/>
    </row>
    <row r="1958">
      <c r="B1958" s="8"/>
      <c r="G1958" s="8"/>
      <c r="M1958" s="8"/>
    </row>
    <row r="1959">
      <c r="B1959" s="8"/>
      <c r="G1959" s="8"/>
      <c r="M1959" s="8"/>
    </row>
    <row r="1960">
      <c r="B1960" s="8"/>
      <c r="G1960" s="8"/>
      <c r="M1960" s="8"/>
    </row>
    <row r="1961">
      <c r="B1961" s="8"/>
      <c r="G1961" s="8"/>
      <c r="M1961" s="8"/>
    </row>
    <row r="1962">
      <c r="B1962" s="8"/>
      <c r="G1962" s="8"/>
      <c r="M1962" s="8"/>
    </row>
    <row r="1963">
      <c r="B1963" s="8"/>
      <c r="G1963" s="8"/>
      <c r="M1963" s="8"/>
    </row>
    <row r="1964">
      <c r="B1964" s="8"/>
      <c r="G1964" s="8"/>
      <c r="M1964" s="8"/>
    </row>
    <row r="1965">
      <c r="B1965" s="8"/>
      <c r="G1965" s="8"/>
      <c r="M1965" s="8"/>
    </row>
    <row r="1966">
      <c r="B1966" s="8"/>
      <c r="G1966" s="8"/>
      <c r="M1966" s="8"/>
    </row>
    <row r="1967">
      <c r="B1967" s="8"/>
      <c r="G1967" s="8"/>
      <c r="M1967" s="8"/>
    </row>
    <row r="1968">
      <c r="B1968" s="8"/>
      <c r="G1968" s="8"/>
      <c r="M1968" s="8"/>
    </row>
    <row r="1969">
      <c r="B1969" s="8"/>
      <c r="G1969" s="8"/>
      <c r="M1969" s="8"/>
    </row>
    <row r="1970">
      <c r="B1970" s="8"/>
      <c r="G1970" s="8"/>
      <c r="M1970" s="8"/>
    </row>
    <row r="1971">
      <c r="B1971" s="8"/>
      <c r="G1971" s="8"/>
      <c r="M1971" s="8"/>
    </row>
    <row r="1972">
      <c r="B1972" s="8"/>
      <c r="G1972" s="8"/>
      <c r="M1972" s="8"/>
    </row>
    <row r="1973">
      <c r="B1973" s="8"/>
      <c r="G1973" s="8"/>
      <c r="M1973" s="8"/>
    </row>
    <row r="1974">
      <c r="B1974" s="8"/>
      <c r="G1974" s="8"/>
      <c r="M1974" s="8"/>
    </row>
    <row r="1975">
      <c r="B1975" s="8"/>
      <c r="G1975" s="8"/>
      <c r="M1975" s="8"/>
    </row>
    <row r="1976">
      <c r="B1976" s="8"/>
      <c r="G1976" s="8"/>
      <c r="M1976" s="8"/>
    </row>
    <row r="1977">
      <c r="B1977" s="8"/>
      <c r="G1977" s="8"/>
      <c r="M1977" s="8"/>
    </row>
    <row r="1978">
      <c r="B1978" s="8"/>
      <c r="G1978" s="8"/>
      <c r="M1978" s="8"/>
    </row>
    <row r="1979">
      <c r="B1979" s="8"/>
      <c r="G1979" s="8"/>
      <c r="M1979" s="8"/>
    </row>
    <row r="1980">
      <c r="B1980" s="8"/>
      <c r="G1980" s="8"/>
      <c r="M1980" s="8"/>
    </row>
    <row r="1981">
      <c r="B1981" s="8"/>
      <c r="G1981" s="8"/>
      <c r="M1981" s="8"/>
    </row>
    <row r="1982">
      <c r="B1982" s="8"/>
      <c r="G1982" s="8"/>
      <c r="M1982" s="8"/>
    </row>
    <row r="1983">
      <c r="B1983" s="8"/>
      <c r="G1983" s="8"/>
      <c r="M1983" s="8"/>
    </row>
    <row r="1984">
      <c r="B1984" s="8"/>
      <c r="G1984" s="8"/>
      <c r="M1984" s="8"/>
    </row>
    <row r="1985">
      <c r="B1985" s="8"/>
      <c r="G1985" s="8"/>
      <c r="M1985" s="8"/>
    </row>
    <row r="1986">
      <c r="B1986" s="8"/>
      <c r="G1986" s="8"/>
      <c r="M1986" s="8"/>
    </row>
    <row r="1987">
      <c r="B1987" s="8"/>
      <c r="G1987" s="8"/>
      <c r="M1987" s="8"/>
    </row>
    <row r="1988">
      <c r="B1988" s="8"/>
      <c r="G1988" s="8"/>
      <c r="M1988" s="8"/>
    </row>
    <row r="1989">
      <c r="B1989" s="8"/>
      <c r="G1989" s="8"/>
      <c r="M1989" s="8"/>
    </row>
    <row r="1990">
      <c r="B1990" s="8"/>
      <c r="G1990" s="8"/>
      <c r="M1990" s="8"/>
    </row>
    <row r="1991">
      <c r="B1991" s="8"/>
      <c r="G1991" s="8"/>
      <c r="M1991" s="8"/>
    </row>
    <row r="1992">
      <c r="B1992" s="8"/>
      <c r="G1992" s="8"/>
      <c r="M1992" s="8"/>
    </row>
    <row r="1993">
      <c r="B1993" s="8"/>
      <c r="G1993" s="8"/>
      <c r="M1993" s="8"/>
    </row>
    <row r="1994">
      <c r="B1994" s="8"/>
      <c r="G1994" s="8"/>
      <c r="M1994" s="8"/>
    </row>
    <row r="1995">
      <c r="B1995" s="8"/>
      <c r="G1995" s="8"/>
      <c r="M1995" s="8"/>
    </row>
    <row r="1996">
      <c r="B1996" s="8"/>
      <c r="G1996" s="8"/>
      <c r="M1996" s="8"/>
    </row>
    <row r="1997">
      <c r="B1997" s="8"/>
      <c r="G1997" s="8"/>
      <c r="M1997" s="8"/>
    </row>
    <row r="1998">
      <c r="B1998" s="8"/>
      <c r="G1998" s="8"/>
      <c r="M1998" s="8"/>
    </row>
    <row r="1999">
      <c r="B1999" s="8"/>
      <c r="G1999" s="8"/>
      <c r="M1999" s="8"/>
    </row>
    <row r="2000">
      <c r="B2000" s="8"/>
      <c r="G2000" s="8"/>
      <c r="M2000" s="8"/>
    </row>
    <row r="2001">
      <c r="B2001" s="8"/>
      <c r="G2001" s="8"/>
      <c r="M2001" s="8"/>
    </row>
    <row r="2002">
      <c r="B2002" s="8"/>
      <c r="G2002" s="8"/>
      <c r="M2002" s="8"/>
    </row>
    <row r="2003">
      <c r="B2003" s="8"/>
      <c r="G2003" s="8"/>
      <c r="M2003" s="8"/>
    </row>
    <row r="2004">
      <c r="B2004" s="8"/>
      <c r="G2004" s="8"/>
      <c r="M2004" s="8"/>
    </row>
    <row r="2005">
      <c r="B2005" s="8"/>
      <c r="G2005" s="8"/>
      <c r="M2005" s="8"/>
    </row>
    <row r="2006">
      <c r="B2006" s="8"/>
      <c r="G2006" s="8"/>
      <c r="M2006" s="8"/>
    </row>
    <row r="2007">
      <c r="B2007" s="8"/>
      <c r="G2007" s="8"/>
      <c r="M2007" s="8"/>
    </row>
    <row r="2008">
      <c r="B2008" s="8"/>
      <c r="G2008" s="8"/>
      <c r="M2008" s="8"/>
    </row>
    <row r="2009">
      <c r="B2009" s="8"/>
      <c r="G2009" s="8"/>
      <c r="M2009" s="8"/>
    </row>
    <row r="2010">
      <c r="B2010" s="8"/>
      <c r="G2010" s="8"/>
      <c r="M2010" s="8"/>
    </row>
    <row r="2011">
      <c r="B2011" s="8"/>
      <c r="G2011" s="8"/>
      <c r="M2011" s="8"/>
    </row>
    <row r="2012">
      <c r="B2012" s="8"/>
      <c r="G2012" s="8"/>
      <c r="M2012" s="8"/>
    </row>
    <row r="2013">
      <c r="B2013" s="8"/>
      <c r="G2013" s="8"/>
      <c r="M2013" s="8"/>
    </row>
    <row r="2014">
      <c r="B2014" s="8"/>
      <c r="G2014" s="8"/>
      <c r="M2014" s="8"/>
    </row>
    <row r="2015">
      <c r="B2015" s="8"/>
      <c r="G2015" s="8"/>
      <c r="M2015" s="8"/>
    </row>
    <row r="2016">
      <c r="B2016" s="8"/>
      <c r="G2016" s="8"/>
      <c r="M2016" s="8"/>
    </row>
    <row r="2017">
      <c r="B2017" s="8"/>
      <c r="G2017" s="8"/>
      <c r="M2017" s="8"/>
    </row>
    <row r="2018">
      <c r="B2018" s="8"/>
      <c r="G2018" s="8"/>
      <c r="M2018" s="8"/>
    </row>
    <row r="2019">
      <c r="B2019" s="8"/>
      <c r="G2019" s="8"/>
      <c r="M2019" s="8"/>
    </row>
    <row r="2020">
      <c r="B2020" s="8"/>
      <c r="G2020" s="8"/>
      <c r="M2020" s="8"/>
    </row>
    <row r="2021">
      <c r="B2021" s="8"/>
      <c r="G2021" s="8"/>
      <c r="M2021" s="8"/>
    </row>
    <row r="2022">
      <c r="B2022" s="8"/>
      <c r="G2022" s="8"/>
      <c r="M2022" s="8"/>
    </row>
    <row r="2023">
      <c r="B2023" s="8"/>
      <c r="G2023" s="8"/>
      <c r="M2023" s="8"/>
    </row>
    <row r="2024">
      <c r="B2024" s="8"/>
      <c r="G2024" s="8"/>
      <c r="M2024" s="8"/>
    </row>
    <row r="2025">
      <c r="B2025" s="8"/>
      <c r="G2025" s="8"/>
      <c r="M2025" s="8"/>
    </row>
    <row r="2026">
      <c r="B2026" s="8"/>
      <c r="G2026" s="8"/>
      <c r="M2026" s="8"/>
    </row>
    <row r="2027">
      <c r="B2027" s="8"/>
      <c r="G2027" s="8"/>
      <c r="M2027" s="8"/>
    </row>
    <row r="2028">
      <c r="B2028" s="8"/>
      <c r="G2028" s="8"/>
      <c r="M2028" s="8"/>
    </row>
    <row r="2029">
      <c r="B2029" s="8"/>
      <c r="G2029" s="8"/>
      <c r="M2029" s="8"/>
    </row>
    <row r="2030">
      <c r="B2030" s="8"/>
      <c r="G2030" s="8"/>
      <c r="M2030" s="8"/>
    </row>
    <row r="2031">
      <c r="B2031" s="8"/>
      <c r="G2031" s="8"/>
      <c r="M2031" s="8"/>
    </row>
    <row r="2032">
      <c r="B2032" s="8"/>
      <c r="G2032" s="8"/>
      <c r="M2032" s="8"/>
    </row>
    <row r="2033">
      <c r="B2033" s="8"/>
      <c r="G2033" s="8"/>
      <c r="M2033" s="8"/>
    </row>
    <row r="2034">
      <c r="B2034" s="8"/>
      <c r="G2034" s="8"/>
      <c r="M2034" s="8"/>
    </row>
    <row r="2035">
      <c r="B2035" s="8"/>
      <c r="G2035" s="8"/>
      <c r="M2035" s="8"/>
    </row>
    <row r="2036">
      <c r="B2036" s="8"/>
      <c r="G2036" s="8"/>
      <c r="M2036" s="8"/>
    </row>
    <row r="2037">
      <c r="B2037" s="8"/>
      <c r="G2037" s="8"/>
      <c r="M2037" s="8"/>
    </row>
    <row r="2038">
      <c r="B2038" s="8"/>
      <c r="G2038" s="8"/>
      <c r="M2038" s="8"/>
    </row>
    <row r="2039">
      <c r="B2039" s="8"/>
      <c r="G2039" s="8"/>
      <c r="M2039" s="8"/>
    </row>
    <row r="2040">
      <c r="B2040" s="8"/>
      <c r="G2040" s="8"/>
      <c r="M2040" s="8"/>
    </row>
    <row r="2041">
      <c r="B2041" s="8"/>
      <c r="G2041" s="8"/>
      <c r="M2041" s="8"/>
    </row>
    <row r="2042">
      <c r="B2042" s="8"/>
      <c r="G2042" s="8"/>
      <c r="M2042" s="8"/>
    </row>
    <row r="2043">
      <c r="B2043" s="8"/>
      <c r="G2043" s="8"/>
      <c r="M2043" s="8"/>
    </row>
    <row r="2044">
      <c r="B2044" s="8"/>
      <c r="G2044" s="8"/>
      <c r="M2044" s="8"/>
    </row>
    <row r="2045">
      <c r="B2045" s="8"/>
      <c r="G2045" s="8"/>
      <c r="M2045" s="8"/>
    </row>
    <row r="2046">
      <c r="B2046" s="8"/>
      <c r="G2046" s="8"/>
      <c r="M2046" s="8"/>
    </row>
    <row r="2047">
      <c r="B2047" s="8"/>
      <c r="G2047" s="8"/>
      <c r="M2047" s="8"/>
    </row>
    <row r="2048">
      <c r="B2048" s="8"/>
      <c r="G2048" s="8"/>
      <c r="M2048" s="8"/>
    </row>
    <row r="2049">
      <c r="B2049" s="8"/>
      <c r="G2049" s="8"/>
      <c r="M2049" s="8"/>
    </row>
    <row r="2050">
      <c r="B2050" s="8"/>
      <c r="G2050" s="8"/>
      <c r="M2050" s="8"/>
    </row>
    <row r="2051">
      <c r="B2051" s="8"/>
      <c r="G2051" s="8"/>
      <c r="M2051" s="8"/>
    </row>
    <row r="2052">
      <c r="B2052" s="8"/>
      <c r="G2052" s="8"/>
      <c r="M2052" s="8"/>
    </row>
    <row r="2053">
      <c r="B2053" s="8"/>
      <c r="G2053" s="8"/>
      <c r="M2053" s="8"/>
    </row>
    <row r="2054">
      <c r="B2054" s="8"/>
      <c r="G2054" s="8"/>
      <c r="M2054" s="8"/>
    </row>
    <row r="2055">
      <c r="B2055" s="8"/>
      <c r="G2055" s="8"/>
      <c r="M2055" s="8"/>
    </row>
    <row r="2056">
      <c r="B2056" s="8"/>
      <c r="G2056" s="8"/>
      <c r="M2056" s="8"/>
    </row>
    <row r="2057">
      <c r="B2057" s="8"/>
      <c r="G2057" s="8"/>
      <c r="M2057" s="8"/>
    </row>
    <row r="2058">
      <c r="B2058" s="8"/>
      <c r="G2058" s="8"/>
      <c r="M2058" s="8"/>
    </row>
    <row r="2059">
      <c r="B2059" s="8"/>
      <c r="G2059" s="8"/>
      <c r="M2059" s="8"/>
    </row>
    <row r="2060">
      <c r="B2060" s="8"/>
      <c r="G2060" s="8"/>
      <c r="M2060" s="8"/>
    </row>
    <row r="2061">
      <c r="B2061" s="8"/>
      <c r="G2061" s="8"/>
      <c r="M2061" s="8"/>
    </row>
    <row r="2062">
      <c r="B2062" s="8"/>
      <c r="G2062" s="8"/>
      <c r="M2062" s="8"/>
    </row>
    <row r="2063">
      <c r="B2063" s="8"/>
      <c r="G2063" s="8"/>
      <c r="M2063" s="8"/>
    </row>
    <row r="2064">
      <c r="B2064" s="8"/>
      <c r="G2064" s="8"/>
      <c r="M2064" s="8"/>
    </row>
    <row r="2065">
      <c r="B2065" s="8"/>
      <c r="G2065" s="8"/>
      <c r="M2065" s="8"/>
    </row>
    <row r="2066">
      <c r="B2066" s="8"/>
      <c r="G2066" s="8"/>
      <c r="M2066" s="8"/>
    </row>
    <row r="2067">
      <c r="B2067" s="8"/>
      <c r="G2067" s="8"/>
      <c r="M2067" s="8"/>
    </row>
    <row r="2068">
      <c r="B2068" s="8"/>
      <c r="G2068" s="8"/>
      <c r="M2068" s="8"/>
    </row>
    <row r="2069">
      <c r="B2069" s="8"/>
      <c r="G2069" s="8"/>
      <c r="M2069" s="8"/>
    </row>
    <row r="2070">
      <c r="B2070" s="8"/>
      <c r="G2070" s="8"/>
      <c r="M2070" s="8"/>
    </row>
    <row r="2071">
      <c r="B2071" s="8"/>
      <c r="G2071" s="8"/>
      <c r="M2071" s="8"/>
    </row>
    <row r="2072">
      <c r="B2072" s="8"/>
      <c r="G2072" s="8"/>
      <c r="M2072" s="8"/>
    </row>
    <row r="2073">
      <c r="B2073" s="8"/>
      <c r="G2073" s="8"/>
      <c r="M2073" s="8"/>
    </row>
    <row r="2074">
      <c r="B2074" s="8"/>
      <c r="G2074" s="8"/>
      <c r="M2074" s="8"/>
    </row>
    <row r="2075">
      <c r="B2075" s="8"/>
      <c r="G2075" s="8"/>
      <c r="M2075" s="8"/>
    </row>
    <row r="2076">
      <c r="B2076" s="8"/>
      <c r="G2076" s="8"/>
      <c r="M2076" s="8"/>
    </row>
    <row r="2077">
      <c r="B2077" s="8"/>
      <c r="G2077" s="8"/>
      <c r="M2077" s="8"/>
    </row>
    <row r="2078">
      <c r="B2078" s="8"/>
      <c r="G2078" s="8"/>
      <c r="M2078" s="8"/>
    </row>
    <row r="2079">
      <c r="B2079" s="8"/>
      <c r="G2079" s="8"/>
      <c r="M2079" s="8"/>
    </row>
    <row r="2080">
      <c r="B2080" s="8"/>
      <c r="G2080" s="8"/>
      <c r="M2080" s="8"/>
    </row>
    <row r="2081">
      <c r="B2081" s="8"/>
      <c r="G2081" s="8"/>
      <c r="M2081" s="8"/>
    </row>
    <row r="2082">
      <c r="B2082" s="8"/>
      <c r="G2082" s="8"/>
      <c r="M2082" s="8"/>
    </row>
    <row r="2083">
      <c r="B2083" s="8"/>
      <c r="G2083" s="8"/>
      <c r="M2083" s="8"/>
    </row>
    <row r="2084">
      <c r="B2084" s="8"/>
      <c r="G2084" s="8"/>
      <c r="M2084" s="8"/>
    </row>
    <row r="2085">
      <c r="B2085" s="8"/>
      <c r="G2085" s="8"/>
      <c r="M2085" s="8"/>
    </row>
    <row r="2086">
      <c r="B2086" s="8"/>
      <c r="G2086" s="8"/>
      <c r="M2086" s="8"/>
    </row>
    <row r="2087">
      <c r="B2087" s="8"/>
      <c r="G2087" s="8"/>
      <c r="M2087" s="8"/>
    </row>
    <row r="2088">
      <c r="B2088" s="8"/>
      <c r="G2088" s="8"/>
      <c r="M2088" s="8"/>
    </row>
    <row r="2089">
      <c r="B2089" s="8"/>
      <c r="G2089" s="8"/>
      <c r="M2089" s="8"/>
    </row>
    <row r="2090">
      <c r="B2090" s="8"/>
      <c r="G2090" s="8"/>
      <c r="M2090" s="8"/>
    </row>
    <row r="2091">
      <c r="B2091" s="8"/>
      <c r="G2091" s="8"/>
      <c r="M2091" s="8"/>
    </row>
    <row r="2092">
      <c r="B2092" s="8"/>
      <c r="G2092" s="8"/>
      <c r="M2092" s="8"/>
    </row>
    <row r="2093">
      <c r="B2093" s="8"/>
      <c r="G2093" s="8"/>
      <c r="M2093" s="8"/>
    </row>
    <row r="2094">
      <c r="B2094" s="8"/>
      <c r="G2094" s="8"/>
      <c r="M2094" s="8"/>
    </row>
    <row r="2095">
      <c r="B2095" s="8"/>
      <c r="G2095" s="8"/>
      <c r="M2095" s="8"/>
    </row>
    <row r="2096">
      <c r="B2096" s="8"/>
      <c r="G2096" s="8"/>
      <c r="M2096" s="8"/>
    </row>
    <row r="2097">
      <c r="B2097" s="8"/>
      <c r="G2097" s="8"/>
      <c r="M2097" s="8"/>
    </row>
    <row r="2098">
      <c r="B2098" s="8"/>
      <c r="G2098" s="8"/>
      <c r="M2098" s="8"/>
    </row>
    <row r="2099">
      <c r="B2099" s="8"/>
      <c r="G2099" s="8"/>
      <c r="M2099" s="8"/>
    </row>
    <row r="2100">
      <c r="B2100" s="8"/>
      <c r="G2100" s="8"/>
      <c r="M2100" s="8"/>
    </row>
    <row r="2101">
      <c r="B2101" s="8"/>
      <c r="G2101" s="8"/>
      <c r="M2101" s="8"/>
    </row>
    <row r="2102">
      <c r="B2102" s="8"/>
      <c r="G2102" s="8"/>
      <c r="M2102" s="8"/>
    </row>
    <row r="2103">
      <c r="B2103" s="8"/>
      <c r="G2103" s="8"/>
      <c r="M2103" s="8"/>
    </row>
    <row r="2104">
      <c r="B2104" s="8"/>
      <c r="G2104" s="8"/>
      <c r="M2104" s="8"/>
    </row>
    <row r="2105">
      <c r="B2105" s="8"/>
      <c r="G2105" s="8"/>
      <c r="M2105" s="8"/>
    </row>
    <row r="2106">
      <c r="B2106" s="8"/>
      <c r="G2106" s="8"/>
      <c r="M2106" s="8"/>
    </row>
    <row r="2107">
      <c r="B2107" s="8"/>
      <c r="G2107" s="8"/>
      <c r="M2107" s="8"/>
    </row>
    <row r="2108">
      <c r="B2108" s="8"/>
      <c r="G2108" s="8"/>
      <c r="M2108" s="8"/>
    </row>
    <row r="2109">
      <c r="B2109" s="8"/>
      <c r="G2109" s="8"/>
      <c r="M2109" s="8"/>
    </row>
    <row r="2110">
      <c r="B2110" s="8"/>
      <c r="G2110" s="8"/>
      <c r="M2110" s="8"/>
    </row>
    <row r="2111">
      <c r="B2111" s="8"/>
      <c r="G2111" s="8"/>
      <c r="M2111" s="8"/>
    </row>
    <row r="2112">
      <c r="B2112" s="8"/>
      <c r="G2112" s="8"/>
      <c r="M2112" s="8"/>
    </row>
    <row r="2113">
      <c r="B2113" s="8"/>
      <c r="G2113" s="8"/>
      <c r="M2113" s="8"/>
    </row>
    <row r="2114">
      <c r="B2114" s="8"/>
      <c r="G2114" s="8"/>
      <c r="M2114" s="8"/>
    </row>
    <row r="2115">
      <c r="B2115" s="8"/>
      <c r="G2115" s="8"/>
      <c r="M2115" s="8"/>
    </row>
    <row r="2116">
      <c r="B2116" s="8"/>
      <c r="G2116" s="8"/>
      <c r="M2116" s="8"/>
    </row>
    <row r="2117">
      <c r="B2117" s="8"/>
      <c r="G2117" s="8"/>
      <c r="M2117" s="8"/>
    </row>
    <row r="2118">
      <c r="B2118" s="8"/>
      <c r="G2118" s="8"/>
      <c r="M2118" s="8"/>
    </row>
    <row r="2119">
      <c r="B2119" s="8"/>
      <c r="G2119" s="8"/>
      <c r="M2119" s="8"/>
    </row>
    <row r="2120">
      <c r="B2120" s="8"/>
      <c r="G2120" s="8"/>
      <c r="M2120" s="8"/>
    </row>
    <row r="2121">
      <c r="B2121" s="8"/>
      <c r="G2121" s="8"/>
      <c r="M2121" s="8"/>
    </row>
    <row r="2122">
      <c r="B2122" s="8"/>
      <c r="G2122" s="8"/>
      <c r="M2122" s="8"/>
    </row>
    <row r="2123">
      <c r="B2123" s="8"/>
      <c r="G2123" s="8"/>
      <c r="M2123" s="8"/>
    </row>
    <row r="2124">
      <c r="B2124" s="8"/>
      <c r="G2124" s="8"/>
      <c r="M2124" s="8"/>
    </row>
    <row r="2125">
      <c r="B2125" s="8"/>
      <c r="G2125" s="8"/>
      <c r="M2125" s="8"/>
    </row>
    <row r="2126">
      <c r="B2126" s="8"/>
      <c r="G2126" s="8"/>
      <c r="M2126" s="8"/>
    </row>
    <row r="2127">
      <c r="B2127" s="8"/>
      <c r="G2127" s="8"/>
      <c r="M2127" s="8"/>
    </row>
    <row r="2128">
      <c r="B2128" s="8"/>
      <c r="G2128" s="8"/>
      <c r="M2128" s="8"/>
    </row>
    <row r="2129">
      <c r="B2129" s="8"/>
      <c r="G2129" s="8"/>
      <c r="M2129" s="8"/>
    </row>
    <row r="2130">
      <c r="B2130" s="8"/>
      <c r="G2130" s="8"/>
      <c r="M2130" s="8"/>
    </row>
    <row r="2131">
      <c r="B2131" s="8"/>
      <c r="G2131" s="8"/>
      <c r="M2131" s="8"/>
    </row>
    <row r="2132">
      <c r="B2132" s="8"/>
      <c r="G2132" s="8"/>
      <c r="M2132" s="8"/>
    </row>
    <row r="2133">
      <c r="B2133" s="8"/>
      <c r="G2133" s="8"/>
      <c r="M2133" s="8"/>
    </row>
    <row r="2134">
      <c r="B2134" s="8"/>
      <c r="G2134" s="8"/>
      <c r="M2134" s="8"/>
    </row>
    <row r="2135">
      <c r="B2135" s="8"/>
      <c r="G2135" s="8"/>
      <c r="M2135" s="8"/>
    </row>
    <row r="2136">
      <c r="B2136" s="8"/>
      <c r="G2136" s="8"/>
      <c r="M2136" s="8"/>
    </row>
    <row r="2137">
      <c r="B2137" s="8"/>
      <c r="G2137" s="8"/>
      <c r="M2137" s="8"/>
    </row>
    <row r="2138">
      <c r="B2138" s="8"/>
      <c r="G2138" s="8"/>
      <c r="M2138" s="8"/>
    </row>
    <row r="2139">
      <c r="B2139" s="8"/>
      <c r="G2139" s="8"/>
      <c r="M2139" s="8"/>
    </row>
    <row r="2140">
      <c r="B2140" s="8"/>
      <c r="G2140" s="8"/>
      <c r="M2140" s="8"/>
    </row>
    <row r="2141">
      <c r="B2141" s="8"/>
      <c r="G2141" s="8"/>
      <c r="M2141" s="8"/>
    </row>
    <row r="2142">
      <c r="B2142" s="8"/>
      <c r="G2142" s="8"/>
      <c r="M2142" s="8"/>
    </row>
    <row r="2143">
      <c r="B2143" s="8"/>
      <c r="G2143" s="8"/>
      <c r="M2143" s="8"/>
    </row>
    <row r="2144">
      <c r="B2144" s="8"/>
      <c r="G2144" s="8"/>
      <c r="M2144" s="8"/>
    </row>
    <row r="2145">
      <c r="B2145" s="8"/>
      <c r="G2145" s="8"/>
      <c r="M2145" s="8"/>
    </row>
    <row r="2146">
      <c r="B2146" s="8"/>
      <c r="G2146" s="8"/>
      <c r="M2146" s="8"/>
    </row>
    <row r="2147">
      <c r="B2147" s="8"/>
      <c r="G2147" s="8"/>
      <c r="M2147" s="8"/>
    </row>
    <row r="2148">
      <c r="B2148" s="8"/>
      <c r="G2148" s="8"/>
      <c r="M2148" s="8"/>
    </row>
    <row r="2149">
      <c r="B2149" s="8"/>
      <c r="G2149" s="8"/>
      <c r="M2149" s="8"/>
    </row>
    <row r="2150">
      <c r="B2150" s="8"/>
      <c r="G2150" s="8"/>
      <c r="M2150" s="8"/>
    </row>
    <row r="2151">
      <c r="B2151" s="8"/>
      <c r="G2151" s="8"/>
      <c r="M2151" s="8"/>
    </row>
    <row r="2152">
      <c r="B2152" s="8"/>
      <c r="G2152" s="8"/>
      <c r="M2152" s="8"/>
    </row>
    <row r="2153">
      <c r="B2153" s="8"/>
      <c r="G2153" s="8"/>
      <c r="M2153" s="8"/>
    </row>
    <row r="2154">
      <c r="B2154" s="8"/>
      <c r="G2154" s="8"/>
      <c r="M2154" s="8"/>
    </row>
    <row r="2155">
      <c r="B2155" s="8"/>
      <c r="G2155" s="8"/>
      <c r="M2155" s="8"/>
    </row>
    <row r="2156">
      <c r="B2156" s="8"/>
      <c r="G2156" s="8"/>
      <c r="M2156" s="8"/>
    </row>
    <row r="2157">
      <c r="B2157" s="8"/>
      <c r="G2157" s="8"/>
      <c r="M2157" s="8"/>
    </row>
    <row r="2158">
      <c r="B2158" s="8"/>
      <c r="G2158" s="8"/>
      <c r="M2158" s="8"/>
    </row>
    <row r="2159">
      <c r="B2159" s="8"/>
      <c r="G2159" s="8"/>
      <c r="M2159" s="8"/>
    </row>
    <row r="2160">
      <c r="B2160" s="8"/>
      <c r="G2160" s="8"/>
      <c r="M2160" s="8"/>
    </row>
    <row r="2161">
      <c r="B2161" s="8"/>
      <c r="G2161" s="8"/>
      <c r="M2161" s="8"/>
    </row>
    <row r="2162">
      <c r="B2162" s="8"/>
      <c r="G2162" s="8"/>
      <c r="M2162" s="8"/>
    </row>
    <row r="2163">
      <c r="B2163" s="8"/>
      <c r="G2163" s="8"/>
      <c r="M2163" s="8"/>
    </row>
    <row r="2164">
      <c r="B2164" s="8"/>
      <c r="G2164" s="8"/>
      <c r="M2164" s="8"/>
    </row>
    <row r="2165">
      <c r="B2165" s="8"/>
      <c r="G2165" s="8"/>
      <c r="M2165" s="8"/>
    </row>
    <row r="2166">
      <c r="B2166" s="8"/>
      <c r="G2166" s="8"/>
      <c r="M2166" s="8"/>
    </row>
    <row r="2167">
      <c r="B2167" s="8"/>
      <c r="G2167" s="8"/>
      <c r="M2167" s="8"/>
    </row>
    <row r="2168">
      <c r="B2168" s="8"/>
      <c r="G2168" s="8"/>
      <c r="M2168" s="8"/>
    </row>
    <row r="2169">
      <c r="B2169" s="8"/>
      <c r="G2169" s="8"/>
      <c r="M2169" s="8"/>
    </row>
    <row r="2170">
      <c r="B2170" s="8"/>
      <c r="G2170" s="8"/>
      <c r="M2170" s="8"/>
    </row>
    <row r="2171">
      <c r="B2171" s="8"/>
      <c r="G2171" s="8"/>
      <c r="M2171" s="8"/>
    </row>
    <row r="2172">
      <c r="B2172" s="8"/>
      <c r="G2172" s="8"/>
      <c r="M2172" s="8"/>
    </row>
    <row r="2173">
      <c r="B2173" s="8"/>
      <c r="G2173" s="8"/>
      <c r="M2173" s="8"/>
    </row>
    <row r="2174">
      <c r="B2174" s="8"/>
      <c r="G2174" s="8"/>
      <c r="M2174" s="8"/>
    </row>
    <row r="2175">
      <c r="B2175" s="8"/>
      <c r="G2175" s="8"/>
      <c r="M2175" s="8"/>
    </row>
    <row r="2176">
      <c r="B2176" s="8"/>
      <c r="G2176" s="8"/>
      <c r="M2176" s="8"/>
    </row>
    <row r="2177">
      <c r="B2177" s="8"/>
      <c r="G2177" s="8"/>
      <c r="M2177" s="8"/>
    </row>
    <row r="2178">
      <c r="B2178" s="8"/>
      <c r="G2178" s="8"/>
      <c r="M2178" s="8"/>
    </row>
    <row r="2179">
      <c r="B2179" s="8"/>
      <c r="G2179" s="8"/>
      <c r="M2179" s="8"/>
    </row>
    <row r="2180">
      <c r="B2180" s="8"/>
      <c r="G2180" s="8"/>
      <c r="M2180" s="8"/>
    </row>
    <row r="2181">
      <c r="B2181" s="8"/>
      <c r="G2181" s="8"/>
      <c r="M2181" s="8"/>
    </row>
    <row r="2182">
      <c r="B2182" s="8"/>
      <c r="G2182" s="8"/>
      <c r="M2182" s="8"/>
    </row>
    <row r="2183">
      <c r="B2183" s="8"/>
      <c r="G2183" s="8"/>
      <c r="M2183" s="8"/>
    </row>
    <row r="2184">
      <c r="B2184" s="8"/>
      <c r="G2184" s="8"/>
      <c r="M2184" s="8"/>
    </row>
    <row r="2185">
      <c r="B2185" s="8"/>
      <c r="G2185" s="8"/>
      <c r="M2185" s="8"/>
    </row>
    <row r="2186">
      <c r="B2186" s="8"/>
      <c r="G2186" s="8"/>
      <c r="M2186" s="8"/>
    </row>
    <row r="2187">
      <c r="B2187" s="8"/>
      <c r="G2187" s="8"/>
      <c r="M2187" s="8"/>
    </row>
    <row r="2188">
      <c r="B2188" s="8"/>
      <c r="G2188" s="8"/>
      <c r="M2188" s="8"/>
    </row>
    <row r="2189">
      <c r="B2189" s="8"/>
      <c r="G2189" s="8"/>
      <c r="M2189" s="8"/>
    </row>
    <row r="2190">
      <c r="B2190" s="8"/>
      <c r="G2190" s="8"/>
      <c r="M2190" s="8"/>
    </row>
    <row r="2191">
      <c r="B2191" s="8"/>
      <c r="G2191" s="8"/>
      <c r="M2191" s="8"/>
    </row>
    <row r="2192">
      <c r="B2192" s="8"/>
      <c r="G2192" s="8"/>
      <c r="M2192" s="8"/>
    </row>
    <row r="2193">
      <c r="B2193" s="8"/>
      <c r="G2193" s="8"/>
      <c r="M2193" s="8"/>
    </row>
    <row r="2194">
      <c r="B2194" s="8"/>
      <c r="G2194" s="8"/>
      <c r="M2194" s="8"/>
    </row>
    <row r="2195">
      <c r="B2195" s="8"/>
      <c r="G2195" s="8"/>
      <c r="M2195" s="8"/>
    </row>
    <row r="2196">
      <c r="B2196" s="8"/>
      <c r="G2196" s="8"/>
      <c r="M2196" s="8"/>
    </row>
    <row r="2197">
      <c r="B2197" s="8"/>
      <c r="G2197" s="8"/>
      <c r="M2197" s="8"/>
    </row>
    <row r="2198">
      <c r="B2198" s="8"/>
      <c r="G2198" s="8"/>
      <c r="M2198" s="8"/>
    </row>
    <row r="2199">
      <c r="B2199" s="8"/>
      <c r="G2199" s="8"/>
      <c r="M2199" s="8"/>
    </row>
    <row r="2200">
      <c r="B2200" s="8"/>
      <c r="G2200" s="8"/>
      <c r="M2200" s="8"/>
    </row>
    <row r="2201">
      <c r="B2201" s="8"/>
      <c r="G2201" s="8"/>
      <c r="M2201" s="8"/>
    </row>
    <row r="2202">
      <c r="B2202" s="8"/>
      <c r="G2202" s="8"/>
      <c r="M2202" s="8"/>
    </row>
    <row r="2203">
      <c r="B2203" s="8"/>
      <c r="G2203" s="8"/>
      <c r="M2203" s="8"/>
    </row>
    <row r="2204">
      <c r="B2204" s="8"/>
      <c r="G2204" s="8"/>
      <c r="M2204" s="8"/>
    </row>
    <row r="2205">
      <c r="B2205" s="8"/>
      <c r="G2205" s="8"/>
      <c r="M2205" s="8"/>
    </row>
    <row r="2206">
      <c r="B2206" s="8"/>
      <c r="G2206" s="8"/>
      <c r="M2206" s="8"/>
    </row>
    <row r="2207">
      <c r="B2207" s="8"/>
      <c r="G2207" s="8"/>
      <c r="M2207" s="8"/>
    </row>
    <row r="2208">
      <c r="B2208" s="8"/>
      <c r="G2208" s="8"/>
      <c r="M2208" s="8"/>
    </row>
    <row r="2209">
      <c r="B2209" s="8"/>
      <c r="G2209" s="8"/>
      <c r="M2209" s="8"/>
    </row>
    <row r="2210">
      <c r="B2210" s="8"/>
      <c r="G2210" s="8"/>
      <c r="M2210" s="8"/>
    </row>
    <row r="2211">
      <c r="B2211" s="8"/>
      <c r="G2211" s="8"/>
      <c r="M2211" s="8"/>
    </row>
    <row r="2212">
      <c r="B2212" s="8"/>
      <c r="G2212" s="8"/>
      <c r="M2212" s="8"/>
    </row>
    <row r="2213">
      <c r="B2213" s="8"/>
      <c r="G2213" s="8"/>
      <c r="M2213" s="8"/>
    </row>
    <row r="2214">
      <c r="B2214" s="8"/>
      <c r="G2214" s="8"/>
      <c r="M2214" s="8"/>
    </row>
    <row r="2215">
      <c r="B2215" s="8"/>
      <c r="G2215" s="8"/>
      <c r="M2215" s="8"/>
    </row>
    <row r="2216">
      <c r="B2216" s="8"/>
      <c r="G2216" s="8"/>
      <c r="M2216" s="8"/>
    </row>
    <row r="2217">
      <c r="B2217" s="8"/>
      <c r="G2217" s="8"/>
      <c r="M2217" s="8"/>
    </row>
    <row r="2218">
      <c r="B2218" s="8"/>
      <c r="G2218" s="8"/>
      <c r="M2218" s="8"/>
    </row>
    <row r="2219">
      <c r="B2219" s="8"/>
      <c r="G2219" s="8"/>
      <c r="M2219" s="8"/>
    </row>
    <row r="2220">
      <c r="B2220" s="8"/>
      <c r="G2220" s="8"/>
      <c r="M2220" s="8"/>
    </row>
    <row r="2221">
      <c r="B2221" s="8"/>
      <c r="G2221" s="8"/>
      <c r="M2221" s="8"/>
    </row>
    <row r="2222">
      <c r="B2222" s="8"/>
      <c r="G2222" s="8"/>
      <c r="M2222" s="8"/>
    </row>
    <row r="2223">
      <c r="B2223" s="8"/>
      <c r="G2223" s="8"/>
      <c r="M2223" s="8"/>
    </row>
    <row r="2224">
      <c r="B2224" s="8"/>
      <c r="G2224" s="8"/>
      <c r="M2224" s="8"/>
    </row>
    <row r="2225">
      <c r="B2225" s="8"/>
      <c r="G2225" s="8"/>
      <c r="M2225" s="8"/>
    </row>
    <row r="2226">
      <c r="B2226" s="8"/>
      <c r="G2226" s="8"/>
      <c r="M2226" s="8"/>
    </row>
    <row r="2227">
      <c r="B2227" s="8"/>
      <c r="G2227" s="8"/>
      <c r="M2227" s="8"/>
    </row>
    <row r="2228">
      <c r="B2228" s="8"/>
      <c r="G2228" s="8"/>
      <c r="M2228" s="8"/>
    </row>
    <row r="2229">
      <c r="B2229" s="8"/>
      <c r="G2229" s="8"/>
      <c r="M2229" s="8"/>
    </row>
    <row r="2230">
      <c r="B2230" s="8"/>
      <c r="G2230" s="8"/>
      <c r="M2230" s="8"/>
    </row>
    <row r="2231">
      <c r="B2231" s="8"/>
      <c r="G2231" s="8"/>
      <c r="M2231" s="8"/>
    </row>
    <row r="2232">
      <c r="B2232" s="8"/>
      <c r="G2232" s="8"/>
      <c r="M2232" s="8"/>
    </row>
    <row r="2233">
      <c r="B2233" s="8"/>
      <c r="G2233" s="8"/>
      <c r="M2233" s="8"/>
    </row>
    <row r="2234">
      <c r="B2234" s="8"/>
      <c r="G2234" s="8"/>
      <c r="M2234" s="8"/>
    </row>
    <row r="2235">
      <c r="B2235" s="8"/>
      <c r="G2235" s="8"/>
      <c r="M2235" s="8"/>
    </row>
    <row r="2236">
      <c r="B2236" s="8"/>
      <c r="G2236" s="8"/>
      <c r="M2236" s="8"/>
    </row>
    <row r="2237">
      <c r="B2237" s="8"/>
      <c r="G2237" s="8"/>
      <c r="M2237" s="8"/>
    </row>
    <row r="2238">
      <c r="B2238" s="8"/>
      <c r="G2238" s="8"/>
      <c r="M2238" s="8"/>
    </row>
    <row r="2239">
      <c r="B2239" s="8"/>
      <c r="G2239" s="8"/>
      <c r="M2239" s="8"/>
    </row>
    <row r="2240">
      <c r="B2240" s="8"/>
      <c r="G2240" s="8"/>
      <c r="M2240" s="8"/>
    </row>
    <row r="2241">
      <c r="B2241" s="8"/>
      <c r="G2241" s="8"/>
      <c r="M2241" s="8"/>
    </row>
    <row r="2242">
      <c r="B2242" s="8"/>
      <c r="G2242" s="8"/>
      <c r="M2242" s="8"/>
    </row>
    <row r="2243">
      <c r="B2243" s="8"/>
      <c r="G2243" s="8"/>
      <c r="M2243" s="8"/>
    </row>
    <row r="2244">
      <c r="B2244" s="8"/>
      <c r="G2244" s="8"/>
      <c r="M2244" s="8"/>
    </row>
    <row r="2245">
      <c r="B2245" s="8"/>
      <c r="G2245" s="8"/>
      <c r="M2245" s="8"/>
    </row>
    <row r="2246">
      <c r="B2246" s="8"/>
      <c r="G2246" s="8"/>
      <c r="M2246" s="8"/>
    </row>
    <row r="2247">
      <c r="B2247" s="8"/>
      <c r="G2247" s="8"/>
      <c r="M2247" s="8"/>
    </row>
    <row r="2248">
      <c r="B2248" s="8"/>
      <c r="G2248" s="8"/>
      <c r="M2248" s="8"/>
    </row>
    <row r="2249">
      <c r="B2249" s="8"/>
      <c r="G2249" s="8"/>
      <c r="M2249" s="8"/>
    </row>
    <row r="2250">
      <c r="B2250" s="8"/>
      <c r="G2250" s="8"/>
      <c r="M2250" s="8"/>
    </row>
    <row r="2251">
      <c r="B2251" s="8"/>
      <c r="G2251" s="8"/>
      <c r="M2251" s="8"/>
    </row>
    <row r="2252">
      <c r="B2252" s="8"/>
      <c r="G2252" s="8"/>
      <c r="M2252" s="8"/>
    </row>
    <row r="2253">
      <c r="B2253" s="8"/>
      <c r="G2253" s="8"/>
      <c r="M2253" s="8"/>
    </row>
    <row r="2254">
      <c r="B2254" s="8"/>
      <c r="G2254" s="8"/>
      <c r="M2254" s="8"/>
    </row>
    <row r="2255">
      <c r="B2255" s="8"/>
      <c r="G2255" s="8"/>
      <c r="M2255" s="8"/>
    </row>
    <row r="2256">
      <c r="B2256" s="8"/>
      <c r="G2256" s="8"/>
      <c r="M2256" s="8"/>
    </row>
    <row r="2257">
      <c r="B2257" s="8"/>
      <c r="G2257" s="8"/>
      <c r="M2257" s="8"/>
    </row>
    <row r="2258">
      <c r="B2258" s="8"/>
      <c r="G2258" s="8"/>
      <c r="M2258" s="8"/>
    </row>
    <row r="2259">
      <c r="B2259" s="8"/>
      <c r="G2259" s="8"/>
      <c r="M2259" s="8"/>
    </row>
    <row r="2260">
      <c r="B2260" s="8"/>
      <c r="G2260" s="8"/>
      <c r="M2260" s="8"/>
    </row>
    <row r="2261">
      <c r="B2261" s="8"/>
      <c r="G2261" s="8"/>
      <c r="M2261" s="8"/>
    </row>
    <row r="2262">
      <c r="B2262" s="8"/>
      <c r="G2262" s="8"/>
      <c r="M2262" s="8"/>
    </row>
    <row r="2263">
      <c r="B2263" s="8"/>
      <c r="G2263" s="8"/>
      <c r="M2263" s="8"/>
    </row>
    <row r="2264">
      <c r="B2264" s="8"/>
      <c r="G2264" s="8"/>
      <c r="M2264" s="8"/>
    </row>
    <row r="2265">
      <c r="B2265" s="8"/>
      <c r="G2265" s="8"/>
      <c r="M2265" s="8"/>
    </row>
    <row r="2266">
      <c r="B2266" s="8"/>
      <c r="G2266" s="8"/>
      <c r="M2266" s="8"/>
    </row>
    <row r="2267">
      <c r="B2267" s="8"/>
      <c r="G2267" s="8"/>
      <c r="M2267" s="8"/>
    </row>
    <row r="2268">
      <c r="B2268" s="8"/>
      <c r="G2268" s="8"/>
      <c r="M2268" s="8"/>
    </row>
    <row r="2269">
      <c r="B2269" s="8"/>
      <c r="G2269" s="8"/>
      <c r="M2269" s="8"/>
    </row>
    <row r="2270">
      <c r="B2270" s="8"/>
      <c r="G2270" s="8"/>
      <c r="M2270" s="8"/>
    </row>
    <row r="2271">
      <c r="B2271" s="8"/>
      <c r="G2271" s="8"/>
      <c r="M2271" s="8"/>
    </row>
    <row r="2272">
      <c r="B2272" s="8"/>
      <c r="G2272" s="8"/>
      <c r="M2272" s="8"/>
    </row>
    <row r="2273">
      <c r="B2273" s="8"/>
      <c r="G2273" s="8"/>
      <c r="M2273" s="8"/>
    </row>
    <row r="2274">
      <c r="B2274" s="8"/>
      <c r="G2274" s="8"/>
      <c r="M2274" s="8"/>
    </row>
    <row r="2275">
      <c r="B2275" s="8"/>
      <c r="G2275" s="8"/>
      <c r="M2275" s="8"/>
    </row>
    <row r="2276">
      <c r="B2276" s="8"/>
      <c r="G2276" s="8"/>
      <c r="M2276" s="8"/>
    </row>
    <row r="2277">
      <c r="B2277" s="8"/>
      <c r="G2277" s="8"/>
      <c r="M2277" s="8"/>
    </row>
    <row r="2278">
      <c r="B2278" s="8"/>
      <c r="G2278" s="8"/>
      <c r="M2278" s="8"/>
    </row>
    <row r="2279">
      <c r="B2279" s="8"/>
      <c r="G2279" s="8"/>
      <c r="M2279" s="8"/>
    </row>
    <row r="2280">
      <c r="B2280" s="8"/>
      <c r="G2280" s="8"/>
      <c r="M2280" s="8"/>
    </row>
    <row r="2281">
      <c r="B2281" s="8"/>
      <c r="G2281" s="8"/>
      <c r="M2281" s="8"/>
    </row>
    <row r="2282">
      <c r="B2282" s="8"/>
      <c r="G2282" s="8"/>
      <c r="M2282" s="8"/>
    </row>
    <row r="2283">
      <c r="B2283" s="8"/>
      <c r="G2283" s="8"/>
      <c r="M2283" s="8"/>
    </row>
    <row r="2284">
      <c r="B2284" s="8"/>
      <c r="G2284" s="8"/>
      <c r="M2284" s="8"/>
    </row>
    <row r="2285">
      <c r="B2285" s="8"/>
      <c r="G2285" s="8"/>
      <c r="M2285" s="8"/>
    </row>
    <row r="2286">
      <c r="B2286" s="8"/>
      <c r="G2286" s="8"/>
      <c r="M2286" s="8"/>
    </row>
    <row r="2287">
      <c r="B2287" s="8"/>
      <c r="G2287" s="8"/>
      <c r="M2287" s="8"/>
    </row>
    <row r="2288">
      <c r="B2288" s="8"/>
      <c r="G2288" s="8"/>
      <c r="M2288" s="8"/>
    </row>
    <row r="2289">
      <c r="B2289" s="8"/>
      <c r="G2289" s="8"/>
      <c r="M2289" s="8"/>
    </row>
    <row r="2290">
      <c r="B2290" s="8"/>
      <c r="G2290" s="8"/>
      <c r="M2290" s="8"/>
    </row>
    <row r="2291">
      <c r="B2291" s="8"/>
      <c r="G2291" s="8"/>
      <c r="M2291" s="8"/>
    </row>
    <row r="2292">
      <c r="B2292" s="8"/>
      <c r="G2292" s="8"/>
      <c r="M2292" s="8"/>
    </row>
    <row r="2293">
      <c r="B2293" s="8"/>
      <c r="G2293" s="8"/>
      <c r="M2293" s="8"/>
    </row>
    <row r="2294">
      <c r="B2294" s="8"/>
      <c r="G2294" s="8"/>
      <c r="M2294" s="8"/>
    </row>
    <row r="2295">
      <c r="B2295" s="8"/>
      <c r="G2295" s="8"/>
      <c r="M2295" s="8"/>
    </row>
    <row r="2296">
      <c r="B2296" s="8"/>
      <c r="G2296" s="8"/>
      <c r="M2296" s="8"/>
    </row>
    <row r="2297">
      <c r="B2297" s="8"/>
      <c r="G2297" s="8"/>
      <c r="M2297" s="8"/>
    </row>
    <row r="2298">
      <c r="B2298" s="8"/>
      <c r="G2298" s="8"/>
      <c r="M2298" s="8"/>
    </row>
    <row r="2299">
      <c r="B2299" s="8"/>
      <c r="G2299" s="8"/>
      <c r="M2299" s="8"/>
    </row>
    <row r="2300">
      <c r="B2300" s="8"/>
      <c r="G2300" s="8"/>
      <c r="M2300" s="8"/>
    </row>
    <row r="2301">
      <c r="B2301" s="8"/>
      <c r="G2301" s="8"/>
      <c r="M2301" s="8"/>
    </row>
    <row r="2302">
      <c r="B2302" s="8"/>
      <c r="G2302" s="8"/>
      <c r="M2302" s="8"/>
    </row>
    <row r="2303">
      <c r="B2303" s="8"/>
      <c r="G2303" s="8"/>
      <c r="M2303" s="8"/>
    </row>
    <row r="2304">
      <c r="B2304" s="8"/>
      <c r="G2304" s="8"/>
      <c r="M2304" s="8"/>
    </row>
    <row r="2305">
      <c r="B2305" s="8"/>
      <c r="G2305" s="8"/>
      <c r="M2305" s="8"/>
    </row>
    <row r="2306">
      <c r="B2306" s="8"/>
      <c r="G2306" s="8"/>
      <c r="M2306" s="8"/>
    </row>
    <row r="2307">
      <c r="B2307" s="8"/>
      <c r="G2307" s="8"/>
      <c r="M2307" s="8"/>
    </row>
    <row r="2308">
      <c r="B2308" s="8"/>
      <c r="G2308" s="8"/>
      <c r="M2308" s="8"/>
    </row>
    <row r="2309">
      <c r="B2309" s="8"/>
      <c r="G2309" s="8"/>
      <c r="M2309" s="8"/>
    </row>
    <row r="2310">
      <c r="B2310" s="8"/>
      <c r="G2310" s="8"/>
      <c r="M2310" s="8"/>
    </row>
    <row r="2311">
      <c r="B2311" s="8"/>
      <c r="G2311" s="8"/>
      <c r="M2311" s="8"/>
    </row>
    <row r="2312">
      <c r="B2312" s="8"/>
      <c r="G2312" s="8"/>
      <c r="M2312" s="8"/>
    </row>
    <row r="2313">
      <c r="B2313" s="8"/>
      <c r="G2313" s="8"/>
      <c r="M2313" s="8"/>
    </row>
    <row r="2314">
      <c r="B2314" s="8"/>
      <c r="G2314" s="8"/>
      <c r="M2314" s="8"/>
    </row>
    <row r="2315">
      <c r="B2315" s="8"/>
      <c r="G2315" s="8"/>
      <c r="M2315" s="8"/>
    </row>
    <row r="2316">
      <c r="B2316" s="8"/>
      <c r="G2316" s="8"/>
      <c r="M2316" s="8"/>
    </row>
    <row r="2317">
      <c r="B2317" s="8"/>
      <c r="G2317" s="8"/>
      <c r="M2317" s="8"/>
    </row>
    <row r="2318">
      <c r="B2318" s="8"/>
      <c r="G2318" s="8"/>
      <c r="M2318" s="8"/>
    </row>
    <row r="2319">
      <c r="B2319" s="8"/>
      <c r="G2319" s="8"/>
      <c r="M2319" s="8"/>
    </row>
    <row r="2320">
      <c r="B2320" s="8"/>
      <c r="G2320" s="8"/>
      <c r="M2320" s="8"/>
    </row>
    <row r="2321">
      <c r="B2321" s="8"/>
      <c r="G2321" s="8"/>
      <c r="M2321" s="8"/>
    </row>
    <row r="2322">
      <c r="B2322" s="8"/>
      <c r="G2322" s="8"/>
      <c r="M2322" s="8"/>
    </row>
    <row r="2323">
      <c r="B2323" s="8"/>
      <c r="G2323" s="8"/>
      <c r="M2323" s="8"/>
    </row>
    <row r="2324">
      <c r="B2324" s="8"/>
      <c r="G2324" s="8"/>
      <c r="M2324" s="8"/>
    </row>
    <row r="2325">
      <c r="B2325" s="8"/>
      <c r="G2325" s="8"/>
      <c r="M2325" s="8"/>
    </row>
    <row r="2326">
      <c r="B2326" s="8"/>
      <c r="G2326" s="8"/>
      <c r="M2326" s="8"/>
    </row>
    <row r="2327">
      <c r="B2327" s="8"/>
      <c r="G2327" s="8"/>
      <c r="M2327" s="8"/>
    </row>
    <row r="2328">
      <c r="B2328" s="8"/>
      <c r="G2328" s="8"/>
      <c r="M2328" s="8"/>
    </row>
    <row r="2329">
      <c r="B2329" s="8"/>
      <c r="G2329" s="8"/>
      <c r="M2329" s="8"/>
    </row>
    <row r="2330">
      <c r="B2330" s="8"/>
      <c r="G2330" s="8"/>
      <c r="M2330" s="8"/>
    </row>
    <row r="2331">
      <c r="B2331" s="8"/>
      <c r="G2331" s="8"/>
      <c r="M2331" s="8"/>
    </row>
    <row r="2332">
      <c r="B2332" s="8"/>
      <c r="G2332" s="8"/>
      <c r="M2332" s="8"/>
    </row>
    <row r="2333">
      <c r="B2333" s="8"/>
      <c r="G2333" s="8"/>
      <c r="M2333" s="8"/>
    </row>
    <row r="2334">
      <c r="B2334" s="8"/>
      <c r="G2334" s="8"/>
      <c r="M2334" s="8"/>
    </row>
    <row r="2335">
      <c r="B2335" s="8"/>
      <c r="G2335" s="8"/>
      <c r="M2335" s="8"/>
    </row>
    <row r="2336">
      <c r="B2336" s="8"/>
      <c r="G2336" s="8"/>
      <c r="M2336" s="8"/>
    </row>
    <row r="2337">
      <c r="B2337" s="8"/>
      <c r="G2337" s="8"/>
      <c r="M2337" s="8"/>
    </row>
    <row r="2338">
      <c r="B2338" s="8"/>
      <c r="G2338" s="8"/>
      <c r="M2338" s="8"/>
    </row>
    <row r="2339">
      <c r="B2339" s="8"/>
      <c r="G2339" s="8"/>
      <c r="M2339" s="8"/>
    </row>
    <row r="2340">
      <c r="B2340" s="8"/>
      <c r="G2340" s="8"/>
      <c r="M2340" s="8"/>
    </row>
    <row r="2341">
      <c r="B2341" s="8"/>
      <c r="G2341" s="8"/>
      <c r="M2341" s="8"/>
    </row>
    <row r="2342">
      <c r="B2342" s="8"/>
      <c r="G2342" s="8"/>
      <c r="M2342" s="8"/>
    </row>
    <row r="2343">
      <c r="B2343" s="8"/>
      <c r="G2343" s="8"/>
      <c r="M2343" s="8"/>
    </row>
    <row r="2344">
      <c r="B2344" s="8"/>
      <c r="G2344" s="8"/>
      <c r="M2344" s="8"/>
    </row>
    <row r="2345">
      <c r="B2345" s="8"/>
      <c r="G2345" s="8"/>
      <c r="M2345" s="8"/>
    </row>
    <row r="2346">
      <c r="B2346" s="8"/>
      <c r="G2346" s="8"/>
      <c r="M2346" s="8"/>
    </row>
    <row r="2347">
      <c r="B2347" s="8"/>
      <c r="G2347" s="8"/>
      <c r="M2347" s="8"/>
    </row>
    <row r="2348">
      <c r="B2348" s="8"/>
      <c r="G2348" s="8"/>
      <c r="M2348" s="8"/>
    </row>
    <row r="2349">
      <c r="B2349" s="8"/>
      <c r="G2349" s="8"/>
      <c r="M2349" s="8"/>
    </row>
    <row r="2350">
      <c r="B2350" s="8"/>
      <c r="G2350" s="8"/>
      <c r="M2350" s="8"/>
    </row>
    <row r="2351">
      <c r="B2351" s="8"/>
      <c r="G2351" s="8"/>
      <c r="M2351" s="8"/>
    </row>
    <row r="2352">
      <c r="B2352" s="8"/>
      <c r="G2352" s="8"/>
      <c r="M2352" s="8"/>
    </row>
    <row r="2353">
      <c r="B2353" s="8"/>
      <c r="G2353" s="8"/>
      <c r="M2353" s="8"/>
    </row>
    <row r="2354">
      <c r="B2354" s="8"/>
      <c r="G2354" s="8"/>
      <c r="M2354" s="8"/>
    </row>
    <row r="2355">
      <c r="B2355" s="8"/>
      <c r="G2355" s="8"/>
      <c r="M2355" s="8"/>
    </row>
    <row r="2356">
      <c r="B2356" s="8"/>
      <c r="G2356" s="8"/>
      <c r="M2356" s="8"/>
    </row>
    <row r="2357">
      <c r="B2357" s="8"/>
      <c r="G2357" s="8"/>
      <c r="M2357" s="8"/>
    </row>
    <row r="2358">
      <c r="B2358" s="8"/>
      <c r="G2358" s="8"/>
      <c r="M2358" s="8"/>
    </row>
    <row r="2359">
      <c r="B2359" s="8"/>
      <c r="G2359" s="8"/>
      <c r="M2359" s="8"/>
    </row>
    <row r="2360">
      <c r="B2360" s="8"/>
      <c r="G2360" s="8"/>
      <c r="M2360" s="8"/>
    </row>
    <row r="2361">
      <c r="B2361" s="8"/>
      <c r="G2361" s="8"/>
      <c r="M2361" s="8"/>
    </row>
    <row r="2362">
      <c r="B2362" s="8"/>
      <c r="G2362" s="8"/>
      <c r="M2362" s="8"/>
    </row>
    <row r="2363">
      <c r="B2363" s="8"/>
      <c r="G2363" s="8"/>
      <c r="M2363" s="8"/>
    </row>
    <row r="2364">
      <c r="B2364" s="8"/>
      <c r="G2364" s="8"/>
      <c r="M2364" s="8"/>
    </row>
    <row r="2365">
      <c r="B2365" s="8"/>
      <c r="G2365" s="8"/>
      <c r="M2365" s="8"/>
    </row>
    <row r="2366">
      <c r="B2366" s="8"/>
      <c r="G2366" s="8"/>
      <c r="M2366" s="8"/>
    </row>
    <row r="2367">
      <c r="B2367" s="8"/>
      <c r="G2367" s="8"/>
      <c r="M2367" s="8"/>
    </row>
    <row r="2368">
      <c r="B2368" s="8"/>
      <c r="G2368" s="8"/>
      <c r="M2368" s="8"/>
    </row>
    <row r="2369">
      <c r="B2369" s="8"/>
      <c r="G2369" s="8"/>
      <c r="M2369" s="8"/>
    </row>
    <row r="2370">
      <c r="B2370" s="8"/>
      <c r="G2370" s="8"/>
      <c r="M2370" s="8"/>
    </row>
    <row r="2371">
      <c r="B2371" s="8"/>
      <c r="G2371" s="8"/>
      <c r="M2371" s="8"/>
    </row>
    <row r="2372">
      <c r="B2372" s="8"/>
      <c r="G2372" s="8"/>
      <c r="M2372" s="8"/>
    </row>
    <row r="2373">
      <c r="B2373" s="8"/>
      <c r="G2373" s="8"/>
      <c r="M2373" s="8"/>
    </row>
    <row r="2374">
      <c r="B2374" s="8"/>
      <c r="G2374" s="8"/>
      <c r="M2374" s="8"/>
    </row>
    <row r="2375">
      <c r="B2375" s="8"/>
      <c r="G2375" s="8"/>
      <c r="M2375" s="8"/>
    </row>
    <row r="2376">
      <c r="B2376" s="8"/>
      <c r="G2376" s="8"/>
      <c r="M2376" s="8"/>
    </row>
    <row r="2377">
      <c r="B2377" s="8"/>
      <c r="G2377" s="8"/>
      <c r="M2377" s="8"/>
    </row>
    <row r="2378">
      <c r="B2378" s="8"/>
      <c r="G2378" s="8"/>
      <c r="M2378" s="8"/>
    </row>
    <row r="2379">
      <c r="B2379" s="8"/>
      <c r="G2379" s="8"/>
      <c r="M2379" s="8"/>
    </row>
    <row r="2380">
      <c r="B2380" s="8"/>
      <c r="G2380" s="8"/>
      <c r="M2380" s="8"/>
    </row>
    <row r="2381">
      <c r="B2381" s="8"/>
      <c r="G2381" s="8"/>
      <c r="M2381" s="8"/>
    </row>
    <row r="2382">
      <c r="B2382" s="8"/>
      <c r="G2382" s="8"/>
      <c r="M2382" s="8"/>
    </row>
    <row r="2383">
      <c r="B2383" s="8"/>
      <c r="G2383" s="8"/>
      <c r="M2383" s="8"/>
    </row>
    <row r="2384">
      <c r="B2384" s="8"/>
      <c r="G2384" s="8"/>
      <c r="M2384" s="8"/>
    </row>
    <row r="2385">
      <c r="B2385" s="8"/>
      <c r="G2385" s="8"/>
      <c r="M2385" s="8"/>
    </row>
    <row r="2386">
      <c r="B2386" s="8"/>
      <c r="G2386" s="8"/>
      <c r="M2386" s="8"/>
    </row>
    <row r="2387">
      <c r="B2387" s="8"/>
      <c r="G2387" s="8"/>
      <c r="M2387" s="8"/>
    </row>
    <row r="2388">
      <c r="B2388" s="8"/>
      <c r="G2388" s="8"/>
      <c r="M2388" s="8"/>
    </row>
    <row r="2389">
      <c r="B2389" s="8"/>
      <c r="G2389" s="8"/>
      <c r="M2389" s="8"/>
    </row>
    <row r="2390">
      <c r="B2390" s="8"/>
      <c r="G2390" s="8"/>
      <c r="M2390" s="8"/>
    </row>
    <row r="2391">
      <c r="B2391" s="8"/>
      <c r="G2391" s="8"/>
      <c r="M2391" s="8"/>
    </row>
    <row r="2392">
      <c r="B2392" s="8"/>
      <c r="G2392" s="8"/>
      <c r="M2392" s="8"/>
    </row>
    <row r="2393">
      <c r="B2393" s="8"/>
      <c r="G2393" s="8"/>
      <c r="M2393" s="8"/>
    </row>
    <row r="2394">
      <c r="B2394" s="8"/>
      <c r="G2394" s="8"/>
      <c r="M2394" s="8"/>
    </row>
    <row r="2395">
      <c r="B2395" s="8"/>
      <c r="G2395" s="8"/>
      <c r="M2395" s="8"/>
    </row>
    <row r="2396">
      <c r="B2396" s="8"/>
      <c r="G2396" s="8"/>
      <c r="M2396" s="8"/>
    </row>
    <row r="2397">
      <c r="B2397" s="8"/>
      <c r="G2397" s="8"/>
      <c r="M2397" s="8"/>
    </row>
    <row r="2398">
      <c r="B2398" s="8"/>
      <c r="G2398" s="8"/>
      <c r="M2398" s="8"/>
    </row>
    <row r="2399">
      <c r="B2399" s="8"/>
      <c r="G2399" s="8"/>
      <c r="M2399" s="8"/>
    </row>
    <row r="2400">
      <c r="B2400" s="8"/>
      <c r="G2400" s="8"/>
      <c r="M2400" s="8"/>
    </row>
    <row r="2401">
      <c r="B2401" s="8"/>
      <c r="G2401" s="8"/>
      <c r="M2401" s="8"/>
    </row>
    <row r="2402">
      <c r="B2402" s="8"/>
      <c r="G2402" s="8"/>
      <c r="M2402" s="8"/>
    </row>
    <row r="2403">
      <c r="B2403" s="8"/>
      <c r="G2403" s="8"/>
      <c r="M2403" s="8"/>
    </row>
    <row r="2404">
      <c r="B2404" s="8"/>
      <c r="G2404" s="8"/>
      <c r="M2404" s="8"/>
    </row>
    <row r="2405">
      <c r="B2405" s="8"/>
      <c r="G2405" s="8"/>
      <c r="M2405" s="8"/>
    </row>
    <row r="2406">
      <c r="B2406" s="8"/>
      <c r="G2406" s="8"/>
      <c r="M2406" s="8"/>
    </row>
    <row r="2407">
      <c r="B2407" s="8"/>
      <c r="G2407" s="8"/>
      <c r="M2407" s="8"/>
    </row>
    <row r="2408">
      <c r="B2408" s="8"/>
      <c r="G2408" s="8"/>
      <c r="M2408" s="8"/>
    </row>
    <row r="2409">
      <c r="B2409" s="8"/>
      <c r="G2409" s="8"/>
      <c r="M2409" s="8"/>
    </row>
    <row r="2410">
      <c r="B2410" s="8"/>
      <c r="G2410" s="8"/>
      <c r="M2410" s="8"/>
    </row>
    <row r="2411">
      <c r="B2411" s="8"/>
      <c r="G2411" s="8"/>
      <c r="M2411" s="8"/>
    </row>
    <row r="2412">
      <c r="B2412" s="8"/>
      <c r="G2412" s="8"/>
      <c r="M2412" s="8"/>
    </row>
    <row r="2413">
      <c r="B2413" s="8"/>
      <c r="G2413" s="8"/>
      <c r="M2413" s="8"/>
    </row>
    <row r="2414">
      <c r="B2414" s="8"/>
      <c r="G2414" s="8"/>
      <c r="M2414" s="8"/>
    </row>
    <row r="2415">
      <c r="B2415" s="8"/>
      <c r="G2415" s="8"/>
      <c r="M2415" s="8"/>
    </row>
    <row r="2416">
      <c r="B2416" s="8"/>
      <c r="G2416" s="8"/>
      <c r="M2416" s="8"/>
    </row>
    <row r="2417">
      <c r="B2417" s="8"/>
      <c r="G2417" s="8"/>
      <c r="M2417" s="8"/>
    </row>
    <row r="2418">
      <c r="B2418" s="8"/>
      <c r="G2418" s="8"/>
      <c r="M2418" s="8"/>
    </row>
    <row r="2419">
      <c r="B2419" s="8"/>
      <c r="G2419" s="8"/>
      <c r="M2419" s="8"/>
    </row>
    <row r="2420">
      <c r="B2420" s="8"/>
      <c r="G2420" s="8"/>
      <c r="M2420" s="8"/>
    </row>
    <row r="2421">
      <c r="B2421" s="8"/>
      <c r="G2421" s="8"/>
      <c r="M2421" s="8"/>
    </row>
    <row r="2422">
      <c r="B2422" s="8"/>
      <c r="G2422" s="8"/>
      <c r="M2422" s="8"/>
    </row>
    <row r="2423">
      <c r="B2423" s="8"/>
      <c r="G2423" s="8"/>
      <c r="M2423" s="8"/>
    </row>
    <row r="2424">
      <c r="B2424" s="8"/>
      <c r="G2424" s="8"/>
      <c r="M2424" s="8"/>
    </row>
    <row r="2425">
      <c r="B2425" s="8"/>
      <c r="G2425" s="8"/>
      <c r="M2425" s="8"/>
    </row>
    <row r="2426">
      <c r="B2426" s="8"/>
      <c r="G2426" s="8"/>
      <c r="M2426" s="8"/>
    </row>
    <row r="2427">
      <c r="B2427" s="8"/>
      <c r="G2427" s="8"/>
      <c r="M2427" s="8"/>
    </row>
    <row r="2428">
      <c r="B2428" s="8"/>
      <c r="G2428" s="8"/>
      <c r="M2428" s="8"/>
    </row>
    <row r="2429">
      <c r="B2429" s="8"/>
      <c r="G2429" s="8"/>
      <c r="M2429" s="8"/>
    </row>
    <row r="2430">
      <c r="B2430" s="8"/>
      <c r="G2430" s="8"/>
      <c r="M2430" s="8"/>
    </row>
    <row r="2431">
      <c r="B2431" s="8"/>
      <c r="G2431" s="8"/>
      <c r="M2431" s="8"/>
    </row>
    <row r="2432">
      <c r="B2432" s="8"/>
      <c r="G2432" s="8"/>
      <c r="M2432" s="8"/>
    </row>
    <row r="2433">
      <c r="B2433" s="8"/>
      <c r="G2433" s="8"/>
      <c r="M2433" s="8"/>
    </row>
    <row r="2434">
      <c r="B2434" s="8"/>
      <c r="G2434" s="8"/>
      <c r="M2434" s="8"/>
    </row>
    <row r="2435">
      <c r="B2435" s="8"/>
      <c r="G2435" s="8"/>
      <c r="M2435" s="8"/>
    </row>
    <row r="2436">
      <c r="B2436" s="8"/>
      <c r="G2436" s="8"/>
      <c r="M2436" s="8"/>
    </row>
    <row r="2437">
      <c r="B2437" s="8"/>
      <c r="G2437" s="8"/>
      <c r="M2437" s="8"/>
    </row>
    <row r="2438">
      <c r="B2438" s="8"/>
      <c r="G2438" s="8"/>
      <c r="M2438" s="8"/>
    </row>
    <row r="2439">
      <c r="B2439" s="8"/>
      <c r="G2439" s="8"/>
      <c r="M2439" s="8"/>
    </row>
    <row r="2440">
      <c r="B2440" s="8"/>
      <c r="G2440" s="8"/>
      <c r="M2440" s="8"/>
    </row>
    <row r="2441">
      <c r="B2441" s="8"/>
      <c r="G2441" s="8"/>
      <c r="M2441" s="8"/>
    </row>
    <row r="2442">
      <c r="B2442" s="8"/>
      <c r="G2442" s="8"/>
      <c r="M2442" s="8"/>
    </row>
    <row r="2443">
      <c r="B2443" s="8"/>
      <c r="G2443" s="8"/>
      <c r="M2443" s="8"/>
    </row>
    <row r="2444">
      <c r="B2444" s="8"/>
      <c r="G2444" s="8"/>
      <c r="M2444" s="8"/>
    </row>
    <row r="2445">
      <c r="B2445" s="8"/>
      <c r="G2445" s="8"/>
      <c r="M2445" s="8"/>
    </row>
    <row r="2446">
      <c r="B2446" s="8"/>
      <c r="G2446" s="8"/>
      <c r="M2446" s="8"/>
    </row>
    <row r="2447">
      <c r="B2447" s="8"/>
      <c r="G2447" s="8"/>
      <c r="M2447" s="8"/>
    </row>
    <row r="2448">
      <c r="B2448" s="8"/>
      <c r="G2448" s="8"/>
      <c r="M2448" s="8"/>
    </row>
    <row r="2449">
      <c r="B2449" s="8"/>
      <c r="G2449" s="8"/>
      <c r="M2449" s="8"/>
    </row>
    <row r="2450">
      <c r="B2450" s="8"/>
      <c r="G2450" s="8"/>
      <c r="M2450" s="8"/>
    </row>
    <row r="2451">
      <c r="B2451" s="8"/>
      <c r="G2451" s="8"/>
      <c r="M2451" s="8"/>
    </row>
    <row r="2452">
      <c r="B2452" s="8"/>
      <c r="G2452" s="8"/>
      <c r="M2452" s="8"/>
    </row>
    <row r="2453">
      <c r="B2453" s="8"/>
      <c r="G2453" s="8"/>
      <c r="M2453" s="8"/>
    </row>
    <row r="2454">
      <c r="B2454" s="8"/>
      <c r="G2454" s="8"/>
      <c r="M2454" s="8"/>
    </row>
    <row r="2455">
      <c r="B2455" s="8"/>
      <c r="G2455" s="8"/>
      <c r="M2455" s="8"/>
    </row>
    <row r="2456">
      <c r="B2456" s="8"/>
      <c r="G2456" s="8"/>
      <c r="M2456" s="8"/>
    </row>
    <row r="2457">
      <c r="B2457" s="8"/>
      <c r="G2457" s="8"/>
      <c r="M2457" s="8"/>
    </row>
    <row r="2458">
      <c r="B2458" s="8"/>
      <c r="G2458" s="8"/>
      <c r="M2458" s="8"/>
    </row>
    <row r="2459">
      <c r="B2459" s="8"/>
      <c r="G2459" s="8"/>
      <c r="M2459" s="8"/>
    </row>
    <row r="2460">
      <c r="B2460" s="8"/>
      <c r="G2460" s="8"/>
      <c r="M2460" s="8"/>
    </row>
    <row r="2461">
      <c r="B2461" s="8"/>
      <c r="G2461" s="8"/>
      <c r="M2461" s="8"/>
    </row>
    <row r="2462">
      <c r="B2462" s="8"/>
      <c r="G2462" s="8"/>
      <c r="M2462" s="8"/>
    </row>
    <row r="2463">
      <c r="B2463" s="8"/>
      <c r="G2463" s="8"/>
      <c r="M2463" s="8"/>
    </row>
    <row r="2464">
      <c r="B2464" s="8"/>
      <c r="G2464" s="8"/>
      <c r="M2464" s="8"/>
    </row>
    <row r="2465">
      <c r="B2465" s="8"/>
      <c r="G2465" s="8"/>
      <c r="M2465" s="8"/>
    </row>
    <row r="2466">
      <c r="B2466" s="8"/>
      <c r="G2466" s="8"/>
      <c r="M2466" s="8"/>
    </row>
    <row r="2467">
      <c r="B2467" s="8"/>
      <c r="G2467" s="8"/>
      <c r="M2467" s="8"/>
    </row>
    <row r="2468">
      <c r="B2468" s="8"/>
      <c r="G2468" s="8"/>
      <c r="M2468" s="8"/>
    </row>
    <row r="2469">
      <c r="B2469" s="8"/>
      <c r="G2469" s="8"/>
      <c r="M2469" s="8"/>
    </row>
    <row r="2470">
      <c r="B2470" s="8"/>
      <c r="G2470" s="8"/>
      <c r="M2470" s="8"/>
    </row>
    <row r="2471">
      <c r="B2471" s="8"/>
      <c r="G2471" s="8"/>
      <c r="M2471" s="8"/>
    </row>
    <row r="2472">
      <c r="B2472" s="8"/>
      <c r="G2472" s="8"/>
      <c r="M2472" s="8"/>
    </row>
    <row r="2473">
      <c r="B2473" s="8"/>
      <c r="G2473" s="8"/>
      <c r="M2473" s="8"/>
    </row>
    <row r="2474">
      <c r="B2474" s="8"/>
      <c r="G2474" s="8"/>
      <c r="M2474" s="8"/>
    </row>
    <row r="2475">
      <c r="B2475" s="8"/>
      <c r="G2475" s="8"/>
      <c r="M2475" s="8"/>
    </row>
    <row r="2476">
      <c r="B2476" s="8"/>
      <c r="G2476" s="8"/>
      <c r="M2476" s="8"/>
    </row>
    <row r="2477">
      <c r="B2477" s="8"/>
      <c r="G2477" s="8"/>
      <c r="M2477" s="8"/>
    </row>
    <row r="2478">
      <c r="B2478" s="8"/>
      <c r="G2478" s="8"/>
      <c r="M2478" s="8"/>
    </row>
    <row r="2479">
      <c r="B2479" s="8"/>
      <c r="G2479" s="8"/>
      <c r="M2479" s="8"/>
    </row>
    <row r="2480">
      <c r="B2480" s="8"/>
      <c r="G2480" s="8"/>
      <c r="M2480" s="8"/>
    </row>
    <row r="2481">
      <c r="B2481" s="8"/>
      <c r="G2481" s="8"/>
      <c r="M2481" s="8"/>
    </row>
    <row r="2482">
      <c r="B2482" s="8"/>
      <c r="G2482" s="8"/>
      <c r="M2482" s="8"/>
    </row>
    <row r="2483">
      <c r="B2483" s="8"/>
      <c r="G2483" s="8"/>
      <c r="M2483" s="8"/>
    </row>
    <row r="2484">
      <c r="B2484" s="8"/>
      <c r="G2484" s="8"/>
      <c r="M2484" s="8"/>
    </row>
    <row r="2485">
      <c r="B2485" s="8"/>
      <c r="G2485" s="8"/>
      <c r="M2485" s="8"/>
    </row>
    <row r="2486">
      <c r="B2486" s="8"/>
      <c r="G2486" s="8"/>
      <c r="M2486" s="8"/>
    </row>
    <row r="2487">
      <c r="B2487" s="8"/>
      <c r="G2487" s="8"/>
      <c r="M2487" s="8"/>
    </row>
    <row r="2488">
      <c r="B2488" s="8"/>
      <c r="G2488" s="8"/>
      <c r="M2488" s="8"/>
    </row>
    <row r="2489">
      <c r="B2489" s="8"/>
      <c r="G2489" s="8"/>
      <c r="M2489" s="8"/>
    </row>
    <row r="2490">
      <c r="B2490" s="8"/>
      <c r="G2490" s="8"/>
      <c r="M2490" s="8"/>
    </row>
    <row r="2491">
      <c r="B2491" s="8"/>
      <c r="G2491" s="8"/>
      <c r="M2491" s="8"/>
    </row>
    <row r="2492">
      <c r="B2492" s="8"/>
      <c r="G2492" s="8"/>
      <c r="M2492" s="8"/>
    </row>
    <row r="2493">
      <c r="B2493" s="8"/>
      <c r="G2493" s="8"/>
      <c r="M2493" s="8"/>
    </row>
    <row r="2494">
      <c r="B2494" s="8"/>
      <c r="G2494" s="8"/>
      <c r="M2494" s="8"/>
    </row>
    <row r="2495">
      <c r="B2495" s="8"/>
      <c r="G2495" s="8"/>
      <c r="M2495" s="8"/>
    </row>
    <row r="2496">
      <c r="B2496" s="8"/>
      <c r="G2496" s="8"/>
      <c r="M2496" s="8"/>
    </row>
    <row r="2497">
      <c r="B2497" s="8"/>
      <c r="G2497" s="8"/>
      <c r="M2497" s="8"/>
    </row>
    <row r="2498">
      <c r="B2498" s="8"/>
      <c r="G2498" s="8"/>
      <c r="M2498" s="8"/>
    </row>
    <row r="2499">
      <c r="B2499" s="8"/>
      <c r="G2499" s="8"/>
      <c r="M2499" s="8"/>
    </row>
    <row r="2500">
      <c r="B2500" s="8"/>
      <c r="G2500" s="8"/>
      <c r="M2500" s="8"/>
    </row>
    <row r="2501">
      <c r="B2501" s="8"/>
      <c r="G2501" s="8"/>
      <c r="M2501" s="8"/>
    </row>
    <row r="2502">
      <c r="B2502" s="8"/>
      <c r="G2502" s="8"/>
      <c r="M2502" s="8"/>
    </row>
    <row r="2503">
      <c r="B2503" s="8"/>
      <c r="G2503" s="8"/>
      <c r="M2503" s="8"/>
    </row>
    <row r="2504">
      <c r="B2504" s="8"/>
      <c r="G2504" s="8"/>
      <c r="M2504" s="8"/>
    </row>
    <row r="2505">
      <c r="B2505" s="8"/>
      <c r="G2505" s="8"/>
      <c r="M2505" s="8"/>
    </row>
    <row r="2506">
      <c r="B2506" s="8"/>
      <c r="G2506" s="8"/>
      <c r="M2506" s="8"/>
    </row>
    <row r="2507">
      <c r="B2507" s="8"/>
      <c r="G2507" s="8"/>
      <c r="M2507" s="8"/>
    </row>
    <row r="2508">
      <c r="B2508" s="8"/>
      <c r="G2508" s="8"/>
      <c r="M2508" s="8"/>
    </row>
    <row r="2509">
      <c r="B2509" s="8"/>
      <c r="G2509" s="8"/>
      <c r="M2509" s="8"/>
    </row>
    <row r="2510">
      <c r="B2510" s="8"/>
      <c r="G2510" s="8"/>
      <c r="M2510" s="8"/>
    </row>
    <row r="2511">
      <c r="B2511" s="8"/>
      <c r="G2511" s="8"/>
      <c r="M2511" s="8"/>
    </row>
    <row r="2512">
      <c r="B2512" s="8"/>
      <c r="G2512" s="8"/>
      <c r="M2512" s="8"/>
    </row>
    <row r="2513">
      <c r="B2513" s="8"/>
      <c r="G2513" s="8"/>
      <c r="M2513" s="8"/>
    </row>
    <row r="2514">
      <c r="B2514" s="8"/>
      <c r="G2514" s="8"/>
      <c r="M2514" s="8"/>
    </row>
    <row r="2515">
      <c r="B2515" s="8"/>
      <c r="G2515" s="8"/>
      <c r="M2515" s="8"/>
    </row>
    <row r="2516">
      <c r="B2516" s="8"/>
      <c r="G2516" s="8"/>
      <c r="M2516" s="8"/>
    </row>
    <row r="2517">
      <c r="B2517" s="8"/>
      <c r="G2517" s="8"/>
      <c r="M2517" s="8"/>
    </row>
    <row r="2518">
      <c r="B2518" s="8"/>
      <c r="G2518" s="8"/>
      <c r="M2518" s="8"/>
    </row>
    <row r="2519">
      <c r="B2519" s="8"/>
      <c r="G2519" s="8"/>
      <c r="M2519" s="8"/>
    </row>
    <row r="2520">
      <c r="B2520" s="8"/>
      <c r="G2520" s="8"/>
      <c r="M2520" s="8"/>
    </row>
    <row r="2521">
      <c r="B2521" s="8"/>
      <c r="G2521" s="8"/>
      <c r="M2521" s="8"/>
    </row>
    <row r="2522">
      <c r="B2522" s="8"/>
      <c r="G2522" s="8"/>
      <c r="M2522" s="8"/>
    </row>
    <row r="2523">
      <c r="B2523" s="8"/>
      <c r="G2523" s="8"/>
      <c r="M2523" s="8"/>
    </row>
    <row r="2524">
      <c r="B2524" s="8"/>
      <c r="G2524" s="8"/>
      <c r="M2524" s="8"/>
    </row>
    <row r="2525">
      <c r="B2525" s="8"/>
      <c r="G2525" s="8"/>
      <c r="M2525" s="8"/>
    </row>
    <row r="2526">
      <c r="B2526" s="8"/>
      <c r="G2526" s="8"/>
      <c r="M2526" s="8"/>
    </row>
    <row r="2527">
      <c r="B2527" s="8"/>
      <c r="G2527" s="8"/>
      <c r="M2527" s="8"/>
    </row>
    <row r="2528">
      <c r="B2528" s="8"/>
      <c r="G2528" s="8"/>
      <c r="M2528" s="8"/>
    </row>
    <row r="2529">
      <c r="B2529" s="8"/>
      <c r="G2529" s="8"/>
      <c r="M2529" s="8"/>
    </row>
    <row r="2530">
      <c r="B2530" s="8"/>
      <c r="G2530" s="8"/>
      <c r="M2530" s="8"/>
    </row>
    <row r="2531">
      <c r="B2531" s="8"/>
      <c r="G2531" s="8"/>
      <c r="M2531" s="8"/>
    </row>
    <row r="2532">
      <c r="B2532" s="8"/>
      <c r="G2532" s="8"/>
      <c r="M2532" s="8"/>
    </row>
    <row r="2533">
      <c r="B2533" s="8"/>
      <c r="G2533" s="8"/>
      <c r="M2533" s="8"/>
    </row>
    <row r="2534">
      <c r="B2534" s="8"/>
      <c r="G2534" s="8"/>
      <c r="M2534" s="8"/>
    </row>
    <row r="2535">
      <c r="B2535" s="8"/>
      <c r="G2535" s="8"/>
      <c r="M2535" s="8"/>
    </row>
    <row r="2536">
      <c r="B2536" s="8"/>
      <c r="G2536" s="8"/>
      <c r="M2536" s="8"/>
    </row>
    <row r="2537">
      <c r="B2537" s="8"/>
      <c r="G2537" s="8"/>
      <c r="M2537" s="8"/>
    </row>
    <row r="2538">
      <c r="B2538" s="8"/>
      <c r="G2538" s="8"/>
      <c r="M2538" s="8"/>
    </row>
    <row r="2539">
      <c r="B2539" s="8"/>
      <c r="G2539" s="8"/>
      <c r="M2539" s="8"/>
    </row>
    <row r="2540">
      <c r="B2540" s="8"/>
      <c r="G2540" s="8"/>
      <c r="M2540" s="8"/>
    </row>
    <row r="2541">
      <c r="B2541" s="8"/>
      <c r="G2541" s="8"/>
      <c r="M2541" s="8"/>
    </row>
    <row r="2542">
      <c r="B2542" s="8"/>
      <c r="G2542" s="8"/>
      <c r="M2542" s="8"/>
    </row>
    <row r="2543">
      <c r="B2543" s="8"/>
      <c r="G2543" s="8"/>
      <c r="M2543" s="8"/>
    </row>
    <row r="2544">
      <c r="B2544" s="8"/>
      <c r="G2544" s="8"/>
      <c r="M2544" s="8"/>
    </row>
    <row r="2545">
      <c r="B2545" s="8"/>
      <c r="G2545" s="8"/>
      <c r="M2545" s="8"/>
    </row>
    <row r="2546">
      <c r="B2546" s="8"/>
      <c r="G2546" s="8"/>
      <c r="M2546" s="8"/>
    </row>
    <row r="2547">
      <c r="B2547" s="8"/>
      <c r="G2547" s="8"/>
      <c r="M2547" s="8"/>
    </row>
    <row r="2548">
      <c r="B2548" s="8"/>
      <c r="G2548" s="8"/>
      <c r="M2548" s="8"/>
    </row>
    <row r="2549">
      <c r="B2549" s="8"/>
      <c r="G2549" s="8"/>
      <c r="M2549" s="8"/>
    </row>
    <row r="2550">
      <c r="B2550" s="8"/>
      <c r="G2550" s="8"/>
      <c r="M2550" s="8"/>
    </row>
    <row r="2551">
      <c r="B2551" s="8"/>
      <c r="G2551" s="8"/>
      <c r="M2551" s="8"/>
    </row>
    <row r="2552">
      <c r="B2552" s="8"/>
      <c r="G2552" s="8"/>
      <c r="M2552" s="8"/>
    </row>
    <row r="2553">
      <c r="B2553" s="8"/>
      <c r="G2553" s="8"/>
      <c r="M2553" s="8"/>
    </row>
    <row r="2554">
      <c r="B2554" s="8"/>
      <c r="G2554" s="8"/>
      <c r="M2554" s="8"/>
    </row>
    <row r="2555">
      <c r="B2555" s="8"/>
      <c r="G2555" s="8"/>
      <c r="M2555" s="8"/>
    </row>
    <row r="2556">
      <c r="B2556" s="8"/>
      <c r="G2556" s="8"/>
      <c r="M2556" s="8"/>
    </row>
    <row r="2557">
      <c r="B2557" s="8"/>
      <c r="G2557" s="8"/>
      <c r="M2557" s="8"/>
    </row>
    <row r="2558">
      <c r="B2558" s="8"/>
      <c r="G2558" s="8"/>
      <c r="M2558" s="8"/>
    </row>
    <row r="2559">
      <c r="B2559" s="8"/>
      <c r="G2559" s="8"/>
      <c r="M2559" s="8"/>
    </row>
    <row r="2560">
      <c r="B2560" s="8"/>
      <c r="G2560" s="8"/>
      <c r="M2560" s="8"/>
    </row>
    <row r="2561">
      <c r="B2561" s="8"/>
      <c r="G2561" s="8"/>
      <c r="M2561" s="8"/>
    </row>
    <row r="2562">
      <c r="B2562" s="8"/>
      <c r="G2562" s="8"/>
      <c r="M2562" s="8"/>
    </row>
    <row r="2563">
      <c r="B2563" s="8"/>
      <c r="G2563" s="8"/>
      <c r="M2563" s="8"/>
    </row>
    <row r="2564">
      <c r="B2564" s="8"/>
      <c r="G2564" s="8"/>
      <c r="M2564" s="8"/>
    </row>
    <row r="2565">
      <c r="B2565" s="8"/>
      <c r="G2565" s="8"/>
      <c r="M2565" s="8"/>
    </row>
    <row r="2566">
      <c r="B2566" s="8"/>
      <c r="G2566" s="8"/>
      <c r="M2566" s="8"/>
    </row>
    <row r="2567">
      <c r="B2567" s="8"/>
      <c r="G2567" s="8"/>
      <c r="M2567" s="8"/>
    </row>
    <row r="2568">
      <c r="B2568" s="8"/>
      <c r="G2568" s="8"/>
      <c r="M2568" s="8"/>
    </row>
    <row r="2569">
      <c r="B2569" s="8"/>
      <c r="G2569" s="8"/>
      <c r="M2569" s="8"/>
    </row>
    <row r="2570">
      <c r="B2570" s="8"/>
      <c r="G2570" s="8"/>
      <c r="M2570" s="8"/>
    </row>
    <row r="2571">
      <c r="B2571" s="8"/>
      <c r="G2571" s="8"/>
      <c r="M2571" s="8"/>
    </row>
    <row r="2572">
      <c r="B2572" s="8"/>
      <c r="G2572" s="8"/>
      <c r="M2572" s="8"/>
    </row>
    <row r="2573">
      <c r="B2573" s="8"/>
      <c r="G2573" s="8"/>
      <c r="M2573" s="8"/>
    </row>
    <row r="2574">
      <c r="B2574" s="8"/>
      <c r="G2574" s="8"/>
      <c r="M2574" s="8"/>
    </row>
    <row r="2575">
      <c r="B2575" s="8"/>
      <c r="G2575" s="8"/>
      <c r="M2575" s="8"/>
    </row>
    <row r="2576">
      <c r="B2576" s="8"/>
      <c r="G2576" s="8"/>
      <c r="M2576" s="8"/>
    </row>
    <row r="2577">
      <c r="B2577" s="8"/>
      <c r="G2577" s="8"/>
      <c r="M2577" s="8"/>
    </row>
    <row r="2578">
      <c r="B2578" s="8"/>
      <c r="G2578" s="8"/>
      <c r="M2578" s="8"/>
    </row>
    <row r="2579">
      <c r="B2579" s="8"/>
      <c r="G2579" s="8"/>
      <c r="M2579" s="8"/>
    </row>
    <row r="2580">
      <c r="B2580" s="8"/>
      <c r="G2580" s="8"/>
      <c r="M2580" s="8"/>
    </row>
    <row r="2581">
      <c r="B2581" s="8"/>
      <c r="G2581" s="8"/>
      <c r="M2581" s="8"/>
    </row>
    <row r="2582">
      <c r="B2582" s="8"/>
      <c r="G2582" s="8"/>
      <c r="M2582" s="8"/>
    </row>
    <row r="2583">
      <c r="B2583" s="8"/>
      <c r="G2583" s="8"/>
      <c r="M2583" s="8"/>
    </row>
    <row r="2584">
      <c r="B2584" s="8"/>
      <c r="G2584" s="8"/>
      <c r="M2584" s="8"/>
    </row>
    <row r="2585">
      <c r="B2585" s="8"/>
      <c r="G2585" s="8"/>
      <c r="M2585" s="8"/>
    </row>
    <row r="2586">
      <c r="B2586" s="8"/>
      <c r="G2586" s="8"/>
      <c r="M2586" s="8"/>
    </row>
    <row r="2587">
      <c r="B2587" s="8"/>
      <c r="G2587" s="8"/>
      <c r="M2587" s="8"/>
    </row>
    <row r="2588">
      <c r="B2588" s="8"/>
      <c r="G2588" s="8"/>
      <c r="M2588" s="8"/>
    </row>
    <row r="2589">
      <c r="B2589" s="8"/>
      <c r="G2589" s="8"/>
      <c r="M2589" s="8"/>
    </row>
    <row r="2590">
      <c r="B2590" s="8"/>
      <c r="G2590" s="8"/>
      <c r="M2590" s="8"/>
    </row>
    <row r="2591">
      <c r="B2591" s="8"/>
      <c r="G2591" s="8"/>
      <c r="M2591" s="8"/>
    </row>
    <row r="2592">
      <c r="B2592" s="8"/>
      <c r="G2592" s="8"/>
      <c r="M2592" s="8"/>
    </row>
    <row r="2593">
      <c r="B2593" s="8"/>
      <c r="G2593" s="8"/>
      <c r="M2593" s="8"/>
    </row>
    <row r="2594">
      <c r="B2594" s="8"/>
      <c r="G2594" s="8"/>
      <c r="M2594" s="8"/>
    </row>
    <row r="2595">
      <c r="B2595" s="8"/>
      <c r="G2595" s="8"/>
      <c r="M2595" s="8"/>
    </row>
    <row r="2596">
      <c r="B2596" s="8"/>
      <c r="G2596" s="8"/>
      <c r="M2596" s="8"/>
    </row>
    <row r="2597">
      <c r="B2597" s="8"/>
      <c r="G2597" s="8"/>
      <c r="M2597" s="8"/>
    </row>
    <row r="2598">
      <c r="B2598" s="8"/>
      <c r="G2598" s="8"/>
      <c r="M2598" s="8"/>
    </row>
    <row r="2599">
      <c r="B2599" s="8"/>
      <c r="G2599" s="8"/>
      <c r="M2599" s="8"/>
    </row>
    <row r="2600">
      <c r="B2600" s="8"/>
      <c r="G2600" s="8"/>
      <c r="M2600" s="8"/>
    </row>
    <row r="2601">
      <c r="B2601" s="8"/>
      <c r="G2601" s="8"/>
      <c r="M2601" s="8"/>
    </row>
    <row r="2602">
      <c r="B2602" s="8"/>
      <c r="G2602" s="8"/>
      <c r="M2602" s="8"/>
    </row>
    <row r="2603">
      <c r="B2603" s="8"/>
      <c r="G2603" s="8"/>
      <c r="M2603" s="8"/>
    </row>
    <row r="2604">
      <c r="B2604" s="8"/>
      <c r="G2604" s="8"/>
      <c r="M2604" s="8"/>
    </row>
    <row r="2605">
      <c r="B2605" s="8"/>
      <c r="G2605" s="8"/>
      <c r="M2605" s="8"/>
    </row>
    <row r="2606">
      <c r="B2606" s="8"/>
      <c r="G2606" s="8"/>
      <c r="M2606" s="8"/>
    </row>
    <row r="2607">
      <c r="B2607" s="8"/>
      <c r="G2607" s="8"/>
      <c r="M2607" s="8"/>
    </row>
    <row r="2608">
      <c r="B2608" s="8"/>
      <c r="G2608" s="8"/>
      <c r="M2608" s="8"/>
    </row>
    <row r="2609">
      <c r="B2609" s="8"/>
      <c r="G2609" s="8"/>
      <c r="M2609" s="8"/>
    </row>
    <row r="2610">
      <c r="B2610" s="8"/>
      <c r="G2610" s="8"/>
      <c r="M2610" s="8"/>
    </row>
    <row r="2611">
      <c r="B2611" s="8"/>
      <c r="G2611" s="8"/>
      <c r="M2611" s="8"/>
    </row>
    <row r="2612">
      <c r="B2612" s="8"/>
      <c r="G2612" s="8"/>
      <c r="M2612" s="8"/>
    </row>
    <row r="2613">
      <c r="B2613" s="8"/>
      <c r="G2613" s="8"/>
      <c r="M2613" s="8"/>
    </row>
    <row r="2614">
      <c r="B2614" s="8"/>
      <c r="G2614" s="8"/>
      <c r="M2614" s="8"/>
    </row>
    <row r="2615">
      <c r="B2615" s="8"/>
      <c r="G2615" s="8"/>
      <c r="M2615" s="8"/>
    </row>
    <row r="2616">
      <c r="B2616" s="8"/>
      <c r="G2616" s="8"/>
      <c r="M2616" s="8"/>
    </row>
    <row r="2617">
      <c r="B2617" s="8"/>
      <c r="G2617" s="8"/>
      <c r="M2617" s="8"/>
    </row>
    <row r="2618">
      <c r="B2618" s="8"/>
      <c r="G2618" s="8"/>
      <c r="M2618" s="8"/>
    </row>
    <row r="2619">
      <c r="B2619" s="8"/>
      <c r="G2619" s="8"/>
      <c r="M2619" s="8"/>
    </row>
    <row r="2620">
      <c r="B2620" s="8"/>
      <c r="G2620" s="8"/>
      <c r="M2620" s="8"/>
    </row>
    <row r="2621">
      <c r="B2621" s="8"/>
      <c r="G2621" s="8"/>
      <c r="M2621" s="8"/>
    </row>
    <row r="2622">
      <c r="B2622" s="8"/>
      <c r="G2622" s="8"/>
      <c r="M2622" s="8"/>
    </row>
    <row r="2623">
      <c r="B2623" s="8"/>
      <c r="G2623" s="8"/>
      <c r="M2623" s="8"/>
    </row>
    <row r="2624">
      <c r="B2624" s="8"/>
      <c r="G2624" s="8"/>
      <c r="M2624" s="8"/>
    </row>
    <row r="2625">
      <c r="B2625" s="8"/>
      <c r="G2625" s="8"/>
      <c r="M2625" s="8"/>
    </row>
    <row r="2626">
      <c r="B2626" s="8"/>
      <c r="G2626" s="8"/>
      <c r="M2626" s="8"/>
    </row>
    <row r="2627">
      <c r="B2627" s="8"/>
      <c r="G2627" s="8"/>
      <c r="M2627" s="8"/>
    </row>
    <row r="2628">
      <c r="B2628" s="8"/>
      <c r="G2628" s="8"/>
      <c r="M2628" s="8"/>
    </row>
    <row r="2629">
      <c r="B2629" s="8"/>
      <c r="G2629" s="8"/>
      <c r="M2629" s="8"/>
    </row>
    <row r="2630">
      <c r="B2630" s="8"/>
      <c r="G2630" s="8"/>
      <c r="M2630" s="8"/>
    </row>
    <row r="2631">
      <c r="B2631" s="8"/>
      <c r="G2631" s="8"/>
      <c r="M2631" s="8"/>
    </row>
    <row r="2632">
      <c r="B2632" s="8"/>
      <c r="G2632" s="8"/>
      <c r="M2632" s="8"/>
    </row>
    <row r="2633">
      <c r="B2633" s="8"/>
      <c r="G2633" s="8"/>
      <c r="M2633" s="8"/>
    </row>
    <row r="2634">
      <c r="B2634" s="8"/>
      <c r="G2634" s="8"/>
      <c r="M2634" s="8"/>
    </row>
    <row r="2635">
      <c r="B2635" s="8"/>
      <c r="G2635" s="8"/>
      <c r="M2635" s="8"/>
    </row>
    <row r="2636">
      <c r="B2636" s="8"/>
      <c r="G2636" s="8"/>
      <c r="M2636" s="8"/>
    </row>
    <row r="2637">
      <c r="B2637" s="8"/>
      <c r="G2637" s="8"/>
      <c r="M2637" s="8"/>
    </row>
    <row r="2638">
      <c r="B2638" s="8"/>
      <c r="G2638" s="8"/>
      <c r="M2638" s="8"/>
    </row>
    <row r="2639">
      <c r="B2639" s="8"/>
      <c r="G2639" s="8"/>
      <c r="M2639" s="8"/>
    </row>
    <row r="2640">
      <c r="B2640" s="8"/>
      <c r="G2640" s="8"/>
      <c r="M2640" s="8"/>
    </row>
    <row r="2641">
      <c r="B2641" s="8"/>
      <c r="G2641" s="8"/>
      <c r="M2641" s="8"/>
    </row>
    <row r="2642">
      <c r="B2642" s="8"/>
      <c r="G2642" s="8"/>
      <c r="M2642" s="8"/>
    </row>
    <row r="2643">
      <c r="B2643" s="8"/>
      <c r="G2643" s="8"/>
      <c r="M2643" s="8"/>
    </row>
    <row r="2644">
      <c r="B2644" s="8"/>
      <c r="G2644" s="8"/>
      <c r="M2644" s="8"/>
    </row>
    <row r="2645">
      <c r="B2645" s="8"/>
      <c r="G2645" s="8"/>
      <c r="M2645" s="8"/>
    </row>
    <row r="2646">
      <c r="B2646" s="8"/>
      <c r="G2646" s="8"/>
      <c r="M2646" s="8"/>
    </row>
    <row r="2647">
      <c r="B2647" s="8"/>
      <c r="G2647" s="8"/>
      <c r="M2647" s="8"/>
    </row>
    <row r="2648">
      <c r="B2648" s="8"/>
      <c r="G2648" s="8"/>
      <c r="M2648" s="8"/>
    </row>
    <row r="2649">
      <c r="B2649" s="8"/>
      <c r="G2649" s="8"/>
      <c r="M2649" s="8"/>
    </row>
    <row r="2650">
      <c r="B2650" s="8"/>
      <c r="G2650" s="8"/>
      <c r="M2650" s="8"/>
    </row>
    <row r="2651">
      <c r="B2651" s="8"/>
      <c r="G2651" s="8"/>
      <c r="M2651" s="8"/>
    </row>
    <row r="2652">
      <c r="B2652" s="8"/>
      <c r="G2652" s="8"/>
      <c r="M2652" s="8"/>
    </row>
    <row r="2653">
      <c r="B2653" s="8"/>
      <c r="G2653" s="8"/>
      <c r="M2653" s="8"/>
    </row>
    <row r="2654">
      <c r="B2654" s="8"/>
      <c r="G2654" s="8"/>
      <c r="M2654" s="8"/>
    </row>
    <row r="2655">
      <c r="B2655" s="8"/>
      <c r="G2655" s="8"/>
      <c r="M2655" s="8"/>
    </row>
    <row r="2656">
      <c r="B2656" s="8"/>
      <c r="G2656" s="8"/>
      <c r="M2656" s="8"/>
    </row>
    <row r="2657">
      <c r="B2657" s="8"/>
      <c r="G2657" s="8"/>
      <c r="M2657" s="8"/>
    </row>
    <row r="2658">
      <c r="B2658" s="8"/>
      <c r="G2658" s="8"/>
      <c r="M2658" s="8"/>
    </row>
    <row r="2659">
      <c r="B2659" s="8"/>
      <c r="G2659" s="8"/>
      <c r="M2659" s="8"/>
    </row>
    <row r="2660">
      <c r="B2660" s="8"/>
      <c r="G2660" s="8"/>
      <c r="M2660" s="8"/>
    </row>
    <row r="2661">
      <c r="B2661" s="8"/>
      <c r="G2661" s="8"/>
      <c r="M2661" s="8"/>
    </row>
    <row r="2662">
      <c r="B2662" s="8"/>
      <c r="G2662" s="8"/>
      <c r="M2662" s="8"/>
    </row>
    <row r="2663">
      <c r="B2663" s="8"/>
      <c r="G2663" s="8"/>
      <c r="M2663" s="8"/>
    </row>
    <row r="2664">
      <c r="B2664" s="8"/>
      <c r="G2664" s="8"/>
      <c r="M2664" s="8"/>
    </row>
    <row r="2665">
      <c r="B2665" s="8"/>
      <c r="G2665" s="8"/>
      <c r="M2665" s="8"/>
    </row>
    <row r="2666">
      <c r="B2666" s="8"/>
      <c r="G2666" s="8"/>
      <c r="M2666" s="8"/>
    </row>
    <row r="2667">
      <c r="B2667" s="8"/>
      <c r="G2667" s="8"/>
      <c r="M2667" s="8"/>
    </row>
    <row r="2668">
      <c r="B2668" s="8"/>
      <c r="G2668" s="8"/>
      <c r="M2668" s="8"/>
    </row>
    <row r="2669">
      <c r="B2669" s="8"/>
      <c r="G2669" s="8"/>
      <c r="M2669" s="8"/>
    </row>
    <row r="2670">
      <c r="B2670" s="8"/>
      <c r="G2670" s="8"/>
      <c r="M2670" s="8"/>
    </row>
    <row r="2671">
      <c r="B2671" s="8"/>
      <c r="G2671" s="8"/>
      <c r="M2671" s="8"/>
    </row>
    <row r="2672">
      <c r="B2672" s="8"/>
      <c r="G2672" s="8"/>
      <c r="M2672" s="8"/>
    </row>
    <row r="2673">
      <c r="B2673" s="8"/>
      <c r="G2673" s="8"/>
      <c r="M2673" s="8"/>
    </row>
    <row r="2674">
      <c r="B2674" s="8"/>
      <c r="G2674" s="8"/>
      <c r="M2674" s="8"/>
    </row>
    <row r="2675">
      <c r="B2675" s="8"/>
      <c r="G2675" s="8"/>
      <c r="M2675" s="8"/>
    </row>
    <row r="2676">
      <c r="B2676" s="8"/>
      <c r="G2676" s="8"/>
      <c r="M2676" s="8"/>
    </row>
    <row r="2677">
      <c r="B2677" s="8"/>
      <c r="G2677" s="8"/>
      <c r="M2677" s="8"/>
    </row>
    <row r="2678">
      <c r="B2678" s="8"/>
      <c r="G2678" s="8"/>
      <c r="M2678" s="8"/>
    </row>
    <row r="2679">
      <c r="B2679" s="8"/>
      <c r="G2679" s="8"/>
      <c r="M2679" s="8"/>
    </row>
    <row r="2680">
      <c r="B2680" s="8"/>
      <c r="G2680" s="8"/>
      <c r="M2680" s="8"/>
    </row>
    <row r="2681">
      <c r="B2681" s="8"/>
      <c r="G2681" s="8"/>
      <c r="M2681" s="8"/>
    </row>
    <row r="2682">
      <c r="B2682" s="8"/>
      <c r="G2682" s="8"/>
      <c r="M2682" s="8"/>
    </row>
    <row r="2683">
      <c r="B2683" s="8"/>
      <c r="G2683" s="8"/>
      <c r="M2683" s="8"/>
    </row>
    <row r="2684">
      <c r="B2684" s="8"/>
      <c r="G2684" s="8"/>
      <c r="M2684" s="8"/>
    </row>
    <row r="2685">
      <c r="B2685" s="8"/>
      <c r="G2685" s="8"/>
      <c r="M2685" s="8"/>
    </row>
    <row r="2686">
      <c r="B2686" s="8"/>
      <c r="G2686" s="8"/>
      <c r="M2686" s="8"/>
    </row>
    <row r="2687">
      <c r="B2687" s="8"/>
      <c r="G2687" s="8"/>
      <c r="M2687" s="8"/>
    </row>
    <row r="2688">
      <c r="B2688" s="8"/>
      <c r="G2688" s="8"/>
      <c r="M2688" s="8"/>
    </row>
    <row r="2689">
      <c r="B2689" s="8"/>
      <c r="G2689" s="8"/>
      <c r="M2689" s="8"/>
    </row>
    <row r="2690">
      <c r="B2690" s="8"/>
      <c r="G2690" s="8"/>
      <c r="M2690" s="8"/>
    </row>
    <row r="2691">
      <c r="B2691" s="8"/>
      <c r="G2691" s="8"/>
      <c r="M2691" s="8"/>
    </row>
    <row r="2692">
      <c r="B2692" s="8"/>
      <c r="G2692" s="8"/>
      <c r="M2692" s="8"/>
    </row>
    <row r="2693">
      <c r="B2693" s="8"/>
      <c r="G2693" s="8"/>
      <c r="M2693" s="8"/>
    </row>
    <row r="2694">
      <c r="B2694" s="8"/>
      <c r="G2694" s="8"/>
      <c r="M2694" s="8"/>
    </row>
    <row r="2695">
      <c r="B2695" s="8"/>
      <c r="G2695" s="8"/>
      <c r="M2695" s="8"/>
    </row>
    <row r="2696">
      <c r="B2696" s="8"/>
      <c r="G2696" s="8"/>
      <c r="M2696" s="8"/>
    </row>
    <row r="2697">
      <c r="B2697" s="8"/>
      <c r="G2697" s="8"/>
      <c r="M2697" s="8"/>
    </row>
    <row r="2698">
      <c r="B2698" s="8"/>
      <c r="G2698" s="8"/>
      <c r="M2698" s="8"/>
    </row>
    <row r="2699">
      <c r="B2699" s="8"/>
      <c r="G2699" s="8"/>
      <c r="M2699" s="8"/>
    </row>
    <row r="2700">
      <c r="B2700" s="8"/>
      <c r="G2700" s="8"/>
      <c r="M2700" s="8"/>
    </row>
    <row r="2701">
      <c r="B2701" s="8"/>
      <c r="G2701" s="8"/>
      <c r="M2701" s="8"/>
    </row>
    <row r="2702">
      <c r="B2702" s="8"/>
      <c r="G2702" s="8"/>
      <c r="M2702" s="8"/>
    </row>
    <row r="2703">
      <c r="B2703" s="8"/>
      <c r="G2703" s="8"/>
      <c r="M2703" s="8"/>
    </row>
    <row r="2704">
      <c r="B2704" s="8"/>
      <c r="G2704" s="8"/>
      <c r="M2704" s="8"/>
    </row>
    <row r="2705">
      <c r="B2705" s="8"/>
      <c r="G2705" s="8"/>
      <c r="M2705" s="8"/>
    </row>
    <row r="2706">
      <c r="B2706" s="8"/>
      <c r="G2706" s="8"/>
      <c r="M2706" s="8"/>
    </row>
    <row r="2707">
      <c r="B2707" s="8"/>
      <c r="G2707" s="8"/>
      <c r="M2707" s="8"/>
    </row>
    <row r="2708">
      <c r="B2708" s="8"/>
      <c r="G2708" s="8"/>
      <c r="M2708" s="8"/>
    </row>
    <row r="2709">
      <c r="B2709" s="8"/>
      <c r="G2709" s="8"/>
      <c r="M2709" s="8"/>
    </row>
    <row r="2710">
      <c r="B2710" s="8"/>
      <c r="G2710" s="8"/>
      <c r="M2710" s="8"/>
    </row>
    <row r="2711">
      <c r="B2711" s="8"/>
      <c r="G2711" s="8"/>
      <c r="M2711" s="8"/>
    </row>
    <row r="2712">
      <c r="B2712" s="8"/>
      <c r="G2712" s="8"/>
      <c r="M2712" s="8"/>
    </row>
    <row r="2713">
      <c r="B2713" s="8"/>
      <c r="G2713" s="8"/>
      <c r="M2713" s="8"/>
    </row>
    <row r="2714">
      <c r="B2714" s="8"/>
      <c r="G2714" s="8"/>
      <c r="M2714" s="8"/>
    </row>
    <row r="2715">
      <c r="B2715" s="8"/>
      <c r="G2715" s="8"/>
      <c r="M2715" s="8"/>
    </row>
    <row r="2716">
      <c r="B2716" s="8"/>
      <c r="G2716" s="8"/>
      <c r="M2716" s="8"/>
    </row>
    <row r="2717">
      <c r="B2717" s="8"/>
      <c r="G2717" s="8"/>
      <c r="M2717" s="8"/>
    </row>
    <row r="2718">
      <c r="B2718" s="8"/>
      <c r="G2718" s="8"/>
      <c r="M2718" s="8"/>
    </row>
    <row r="2719">
      <c r="B2719" s="8"/>
      <c r="G2719" s="8"/>
      <c r="M2719" s="8"/>
    </row>
    <row r="2720">
      <c r="B2720" s="8"/>
      <c r="G2720" s="8"/>
      <c r="M2720" s="8"/>
    </row>
    <row r="2721">
      <c r="B2721" s="8"/>
      <c r="G2721" s="8"/>
      <c r="M2721" s="8"/>
    </row>
    <row r="2722">
      <c r="B2722" s="8"/>
      <c r="G2722" s="8"/>
      <c r="M2722" s="8"/>
    </row>
    <row r="2723">
      <c r="B2723" s="8"/>
      <c r="G2723" s="8"/>
      <c r="M2723" s="8"/>
    </row>
    <row r="2724">
      <c r="B2724" s="8"/>
      <c r="G2724" s="8"/>
      <c r="M2724" s="8"/>
    </row>
    <row r="2725">
      <c r="B2725" s="8"/>
      <c r="G2725" s="8"/>
      <c r="M2725" s="8"/>
    </row>
    <row r="2726">
      <c r="B2726" s="8"/>
      <c r="G2726" s="8"/>
      <c r="M2726" s="8"/>
    </row>
    <row r="2727">
      <c r="B2727" s="8"/>
      <c r="G2727" s="8"/>
      <c r="M2727" s="8"/>
    </row>
    <row r="2728">
      <c r="B2728" s="8"/>
      <c r="G2728" s="8"/>
      <c r="M2728" s="8"/>
    </row>
    <row r="2729">
      <c r="B2729" s="8"/>
      <c r="G2729" s="8"/>
      <c r="M2729" s="8"/>
    </row>
    <row r="2730">
      <c r="B2730" s="8"/>
      <c r="G2730" s="8"/>
      <c r="M2730" s="8"/>
    </row>
    <row r="2731">
      <c r="B2731" s="8"/>
      <c r="G2731" s="8"/>
      <c r="M2731" s="8"/>
    </row>
    <row r="2732">
      <c r="B2732" s="8"/>
      <c r="G2732" s="8"/>
      <c r="M2732" s="8"/>
    </row>
    <row r="2733">
      <c r="B2733" s="8"/>
      <c r="G2733" s="8"/>
      <c r="M2733" s="8"/>
    </row>
    <row r="2734">
      <c r="B2734" s="8"/>
      <c r="G2734" s="8"/>
      <c r="M2734" s="8"/>
    </row>
    <row r="2735">
      <c r="B2735" s="8"/>
      <c r="G2735" s="8"/>
      <c r="M2735" s="8"/>
    </row>
    <row r="2736">
      <c r="B2736" s="8"/>
      <c r="G2736" s="8"/>
      <c r="M2736" s="8"/>
    </row>
    <row r="2737">
      <c r="B2737" s="8"/>
      <c r="G2737" s="8"/>
      <c r="M2737" s="8"/>
    </row>
    <row r="2738">
      <c r="B2738" s="8"/>
      <c r="G2738" s="8"/>
      <c r="M2738" s="8"/>
    </row>
    <row r="2739">
      <c r="B2739" s="8"/>
      <c r="G2739" s="8"/>
      <c r="M2739" s="8"/>
    </row>
    <row r="2740">
      <c r="B2740" s="8"/>
      <c r="G2740" s="8"/>
      <c r="M2740" s="8"/>
    </row>
    <row r="2741">
      <c r="B2741" s="8"/>
      <c r="G2741" s="8"/>
      <c r="M2741" s="8"/>
    </row>
    <row r="2742">
      <c r="B2742" s="8"/>
      <c r="G2742" s="8"/>
      <c r="M2742" s="8"/>
    </row>
    <row r="2743">
      <c r="B2743" s="8"/>
      <c r="G2743" s="8"/>
      <c r="M2743" s="8"/>
    </row>
    <row r="2744">
      <c r="B2744" s="8"/>
      <c r="G2744" s="8"/>
      <c r="M2744" s="8"/>
    </row>
    <row r="2745">
      <c r="B2745" s="8"/>
      <c r="G2745" s="8"/>
      <c r="M2745" s="8"/>
    </row>
    <row r="2746">
      <c r="B2746" s="8"/>
      <c r="G2746" s="8"/>
      <c r="M2746" s="8"/>
    </row>
    <row r="2747">
      <c r="B2747" s="8"/>
      <c r="G2747" s="8"/>
      <c r="M2747" s="8"/>
    </row>
    <row r="2748">
      <c r="B2748" s="8"/>
      <c r="G2748" s="8"/>
      <c r="M2748" s="8"/>
    </row>
    <row r="2749">
      <c r="B2749" s="8"/>
      <c r="G2749" s="8"/>
      <c r="M2749" s="8"/>
    </row>
    <row r="2750">
      <c r="B2750" s="8"/>
      <c r="G2750" s="8"/>
      <c r="M2750" s="8"/>
    </row>
    <row r="2751">
      <c r="B2751" s="8"/>
      <c r="G2751" s="8"/>
      <c r="M2751" s="8"/>
    </row>
    <row r="2752">
      <c r="B2752" s="8"/>
      <c r="G2752" s="8"/>
      <c r="M2752" s="8"/>
    </row>
    <row r="2753">
      <c r="B2753" s="8"/>
      <c r="G2753" s="8"/>
      <c r="M2753" s="8"/>
    </row>
    <row r="2754">
      <c r="B2754" s="8"/>
      <c r="G2754" s="8"/>
      <c r="M2754" s="8"/>
    </row>
    <row r="2755">
      <c r="B2755" s="8"/>
      <c r="G2755" s="8"/>
      <c r="M2755" s="8"/>
    </row>
    <row r="2756">
      <c r="B2756" s="8"/>
      <c r="G2756" s="8"/>
      <c r="M2756" s="8"/>
    </row>
    <row r="2757">
      <c r="B2757" s="8"/>
      <c r="G2757" s="8"/>
      <c r="M2757" s="8"/>
    </row>
    <row r="2758">
      <c r="B2758" s="8"/>
      <c r="G2758" s="8"/>
      <c r="M2758" s="8"/>
    </row>
    <row r="2759">
      <c r="B2759" s="8"/>
      <c r="G2759" s="8"/>
      <c r="M2759" s="8"/>
    </row>
    <row r="2760">
      <c r="B2760" s="8"/>
      <c r="G2760" s="8"/>
      <c r="M2760" s="8"/>
    </row>
    <row r="2761">
      <c r="B2761" s="8"/>
      <c r="G2761" s="8"/>
      <c r="M2761" s="8"/>
    </row>
    <row r="2762">
      <c r="B2762" s="8"/>
      <c r="G2762" s="8"/>
      <c r="M2762" s="8"/>
    </row>
    <row r="2763">
      <c r="B2763" s="8"/>
      <c r="G2763" s="8"/>
      <c r="M2763" s="8"/>
    </row>
    <row r="2764">
      <c r="B2764" s="8"/>
      <c r="G2764" s="8"/>
      <c r="M2764" s="8"/>
    </row>
    <row r="2765">
      <c r="B2765" s="8"/>
      <c r="G2765" s="8"/>
      <c r="M2765" s="8"/>
    </row>
    <row r="2766">
      <c r="B2766" s="8"/>
      <c r="G2766" s="8"/>
      <c r="M2766" s="8"/>
    </row>
    <row r="2767">
      <c r="B2767" s="8"/>
      <c r="G2767" s="8"/>
      <c r="M2767" s="8"/>
    </row>
    <row r="2768">
      <c r="B2768" s="8"/>
      <c r="G2768" s="8"/>
      <c r="M2768" s="8"/>
    </row>
    <row r="2769">
      <c r="B2769" s="8"/>
      <c r="G2769" s="8"/>
      <c r="M2769" s="8"/>
    </row>
    <row r="2770">
      <c r="B2770" s="8"/>
      <c r="G2770" s="8"/>
      <c r="M2770" s="8"/>
    </row>
    <row r="2771">
      <c r="B2771" s="8"/>
      <c r="G2771" s="8"/>
      <c r="M2771" s="8"/>
    </row>
    <row r="2772">
      <c r="B2772" s="8"/>
      <c r="G2772" s="8"/>
      <c r="M2772" s="8"/>
    </row>
    <row r="2773">
      <c r="B2773" s="8"/>
      <c r="G2773" s="8"/>
      <c r="M2773" s="8"/>
    </row>
    <row r="2774">
      <c r="B2774" s="8"/>
      <c r="G2774" s="8"/>
      <c r="M2774" s="8"/>
    </row>
    <row r="2775">
      <c r="B2775" s="8"/>
      <c r="G2775" s="8"/>
      <c r="M2775" s="8"/>
    </row>
    <row r="2776">
      <c r="B2776" s="8"/>
      <c r="G2776" s="8"/>
      <c r="M2776" s="8"/>
    </row>
    <row r="2777">
      <c r="B2777" s="8"/>
      <c r="G2777" s="8"/>
      <c r="M2777" s="8"/>
    </row>
    <row r="2778">
      <c r="B2778" s="8"/>
      <c r="G2778" s="8"/>
      <c r="M2778" s="8"/>
    </row>
    <row r="2779">
      <c r="B2779" s="8"/>
      <c r="G2779" s="8"/>
      <c r="M2779" s="8"/>
    </row>
    <row r="2780">
      <c r="B2780" s="8"/>
      <c r="G2780" s="8"/>
      <c r="M2780" s="8"/>
    </row>
    <row r="2781">
      <c r="B2781" s="8"/>
      <c r="G2781" s="8"/>
      <c r="M2781" s="8"/>
    </row>
    <row r="2782">
      <c r="B2782" s="8"/>
      <c r="G2782" s="8"/>
      <c r="M2782" s="8"/>
    </row>
    <row r="2783">
      <c r="B2783" s="8"/>
      <c r="G2783" s="8"/>
      <c r="M2783" s="8"/>
    </row>
    <row r="2784">
      <c r="B2784" s="8"/>
      <c r="G2784" s="8"/>
      <c r="M2784" s="8"/>
    </row>
    <row r="2785">
      <c r="B2785" s="8"/>
      <c r="G2785" s="8"/>
      <c r="M2785" s="8"/>
    </row>
    <row r="2786">
      <c r="B2786" s="8"/>
      <c r="G2786" s="8"/>
      <c r="M2786" s="8"/>
    </row>
    <row r="2787">
      <c r="B2787" s="8"/>
      <c r="G2787" s="8"/>
      <c r="M2787" s="8"/>
    </row>
    <row r="2788">
      <c r="B2788" s="8"/>
      <c r="G2788" s="8"/>
      <c r="M2788" s="8"/>
    </row>
    <row r="2789">
      <c r="B2789" s="8"/>
      <c r="G2789" s="8"/>
      <c r="M2789" s="8"/>
    </row>
    <row r="2790">
      <c r="B2790" s="8"/>
      <c r="G2790" s="8"/>
      <c r="M2790" s="8"/>
    </row>
    <row r="2791">
      <c r="B2791" s="8"/>
      <c r="G2791" s="8"/>
      <c r="M2791" s="8"/>
    </row>
    <row r="2792">
      <c r="B2792" s="8"/>
      <c r="G2792" s="8"/>
      <c r="M2792" s="8"/>
    </row>
    <row r="2793">
      <c r="B2793" s="8"/>
      <c r="G2793" s="8"/>
      <c r="M2793" s="8"/>
    </row>
    <row r="2794">
      <c r="B2794" s="8"/>
      <c r="G2794" s="8"/>
      <c r="M2794" s="8"/>
    </row>
    <row r="2795">
      <c r="B2795" s="8"/>
      <c r="G2795" s="8"/>
      <c r="M2795" s="8"/>
    </row>
    <row r="2796">
      <c r="B2796" s="8"/>
      <c r="G2796" s="8"/>
      <c r="M2796" s="8"/>
    </row>
    <row r="2797">
      <c r="B2797" s="8"/>
      <c r="G2797" s="8"/>
      <c r="M2797" s="8"/>
    </row>
    <row r="2798">
      <c r="B2798" s="8"/>
      <c r="G2798" s="8"/>
      <c r="M2798" s="8"/>
    </row>
    <row r="2799">
      <c r="B2799" s="8"/>
      <c r="G2799" s="8"/>
      <c r="M2799" s="8"/>
    </row>
    <row r="2800">
      <c r="B2800" s="8"/>
      <c r="G2800" s="8"/>
      <c r="M2800" s="8"/>
    </row>
    <row r="2801">
      <c r="B2801" s="8"/>
      <c r="G2801" s="8"/>
      <c r="M2801" s="8"/>
    </row>
    <row r="2802">
      <c r="B2802" s="8"/>
      <c r="G2802" s="8"/>
      <c r="M2802" s="8"/>
    </row>
    <row r="2803">
      <c r="B2803" s="8"/>
      <c r="G2803" s="8"/>
      <c r="M2803" s="8"/>
    </row>
    <row r="2804">
      <c r="B2804" s="8"/>
      <c r="G2804" s="8"/>
      <c r="M2804" s="8"/>
    </row>
    <row r="2805">
      <c r="B2805" s="8"/>
      <c r="G2805" s="8"/>
      <c r="M2805" s="8"/>
    </row>
    <row r="2806">
      <c r="B2806" s="8"/>
      <c r="G2806" s="8"/>
      <c r="M2806" s="8"/>
    </row>
    <row r="2807">
      <c r="B2807" s="8"/>
      <c r="G2807" s="8"/>
      <c r="M2807" s="8"/>
    </row>
    <row r="2808">
      <c r="B2808" s="8"/>
      <c r="G2808" s="8"/>
      <c r="M2808" s="8"/>
    </row>
    <row r="2809">
      <c r="B2809" s="8"/>
      <c r="G2809" s="8"/>
      <c r="M2809" s="8"/>
    </row>
    <row r="2810">
      <c r="B2810" s="8"/>
      <c r="G2810" s="8"/>
      <c r="M2810" s="8"/>
    </row>
    <row r="2811">
      <c r="B2811" s="8"/>
      <c r="G2811" s="8"/>
      <c r="M2811" s="8"/>
    </row>
    <row r="2812">
      <c r="B2812" s="8"/>
      <c r="G2812" s="8"/>
      <c r="M2812" s="8"/>
    </row>
    <row r="2813">
      <c r="B2813" s="8"/>
      <c r="G2813" s="8"/>
      <c r="M2813" s="8"/>
    </row>
    <row r="2814">
      <c r="B2814" s="8"/>
      <c r="G2814" s="8"/>
      <c r="M2814" s="8"/>
    </row>
    <row r="2815">
      <c r="B2815" s="8"/>
      <c r="G2815" s="8"/>
      <c r="M2815" s="8"/>
    </row>
    <row r="2816">
      <c r="B2816" s="8"/>
      <c r="G2816" s="8"/>
      <c r="M2816" s="8"/>
    </row>
    <row r="2817">
      <c r="B2817" s="8"/>
      <c r="G2817" s="8"/>
      <c r="M2817" s="8"/>
    </row>
    <row r="2818">
      <c r="B2818" s="8"/>
      <c r="G2818" s="8"/>
      <c r="M2818" s="8"/>
    </row>
    <row r="2819">
      <c r="B2819" s="8"/>
      <c r="G2819" s="8"/>
      <c r="M2819" s="8"/>
    </row>
    <row r="2820">
      <c r="B2820" s="8"/>
      <c r="G2820" s="8"/>
      <c r="M2820" s="8"/>
    </row>
    <row r="2821">
      <c r="B2821" s="8"/>
      <c r="G2821" s="8"/>
      <c r="M2821" s="8"/>
    </row>
    <row r="2822">
      <c r="B2822" s="8"/>
      <c r="G2822" s="8"/>
      <c r="M2822" s="8"/>
    </row>
    <row r="2823">
      <c r="B2823" s="8"/>
      <c r="G2823" s="8"/>
      <c r="M2823" s="8"/>
    </row>
    <row r="2824">
      <c r="B2824" s="8"/>
      <c r="G2824" s="8"/>
      <c r="M2824" s="8"/>
    </row>
    <row r="2825">
      <c r="B2825" s="8"/>
      <c r="G2825" s="8"/>
      <c r="M2825" s="8"/>
    </row>
    <row r="2826">
      <c r="B2826" s="8"/>
      <c r="G2826" s="8"/>
      <c r="M2826" s="8"/>
    </row>
    <row r="2827">
      <c r="B2827" s="8"/>
      <c r="G2827" s="8"/>
      <c r="M2827" s="8"/>
    </row>
    <row r="2828">
      <c r="B2828" s="8"/>
      <c r="G2828" s="8"/>
      <c r="M2828" s="8"/>
    </row>
    <row r="2829">
      <c r="B2829" s="8"/>
      <c r="G2829" s="8"/>
      <c r="M2829" s="8"/>
    </row>
    <row r="2830">
      <c r="B2830" s="8"/>
      <c r="G2830" s="8"/>
      <c r="M2830" s="8"/>
    </row>
    <row r="2831">
      <c r="B2831" s="8"/>
      <c r="G2831" s="8"/>
      <c r="M2831" s="8"/>
    </row>
    <row r="2832">
      <c r="B2832" s="8"/>
      <c r="G2832" s="8"/>
      <c r="M2832" s="8"/>
    </row>
    <row r="2833">
      <c r="B2833" s="8"/>
      <c r="G2833" s="8"/>
      <c r="M2833" s="8"/>
    </row>
    <row r="2834">
      <c r="B2834" s="8"/>
      <c r="G2834" s="8"/>
      <c r="M2834" s="8"/>
    </row>
    <row r="2835">
      <c r="B2835" s="8"/>
      <c r="G2835" s="8"/>
      <c r="M2835" s="8"/>
    </row>
    <row r="2836">
      <c r="B2836" s="8"/>
      <c r="G2836" s="8"/>
      <c r="M2836" s="8"/>
    </row>
    <row r="2837">
      <c r="B2837" s="8"/>
      <c r="G2837" s="8"/>
      <c r="M2837" s="8"/>
    </row>
    <row r="2838">
      <c r="B2838" s="8"/>
      <c r="G2838" s="8"/>
      <c r="M2838" s="8"/>
    </row>
    <row r="2839">
      <c r="B2839" s="8"/>
      <c r="G2839" s="8"/>
      <c r="M2839" s="8"/>
    </row>
    <row r="2840">
      <c r="B2840" s="8"/>
      <c r="G2840" s="8"/>
      <c r="M2840" s="8"/>
    </row>
    <row r="2841">
      <c r="B2841" s="8"/>
      <c r="G2841" s="8"/>
      <c r="M2841" s="8"/>
    </row>
    <row r="2842">
      <c r="B2842" s="8"/>
      <c r="G2842" s="8"/>
      <c r="M2842" s="8"/>
    </row>
    <row r="2843">
      <c r="B2843" s="8"/>
      <c r="G2843" s="8"/>
      <c r="M2843" s="8"/>
    </row>
    <row r="2844">
      <c r="B2844" s="8"/>
      <c r="G2844" s="8"/>
      <c r="M2844" s="8"/>
    </row>
    <row r="2845">
      <c r="B2845" s="8"/>
      <c r="G2845" s="8"/>
      <c r="M2845" s="8"/>
    </row>
    <row r="2846">
      <c r="B2846" s="8"/>
      <c r="G2846" s="8"/>
      <c r="M2846" s="8"/>
    </row>
    <row r="2847">
      <c r="B2847" s="8"/>
      <c r="G2847" s="8"/>
      <c r="M2847" s="8"/>
    </row>
    <row r="2848">
      <c r="B2848" s="8"/>
      <c r="G2848" s="8"/>
      <c r="M2848" s="8"/>
    </row>
    <row r="2849">
      <c r="B2849" s="8"/>
      <c r="G2849" s="8"/>
      <c r="M2849" s="8"/>
    </row>
    <row r="2850">
      <c r="B2850" s="8"/>
      <c r="G2850" s="8"/>
      <c r="M2850" s="8"/>
    </row>
    <row r="2851">
      <c r="B2851" s="8"/>
      <c r="G2851" s="8"/>
      <c r="M2851" s="8"/>
    </row>
    <row r="2852">
      <c r="B2852" s="8"/>
      <c r="G2852" s="8"/>
      <c r="M2852" s="8"/>
    </row>
    <row r="2853">
      <c r="B2853" s="8"/>
      <c r="G2853" s="8"/>
      <c r="M2853" s="8"/>
    </row>
    <row r="2854">
      <c r="B2854" s="8"/>
      <c r="G2854" s="8"/>
      <c r="M2854" s="8"/>
    </row>
    <row r="2855">
      <c r="B2855" s="8"/>
      <c r="G2855" s="8"/>
      <c r="M2855" s="8"/>
    </row>
    <row r="2856">
      <c r="B2856" s="8"/>
      <c r="G2856" s="8"/>
      <c r="M2856" s="8"/>
    </row>
    <row r="2857">
      <c r="B2857" s="8"/>
      <c r="G2857" s="8"/>
      <c r="M2857" s="8"/>
    </row>
    <row r="2858">
      <c r="B2858" s="8"/>
      <c r="G2858" s="8"/>
      <c r="M2858" s="8"/>
    </row>
    <row r="2859">
      <c r="B2859" s="8"/>
      <c r="G2859" s="8"/>
      <c r="M2859" s="8"/>
    </row>
    <row r="2860">
      <c r="B2860" s="8"/>
      <c r="G2860" s="8"/>
      <c r="M2860" s="8"/>
    </row>
    <row r="2861">
      <c r="B2861" s="8"/>
      <c r="G2861" s="8"/>
      <c r="M2861" s="8"/>
    </row>
    <row r="2862">
      <c r="B2862" s="8"/>
      <c r="G2862" s="8"/>
      <c r="M2862" s="8"/>
    </row>
    <row r="2863">
      <c r="B2863" s="8"/>
      <c r="G2863" s="8"/>
      <c r="M2863" s="8"/>
    </row>
    <row r="2864">
      <c r="B2864" s="8"/>
      <c r="G2864" s="8"/>
      <c r="M2864" s="8"/>
    </row>
    <row r="2865">
      <c r="B2865" s="8"/>
      <c r="G2865" s="8"/>
      <c r="M2865" s="8"/>
    </row>
    <row r="2866">
      <c r="B2866" s="8"/>
      <c r="G2866" s="8"/>
      <c r="M2866" s="8"/>
    </row>
    <row r="2867">
      <c r="B2867" s="8"/>
      <c r="G2867" s="8"/>
      <c r="M2867" s="8"/>
    </row>
    <row r="2868">
      <c r="B2868" s="8"/>
      <c r="G2868" s="8"/>
      <c r="M2868" s="8"/>
    </row>
    <row r="2869">
      <c r="B2869" s="8"/>
      <c r="G2869" s="8"/>
      <c r="M2869" s="8"/>
    </row>
    <row r="2870">
      <c r="B2870" s="8"/>
      <c r="G2870" s="8"/>
      <c r="M2870" s="8"/>
    </row>
    <row r="2871">
      <c r="B2871" s="8"/>
      <c r="G2871" s="8"/>
      <c r="M2871" s="8"/>
    </row>
    <row r="2872">
      <c r="B2872" s="8"/>
      <c r="G2872" s="8"/>
      <c r="M2872" s="8"/>
    </row>
    <row r="2873">
      <c r="B2873" s="8"/>
      <c r="G2873" s="8"/>
      <c r="M2873" s="8"/>
    </row>
    <row r="2874">
      <c r="B2874" s="8"/>
      <c r="G2874" s="8"/>
      <c r="M2874" s="8"/>
    </row>
    <row r="2875">
      <c r="B2875" s="8"/>
      <c r="G2875" s="8"/>
      <c r="M2875" s="8"/>
    </row>
    <row r="2876">
      <c r="B2876" s="8"/>
      <c r="G2876" s="8"/>
      <c r="M2876" s="8"/>
    </row>
    <row r="2877">
      <c r="B2877" s="8"/>
      <c r="G2877" s="8"/>
      <c r="M2877" s="8"/>
    </row>
    <row r="2878">
      <c r="B2878" s="8"/>
      <c r="G2878" s="8"/>
      <c r="M2878" s="8"/>
    </row>
    <row r="2879">
      <c r="B2879" s="8"/>
      <c r="G2879" s="8"/>
      <c r="M2879" s="8"/>
    </row>
    <row r="2880">
      <c r="B2880" s="8"/>
      <c r="G2880" s="8"/>
      <c r="M2880" s="8"/>
    </row>
    <row r="2881">
      <c r="B2881" s="8"/>
      <c r="G2881" s="8"/>
      <c r="M2881" s="8"/>
    </row>
    <row r="2882">
      <c r="B2882" s="8"/>
      <c r="G2882" s="8"/>
      <c r="M2882" s="8"/>
    </row>
    <row r="2883">
      <c r="B2883" s="8"/>
      <c r="G2883" s="8"/>
      <c r="M2883" s="8"/>
    </row>
    <row r="2884">
      <c r="B2884" s="8"/>
      <c r="G2884" s="8"/>
      <c r="M2884" s="8"/>
    </row>
    <row r="2885">
      <c r="B2885" s="8"/>
      <c r="G2885" s="8"/>
      <c r="M2885" s="8"/>
    </row>
    <row r="2886">
      <c r="B2886" s="8"/>
      <c r="G2886" s="8"/>
      <c r="M2886" s="8"/>
    </row>
    <row r="2887">
      <c r="B2887" s="8"/>
      <c r="G2887" s="8"/>
      <c r="M2887" s="8"/>
    </row>
    <row r="2888">
      <c r="B2888" s="8"/>
      <c r="G2888" s="8"/>
      <c r="M2888" s="8"/>
    </row>
    <row r="2889">
      <c r="B2889" s="8"/>
      <c r="G2889" s="8"/>
      <c r="M2889" s="8"/>
    </row>
    <row r="2890">
      <c r="B2890" s="8"/>
      <c r="G2890" s="8"/>
      <c r="M2890" s="8"/>
    </row>
    <row r="2891">
      <c r="B2891" s="8"/>
      <c r="G2891" s="8"/>
      <c r="M2891" s="8"/>
    </row>
    <row r="2892">
      <c r="B2892" s="8"/>
      <c r="G2892" s="8"/>
      <c r="M2892" s="8"/>
    </row>
    <row r="2893">
      <c r="B2893" s="8"/>
      <c r="G2893" s="8"/>
      <c r="M2893" s="8"/>
    </row>
    <row r="2894">
      <c r="B2894" s="8"/>
      <c r="G2894" s="8"/>
      <c r="M2894" s="8"/>
    </row>
    <row r="2895">
      <c r="B2895" s="8"/>
      <c r="G2895" s="8"/>
      <c r="M2895" s="8"/>
    </row>
    <row r="2896">
      <c r="B2896" s="8"/>
      <c r="G2896" s="8"/>
      <c r="M2896" s="8"/>
    </row>
    <row r="2897">
      <c r="B2897" s="8"/>
      <c r="G2897" s="8"/>
      <c r="M2897" s="8"/>
    </row>
    <row r="2898">
      <c r="B2898" s="8"/>
      <c r="G2898" s="8"/>
      <c r="M2898" s="8"/>
    </row>
    <row r="2899">
      <c r="B2899" s="8"/>
      <c r="G2899" s="8"/>
      <c r="M2899" s="8"/>
    </row>
    <row r="2900">
      <c r="B2900" s="8"/>
      <c r="G2900" s="8"/>
      <c r="M2900" s="8"/>
    </row>
    <row r="2901">
      <c r="B2901" s="8"/>
      <c r="G2901" s="8"/>
      <c r="M2901" s="8"/>
    </row>
    <row r="2902">
      <c r="B2902" s="8"/>
      <c r="G2902" s="8"/>
      <c r="M2902" s="8"/>
    </row>
    <row r="2903">
      <c r="B2903" s="8"/>
      <c r="G2903" s="8"/>
      <c r="M2903" s="8"/>
    </row>
    <row r="2904">
      <c r="B2904" s="8"/>
      <c r="G2904" s="8"/>
      <c r="M2904" s="8"/>
    </row>
    <row r="2905">
      <c r="B2905" s="8"/>
      <c r="G2905" s="8"/>
      <c r="M2905" s="8"/>
    </row>
    <row r="2906">
      <c r="B2906" s="8"/>
      <c r="G2906" s="8"/>
      <c r="M2906" s="8"/>
    </row>
    <row r="2907">
      <c r="B2907" s="8"/>
      <c r="G2907" s="8"/>
      <c r="M2907" s="8"/>
    </row>
    <row r="2908">
      <c r="B2908" s="8"/>
      <c r="G2908" s="8"/>
      <c r="M2908" s="8"/>
    </row>
    <row r="2909">
      <c r="B2909" s="8"/>
      <c r="G2909" s="8"/>
      <c r="M2909" s="8"/>
    </row>
    <row r="2910">
      <c r="B2910" s="8"/>
      <c r="G2910" s="8"/>
      <c r="M2910" s="8"/>
    </row>
    <row r="2911">
      <c r="B2911" s="8"/>
      <c r="G2911" s="8"/>
      <c r="M2911" s="8"/>
    </row>
    <row r="2912">
      <c r="B2912" s="8"/>
      <c r="G2912" s="8"/>
      <c r="M2912" s="8"/>
    </row>
    <row r="2913">
      <c r="B2913" s="8"/>
      <c r="G2913" s="8"/>
      <c r="M2913" s="8"/>
    </row>
    <row r="2914">
      <c r="B2914" s="8"/>
      <c r="G2914" s="8"/>
      <c r="M2914" s="8"/>
    </row>
    <row r="2915">
      <c r="B2915" s="8"/>
      <c r="G2915" s="8"/>
      <c r="M2915" s="8"/>
    </row>
    <row r="2916">
      <c r="B2916" s="8"/>
      <c r="G2916" s="8"/>
      <c r="M2916" s="8"/>
    </row>
    <row r="2917">
      <c r="B2917" s="8"/>
      <c r="G2917" s="8"/>
      <c r="M2917" s="8"/>
    </row>
    <row r="2918">
      <c r="B2918" s="8"/>
      <c r="G2918" s="8"/>
      <c r="M2918" s="8"/>
    </row>
    <row r="2919">
      <c r="B2919" s="8"/>
      <c r="G2919" s="8"/>
      <c r="M2919" s="8"/>
    </row>
    <row r="2920">
      <c r="B2920" s="8"/>
      <c r="G2920" s="8"/>
      <c r="M2920" s="8"/>
    </row>
    <row r="2921">
      <c r="B2921" s="8"/>
      <c r="G2921" s="8"/>
      <c r="M2921" s="8"/>
    </row>
    <row r="2922">
      <c r="B2922" s="8"/>
      <c r="G2922" s="8"/>
      <c r="M2922" s="8"/>
    </row>
    <row r="2923">
      <c r="B2923" s="8"/>
      <c r="G2923" s="8"/>
      <c r="M2923" s="8"/>
    </row>
    <row r="2924">
      <c r="B2924" s="8"/>
      <c r="G2924" s="8"/>
      <c r="M2924" s="8"/>
    </row>
    <row r="2925">
      <c r="B2925" s="8"/>
      <c r="G2925" s="8"/>
      <c r="M2925" s="8"/>
    </row>
    <row r="2926">
      <c r="B2926" s="8"/>
      <c r="G2926" s="8"/>
      <c r="M2926" s="8"/>
    </row>
    <row r="2927">
      <c r="B2927" s="8"/>
      <c r="G2927" s="8"/>
      <c r="M2927" s="8"/>
    </row>
    <row r="2928">
      <c r="B2928" s="8"/>
      <c r="G2928" s="8"/>
      <c r="M2928" s="8"/>
    </row>
    <row r="2929">
      <c r="B2929" s="8"/>
      <c r="G2929" s="8"/>
      <c r="M2929" s="8"/>
    </row>
    <row r="2930">
      <c r="B2930" s="8"/>
      <c r="G2930" s="8"/>
      <c r="M2930" s="8"/>
    </row>
    <row r="2931">
      <c r="B2931" s="8"/>
      <c r="G2931" s="8"/>
      <c r="M2931" s="8"/>
    </row>
    <row r="2932">
      <c r="B2932" s="8"/>
      <c r="G2932" s="8"/>
      <c r="M2932" s="8"/>
    </row>
    <row r="2933">
      <c r="B2933" s="8"/>
      <c r="G2933" s="8"/>
      <c r="M2933" s="8"/>
    </row>
    <row r="2934">
      <c r="B2934" s="8"/>
      <c r="G2934" s="8"/>
      <c r="M2934" s="8"/>
    </row>
    <row r="2935">
      <c r="B2935" s="8"/>
      <c r="G2935" s="8"/>
      <c r="M2935" s="8"/>
    </row>
    <row r="2936">
      <c r="B2936" s="8"/>
      <c r="G2936" s="8"/>
      <c r="M2936" s="8"/>
    </row>
    <row r="2937">
      <c r="B2937" s="8"/>
      <c r="G2937" s="8"/>
      <c r="M2937" s="8"/>
    </row>
    <row r="2938">
      <c r="B2938" s="8"/>
      <c r="G2938" s="8"/>
      <c r="M2938" s="8"/>
    </row>
    <row r="2939">
      <c r="B2939" s="8"/>
      <c r="G2939" s="8"/>
      <c r="M2939" s="8"/>
    </row>
    <row r="2940">
      <c r="B2940" s="8"/>
      <c r="G2940" s="8"/>
      <c r="M2940" s="8"/>
    </row>
    <row r="2941">
      <c r="B2941" s="8"/>
      <c r="G2941" s="8"/>
      <c r="M2941" s="8"/>
    </row>
    <row r="2942">
      <c r="B2942" s="8"/>
      <c r="G2942" s="8"/>
      <c r="M2942" s="8"/>
    </row>
    <row r="2943">
      <c r="B2943" s="8"/>
      <c r="G2943" s="8"/>
      <c r="M2943" s="8"/>
    </row>
    <row r="2944">
      <c r="B2944" s="8"/>
      <c r="G2944" s="8"/>
      <c r="M2944" s="8"/>
    </row>
    <row r="2945">
      <c r="B2945" s="8"/>
      <c r="G2945" s="8"/>
      <c r="M2945" s="8"/>
    </row>
    <row r="2946">
      <c r="B2946" s="8"/>
      <c r="G2946" s="8"/>
      <c r="M2946" s="8"/>
    </row>
    <row r="2947">
      <c r="B2947" s="8"/>
      <c r="G2947" s="8"/>
      <c r="M2947" s="8"/>
    </row>
    <row r="2948">
      <c r="B2948" s="8"/>
      <c r="G2948" s="8"/>
      <c r="M2948" s="8"/>
    </row>
    <row r="2949">
      <c r="B2949" s="8"/>
      <c r="G2949" s="8"/>
      <c r="M2949" s="8"/>
    </row>
    <row r="2950">
      <c r="B2950" s="8"/>
      <c r="G2950" s="8"/>
      <c r="M2950" s="8"/>
    </row>
    <row r="2951">
      <c r="B2951" s="8"/>
      <c r="G2951" s="8"/>
      <c r="M2951" s="8"/>
    </row>
    <row r="2952">
      <c r="B2952" s="8"/>
      <c r="G2952" s="8"/>
      <c r="M2952" s="8"/>
    </row>
    <row r="2953">
      <c r="B2953" s="8"/>
      <c r="G2953" s="8"/>
      <c r="M2953" s="8"/>
    </row>
    <row r="2954">
      <c r="B2954" s="8"/>
      <c r="G2954" s="8"/>
      <c r="M2954" s="8"/>
    </row>
    <row r="2955">
      <c r="B2955" s="8"/>
      <c r="G2955" s="8"/>
      <c r="M2955" s="8"/>
    </row>
    <row r="2956">
      <c r="B2956" s="8"/>
      <c r="G2956" s="8"/>
      <c r="M2956" s="8"/>
    </row>
    <row r="2957">
      <c r="B2957" s="8"/>
      <c r="G2957" s="8"/>
      <c r="M2957" s="8"/>
    </row>
    <row r="2958">
      <c r="B2958" s="8"/>
      <c r="G2958" s="8"/>
      <c r="M2958" s="8"/>
    </row>
    <row r="2959">
      <c r="B2959" s="8"/>
      <c r="G2959" s="8"/>
      <c r="M2959" s="8"/>
    </row>
    <row r="2960">
      <c r="B2960" s="8"/>
      <c r="G2960" s="8"/>
      <c r="M2960" s="8"/>
    </row>
    <row r="2961">
      <c r="B2961" s="8"/>
      <c r="G2961" s="8"/>
      <c r="M2961" s="8"/>
    </row>
    <row r="2962">
      <c r="B2962" s="8"/>
      <c r="G2962" s="8"/>
      <c r="M2962" s="8"/>
    </row>
    <row r="2963">
      <c r="B2963" s="8"/>
      <c r="G2963" s="8"/>
      <c r="M2963" s="8"/>
    </row>
    <row r="2964">
      <c r="B2964" s="8"/>
      <c r="G2964" s="8"/>
      <c r="M2964" s="8"/>
    </row>
    <row r="2965">
      <c r="B2965" s="8"/>
      <c r="G2965" s="8"/>
      <c r="M2965" s="8"/>
    </row>
    <row r="2966">
      <c r="B2966" s="8"/>
      <c r="G2966" s="8"/>
      <c r="M2966" s="8"/>
    </row>
    <row r="2967">
      <c r="B2967" s="8"/>
      <c r="G2967" s="8"/>
      <c r="M2967" s="8"/>
    </row>
    <row r="2968">
      <c r="B2968" s="8"/>
      <c r="G2968" s="8"/>
      <c r="M2968" s="8"/>
    </row>
    <row r="2969">
      <c r="B2969" s="8"/>
      <c r="G2969" s="8"/>
      <c r="M2969" s="8"/>
    </row>
    <row r="2970">
      <c r="B2970" s="8"/>
      <c r="G2970" s="8"/>
      <c r="M2970" s="8"/>
    </row>
    <row r="2971">
      <c r="B2971" s="8"/>
      <c r="G2971" s="8"/>
      <c r="M2971" s="8"/>
    </row>
    <row r="2972">
      <c r="B2972" s="8"/>
      <c r="G2972" s="8"/>
      <c r="M2972" s="8"/>
    </row>
    <row r="2973">
      <c r="B2973" s="8"/>
      <c r="G2973" s="8"/>
      <c r="M2973" s="8"/>
    </row>
    <row r="2974">
      <c r="B2974" s="8"/>
      <c r="G2974" s="8"/>
      <c r="M2974" s="8"/>
    </row>
    <row r="2975">
      <c r="B2975" s="8"/>
      <c r="G2975" s="8"/>
      <c r="M2975" s="8"/>
    </row>
    <row r="2976">
      <c r="B2976" s="8"/>
      <c r="G2976" s="8"/>
      <c r="M2976" s="8"/>
    </row>
    <row r="2977">
      <c r="B2977" s="8"/>
      <c r="G2977" s="8"/>
      <c r="M2977" s="8"/>
    </row>
    <row r="2978">
      <c r="B2978" s="8"/>
      <c r="G2978" s="8"/>
      <c r="M2978" s="8"/>
    </row>
    <row r="2979">
      <c r="B2979" s="8"/>
      <c r="G2979" s="8"/>
      <c r="M2979" s="8"/>
    </row>
    <row r="2980">
      <c r="B2980" s="8"/>
      <c r="G2980" s="8"/>
      <c r="M2980" s="8"/>
    </row>
    <row r="2981">
      <c r="B2981" s="8"/>
      <c r="G2981" s="8"/>
      <c r="M2981" s="8"/>
    </row>
    <row r="2982">
      <c r="B2982" s="8"/>
      <c r="G2982" s="8"/>
      <c r="M2982" s="8"/>
    </row>
    <row r="2983">
      <c r="B2983" s="8"/>
      <c r="G2983" s="8"/>
      <c r="M2983" s="8"/>
    </row>
    <row r="2984">
      <c r="B2984" s="8"/>
      <c r="G2984" s="8"/>
      <c r="M2984" s="8"/>
    </row>
    <row r="2985">
      <c r="B2985" s="8"/>
      <c r="G2985" s="8"/>
      <c r="M2985" s="8"/>
    </row>
    <row r="2986">
      <c r="B2986" s="8"/>
      <c r="G2986" s="8"/>
      <c r="M2986" s="8"/>
    </row>
    <row r="2987">
      <c r="B2987" s="8"/>
      <c r="G2987" s="8"/>
      <c r="M2987" s="8"/>
    </row>
    <row r="2988">
      <c r="B2988" s="8"/>
      <c r="G2988" s="8"/>
      <c r="M2988" s="8"/>
    </row>
    <row r="2989">
      <c r="B2989" s="8"/>
      <c r="G2989" s="8"/>
      <c r="M2989" s="8"/>
    </row>
    <row r="2990">
      <c r="B2990" s="8"/>
      <c r="G2990" s="8"/>
      <c r="M2990" s="8"/>
    </row>
    <row r="2991">
      <c r="B2991" s="8"/>
      <c r="G2991" s="8"/>
      <c r="M2991" s="8"/>
    </row>
    <row r="2992">
      <c r="B2992" s="8"/>
      <c r="G2992" s="8"/>
      <c r="M2992" s="8"/>
    </row>
    <row r="2993">
      <c r="B2993" s="8"/>
      <c r="G2993" s="8"/>
      <c r="M2993" s="8"/>
    </row>
    <row r="2994">
      <c r="B2994" s="8"/>
      <c r="G2994" s="8"/>
      <c r="M2994" s="8"/>
    </row>
    <row r="2995">
      <c r="B2995" s="8"/>
      <c r="G2995" s="8"/>
      <c r="M2995" s="8"/>
    </row>
    <row r="2996">
      <c r="B2996" s="8"/>
      <c r="G2996" s="8"/>
      <c r="M2996" s="8"/>
    </row>
    <row r="2997">
      <c r="B2997" s="8"/>
      <c r="G2997" s="8"/>
      <c r="M2997" s="8"/>
    </row>
    <row r="2998">
      <c r="B2998" s="8"/>
      <c r="G2998" s="8"/>
      <c r="M2998" s="8"/>
    </row>
    <row r="2999">
      <c r="B2999" s="8"/>
      <c r="G2999" s="8"/>
      <c r="M2999" s="8"/>
    </row>
    <row r="3000">
      <c r="B3000" s="8"/>
      <c r="G3000" s="8"/>
      <c r="M3000" s="8"/>
    </row>
    <row r="3001">
      <c r="B3001" s="8"/>
      <c r="G3001" s="8"/>
      <c r="M3001" s="8"/>
    </row>
    <row r="3002">
      <c r="B3002" s="8"/>
      <c r="G3002" s="8"/>
      <c r="M3002" s="8"/>
    </row>
    <row r="3003">
      <c r="B3003" s="8"/>
      <c r="G3003" s="8"/>
      <c r="M3003" s="8"/>
    </row>
    <row r="3004">
      <c r="B3004" s="8"/>
      <c r="G3004" s="8"/>
      <c r="M3004" s="8"/>
    </row>
    <row r="3005">
      <c r="B3005" s="8"/>
      <c r="G3005" s="8"/>
      <c r="M3005" s="8"/>
    </row>
    <row r="3006">
      <c r="B3006" s="8"/>
      <c r="G3006" s="8"/>
      <c r="M3006" s="8"/>
    </row>
    <row r="3007">
      <c r="B3007" s="8"/>
      <c r="G3007" s="8"/>
      <c r="M3007" s="8"/>
    </row>
    <row r="3008">
      <c r="B3008" s="8"/>
      <c r="G3008" s="8"/>
      <c r="M3008" s="8"/>
    </row>
    <row r="3009">
      <c r="B3009" s="8"/>
      <c r="G3009" s="8"/>
      <c r="M3009" s="8"/>
    </row>
    <row r="3010">
      <c r="B3010" s="8"/>
      <c r="G3010" s="8"/>
      <c r="M3010" s="8"/>
    </row>
    <row r="3011">
      <c r="B3011" s="8"/>
      <c r="G3011" s="8"/>
      <c r="M3011" s="8"/>
    </row>
    <row r="3012">
      <c r="B3012" s="8"/>
      <c r="G3012" s="8"/>
      <c r="M3012" s="8"/>
    </row>
    <row r="3013">
      <c r="B3013" s="8"/>
      <c r="G3013" s="8"/>
      <c r="M3013" s="8"/>
    </row>
    <row r="3014">
      <c r="B3014" s="8"/>
      <c r="G3014" s="8"/>
      <c r="M3014" s="8"/>
    </row>
    <row r="3015">
      <c r="B3015" s="8"/>
      <c r="G3015" s="8"/>
      <c r="M3015" s="8"/>
    </row>
    <row r="3016">
      <c r="B3016" s="8"/>
      <c r="G3016" s="8"/>
      <c r="M3016" s="8"/>
    </row>
    <row r="3017">
      <c r="B3017" s="8"/>
      <c r="G3017" s="8"/>
      <c r="M3017" s="8"/>
    </row>
    <row r="3018">
      <c r="B3018" s="8"/>
      <c r="G3018" s="8"/>
      <c r="M3018" s="8"/>
    </row>
    <row r="3019">
      <c r="B3019" s="8"/>
      <c r="G3019" s="8"/>
      <c r="M3019" s="8"/>
    </row>
    <row r="3020">
      <c r="B3020" s="8"/>
      <c r="G3020" s="8"/>
      <c r="M3020" s="8"/>
    </row>
    <row r="3021">
      <c r="B3021" s="8"/>
      <c r="G3021" s="8"/>
      <c r="M3021" s="8"/>
    </row>
    <row r="3022">
      <c r="B3022" s="8"/>
      <c r="G3022" s="8"/>
      <c r="M3022" s="8"/>
    </row>
    <row r="3023">
      <c r="B3023" s="8"/>
      <c r="G3023" s="8"/>
      <c r="M3023" s="8"/>
    </row>
    <row r="3024">
      <c r="B3024" s="8"/>
      <c r="G3024" s="8"/>
      <c r="M3024" s="8"/>
    </row>
    <row r="3025">
      <c r="B3025" s="8"/>
      <c r="G3025" s="8"/>
      <c r="M3025" s="8"/>
    </row>
    <row r="3026">
      <c r="B3026" s="8"/>
      <c r="G3026" s="8"/>
      <c r="M3026" s="8"/>
    </row>
    <row r="3027">
      <c r="B3027" s="8"/>
      <c r="G3027" s="8"/>
      <c r="M3027" s="8"/>
    </row>
    <row r="3028">
      <c r="B3028" s="8"/>
      <c r="G3028" s="8"/>
      <c r="M3028" s="8"/>
    </row>
    <row r="3029">
      <c r="B3029" s="8"/>
      <c r="G3029" s="8"/>
      <c r="M3029" s="8"/>
    </row>
    <row r="3030">
      <c r="B3030" s="8"/>
      <c r="G3030" s="8"/>
      <c r="M3030" s="8"/>
    </row>
    <row r="3031">
      <c r="B3031" s="8"/>
      <c r="G3031" s="8"/>
      <c r="M3031" s="8"/>
    </row>
    <row r="3032">
      <c r="B3032" s="8"/>
      <c r="G3032" s="8"/>
      <c r="M3032" s="8"/>
    </row>
    <row r="3033">
      <c r="B3033" s="8"/>
      <c r="G3033" s="8"/>
      <c r="M3033" s="8"/>
    </row>
    <row r="3034">
      <c r="B3034" s="8"/>
      <c r="G3034" s="8"/>
      <c r="M3034" s="8"/>
    </row>
    <row r="3035">
      <c r="B3035" s="8"/>
      <c r="G3035" s="8"/>
      <c r="M3035" s="8"/>
    </row>
    <row r="3036">
      <c r="B3036" s="8"/>
      <c r="G3036" s="8"/>
      <c r="M3036" s="8"/>
    </row>
    <row r="3037">
      <c r="B3037" s="8"/>
      <c r="G3037" s="8"/>
      <c r="M3037" s="8"/>
    </row>
    <row r="3038">
      <c r="B3038" s="8"/>
      <c r="G3038" s="8"/>
      <c r="M3038" s="8"/>
    </row>
    <row r="3039">
      <c r="B3039" s="8"/>
      <c r="G3039" s="8"/>
      <c r="M3039" s="8"/>
    </row>
    <row r="3040">
      <c r="B3040" s="8"/>
      <c r="G3040" s="8"/>
      <c r="M3040" s="8"/>
    </row>
    <row r="3041">
      <c r="B3041" s="8"/>
      <c r="G3041" s="8"/>
      <c r="M3041" s="8"/>
    </row>
    <row r="3042">
      <c r="B3042" s="8"/>
      <c r="G3042" s="8"/>
      <c r="M3042" s="8"/>
    </row>
    <row r="3043">
      <c r="B3043" s="8"/>
      <c r="G3043" s="8"/>
      <c r="M3043" s="8"/>
    </row>
    <row r="3044">
      <c r="B3044" s="8"/>
      <c r="G3044" s="8"/>
      <c r="M3044" s="8"/>
    </row>
    <row r="3045">
      <c r="B3045" s="8"/>
      <c r="G3045" s="8"/>
      <c r="M3045" s="8"/>
    </row>
    <row r="3046">
      <c r="B3046" s="8"/>
      <c r="G3046" s="8"/>
      <c r="M3046" s="8"/>
    </row>
    <row r="3047">
      <c r="B3047" s="8"/>
      <c r="G3047" s="8"/>
      <c r="M3047" s="8"/>
    </row>
    <row r="3048">
      <c r="B3048" s="8"/>
      <c r="G3048" s="8"/>
      <c r="M3048" s="8"/>
    </row>
    <row r="3049">
      <c r="B3049" s="8"/>
      <c r="G3049" s="8"/>
      <c r="M3049" s="8"/>
    </row>
    <row r="3050">
      <c r="B3050" s="8"/>
      <c r="G3050" s="8"/>
      <c r="M3050" s="8"/>
    </row>
    <row r="3051">
      <c r="B3051" s="8"/>
      <c r="G3051" s="8"/>
      <c r="M3051" s="8"/>
    </row>
    <row r="3052">
      <c r="B3052" s="8"/>
      <c r="G3052" s="8"/>
      <c r="M3052" s="8"/>
    </row>
    <row r="3053">
      <c r="B3053" s="8"/>
      <c r="G3053" s="8"/>
      <c r="M3053" s="8"/>
    </row>
    <row r="3054">
      <c r="B3054" s="8"/>
      <c r="G3054" s="8"/>
      <c r="M3054" s="8"/>
    </row>
    <row r="3055">
      <c r="B3055" s="8"/>
      <c r="G3055" s="8"/>
      <c r="M3055" s="8"/>
    </row>
    <row r="3056">
      <c r="B3056" s="8"/>
      <c r="G3056" s="8"/>
      <c r="M3056" s="8"/>
    </row>
    <row r="3057">
      <c r="B3057" s="8"/>
      <c r="G3057" s="8"/>
      <c r="M3057" s="8"/>
    </row>
    <row r="3058">
      <c r="B3058" s="8"/>
      <c r="G3058" s="8"/>
      <c r="M3058" s="8"/>
    </row>
    <row r="3059">
      <c r="B3059" s="8"/>
      <c r="G3059" s="8"/>
      <c r="M3059" s="8"/>
    </row>
    <row r="3060">
      <c r="B3060" s="8"/>
      <c r="G3060" s="8"/>
      <c r="M3060" s="8"/>
    </row>
    <row r="3061">
      <c r="B3061" s="8"/>
      <c r="G3061" s="8"/>
      <c r="M3061" s="8"/>
    </row>
    <row r="3062">
      <c r="B3062" s="8"/>
      <c r="G3062" s="8"/>
      <c r="M3062" s="8"/>
    </row>
    <row r="3063">
      <c r="B3063" s="8"/>
      <c r="G3063" s="8"/>
      <c r="M3063" s="8"/>
    </row>
    <row r="3064">
      <c r="B3064" s="8"/>
      <c r="G3064" s="8"/>
      <c r="M3064" s="8"/>
    </row>
    <row r="3065">
      <c r="B3065" s="8"/>
      <c r="G3065" s="8"/>
      <c r="M3065" s="8"/>
    </row>
    <row r="3066">
      <c r="B3066" s="8"/>
      <c r="G3066" s="8"/>
      <c r="M3066" s="8"/>
    </row>
    <row r="3067">
      <c r="B3067" s="8"/>
      <c r="G3067" s="8"/>
      <c r="M3067" s="8"/>
    </row>
    <row r="3068">
      <c r="B3068" s="8"/>
      <c r="G3068" s="8"/>
      <c r="M3068" s="8"/>
    </row>
    <row r="3069">
      <c r="B3069" s="8"/>
      <c r="G3069" s="8"/>
      <c r="M3069" s="8"/>
    </row>
    <row r="3070">
      <c r="B3070" s="8"/>
      <c r="G3070" s="8"/>
      <c r="M3070" s="8"/>
    </row>
    <row r="3071">
      <c r="B3071" s="8"/>
      <c r="G3071" s="8"/>
      <c r="M3071" s="8"/>
    </row>
    <row r="3072">
      <c r="B3072" s="8"/>
      <c r="G3072" s="8"/>
      <c r="M3072" s="8"/>
    </row>
    <row r="3073">
      <c r="B3073" s="8"/>
      <c r="G3073" s="8"/>
      <c r="M3073" s="8"/>
    </row>
    <row r="3074">
      <c r="B3074" s="8"/>
      <c r="G3074" s="8"/>
      <c r="M3074" s="8"/>
    </row>
    <row r="3075">
      <c r="B3075" s="8"/>
      <c r="G3075" s="8"/>
      <c r="M3075" s="8"/>
    </row>
    <row r="3076">
      <c r="B3076" s="8"/>
      <c r="G3076" s="8"/>
      <c r="M3076" s="8"/>
    </row>
    <row r="3077">
      <c r="B3077" s="8"/>
      <c r="G3077" s="8"/>
      <c r="M3077" s="8"/>
    </row>
    <row r="3078">
      <c r="B3078" s="8"/>
      <c r="G3078" s="8"/>
      <c r="M3078" s="8"/>
    </row>
    <row r="3079">
      <c r="B3079" s="8"/>
      <c r="G3079" s="8"/>
      <c r="M3079" s="8"/>
    </row>
    <row r="3080">
      <c r="B3080" s="8"/>
      <c r="G3080" s="8"/>
      <c r="M3080" s="8"/>
    </row>
    <row r="3081">
      <c r="B3081" s="8"/>
      <c r="G3081" s="8"/>
      <c r="M3081" s="8"/>
    </row>
    <row r="3082">
      <c r="B3082" s="8"/>
      <c r="G3082" s="8"/>
      <c r="M3082" s="8"/>
    </row>
    <row r="3083">
      <c r="B3083" s="8"/>
      <c r="G3083" s="8"/>
      <c r="M3083" s="8"/>
    </row>
    <row r="3084">
      <c r="B3084" s="8"/>
      <c r="G3084" s="8"/>
      <c r="M3084" s="8"/>
    </row>
    <row r="3085">
      <c r="B3085" s="8"/>
      <c r="G3085" s="8"/>
      <c r="M3085" s="8"/>
    </row>
    <row r="3086">
      <c r="B3086" s="8"/>
      <c r="G3086" s="8"/>
      <c r="M3086" s="8"/>
    </row>
    <row r="3087">
      <c r="B3087" s="8"/>
      <c r="G3087" s="8"/>
      <c r="M3087" s="8"/>
    </row>
    <row r="3088">
      <c r="B3088" s="8"/>
      <c r="G3088" s="8"/>
      <c r="M3088" s="8"/>
    </row>
    <row r="3089">
      <c r="B3089" s="8"/>
      <c r="G3089" s="8"/>
      <c r="M3089" s="8"/>
    </row>
    <row r="3090">
      <c r="B3090" s="8"/>
      <c r="G3090" s="8"/>
      <c r="M3090" s="8"/>
    </row>
    <row r="3091">
      <c r="B3091" s="8"/>
      <c r="G3091" s="8"/>
      <c r="M3091" s="8"/>
    </row>
    <row r="3092">
      <c r="B3092" s="8"/>
      <c r="G3092" s="8"/>
      <c r="M3092" s="8"/>
    </row>
    <row r="3093">
      <c r="B3093" s="8"/>
      <c r="G3093" s="8"/>
      <c r="M3093" s="8"/>
    </row>
    <row r="3094">
      <c r="B3094" s="8"/>
      <c r="G3094" s="8"/>
      <c r="M3094" s="8"/>
    </row>
    <row r="3095">
      <c r="B3095" s="8"/>
      <c r="G3095" s="8"/>
      <c r="M3095" s="8"/>
    </row>
    <row r="3096">
      <c r="B3096" s="8"/>
      <c r="G3096" s="8"/>
      <c r="M3096" s="8"/>
    </row>
    <row r="3097">
      <c r="B3097" s="8"/>
      <c r="G3097" s="8"/>
      <c r="M3097" s="8"/>
    </row>
    <row r="3098">
      <c r="B3098" s="8"/>
      <c r="G3098" s="8"/>
      <c r="M3098" s="8"/>
    </row>
    <row r="3099">
      <c r="B3099" s="8"/>
      <c r="G3099" s="8"/>
      <c r="M3099" s="8"/>
    </row>
    <row r="3100">
      <c r="B3100" s="8"/>
      <c r="G3100" s="8"/>
      <c r="M3100" s="8"/>
    </row>
    <row r="3101">
      <c r="B3101" s="8"/>
      <c r="G3101" s="8"/>
      <c r="M3101" s="8"/>
    </row>
    <row r="3102">
      <c r="B3102" s="8"/>
      <c r="G3102" s="8"/>
      <c r="M3102" s="8"/>
    </row>
    <row r="3103">
      <c r="B3103" s="8"/>
      <c r="G3103" s="8"/>
      <c r="M3103" s="8"/>
    </row>
    <row r="3104">
      <c r="B3104" s="8"/>
      <c r="G3104" s="8"/>
      <c r="M3104" s="8"/>
    </row>
    <row r="3105">
      <c r="B3105" s="8"/>
      <c r="G3105" s="8"/>
      <c r="M3105" s="8"/>
    </row>
    <row r="3106">
      <c r="B3106" s="8"/>
      <c r="G3106" s="8"/>
      <c r="M3106" s="8"/>
    </row>
    <row r="3107">
      <c r="B3107" s="8"/>
      <c r="G3107" s="8"/>
      <c r="M3107" s="8"/>
    </row>
    <row r="3108">
      <c r="B3108" s="8"/>
      <c r="G3108" s="8"/>
      <c r="M3108" s="8"/>
    </row>
    <row r="3109">
      <c r="B3109" s="8"/>
      <c r="G3109" s="8"/>
      <c r="M3109" s="8"/>
    </row>
    <row r="3110">
      <c r="B3110" s="8"/>
      <c r="G3110" s="8"/>
      <c r="M3110" s="8"/>
    </row>
    <row r="3111">
      <c r="B3111" s="8"/>
      <c r="G3111" s="8"/>
      <c r="M3111" s="8"/>
    </row>
    <row r="3112">
      <c r="B3112" s="8"/>
      <c r="G3112" s="8"/>
      <c r="M3112" s="8"/>
    </row>
    <row r="3113">
      <c r="B3113" s="8"/>
      <c r="G3113" s="8"/>
      <c r="M3113" s="8"/>
    </row>
    <row r="3114">
      <c r="B3114" s="8"/>
      <c r="G3114" s="8"/>
      <c r="M3114" s="8"/>
    </row>
    <row r="3115">
      <c r="B3115" s="8"/>
      <c r="G3115" s="8"/>
      <c r="M3115" s="8"/>
    </row>
    <row r="3116">
      <c r="B3116" s="8"/>
      <c r="G3116" s="8"/>
      <c r="M3116" s="8"/>
    </row>
    <row r="3117">
      <c r="B3117" s="8"/>
      <c r="G3117" s="8"/>
      <c r="M3117" s="8"/>
    </row>
    <row r="3118">
      <c r="B3118" s="8"/>
      <c r="G3118" s="8"/>
      <c r="M3118" s="8"/>
    </row>
    <row r="3119">
      <c r="B3119" s="8"/>
      <c r="G3119" s="8"/>
      <c r="M3119" s="8"/>
    </row>
    <row r="3120">
      <c r="B3120" s="8"/>
      <c r="G3120" s="8"/>
      <c r="M3120" s="8"/>
    </row>
    <row r="3121">
      <c r="B3121" s="8"/>
      <c r="G3121" s="8"/>
      <c r="M3121" s="8"/>
    </row>
    <row r="3122">
      <c r="B3122" s="8"/>
      <c r="G3122" s="8"/>
      <c r="M3122" s="8"/>
    </row>
    <row r="3123">
      <c r="B3123" s="8"/>
      <c r="G3123" s="8"/>
      <c r="M3123" s="8"/>
    </row>
    <row r="3124">
      <c r="B3124" s="8"/>
      <c r="G3124" s="8"/>
      <c r="M3124" s="8"/>
    </row>
    <row r="3125">
      <c r="B3125" s="8"/>
      <c r="G3125" s="8"/>
      <c r="M3125" s="8"/>
    </row>
    <row r="3126">
      <c r="B3126" s="8"/>
      <c r="G3126" s="8"/>
      <c r="M3126" s="8"/>
    </row>
    <row r="3127">
      <c r="B3127" s="8"/>
      <c r="G3127" s="8"/>
      <c r="M3127" s="8"/>
    </row>
    <row r="3128">
      <c r="B3128" s="8"/>
      <c r="G3128" s="8"/>
      <c r="M3128" s="8"/>
    </row>
    <row r="3129">
      <c r="B3129" s="8"/>
      <c r="G3129" s="8"/>
      <c r="M3129" s="8"/>
    </row>
    <row r="3130">
      <c r="B3130" s="8"/>
      <c r="G3130" s="8"/>
      <c r="M3130" s="8"/>
    </row>
    <row r="3131">
      <c r="B3131" s="8"/>
      <c r="G3131" s="8"/>
      <c r="M3131" s="8"/>
    </row>
    <row r="3132">
      <c r="B3132" s="8"/>
      <c r="G3132" s="8"/>
      <c r="M3132" s="8"/>
    </row>
    <row r="3133">
      <c r="B3133" s="8"/>
      <c r="G3133" s="8"/>
      <c r="M3133" s="8"/>
    </row>
    <row r="3134">
      <c r="B3134" s="8"/>
      <c r="G3134" s="8"/>
      <c r="M3134" s="8"/>
    </row>
    <row r="3135">
      <c r="B3135" s="8"/>
      <c r="G3135" s="8"/>
      <c r="M3135" s="8"/>
    </row>
    <row r="3136">
      <c r="B3136" s="8"/>
      <c r="G3136" s="8"/>
      <c r="M3136" s="8"/>
    </row>
    <row r="3137">
      <c r="B3137" s="8"/>
      <c r="G3137" s="8"/>
      <c r="M3137" s="8"/>
    </row>
    <row r="3138">
      <c r="B3138" s="8"/>
      <c r="G3138" s="8"/>
      <c r="M3138" s="8"/>
    </row>
    <row r="3139">
      <c r="B3139" s="8"/>
      <c r="G3139" s="8"/>
      <c r="M3139" s="8"/>
    </row>
    <row r="3140">
      <c r="B3140" s="8"/>
      <c r="G3140" s="8"/>
      <c r="M3140" s="8"/>
    </row>
    <row r="3141">
      <c r="B3141" s="8"/>
      <c r="G3141" s="8"/>
      <c r="M3141" s="8"/>
    </row>
    <row r="3142">
      <c r="B3142" s="8"/>
      <c r="G3142" s="8"/>
      <c r="M3142" s="8"/>
    </row>
    <row r="3143">
      <c r="B3143" s="8"/>
      <c r="G3143" s="8"/>
      <c r="M3143" s="8"/>
    </row>
    <row r="3144">
      <c r="B3144" s="8"/>
      <c r="G3144" s="8"/>
      <c r="M3144" s="8"/>
    </row>
    <row r="3145">
      <c r="B3145" s="8"/>
      <c r="G3145" s="8"/>
      <c r="M3145" s="8"/>
    </row>
    <row r="3146">
      <c r="B3146" s="8"/>
      <c r="G3146" s="8"/>
      <c r="M3146" s="8"/>
    </row>
    <row r="3147">
      <c r="B3147" s="8"/>
      <c r="G3147" s="8"/>
      <c r="M3147" s="8"/>
    </row>
    <row r="3148">
      <c r="B3148" s="8"/>
      <c r="G3148" s="8"/>
      <c r="M3148" s="8"/>
    </row>
    <row r="3149">
      <c r="B3149" s="8"/>
      <c r="G3149" s="8"/>
      <c r="M3149" s="8"/>
    </row>
    <row r="3150">
      <c r="B3150" s="8"/>
      <c r="G3150" s="8"/>
      <c r="M3150" s="8"/>
    </row>
    <row r="3151">
      <c r="B3151" s="8"/>
      <c r="G3151" s="8"/>
      <c r="M3151" s="8"/>
    </row>
    <row r="3152">
      <c r="B3152" s="8"/>
      <c r="G3152" s="8"/>
      <c r="M3152" s="8"/>
    </row>
    <row r="3153">
      <c r="B3153" s="8"/>
      <c r="G3153" s="8"/>
      <c r="M3153" s="8"/>
    </row>
    <row r="3154">
      <c r="B3154" s="8"/>
      <c r="G3154" s="8"/>
      <c r="M3154" s="8"/>
    </row>
    <row r="3155">
      <c r="B3155" s="8"/>
      <c r="G3155" s="8"/>
      <c r="M3155" s="8"/>
    </row>
    <row r="3156">
      <c r="B3156" s="8"/>
      <c r="G3156" s="8"/>
      <c r="M3156" s="8"/>
    </row>
    <row r="3157">
      <c r="B3157" s="8"/>
      <c r="G3157" s="8"/>
      <c r="M3157" s="8"/>
    </row>
    <row r="3158">
      <c r="B3158" s="8"/>
      <c r="G3158" s="8"/>
      <c r="M3158" s="8"/>
    </row>
    <row r="3159">
      <c r="B3159" s="8"/>
      <c r="G3159" s="8"/>
      <c r="M3159" s="8"/>
    </row>
    <row r="3160">
      <c r="B3160" s="8"/>
      <c r="G3160" s="8"/>
      <c r="M3160" s="8"/>
    </row>
    <row r="3161">
      <c r="B3161" s="8"/>
      <c r="G3161" s="8"/>
      <c r="M3161" s="8"/>
    </row>
    <row r="3162">
      <c r="B3162" s="8"/>
      <c r="G3162" s="8"/>
      <c r="M3162" s="8"/>
    </row>
    <row r="3163">
      <c r="B3163" s="8"/>
      <c r="G3163" s="8"/>
      <c r="M3163" s="8"/>
    </row>
    <row r="3164">
      <c r="B3164" s="8"/>
      <c r="G3164" s="8"/>
      <c r="M3164" s="8"/>
    </row>
    <row r="3165">
      <c r="B3165" s="8"/>
      <c r="G3165" s="8"/>
      <c r="M3165" s="8"/>
    </row>
    <row r="3166">
      <c r="B3166" s="8"/>
      <c r="G3166" s="8"/>
      <c r="M3166" s="8"/>
    </row>
    <row r="3167">
      <c r="B3167" s="8"/>
      <c r="G3167" s="8"/>
      <c r="M3167" s="8"/>
    </row>
    <row r="3168">
      <c r="B3168" s="8"/>
      <c r="G3168" s="8"/>
      <c r="M3168" s="8"/>
    </row>
    <row r="3169">
      <c r="B3169" s="8"/>
      <c r="G3169" s="8"/>
      <c r="M3169" s="8"/>
    </row>
    <row r="3170">
      <c r="B3170" s="8"/>
      <c r="G3170" s="8"/>
      <c r="M3170" s="8"/>
    </row>
    <row r="3171">
      <c r="B3171" s="8"/>
      <c r="G3171" s="8"/>
      <c r="M3171" s="8"/>
    </row>
    <row r="3172">
      <c r="B3172" s="8"/>
      <c r="G3172" s="8"/>
      <c r="M3172" s="8"/>
    </row>
    <row r="3173">
      <c r="B3173" s="8"/>
      <c r="G3173" s="8"/>
      <c r="M3173" s="8"/>
    </row>
    <row r="3174">
      <c r="B3174" s="8"/>
      <c r="G3174" s="8"/>
      <c r="M3174" s="8"/>
    </row>
    <row r="3175">
      <c r="B3175" s="8"/>
      <c r="G3175" s="8"/>
      <c r="M3175" s="8"/>
    </row>
    <row r="3176">
      <c r="B3176" s="8"/>
      <c r="G3176" s="8"/>
      <c r="M3176" s="8"/>
    </row>
    <row r="3177">
      <c r="B3177" s="8"/>
      <c r="G3177" s="8"/>
      <c r="M3177" s="8"/>
    </row>
    <row r="3178">
      <c r="B3178" s="8"/>
      <c r="G3178" s="8"/>
      <c r="M3178" s="8"/>
    </row>
    <row r="3179">
      <c r="B3179" s="8"/>
      <c r="G3179" s="8"/>
      <c r="M3179" s="8"/>
    </row>
    <row r="3180">
      <c r="B3180" s="8"/>
      <c r="G3180" s="8"/>
      <c r="M3180" s="8"/>
    </row>
    <row r="3181">
      <c r="B3181" s="8"/>
      <c r="G3181" s="8"/>
      <c r="M3181" s="8"/>
    </row>
    <row r="3182">
      <c r="B3182" s="8"/>
      <c r="G3182" s="8"/>
      <c r="M3182" s="8"/>
    </row>
    <row r="3183">
      <c r="B3183" s="8"/>
      <c r="G3183" s="8"/>
      <c r="M3183" s="8"/>
    </row>
    <row r="3184">
      <c r="B3184" s="8"/>
      <c r="G3184" s="8"/>
      <c r="M3184" s="8"/>
    </row>
    <row r="3185">
      <c r="B3185" s="8"/>
      <c r="G3185" s="8"/>
      <c r="M3185" s="8"/>
    </row>
    <row r="3186">
      <c r="B3186" s="8"/>
      <c r="G3186" s="8"/>
      <c r="M3186" s="8"/>
    </row>
    <row r="3187">
      <c r="B3187" s="8"/>
      <c r="G3187" s="8"/>
      <c r="M3187" s="8"/>
    </row>
    <row r="3188">
      <c r="B3188" s="8"/>
      <c r="G3188" s="8"/>
      <c r="M3188" s="8"/>
    </row>
    <row r="3189">
      <c r="B3189" s="8"/>
      <c r="G3189" s="8"/>
      <c r="M3189" s="8"/>
    </row>
    <row r="3190">
      <c r="B3190" s="8"/>
      <c r="G3190" s="8"/>
      <c r="M3190" s="8"/>
    </row>
    <row r="3191">
      <c r="B3191" s="8"/>
      <c r="G3191" s="8"/>
      <c r="M3191" s="8"/>
    </row>
    <row r="3192">
      <c r="B3192" s="8"/>
      <c r="G3192" s="8"/>
      <c r="M3192" s="8"/>
    </row>
    <row r="3193">
      <c r="B3193" s="8"/>
      <c r="G3193" s="8"/>
      <c r="M3193" s="8"/>
    </row>
    <row r="3194">
      <c r="B3194" s="8"/>
      <c r="G3194" s="8"/>
      <c r="M3194" s="8"/>
    </row>
    <row r="3195">
      <c r="B3195" s="8"/>
      <c r="G3195" s="8"/>
      <c r="M3195" s="8"/>
    </row>
    <row r="3196">
      <c r="B3196" s="8"/>
      <c r="G3196" s="8"/>
      <c r="M3196" s="8"/>
    </row>
    <row r="3197">
      <c r="B3197" s="8"/>
      <c r="G3197" s="8"/>
      <c r="M3197" s="8"/>
    </row>
    <row r="3198">
      <c r="B3198" s="8"/>
      <c r="G3198" s="8"/>
      <c r="M3198" s="8"/>
    </row>
    <row r="3199">
      <c r="B3199" s="8"/>
      <c r="G3199" s="8"/>
      <c r="M3199" s="8"/>
    </row>
    <row r="3200">
      <c r="B3200" s="8"/>
      <c r="G3200" s="8"/>
      <c r="M3200" s="8"/>
    </row>
    <row r="3201">
      <c r="B3201" s="8"/>
      <c r="G3201" s="8"/>
      <c r="M3201" s="8"/>
    </row>
    <row r="3202">
      <c r="B3202" s="8"/>
      <c r="G3202" s="8"/>
      <c r="M3202" s="8"/>
    </row>
    <row r="3203">
      <c r="B3203" s="8"/>
      <c r="G3203" s="8"/>
      <c r="M3203" s="8"/>
    </row>
    <row r="3204">
      <c r="B3204" s="8"/>
      <c r="G3204" s="8"/>
      <c r="M3204" s="8"/>
    </row>
    <row r="3205">
      <c r="B3205" s="8"/>
      <c r="G3205" s="8"/>
      <c r="M3205" s="8"/>
    </row>
    <row r="3206">
      <c r="B3206" s="8"/>
      <c r="G3206" s="8"/>
      <c r="M3206" s="8"/>
    </row>
    <row r="3207">
      <c r="B3207" s="8"/>
      <c r="G3207" s="8"/>
      <c r="M3207" s="8"/>
    </row>
    <row r="3208">
      <c r="B3208" s="8"/>
      <c r="G3208" s="8"/>
      <c r="M3208" s="8"/>
    </row>
    <row r="3209">
      <c r="B3209" s="8"/>
      <c r="G3209" s="8"/>
      <c r="M3209" s="8"/>
    </row>
    <row r="3210">
      <c r="B3210" s="8"/>
      <c r="G3210" s="8"/>
      <c r="M3210" s="8"/>
    </row>
    <row r="3211">
      <c r="B3211" s="8"/>
      <c r="G3211" s="8"/>
      <c r="M3211" s="8"/>
    </row>
    <row r="3212">
      <c r="B3212" s="8"/>
      <c r="G3212" s="8"/>
      <c r="M3212" s="8"/>
    </row>
    <row r="3213">
      <c r="B3213" s="8"/>
      <c r="G3213" s="8"/>
      <c r="M3213" s="8"/>
    </row>
    <row r="3214">
      <c r="B3214" s="8"/>
      <c r="G3214" s="8"/>
      <c r="M3214" s="8"/>
    </row>
    <row r="3215">
      <c r="B3215" s="8"/>
      <c r="G3215" s="8"/>
      <c r="M3215" s="8"/>
    </row>
    <row r="3216">
      <c r="B3216" s="8"/>
      <c r="G3216" s="8"/>
      <c r="M3216" s="8"/>
    </row>
    <row r="3217">
      <c r="B3217" s="8"/>
      <c r="G3217" s="8"/>
      <c r="M3217" s="8"/>
    </row>
    <row r="3218">
      <c r="B3218" s="8"/>
      <c r="G3218" s="8"/>
      <c r="M3218" s="8"/>
    </row>
    <row r="3219">
      <c r="B3219" s="8"/>
      <c r="G3219" s="8"/>
      <c r="M3219" s="8"/>
    </row>
    <row r="3220">
      <c r="B3220" s="8"/>
      <c r="G3220" s="8"/>
      <c r="M3220" s="8"/>
    </row>
    <row r="3221">
      <c r="B3221" s="8"/>
      <c r="G3221" s="8"/>
      <c r="M3221" s="8"/>
    </row>
    <row r="3222">
      <c r="B3222" s="8"/>
      <c r="G3222" s="8"/>
      <c r="M3222" s="8"/>
    </row>
    <row r="3223">
      <c r="B3223" s="8"/>
      <c r="G3223" s="8"/>
      <c r="M3223" s="8"/>
    </row>
    <row r="3224">
      <c r="B3224" s="8"/>
      <c r="G3224" s="8"/>
      <c r="M3224" s="8"/>
    </row>
    <row r="3225">
      <c r="B3225" s="8"/>
      <c r="G3225" s="8"/>
      <c r="M3225" s="8"/>
    </row>
    <row r="3226">
      <c r="B3226" s="8"/>
      <c r="G3226" s="8"/>
      <c r="M3226" s="8"/>
    </row>
    <row r="3227">
      <c r="B3227" s="8"/>
      <c r="G3227" s="8"/>
      <c r="M3227" s="8"/>
    </row>
    <row r="3228">
      <c r="B3228" s="8"/>
      <c r="G3228" s="8"/>
      <c r="M3228" s="8"/>
    </row>
    <row r="3229">
      <c r="B3229" s="8"/>
      <c r="G3229" s="8"/>
      <c r="M3229" s="8"/>
    </row>
    <row r="3230">
      <c r="B3230" s="8"/>
      <c r="G3230" s="8"/>
      <c r="M3230" s="8"/>
    </row>
    <row r="3231">
      <c r="B3231" s="8"/>
      <c r="G3231" s="8"/>
      <c r="M3231" s="8"/>
    </row>
    <row r="3232">
      <c r="B3232" s="8"/>
      <c r="G3232" s="8"/>
      <c r="M3232" s="8"/>
    </row>
    <row r="3233">
      <c r="B3233" s="8"/>
      <c r="G3233" s="8"/>
      <c r="M3233" s="8"/>
    </row>
    <row r="3234">
      <c r="B3234" s="8"/>
      <c r="G3234" s="8"/>
      <c r="M3234" s="8"/>
    </row>
    <row r="3235">
      <c r="B3235" s="8"/>
      <c r="G3235" s="8"/>
      <c r="M3235" s="8"/>
    </row>
    <row r="3236">
      <c r="B3236" s="8"/>
      <c r="G3236" s="8"/>
      <c r="M3236" s="8"/>
    </row>
    <row r="3237">
      <c r="B3237" s="8"/>
      <c r="G3237" s="8"/>
      <c r="M3237" s="8"/>
    </row>
    <row r="3238">
      <c r="B3238" s="8"/>
      <c r="G3238" s="8"/>
      <c r="M3238" s="8"/>
    </row>
    <row r="3239">
      <c r="B3239" s="8"/>
      <c r="G3239" s="8"/>
      <c r="M3239" s="8"/>
    </row>
    <row r="3240">
      <c r="B3240" s="8"/>
      <c r="G3240" s="8"/>
      <c r="M3240" s="8"/>
    </row>
    <row r="3241">
      <c r="B3241" s="8"/>
      <c r="G3241" s="8"/>
      <c r="M3241" s="8"/>
    </row>
    <row r="3242">
      <c r="B3242" s="8"/>
      <c r="G3242" s="8"/>
      <c r="M3242" s="8"/>
    </row>
    <row r="3243">
      <c r="B3243" s="8"/>
      <c r="G3243" s="8"/>
      <c r="M3243" s="8"/>
    </row>
    <row r="3244">
      <c r="B3244" s="8"/>
      <c r="G3244" s="8"/>
      <c r="M3244" s="8"/>
    </row>
    <row r="3245">
      <c r="B3245" s="8"/>
      <c r="G3245" s="8"/>
      <c r="M3245" s="8"/>
    </row>
    <row r="3246">
      <c r="B3246" s="8"/>
      <c r="G3246" s="8"/>
      <c r="M3246" s="8"/>
    </row>
    <row r="3247">
      <c r="B3247" s="8"/>
      <c r="G3247" s="8"/>
      <c r="M3247" s="8"/>
    </row>
    <row r="3248">
      <c r="B3248" s="8"/>
      <c r="G3248" s="8"/>
      <c r="M3248" s="8"/>
    </row>
    <row r="3249">
      <c r="B3249" s="8"/>
      <c r="G3249" s="8"/>
      <c r="M3249" s="8"/>
    </row>
    <row r="3250">
      <c r="B3250" s="8"/>
      <c r="G3250" s="8"/>
      <c r="M3250" s="8"/>
    </row>
    <row r="3251">
      <c r="B3251" s="8"/>
      <c r="G3251" s="8"/>
      <c r="M3251" s="8"/>
    </row>
    <row r="3252">
      <c r="B3252" s="8"/>
      <c r="G3252" s="8"/>
      <c r="M3252" s="8"/>
    </row>
    <row r="3253">
      <c r="B3253" s="8"/>
      <c r="G3253" s="8"/>
      <c r="M3253" s="8"/>
    </row>
    <row r="3254">
      <c r="B3254" s="8"/>
      <c r="G3254" s="8"/>
      <c r="M3254" s="8"/>
    </row>
    <row r="3255">
      <c r="B3255" s="8"/>
      <c r="G3255" s="8"/>
      <c r="M3255" s="8"/>
    </row>
    <row r="3256">
      <c r="B3256" s="8"/>
      <c r="G3256" s="8"/>
      <c r="M3256" s="8"/>
    </row>
    <row r="3257">
      <c r="B3257" s="8"/>
      <c r="G3257" s="8"/>
      <c r="M3257" s="8"/>
    </row>
    <row r="3258">
      <c r="B3258" s="8"/>
      <c r="G3258" s="8"/>
      <c r="M3258" s="8"/>
    </row>
    <row r="3259">
      <c r="B3259" s="8"/>
      <c r="G3259" s="8"/>
      <c r="M3259" s="8"/>
    </row>
    <row r="3260">
      <c r="B3260" s="8"/>
      <c r="G3260" s="8"/>
      <c r="M3260" s="8"/>
    </row>
    <row r="3261">
      <c r="B3261" s="8"/>
      <c r="G3261" s="8"/>
      <c r="M3261" s="8"/>
    </row>
    <row r="3262">
      <c r="B3262" s="8"/>
      <c r="G3262" s="8"/>
      <c r="M3262" s="8"/>
    </row>
    <row r="3263">
      <c r="B3263" s="8"/>
      <c r="G3263" s="8"/>
      <c r="M3263" s="8"/>
    </row>
    <row r="3264">
      <c r="B3264" s="8"/>
      <c r="G3264" s="8"/>
      <c r="M3264" s="8"/>
    </row>
    <row r="3265">
      <c r="B3265" s="8"/>
      <c r="G3265" s="8"/>
      <c r="M3265" s="8"/>
    </row>
    <row r="3266">
      <c r="B3266" s="8"/>
      <c r="G3266" s="8"/>
      <c r="M3266" s="8"/>
    </row>
    <row r="3267">
      <c r="B3267" s="8"/>
      <c r="G3267" s="8"/>
      <c r="M3267" s="8"/>
    </row>
    <row r="3268">
      <c r="B3268" s="8"/>
      <c r="G3268" s="8"/>
      <c r="M3268" s="8"/>
    </row>
    <row r="3269">
      <c r="B3269" s="8"/>
      <c r="G3269" s="8"/>
      <c r="M3269" s="8"/>
    </row>
    <row r="3270">
      <c r="B3270" s="8"/>
      <c r="G3270" s="8"/>
      <c r="M3270" s="8"/>
    </row>
    <row r="3271">
      <c r="B3271" s="8"/>
      <c r="G3271" s="8"/>
      <c r="M3271" s="8"/>
    </row>
    <row r="3272">
      <c r="B3272" s="8"/>
      <c r="G3272" s="8"/>
      <c r="M3272" s="8"/>
    </row>
    <row r="3273">
      <c r="B3273" s="8"/>
      <c r="G3273" s="8"/>
      <c r="M3273" s="8"/>
    </row>
    <row r="3274">
      <c r="B3274" s="8"/>
      <c r="G3274" s="8"/>
      <c r="M3274" s="8"/>
    </row>
    <row r="3275">
      <c r="B3275" s="8"/>
      <c r="G3275" s="8"/>
      <c r="M3275" s="8"/>
    </row>
    <row r="3276">
      <c r="B3276" s="8"/>
      <c r="G3276" s="8"/>
      <c r="M3276" s="8"/>
    </row>
    <row r="3277">
      <c r="B3277" s="8"/>
      <c r="G3277" s="8"/>
      <c r="M3277" s="8"/>
    </row>
    <row r="3278">
      <c r="B3278" s="8"/>
      <c r="G3278" s="8"/>
      <c r="M3278" s="8"/>
    </row>
    <row r="3279">
      <c r="B3279" s="8"/>
      <c r="G3279" s="8"/>
      <c r="M3279" s="8"/>
    </row>
    <row r="3280">
      <c r="B3280" s="8"/>
      <c r="G3280" s="8"/>
      <c r="M3280" s="8"/>
    </row>
    <row r="3281">
      <c r="B3281" s="8"/>
      <c r="G3281" s="8"/>
      <c r="M3281" s="8"/>
    </row>
    <row r="3282">
      <c r="B3282" s="8"/>
      <c r="G3282" s="8"/>
      <c r="M3282" s="8"/>
    </row>
    <row r="3283">
      <c r="B3283" s="8"/>
      <c r="G3283" s="8"/>
      <c r="M3283" s="8"/>
    </row>
    <row r="3284">
      <c r="B3284" s="8"/>
      <c r="G3284" s="8"/>
      <c r="M3284" s="8"/>
    </row>
    <row r="3285">
      <c r="B3285" s="8"/>
      <c r="G3285" s="8"/>
      <c r="M3285" s="8"/>
    </row>
    <row r="3286">
      <c r="B3286" s="8"/>
      <c r="G3286" s="8"/>
      <c r="M3286" s="8"/>
    </row>
    <row r="3287">
      <c r="B3287" s="8"/>
      <c r="G3287" s="8"/>
      <c r="M3287" s="8"/>
    </row>
    <row r="3288">
      <c r="B3288" s="8"/>
      <c r="G3288" s="8"/>
      <c r="M3288" s="8"/>
    </row>
    <row r="3289">
      <c r="B3289" s="8"/>
      <c r="G3289" s="8"/>
      <c r="M3289" s="8"/>
    </row>
    <row r="3290">
      <c r="B3290" s="8"/>
      <c r="G3290" s="8"/>
      <c r="M3290" s="8"/>
    </row>
    <row r="3291">
      <c r="B3291" s="8"/>
      <c r="G3291" s="8"/>
      <c r="M3291" s="8"/>
    </row>
    <row r="3292">
      <c r="B3292" s="8"/>
      <c r="G3292" s="8"/>
      <c r="M3292" s="8"/>
    </row>
    <row r="3293">
      <c r="B3293" s="8"/>
      <c r="G3293" s="8"/>
      <c r="M3293" s="8"/>
    </row>
    <row r="3294">
      <c r="B3294" s="8"/>
      <c r="G3294" s="8"/>
      <c r="M3294" s="8"/>
    </row>
    <row r="3295">
      <c r="B3295" s="8"/>
      <c r="G3295" s="8"/>
      <c r="M3295" s="8"/>
    </row>
    <row r="3296">
      <c r="B3296" s="8"/>
      <c r="G3296" s="8"/>
      <c r="M3296" s="8"/>
    </row>
    <row r="3297">
      <c r="B3297" s="8"/>
      <c r="G3297" s="8"/>
      <c r="M3297" s="8"/>
    </row>
    <row r="3298">
      <c r="B3298" s="8"/>
      <c r="G3298" s="8"/>
      <c r="M3298" s="8"/>
    </row>
    <row r="3299">
      <c r="B3299" s="8"/>
      <c r="G3299" s="8"/>
      <c r="M3299" s="8"/>
    </row>
    <row r="3300">
      <c r="B3300" s="8"/>
      <c r="G3300" s="8"/>
      <c r="M3300" s="8"/>
    </row>
    <row r="3301">
      <c r="B3301" s="8"/>
      <c r="G3301" s="8"/>
      <c r="M3301" s="8"/>
    </row>
    <row r="3302">
      <c r="B3302" s="8"/>
      <c r="G3302" s="8"/>
      <c r="M3302" s="8"/>
    </row>
    <row r="3303">
      <c r="B3303" s="8"/>
      <c r="G3303" s="8"/>
      <c r="M3303" s="8"/>
    </row>
    <row r="3304">
      <c r="B3304" s="8"/>
      <c r="G3304" s="8"/>
      <c r="M3304" s="8"/>
    </row>
    <row r="3305">
      <c r="B3305" s="8"/>
      <c r="G3305" s="8"/>
      <c r="M3305" s="8"/>
    </row>
    <row r="3306">
      <c r="B3306" s="8"/>
      <c r="G3306" s="8"/>
      <c r="M3306" s="8"/>
    </row>
    <row r="3307">
      <c r="B3307" s="8"/>
      <c r="G3307" s="8"/>
      <c r="M3307" s="8"/>
    </row>
    <row r="3308">
      <c r="B3308" s="8"/>
      <c r="G3308" s="8"/>
      <c r="M3308" s="8"/>
    </row>
    <row r="3309">
      <c r="B3309" s="8"/>
      <c r="G3309" s="8"/>
      <c r="M3309" s="8"/>
    </row>
    <row r="3310">
      <c r="B3310" s="8"/>
      <c r="G3310" s="8"/>
      <c r="M3310" s="8"/>
    </row>
    <row r="3311">
      <c r="B3311" s="8"/>
      <c r="G3311" s="8"/>
      <c r="M3311" s="8"/>
    </row>
    <row r="3312">
      <c r="B3312" s="8"/>
      <c r="G3312" s="8"/>
      <c r="M3312" s="8"/>
    </row>
    <row r="3313">
      <c r="B3313" s="8"/>
      <c r="G3313" s="8"/>
      <c r="M3313" s="8"/>
    </row>
    <row r="3314">
      <c r="B3314" s="8"/>
      <c r="G3314" s="8"/>
      <c r="M3314" s="8"/>
    </row>
    <row r="3315">
      <c r="B3315" s="8"/>
      <c r="G3315" s="8"/>
      <c r="M3315" s="8"/>
    </row>
    <row r="3316">
      <c r="B3316" s="8"/>
      <c r="G3316" s="8"/>
      <c r="M3316" s="8"/>
    </row>
    <row r="3317">
      <c r="B3317" s="8"/>
      <c r="G3317" s="8"/>
      <c r="M3317" s="8"/>
    </row>
    <row r="3318">
      <c r="B3318" s="8"/>
      <c r="G3318" s="8"/>
      <c r="M3318" s="8"/>
    </row>
    <row r="3319">
      <c r="B3319" s="8"/>
      <c r="G3319" s="8"/>
      <c r="M3319" s="8"/>
    </row>
    <row r="3320">
      <c r="B3320" s="8"/>
      <c r="G3320" s="8"/>
      <c r="M3320" s="8"/>
    </row>
    <row r="3321">
      <c r="B3321" s="8"/>
      <c r="G3321" s="8"/>
      <c r="M3321" s="8"/>
    </row>
    <row r="3322">
      <c r="B3322" s="8"/>
      <c r="G3322" s="8"/>
      <c r="M3322" s="8"/>
    </row>
    <row r="3323">
      <c r="B3323" s="8"/>
      <c r="G3323" s="8"/>
      <c r="M3323" s="8"/>
    </row>
    <row r="3324">
      <c r="B3324" s="8"/>
      <c r="G3324" s="8"/>
      <c r="M3324" s="8"/>
    </row>
    <row r="3325">
      <c r="B3325" s="8"/>
      <c r="G3325" s="8"/>
      <c r="M3325" s="8"/>
    </row>
    <row r="3326">
      <c r="B3326" s="8"/>
      <c r="G3326" s="8"/>
      <c r="M3326" s="8"/>
    </row>
    <row r="3327">
      <c r="B3327" s="8"/>
      <c r="G3327" s="8"/>
      <c r="M3327" s="8"/>
    </row>
    <row r="3328">
      <c r="B3328" s="8"/>
      <c r="G3328" s="8"/>
      <c r="M3328" s="8"/>
    </row>
    <row r="3329">
      <c r="B3329" s="8"/>
      <c r="G3329" s="8"/>
      <c r="M3329" s="8"/>
    </row>
    <row r="3330">
      <c r="B3330" s="8"/>
      <c r="G3330" s="8"/>
      <c r="M3330" s="8"/>
    </row>
    <row r="3331">
      <c r="B3331" s="8"/>
      <c r="G3331" s="8"/>
      <c r="M3331" s="8"/>
    </row>
    <row r="3332">
      <c r="B3332" s="8"/>
      <c r="G3332" s="8"/>
      <c r="M3332" s="8"/>
    </row>
    <row r="3333">
      <c r="B3333" s="8"/>
      <c r="G3333" s="8"/>
      <c r="M3333" s="8"/>
    </row>
    <row r="3334">
      <c r="B3334" s="8"/>
      <c r="G3334" s="8"/>
      <c r="M3334" s="8"/>
    </row>
    <row r="3335">
      <c r="B3335" s="8"/>
      <c r="G3335" s="8"/>
      <c r="M3335" s="8"/>
    </row>
    <row r="3336">
      <c r="B3336" s="8"/>
      <c r="G3336" s="8"/>
      <c r="M3336" s="8"/>
    </row>
    <row r="3337">
      <c r="B3337" s="8"/>
      <c r="G3337" s="8"/>
      <c r="M3337" s="8"/>
    </row>
    <row r="3338">
      <c r="B3338" s="8"/>
      <c r="G3338" s="8"/>
      <c r="M3338" s="8"/>
    </row>
    <row r="3339">
      <c r="B3339" s="8"/>
      <c r="G3339" s="8"/>
      <c r="M3339" s="8"/>
    </row>
    <row r="3340">
      <c r="B3340" s="8"/>
      <c r="G3340" s="8"/>
      <c r="M3340" s="8"/>
    </row>
    <row r="3341">
      <c r="B3341" s="8"/>
      <c r="G3341" s="8"/>
      <c r="M3341" s="8"/>
    </row>
    <row r="3342">
      <c r="B3342" s="8"/>
      <c r="G3342" s="8"/>
      <c r="M3342" s="8"/>
    </row>
    <row r="3343">
      <c r="B3343" s="8"/>
      <c r="G3343" s="8"/>
      <c r="M3343" s="8"/>
    </row>
    <row r="3344">
      <c r="B3344" s="8"/>
      <c r="G3344" s="8"/>
      <c r="M3344" s="8"/>
    </row>
    <row r="3345">
      <c r="B3345" s="8"/>
      <c r="G3345" s="8"/>
      <c r="M3345" s="8"/>
    </row>
    <row r="3346">
      <c r="B3346" s="8"/>
      <c r="G3346" s="8"/>
      <c r="M3346" s="8"/>
    </row>
    <row r="3347">
      <c r="B3347" s="8"/>
      <c r="G3347" s="8"/>
      <c r="M3347" s="8"/>
    </row>
    <row r="3348">
      <c r="B3348" s="8"/>
      <c r="G3348" s="8"/>
      <c r="M3348" s="8"/>
    </row>
    <row r="3349">
      <c r="B3349" s="8"/>
      <c r="G3349" s="8"/>
      <c r="M3349" s="8"/>
    </row>
    <row r="3350">
      <c r="B3350" s="8"/>
      <c r="G3350" s="8"/>
      <c r="M3350" s="8"/>
    </row>
    <row r="3351">
      <c r="B3351" s="8"/>
      <c r="G3351" s="8"/>
      <c r="M3351" s="8"/>
    </row>
    <row r="3352">
      <c r="B3352" s="8"/>
      <c r="G3352" s="8"/>
      <c r="M3352" s="8"/>
    </row>
    <row r="3353">
      <c r="B3353" s="8"/>
      <c r="G3353" s="8"/>
      <c r="M3353" s="8"/>
    </row>
    <row r="3354">
      <c r="B3354" s="8"/>
      <c r="G3354" s="8"/>
      <c r="M3354" s="8"/>
    </row>
    <row r="3355">
      <c r="B3355" s="8"/>
      <c r="G3355" s="8"/>
      <c r="M3355" s="8"/>
    </row>
    <row r="3356">
      <c r="B3356" s="8"/>
      <c r="G3356" s="8"/>
      <c r="M3356" s="8"/>
    </row>
    <row r="3357">
      <c r="B3357" s="8"/>
      <c r="G3357" s="8"/>
      <c r="M3357" s="8"/>
    </row>
    <row r="3358">
      <c r="B3358" s="8"/>
      <c r="G3358" s="8"/>
      <c r="M3358" s="8"/>
    </row>
    <row r="3359">
      <c r="B3359" s="8"/>
      <c r="G3359" s="8"/>
      <c r="M3359" s="8"/>
    </row>
    <row r="3360">
      <c r="B3360" s="8"/>
      <c r="G3360" s="8"/>
      <c r="M3360" s="8"/>
    </row>
    <row r="3361">
      <c r="B3361" s="8"/>
      <c r="G3361" s="8"/>
      <c r="M3361" s="8"/>
    </row>
    <row r="3362">
      <c r="B3362" s="8"/>
      <c r="G3362" s="8"/>
      <c r="M3362" s="8"/>
    </row>
    <row r="3363">
      <c r="B3363" s="8"/>
      <c r="G3363" s="8"/>
      <c r="M3363" s="8"/>
    </row>
    <row r="3364">
      <c r="B3364" s="8"/>
      <c r="G3364" s="8"/>
      <c r="M3364" s="8"/>
    </row>
    <row r="3365">
      <c r="B3365" s="8"/>
      <c r="G3365" s="8"/>
      <c r="M3365" s="8"/>
    </row>
    <row r="3366">
      <c r="B3366" s="8"/>
      <c r="G3366" s="8"/>
      <c r="M3366" s="8"/>
    </row>
    <row r="3367">
      <c r="B3367" s="8"/>
      <c r="G3367" s="8"/>
      <c r="M3367" s="8"/>
    </row>
    <row r="3368">
      <c r="B3368" s="8"/>
      <c r="G3368" s="8"/>
      <c r="M3368" s="8"/>
    </row>
    <row r="3369">
      <c r="B3369" s="8"/>
      <c r="G3369" s="8"/>
      <c r="M3369" s="8"/>
    </row>
    <row r="3370">
      <c r="B3370" s="8"/>
      <c r="G3370" s="8"/>
      <c r="M3370" s="8"/>
    </row>
    <row r="3371">
      <c r="B3371" s="8"/>
      <c r="G3371" s="8"/>
      <c r="M3371" s="8"/>
    </row>
    <row r="3372">
      <c r="B3372" s="8"/>
      <c r="G3372" s="8"/>
      <c r="M3372" s="8"/>
    </row>
    <row r="3373">
      <c r="B3373" s="8"/>
      <c r="G3373" s="8"/>
      <c r="M3373" s="8"/>
    </row>
    <row r="3374">
      <c r="B3374" s="8"/>
      <c r="G3374" s="8"/>
      <c r="M3374" s="8"/>
    </row>
    <row r="3375">
      <c r="B3375" s="8"/>
      <c r="G3375" s="8"/>
      <c r="M3375" s="8"/>
    </row>
    <row r="3376">
      <c r="B3376" s="8"/>
      <c r="G3376" s="8"/>
      <c r="M3376" s="8"/>
    </row>
    <row r="3377">
      <c r="B3377" s="8"/>
      <c r="G3377" s="8"/>
      <c r="M3377" s="8"/>
    </row>
    <row r="3378">
      <c r="B3378" s="8"/>
      <c r="G3378" s="8"/>
      <c r="M3378" s="8"/>
    </row>
    <row r="3379">
      <c r="B3379" s="8"/>
      <c r="G3379" s="8"/>
      <c r="M3379" s="8"/>
    </row>
    <row r="3380">
      <c r="B3380" s="8"/>
      <c r="G3380" s="8"/>
      <c r="M3380" s="8"/>
    </row>
    <row r="3381">
      <c r="B3381" s="8"/>
      <c r="G3381" s="8"/>
      <c r="M3381" s="8"/>
    </row>
    <row r="3382">
      <c r="B3382" s="8"/>
      <c r="G3382" s="8"/>
      <c r="M3382" s="8"/>
    </row>
    <row r="3383">
      <c r="B3383" s="8"/>
      <c r="G3383" s="8"/>
      <c r="M3383" s="8"/>
    </row>
    <row r="3384">
      <c r="B3384" s="8"/>
      <c r="G3384" s="8"/>
      <c r="M3384" s="8"/>
    </row>
    <row r="3385">
      <c r="B3385" s="8"/>
      <c r="G3385" s="8"/>
      <c r="M3385" s="8"/>
    </row>
    <row r="3386">
      <c r="B3386" s="8"/>
      <c r="G3386" s="8"/>
      <c r="M3386" s="8"/>
    </row>
    <row r="3387">
      <c r="B3387" s="8"/>
      <c r="G3387" s="8"/>
      <c r="M3387" s="8"/>
    </row>
    <row r="3388">
      <c r="B3388" s="8"/>
      <c r="G3388" s="8"/>
      <c r="M3388" s="8"/>
    </row>
    <row r="3389">
      <c r="B3389" s="8"/>
      <c r="G3389" s="8"/>
      <c r="M3389" s="8"/>
    </row>
    <row r="3390">
      <c r="B3390" s="8"/>
      <c r="G3390" s="8"/>
      <c r="M3390" s="8"/>
    </row>
    <row r="3391">
      <c r="B3391" s="8"/>
      <c r="G3391" s="8"/>
      <c r="M3391" s="8"/>
    </row>
    <row r="3392">
      <c r="B3392" s="8"/>
      <c r="G3392" s="8"/>
      <c r="M3392" s="8"/>
    </row>
    <row r="3393">
      <c r="B3393" s="8"/>
      <c r="G3393" s="8"/>
      <c r="M3393" s="8"/>
    </row>
    <row r="3394">
      <c r="B3394" s="8"/>
      <c r="G3394" s="8"/>
      <c r="M3394" s="8"/>
    </row>
    <row r="3395">
      <c r="B3395" s="8"/>
      <c r="G3395" s="8"/>
      <c r="M3395" s="8"/>
    </row>
    <row r="3396">
      <c r="B3396" s="8"/>
      <c r="G3396" s="8"/>
      <c r="M3396" s="8"/>
    </row>
    <row r="3397">
      <c r="B3397" s="8"/>
      <c r="G3397" s="8"/>
      <c r="M3397" s="8"/>
    </row>
    <row r="3398">
      <c r="B3398" s="8"/>
      <c r="G3398" s="8"/>
      <c r="M3398" s="8"/>
    </row>
    <row r="3399">
      <c r="B3399" s="8"/>
      <c r="G3399" s="8"/>
      <c r="M3399" s="8"/>
    </row>
    <row r="3400">
      <c r="B3400" s="8"/>
      <c r="G3400" s="8"/>
      <c r="M3400" s="8"/>
    </row>
    <row r="3401">
      <c r="B3401" s="8"/>
      <c r="G3401" s="8"/>
      <c r="M3401" s="8"/>
    </row>
    <row r="3402">
      <c r="B3402" s="8"/>
      <c r="G3402" s="8"/>
      <c r="M3402" s="8"/>
    </row>
    <row r="3403">
      <c r="B3403" s="8"/>
      <c r="G3403" s="8"/>
      <c r="M3403" s="8"/>
    </row>
    <row r="3404">
      <c r="B3404" s="8"/>
      <c r="G3404" s="8"/>
      <c r="M3404" s="8"/>
    </row>
    <row r="3405">
      <c r="B3405" s="8"/>
      <c r="G3405" s="8"/>
      <c r="M3405" s="8"/>
    </row>
    <row r="3406">
      <c r="B3406" s="8"/>
      <c r="G3406" s="8"/>
      <c r="M3406" s="8"/>
    </row>
    <row r="3407">
      <c r="B3407" s="8"/>
      <c r="G3407" s="8"/>
      <c r="M3407" s="8"/>
    </row>
    <row r="3408">
      <c r="B3408" s="8"/>
      <c r="G3408" s="8"/>
      <c r="M3408" s="8"/>
    </row>
    <row r="3409">
      <c r="B3409" s="8"/>
      <c r="G3409" s="8"/>
      <c r="M3409" s="8"/>
    </row>
    <row r="3410">
      <c r="B3410" s="8"/>
      <c r="G3410" s="8"/>
      <c r="M3410" s="8"/>
    </row>
    <row r="3411">
      <c r="B3411" s="8"/>
      <c r="G3411" s="8"/>
      <c r="M3411" s="8"/>
    </row>
    <row r="3412">
      <c r="B3412" s="8"/>
      <c r="G3412" s="8"/>
      <c r="M3412" s="8"/>
    </row>
    <row r="3413">
      <c r="B3413" s="8"/>
      <c r="G3413" s="8"/>
      <c r="M3413" s="8"/>
    </row>
    <row r="3414">
      <c r="B3414" s="8"/>
      <c r="G3414" s="8"/>
      <c r="M3414" s="8"/>
    </row>
    <row r="3415">
      <c r="B3415" s="8"/>
      <c r="G3415" s="8"/>
      <c r="M3415" s="8"/>
    </row>
    <row r="3416">
      <c r="B3416" s="8"/>
      <c r="G3416" s="8"/>
      <c r="M3416" s="8"/>
    </row>
    <row r="3417">
      <c r="B3417" s="8"/>
      <c r="G3417" s="8"/>
      <c r="M3417" s="8"/>
    </row>
    <row r="3418">
      <c r="B3418" s="8"/>
      <c r="G3418" s="8"/>
      <c r="M3418" s="8"/>
    </row>
    <row r="3419">
      <c r="B3419" s="8"/>
      <c r="G3419" s="8"/>
      <c r="M3419" s="8"/>
    </row>
    <row r="3420">
      <c r="B3420" s="8"/>
      <c r="G3420" s="8"/>
      <c r="M3420" s="8"/>
    </row>
    <row r="3421">
      <c r="B3421" s="8"/>
      <c r="G3421" s="8"/>
      <c r="M3421" s="8"/>
    </row>
    <row r="3422">
      <c r="B3422" s="8"/>
      <c r="G3422" s="8"/>
      <c r="M3422" s="8"/>
    </row>
    <row r="3423">
      <c r="B3423" s="8"/>
      <c r="G3423" s="8"/>
      <c r="M3423" s="8"/>
    </row>
    <row r="3424">
      <c r="B3424" s="8"/>
      <c r="G3424" s="8"/>
      <c r="M3424" s="8"/>
    </row>
    <row r="3425">
      <c r="B3425" s="8"/>
      <c r="G3425" s="8"/>
      <c r="M3425" s="8"/>
    </row>
    <row r="3426">
      <c r="B3426" s="8"/>
      <c r="G3426" s="8"/>
      <c r="M3426" s="8"/>
    </row>
    <row r="3427">
      <c r="B3427" s="8"/>
      <c r="G3427" s="8"/>
      <c r="M3427" s="8"/>
    </row>
    <row r="3428">
      <c r="B3428" s="8"/>
      <c r="G3428" s="8"/>
      <c r="M3428" s="8"/>
    </row>
    <row r="3429">
      <c r="B3429" s="8"/>
      <c r="G3429" s="8"/>
      <c r="M3429" s="8"/>
    </row>
    <row r="3430">
      <c r="B3430" s="8"/>
      <c r="G3430" s="8"/>
      <c r="M3430" s="8"/>
    </row>
    <row r="3431">
      <c r="B3431" s="8"/>
      <c r="G3431" s="8"/>
      <c r="M3431" s="8"/>
    </row>
    <row r="3432">
      <c r="B3432" s="8"/>
      <c r="G3432" s="8"/>
      <c r="M3432" s="8"/>
    </row>
    <row r="3433">
      <c r="B3433" s="8"/>
      <c r="G3433" s="8"/>
      <c r="M3433" s="8"/>
    </row>
    <row r="3434">
      <c r="B3434" s="8"/>
      <c r="G3434" s="8"/>
      <c r="M3434" s="8"/>
    </row>
    <row r="3435">
      <c r="B3435" s="8"/>
      <c r="G3435" s="8"/>
      <c r="M3435" s="8"/>
    </row>
    <row r="3436">
      <c r="B3436" s="8"/>
      <c r="G3436" s="8"/>
      <c r="M3436" s="8"/>
    </row>
    <row r="3437">
      <c r="B3437" s="8"/>
      <c r="G3437" s="8"/>
      <c r="M3437" s="8"/>
    </row>
    <row r="3438">
      <c r="B3438" s="8"/>
      <c r="G3438" s="8"/>
      <c r="M3438" s="8"/>
    </row>
    <row r="3439">
      <c r="B3439" s="8"/>
      <c r="G3439" s="8"/>
      <c r="M3439" s="8"/>
    </row>
    <row r="3440">
      <c r="B3440" s="8"/>
      <c r="G3440" s="8"/>
      <c r="M3440" s="8"/>
    </row>
    <row r="3441">
      <c r="B3441" s="8"/>
      <c r="G3441" s="8"/>
      <c r="M3441" s="8"/>
    </row>
    <row r="3442">
      <c r="B3442" s="8"/>
      <c r="G3442" s="8"/>
      <c r="M3442" s="8"/>
    </row>
    <row r="3443">
      <c r="B3443" s="8"/>
      <c r="G3443" s="8"/>
      <c r="M3443" s="8"/>
    </row>
    <row r="3444">
      <c r="B3444" s="8"/>
      <c r="G3444" s="8"/>
      <c r="M3444" s="8"/>
    </row>
    <row r="3445">
      <c r="B3445" s="8"/>
      <c r="G3445" s="8"/>
      <c r="M3445" s="8"/>
    </row>
    <row r="3446">
      <c r="B3446" s="8"/>
      <c r="G3446" s="8"/>
      <c r="M3446" s="8"/>
    </row>
    <row r="3447">
      <c r="B3447" s="8"/>
      <c r="G3447" s="8"/>
      <c r="M3447" s="8"/>
    </row>
    <row r="3448">
      <c r="B3448" s="8"/>
      <c r="G3448" s="8"/>
      <c r="M3448" s="8"/>
    </row>
    <row r="3449">
      <c r="B3449" s="8"/>
      <c r="G3449" s="8"/>
      <c r="M3449" s="8"/>
    </row>
    <row r="3450">
      <c r="B3450" s="8"/>
      <c r="G3450" s="8"/>
      <c r="M3450" s="8"/>
    </row>
    <row r="3451">
      <c r="B3451" s="8"/>
      <c r="G3451" s="8"/>
      <c r="M3451" s="8"/>
    </row>
    <row r="3452">
      <c r="B3452" s="8"/>
      <c r="G3452" s="8"/>
      <c r="M3452" s="8"/>
    </row>
    <row r="3453">
      <c r="B3453" s="8"/>
      <c r="G3453" s="8"/>
      <c r="M3453" s="8"/>
    </row>
    <row r="3454">
      <c r="B3454" s="8"/>
      <c r="G3454" s="8"/>
      <c r="M3454" s="8"/>
    </row>
    <row r="3455">
      <c r="B3455" s="8"/>
      <c r="G3455" s="8"/>
      <c r="M3455" s="8"/>
    </row>
    <row r="3456">
      <c r="B3456" s="8"/>
      <c r="G3456" s="8"/>
      <c r="M3456" s="8"/>
    </row>
    <row r="3457">
      <c r="B3457" s="8"/>
      <c r="G3457" s="8"/>
      <c r="M3457" s="8"/>
    </row>
    <row r="3458">
      <c r="B3458" s="8"/>
      <c r="G3458" s="8"/>
      <c r="M3458" s="8"/>
    </row>
    <row r="3459">
      <c r="B3459" s="8"/>
      <c r="G3459" s="8"/>
      <c r="M3459" s="8"/>
    </row>
    <row r="3460">
      <c r="B3460" s="8"/>
      <c r="G3460" s="8"/>
      <c r="M3460" s="8"/>
    </row>
    <row r="3461">
      <c r="B3461" s="8"/>
      <c r="G3461" s="8"/>
      <c r="M3461" s="8"/>
    </row>
    <row r="3462">
      <c r="B3462" s="8"/>
      <c r="G3462" s="8"/>
      <c r="M3462" s="8"/>
    </row>
    <row r="3463">
      <c r="B3463" s="8"/>
      <c r="G3463" s="8"/>
      <c r="M3463" s="8"/>
    </row>
    <row r="3464">
      <c r="B3464" s="8"/>
      <c r="G3464" s="8"/>
      <c r="M3464" s="8"/>
    </row>
    <row r="3465">
      <c r="B3465" s="8"/>
      <c r="G3465" s="8"/>
      <c r="M3465" s="8"/>
    </row>
    <row r="3466">
      <c r="B3466" s="8"/>
      <c r="G3466" s="8"/>
      <c r="M3466" s="8"/>
    </row>
    <row r="3467">
      <c r="B3467" s="8"/>
      <c r="G3467" s="8"/>
      <c r="M3467" s="8"/>
    </row>
    <row r="3468">
      <c r="B3468" s="8"/>
      <c r="G3468" s="8"/>
      <c r="M3468" s="8"/>
    </row>
    <row r="3469">
      <c r="B3469" s="8"/>
      <c r="G3469" s="8"/>
      <c r="M3469" s="8"/>
    </row>
    <row r="3470">
      <c r="B3470" s="8"/>
      <c r="G3470" s="8"/>
      <c r="M3470" s="8"/>
    </row>
    <row r="3471">
      <c r="B3471" s="8"/>
      <c r="G3471" s="8"/>
      <c r="M3471" s="8"/>
    </row>
    <row r="3472">
      <c r="B3472" s="8"/>
      <c r="G3472" s="8"/>
      <c r="M3472" s="8"/>
    </row>
    <row r="3473">
      <c r="B3473" s="8"/>
      <c r="G3473" s="8"/>
      <c r="M3473" s="8"/>
    </row>
    <row r="3474">
      <c r="B3474" s="8"/>
      <c r="G3474" s="8"/>
      <c r="M3474" s="8"/>
    </row>
    <row r="3475">
      <c r="B3475" s="8"/>
      <c r="G3475" s="8"/>
      <c r="M3475" s="8"/>
    </row>
    <row r="3476">
      <c r="B3476" s="8"/>
      <c r="G3476" s="8"/>
      <c r="M3476" s="8"/>
    </row>
    <row r="3477">
      <c r="B3477" s="8"/>
      <c r="G3477" s="8"/>
      <c r="M3477" s="8"/>
    </row>
    <row r="3478">
      <c r="B3478" s="8"/>
      <c r="G3478" s="8"/>
      <c r="M3478" s="8"/>
    </row>
    <row r="3479">
      <c r="B3479" s="8"/>
      <c r="G3479" s="8"/>
      <c r="M3479" s="8"/>
    </row>
    <row r="3480">
      <c r="B3480" s="8"/>
      <c r="G3480" s="8"/>
      <c r="M3480" s="8"/>
    </row>
    <row r="3481">
      <c r="B3481" s="8"/>
      <c r="G3481" s="8"/>
      <c r="M3481" s="8"/>
    </row>
    <row r="3482">
      <c r="B3482" s="8"/>
      <c r="G3482" s="8"/>
      <c r="M3482" s="8"/>
    </row>
    <row r="3483">
      <c r="B3483" s="8"/>
      <c r="G3483" s="8"/>
      <c r="M3483" s="8"/>
    </row>
    <row r="3484">
      <c r="B3484" s="8"/>
      <c r="G3484" s="8"/>
      <c r="M3484" s="8"/>
    </row>
    <row r="3485">
      <c r="B3485" s="8"/>
      <c r="G3485" s="8"/>
      <c r="M3485" s="8"/>
    </row>
    <row r="3486">
      <c r="B3486" s="8"/>
      <c r="G3486" s="8"/>
      <c r="M3486" s="8"/>
    </row>
    <row r="3487">
      <c r="B3487" s="8"/>
      <c r="G3487" s="8"/>
      <c r="M3487" s="8"/>
    </row>
    <row r="3488">
      <c r="B3488" s="8"/>
      <c r="G3488" s="8"/>
      <c r="M3488" s="8"/>
    </row>
    <row r="3489">
      <c r="B3489" s="8"/>
      <c r="G3489" s="8"/>
      <c r="M3489" s="8"/>
    </row>
    <row r="3490">
      <c r="B3490" s="8"/>
      <c r="G3490" s="8"/>
      <c r="M3490" s="8"/>
    </row>
    <row r="3491">
      <c r="B3491" s="8"/>
      <c r="G3491" s="8"/>
      <c r="M3491" s="8"/>
    </row>
    <row r="3492">
      <c r="B3492" s="8"/>
      <c r="G3492" s="8"/>
      <c r="M3492" s="8"/>
    </row>
    <row r="3493">
      <c r="B3493" s="8"/>
      <c r="G3493" s="8"/>
      <c r="M3493" s="8"/>
    </row>
    <row r="3494">
      <c r="B3494" s="8"/>
      <c r="G3494" s="8"/>
      <c r="M3494" s="8"/>
    </row>
    <row r="3495">
      <c r="B3495" s="8"/>
      <c r="G3495" s="8"/>
      <c r="M3495" s="8"/>
    </row>
    <row r="3496">
      <c r="B3496" s="8"/>
      <c r="G3496" s="8"/>
      <c r="M3496" s="8"/>
    </row>
    <row r="3497">
      <c r="B3497" s="8"/>
      <c r="G3497" s="8"/>
      <c r="M3497" s="8"/>
    </row>
    <row r="3498">
      <c r="B3498" s="8"/>
      <c r="G3498" s="8"/>
      <c r="M3498" s="8"/>
    </row>
    <row r="3499">
      <c r="B3499" s="8"/>
      <c r="G3499" s="8"/>
      <c r="M3499" s="8"/>
    </row>
    <row r="3500">
      <c r="B3500" s="8"/>
      <c r="G3500" s="8"/>
      <c r="M3500" s="8"/>
    </row>
    <row r="3501">
      <c r="B3501" s="8"/>
      <c r="G3501" s="8"/>
      <c r="M3501" s="8"/>
    </row>
    <row r="3502">
      <c r="B3502" s="8"/>
      <c r="G3502" s="8"/>
      <c r="M3502" s="8"/>
    </row>
    <row r="3503">
      <c r="B3503" s="8"/>
      <c r="G3503" s="8"/>
      <c r="M3503" s="8"/>
    </row>
    <row r="3504">
      <c r="B3504" s="8"/>
      <c r="G3504" s="8"/>
      <c r="M3504" s="8"/>
    </row>
    <row r="3505">
      <c r="B3505" s="8"/>
      <c r="G3505" s="8"/>
      <c r="M3505" s="8"/>
    </row>
    <row r="3506">
      <c r="B3506" s="8"/>
      <c r="G3506" s="8"/>
      <c r="M3506" s="8"/>
    </row>
    <row r="3507">
      <c r="B3507" s="8"/>
      <c r="G3507" s="8"/>
      <c r="M3507" s="8"/>
    </row>
    <row r="3508">
      <c r="B3508" s="8"/>
      <c r="G3508" s="8"/>
      <c r="M3508" s="8"/>
    </row>
    <row r="3509">
      <c r="B3509" s="8"/>
      <c r="G3509" s="8"/>
      <c r="M3509" s="8"/>
    </row>
    <row r="3510">
      <c r="B3510" s="8"/>
      <c r="G3510" s="8"/>
      <c r="M3510" s="8"/>
    </row>
    <row r="3511">
      <c r="B3511" s="8"/>
      <c r="G3511" s="8"/>
      <c r="M3511" s="8"/>
    </row>
    <row r="3512">
      <c r="B3512" s="8"/>
      <c r="G3512" s="8"/>
      <c r="M3512" s="8"/>
    </row>
    <row r="3513">
      <c r="B3513" s="8"/>
      <c r="G3513" s="8"/>
      <c r="M3513" s="8"/>
    </row>
    <row r="3514">
      <c r="B3514" s="8"/>
      <c r="G3514" s="8"/>
      <c r="M3514" s="8"/>
    </row>
    <row r="3515">
      <c r="B3515" s="8"/>
      <c r="G3515" s="8"/>
      <c r="M3515" s="8"/>
    </row>
    <row r="3516">
      <c r="B3516" s="8"/>
      <c r="G3516" s="8"/>
      <c r="M3516" s="8"/>
    </row>
    <row r="3517">
      <c r="B3517" s="8"/>
      <c r="G3517" s="8"/>
      <c r="M3517" s="8"/>
    </row>
    <row r="3518">
      <c r="B3518" s="8"/>
      <c r="G3518" s="8"/>
      <c r="M3518" s="8"/>
    </row>
    <row r="3519">
      <c r="B3519" s="8"/>
      <c r="G3519" s="8"/>
      <c r="M3519" s="8"/>
    </row>
    <row r="3520">
      <c r="B3520" s="8"/>
      <c r="G3520" s="8"/>
      <c r="M3520" s="8"/>
    </row>
    <row r="3521">
      <c r="B3521" s="8"/>
      <c r="G3521" s="8"/>
      <c r="M3521" s="8"/>
    </row>
    <row r="3522">
      <c r="B3522" s="8"/>
      <c r="G3522" s="8"/>
      <c r="M3522" s="8"/>
    </row>
    <row r="3523">
      <c r="B3523" s="8"/>
      <c r="G3523" s="8"/>
      <c r="M3523" s="8"/>
    </row>
    <row r="3524">
      <c r="B3524" s="8"/>
      <c r="G3524" s="8"/>
      <c r="M3524" s="8"/>
    </row>
    <row r="3525">
      <c r="B3525" s="8"/>
      <c r="G3525" s="8"/>
      <c r="M3525" s="8"/>
    </row>
    <row r="3526">
      <c r="B3526" s="8"/>
      <c r="G3526" s="8"/>
      <c r="M3526" s="8"/>
    </row>
    <row r="3527">
      <c r="B3527" s="8"/>
      <c r="G3527" s="8"/>
      <c r="M3527" s="8"/>
    </row>
    <row r="3528">
      <c r="B3528" s="8"/>
      <c r="G3528" s="8"/>
      <c r="M3528" s="8"/>
    </row>
    <row r="3529">
      <c r="B3529" s="8"/>
      <c r="G3529" s="8"/>
      <c r="M3529" s="8"/>
    </row>
    <row r="3530">
      <c r="B3530" s="8"/>
      <c r="G3530" s="8"/>
      <c r="M3530" s="8"/>
    </row>
    <row r="3531">
      <c r="B3531" s="8"/>
      <c r="G3531" s="8"/>
      <c r="M3531" s="8"/>
    </row>
    <row r="3532">
      <c r="B3532" s="8"/>
      <c r="G3532" s="8"/>
      <c r="M3532" s="8"/>
    </row>
    <row r="3533">
      <c r="B3533" s="8"/>
      <c r="G3533" s="8"/>
      <c r="M3533" s="8"/>
    </row>
    <row r="3534">
      <c r="B3534" s="8"/>
      <c r="G3534" s="8"/>
      <c r="M3534" s="8"/>
    </row>
    <row r="3535">
      <c r="B3535" s="8"/>
      <c r="G3535" s="8"/>
      <c r="M3535" s="8"/>
    </row>
    <row r="3536">
      <c r="B3536" s="8"/>
      <c r="G3536" s="8"/>
      <c r="M3536" s="8"/>
    </row>
    <row r="3537">
      <c r="B3537" s="8"/>
      <c r="G3537" s="8"/>
      <c r="M3537" s="8"/>
    </row>
    <row r="3538">
      <c r="B3538" s="8"/>
      <c r="G3538" s="8"/>
      <c r="M3538" s="8"/>
    </row>
    <row r="3539">
      <c r="B3539" s="8"/>
      <c r="G3539" s="8"/>
      <c r="M3539" s="8"/>
    </row>
    <row r="3540">
      <c r="B3540" s="8"/>
      <c r="G3540" s="8"/>
      <c r="M3540" s="8"/>
    </row>
    <row r="3541">
      <c r="B3541" s="8"/>
      <c r="G3541" s="8"/>
      <c r="M3541" s="8"/>
    </row>
    <row r="3542">
      <c r="B3542" s="8"/>
      <c r="G3542" s="8"/>
      <c r="M3542" s="8"/>
    </row>
    <row r="3543">
      <c r="B3543" s="8"/>
      <c r="G3543" s="8"/>
      <c r="M3543" s="8"/>
    </row>
    <row r="3544">
      <c r="B3544" s="8"/>
      <c r="G3544" s="8"/>
      <c r="M3544" s="8"/>
    </row>
    <row r="3545">
      <c r="B3545" s="8"/>
      <c r="G3545" s="8"/>
      <c r="M3545" s="8"/>
    </row>
    <row r="3546">
      <c r="B3546" s="8"/>
      <c r="G3546" s="8"/>
      <c r="M3546" s="8"/>
    </row>
    <row r="3547">
      <c r="B3547" s="8"/>
      <c r="G3547" s="8"/>
      <c r="M3547" s="8"/>
    </row>
    <row r="3548">
      <c r="B3548" s="8"/>
      <c r="G3548" s="8"/>
      <c r="M3548" s="8"/>
    </row>
    <row r="3549">
      <c r="B3549" s="8"/>
      <c r="G3549" s="8"/>
      <c r="M3549" s="8"/>
    </row>
    <row r="3550">
      <c r="B3550" s="8"/>
      <c r="G3550" s="8"/>
      <c r="M3550" s="8"/>
    </row>
    <row r="3551">
      <c r="B3551" s="8"/>
      <c r="G3551" s="8"/>
      <c r="M3551" s="8"/>
    </row>
    <row r="3552">
      <c r="B3552" s="8"/>
      <c r="G3552" s="8"/>
      <c r="M3552" s="8"/>
    </row>
    <row r="3553">
      <c r="B3553" s="8"/>
      <c r="G3553" s="8"/>
      <c r="M3553" s="8"/>
    </row>
    <row r="3554">
      <c r="B3554" s="8"/>
      <c r="G3554" s="8"/>
      <c r="M3554" s="8"/>
    </row>
    <row r="3555">
      <c r="B3555" s="8"/>
      <c r="G3555" s="8"/>
      <c r="M3555" s="8"/>
    </row>
    <row r="3556">
      <c r="B3556" s="8"/>
      <c r="G3556" s="8"/>
      <c r="M3556" s="8"/>
    </row>
    <row r="3557">
      <c r="B3557" s="8"/>
      <c r="G3557" s="8"/>
      <c r="M3557" s="8"/>
    </row>
    <row r="3558">
      <c r="B3558" s="8"/>
      <c r="G3558" s="8"/>
      <c r="M3558" s="8"/>
    </row>
    <row r="3559">
      <c r="B3559" s="8"/>
      <c r="G3559" s="8"/>
      <c r="M3559" s="8"/>
    </row>
    <row r="3560">
      <c r="B3560" s="8"/>
      <c r="G3560" s="8"/>
      <c r="M3560" s="8"/>
    </row>
    <row r="3561">
      <c r="B3561" s="8"/>
      <c r="G3561" s="8"/>
      <c r="M3561" s="8"/>
    </row>
    <row r="3562">
      <c r="B3562" s="8"/>
      <c r="G3562" s="8"/>
      <c r="M3562" s="8"/>
    </row>
    <row r="3563">
      <c r="B3563" s="8"/>
      <c r="G3563" s="8"/>
      <c r="M3563" s="8"/>
    </row>
    <row r="3564">
      <c r="B3564" s="8"/>
      <c r="G3564" s="8"/>
      <c r="M3564" s="8"/>
    </row>
    <row r="3565">
      <c r="B3565" s="8"/>
      <c r="G3565" s="8"/>
      <c r="M3565" s="8"/>
    </row>
    <row r="3566">
      <c r="B3566" s="8"/>
      <c r="G3566" s="8"/>
      <c r="M3566" s="8"/>
    </row>
    <row r="3567">
      <c r="B3567" s="8"/>
      <c r="G3567" s="8"/>
      <c r="M3567" s="8"/>
    </row>
    <row r="3568">
      <c r="B3568" s="8"/>
      <c r="G3568" s="8"/>
      <c r="M3568" s="8"/>
    </row>
    <row r="3569">
      <c r="B3569" s="8"/>
      <c r="G3569" s="8"/>
      <c r="M3569" s="8"/>
    </row>
    <row r="3570">
      <c r="B3570" s="8"/>
      <c r="G3570" s="8"/>
      <c r="M3570" s="8"/>
    </row>
    <row r="3571">
      <c r="B3571" s="8"/>
      <c r="G3571" s="8"/>
      <c r="M3571" s="8"/>
    </row>
    <row r="3572">
      <c r="B3572" s="8"/>
      <c r="G3572" s="8"/>
      <c r="M3572" s="8"/>
    </row>
    <row r="3573">
      <c r="B3573" s="8"/>
      <c r="G3573" s="8"/>
      <c r="M3573" s="8"/>
    </row>
    <row r="3574">
      <c r="B3574" s="8"/>
      <c r="G3574" s="8"/>
      <c r="M3574" s="8"/>
    </row>
    <row r="3575">
      <c r="B3575" s="8"/>
      <c r="G3575" s="8"/>
      <c r="M3575" s="8"/>
    </row>
    <row r="3576">
      <c r="B3576" s="8"/>
      <c r="G3576" s="8"/>
      <c r="M3576" s="8"/>
    </row>
    <row r="3577">
      <c r="B3577" s="8"/>
      <c r="G3577" s="8"/>
      <c r="M3577" s="8"/>
    </row>
    <row r="3578">
      <c r="B3578" s="8"/>
      <c r="G3578" s="8"/>
      <c r="M3578" s="8"/>
    </row>
    <row r="3579">
      <c r="B3579" s="8"/>
      <c r="G3579" s="8"/>
      <c r="M3579" s="8"/>
    </row>
    <row r="3580">
      <c r="B3580" s="8"/>
      <c r="G3580" s="8"/>
      <c r="M3580" s="8"/>
    </row>
    <row r="3581">
      <c r="B3581" s="8"/>
      <c r="G3581" s="8"/>
      <c r="M3581" s="8"/>
    </row>
    <row r="3582">
      <c r="B3582" s="8"/>
      <c r="G3582" s="8"/>
      <c r="M3582" s="8"/>
    </row>
    <row r="3583">
      <c r="B3583" s="8"/>
      <c r="G3583" s="8"/>
      <c r="M3583" s="8"/>
    </row>
    <row r="3584">
      <c r="B3584" s="8"/>
      <c r="G3584" s="8"/>
      <c r="M3584" s="8"/>
    </row>
    <row r="3585">
      <c r="B3585" s="8"/>
      <c r="G3585" s="8"/>
      <c r="M3585" s="8"/>
    </row>
    <row r="3586">
      <c r="B3586" s="8"/>
      <c r="G3586" s="8"/>
      <c r="M3586" s="8"/>
    </row>
    <row r="3587">
      <c r="B3587" s="8"/>
      <c r="G3587" s="8"/>
      <c r="M3587" s="8"/>
    </row>
    <row r="3588">
      <c r="B3588" s="8"/>
      <c r="G3588" s="8"/>
      <c r="M3588" s="8"/>
    </row>
    <row r="3589">
      <c r="B3589" s="8"/>
      <c r="G3589" s="8"/>
      <c r="M3589" s="8"/>
    </row>
    <row r="3590">
      <c r="B3590" s="8"/>
      <c r="G3590" s="8"/>
      <c r="M3590" s="8"/>
    </row>
    <row r="3591">
      <c r="B3591" s="8"/>
      <c r="G3591" s="8"/>
      <c r="M3591" s="8"/>
    </row>
    <row r="3592">
      <c r="B3592" s="8"/>
      <c r="G3592" s="8"/>
      <c r="M3592" s="8"/>
    </row>
    <row r="3593">
      <c r="B3593" s="8"/>
      <c r="G3593" s="8"/>
      <c r="M3593" s="8"/>
    </row>
    <row r="3594">
      <c r="B3594" s="8"/>
      <c r="G3594" s="8"/>
      <c r="M3594" s="8"/>
    </row>
    <row r="3595">
      <c r="B3595" s="8"/>
      <c r="G3595" s="8"/>
      <c r="M3595" s="8"/>
    </row>
    <row r="3596">
      <c r="B3596" s="8"/>
      <c r="G3596" s="8"/>
      <c r="M3596" s="8"/>
    </row>
    <row r="3597">
      <c r="B3597" s="8"/>
      <c r="G3597" s="8"/>
      <c r="M3597" s="8"/>
    </row>
    <row r="3598">
      <c r="B3598" s="8"/>
      <c r="G3598" s="8"/>
      <c r="M3598" s="8"/>
    </row>
    <row r="3599">
      <c r="B3599" s="8"/>
      <c r="G3599" s="8"/>
      <c r="M3599" s="8"/>
    </row>
    <row r="3600">
      <c r="B3600" s="8"/>
      <c r="G3600" s="8"/>
      <c r="M3600" s="8"/>
    </row>
    <row r="3601">
      <c r="B3601" s="8"/>
      <c r="G3601" s="8"/>
      <c r="M3601" s="8"/>
    </row>
    <row r="3602">
      <c r="B3602" s="8"/>
      <c r="G3602" s="8"/>
      <c r="M3602" s="8"/>
    </row>
    <row r="3603">
      <c r="B3603" s="8"/>
      <c r="G3603" s="8"/>
      <c r="M3603" s="8"/>
    </row>
    <row r="3604">
      <c r="B3604" s="8"/>
      <c r="G3604" s="8"/>
      <c r="M3604" s="8"/>
    </row>
    <row r="3605">
      <c r="B3605" s="8"/>
      <c r="G3605" s="8"/>
      <c r="M3605" s="8"/>
    </row>
    <row r="3606">
      <c r="B3606" s="8"/>
      <c r="G3606" s="8"/>
      <c r="M3606" s="8"/>
    </row>
    <row r="3607">
      <c r="B3607" s="8"/>
      <c r="G3607" s="8"/>
      <c r="M3607" s="8"/>
    </row>
    <row r="3608">
      <c r="B3608" s="8"/>
      <c r="G3608" s="8"/>
      <c r="M3608" s="8"/>
    </row>
    <row r="3609">
      <c r="B3609" s="8"/>
      <c r="G3609" s="8"/>
      <c r="M3609" s="8"/>
    </row>
    <row r="3610">
      <c r="B3610" s="8"/>
      <c r="G3610" s="8"/>
      <c r="M3610" s="8"/>
    </row>
    <row r="3611">
      <c r="B3611" s="8"/>
      <c r="G3611" s="8"/>
      <c r="M3611" s="8"/>
    </row>
    <row r="3612">
      <c r="B3612" s="8"/>
      <c r="G3612" s="8"/>
      <c r="M3612" s="8"/>
    </row>
    <row r="3613">
      <c r="B3613" s="8"/>
      <c r="G3613" s="8"/>
      <c r="M3613" s="8"/>
    </row>
    <row r="3614">
      <c r="B3614" s="8"/>
      <c r="G3614" s="8"/>
      <c r="M3614" s="8"/>
    </row>
    <row r="3615">
      <c r="B3615" s="8"/>
      <c r="G3615" s="8"/>
      <c r="M3615" s="8"/>
    </row>
    <row r="3616">
      <c r="B3616" s="8"/>
      <c r="G3616" s="8"/>
      <c r="M3616" s="8"/>
    </row>
    <row r="3617">
      <c r="B3617" s="8"/>
      <c r="G3617" s="8"/>
      <c r="M3617" s="8"/>
    </row>
    <row r="3618">
      <c r="B3618" s="8"/>
      <c r="G3618" s="8"/>
      <c r="M3618" s="8"/>
    </row>
    <row r="3619">
      <c r="B3619" s="8"/>
      <c r="G3619" s="8"/>
      <c r="M3619" s="8"/>
    </row>
    <row r="3620">
      <c r="B3620" s="8"/>
      <c r="G3620" s="8"/>
      <c r="M3620" s="8"/>
    </row>
    <row r="3621">
      <c r="B3621" s="8"/>
      <c r="G3621" s="8"/>
      <c r="M3621" s="8"/>
    </row>
    <row r="3622">
      <c r="B3622" s="8"/>
      <c r="G3622" s="8"/>
      <c r="M3622" s="8"/>
    </row>
    <row r="3623">
      <c r="B3623" s="8"/>
      <c r="G3623" s="8"/>
      <c r="M3623" s="8"/>
    </row>
    <row r="3624">
      <c r="B3624" s="8"/>
      <c r="G3624" s="8"/>
      <c r="M3624" s="8"/>
    </row>
    <row r="3625">
      <c r="B3625" s="8"/>
      <c r="G3625" s="8"/>
      <c r="M3625" s="8"/>
    </row>
    <row r="3626">
      <c r="B3626" s="8"/>
      <c r="G3626" s="8"/>
      <c r="M3626" s="8"/>
    </row>
    <row r="3627">
      <c r="B3627" s="8"/>
      <c r="G3627" s="8"/>
      <c r="M3627" s="8"/>
    </row>
    <row r="3628">
      <c r="B3628" s="8"/>
      <c r="G3628" s="8"/>
      <c r="M3628" s="8"/>
    </row>
    <row r="3629">
      <c r="B3629" s="8"/>
      <c r="G3629" s="8"/>
      <c r="M3629" s="8"/>
    </row>
    <row r="3630">
      <c r="B3630" s="8"/>
      <c r="G3630" s="8"/>
      <c r="M3630" s="8"/>
    </row>
    <row r="3631">
      <c r="B3631" s="8"/>
      <c r="G3631" s="8"/>
      <c r="M3631" s="8"/>
    </row>
    <row r="3632">
      <c r="B3632" s="8"/>
      <c r="G3632" s="8"/>
      <c r="M3632" s="8"/>
    </row>
    <row r="3633">
      <c r="B3633" s="8"/>
      <c r="G3633" s="8"/>
      <c r="M3633" s="8"/>
    </row>
    <row r="3634">
      <c r="B3634" s="8"/>
      <c r="G3634" s="8"/>
      <c r="M3634" s="8"/>
    </row>
    <row r="3635">
      <c r="B3635" s="8"/>
      <c r="G3635" s="8"/>
      <c r="M3635" s="8"/>
    </row>
    <row r="3636">
      <c r="B3636" s="8"/>
      <c r="G3636" s="8"/>
      <c r="M3636" s="8"/>
    </row>
    <row r="3637">
      <c r="B3637" s="8"/>
      <c r="G3637" s="8"/>
      <c r="M3637" s="8"/>
    </row>
    <row r="3638">
      <c r="B3638" s="8"/>
      <c r="G3638" s="8"/>
      <c r="M3638" s="8"/>
    </row>
    <row r="3639">
      <c r="B3639" s="8"/>
      <c r="G3639" s="8"/>
      <c r="M3639" s="8"/>
    </row>
    <row r="3640">
      <c r="B3640" s="8"/>
      <c r="G3640" s="8"/>
      <c r="M3640" s="8"/>
    </row>
    <row r="3641">
      <c r="B3641" s="8"/>
      <c r="G3641" s="8"/>
      <c r="M3641" s="8"/>
    </row>
    <row r="3642">
      <c r="B3642" s="8"/>
      <c r="G3642" s="8"/>
      <c r="M3642" s="8"/>
    </row>
    <row r="3643">
      <c r="B3643" s="8"/>
      <c r="G3643" s="8"/>
      <c r="M3643" s="8"/>
    </row>
    <row r="3644">
      <c r="B3644" s="8"/>
      <c r="G3644" s="8"/>
      <c r="M3644" s="8"/>
    </row>
    <row r="3645">
      <c r="B3645" s="8"/>
      <c r="G3645" s="8"/>
      <c r="M3645" s="8"/>
    </row>
    <row r="3646">
      <c r="B3646" s="8"/>
      <c r="G3646" s="8"/>
      <c r="M3646" s="8"/>
    </row>
    <row r="3647">
      <c r="B3647" s="8"/>
      <c r="G3647" s="8"/>
      <c r="M3647" s="8"/>
    </row>
    <row r="3648">
      <c r="B3648" s="8"/>
      <c r="G3648" s="8"/>
      <c r="M3648" s="8"/>
    </row>
    <row r="3649">
      <c r="B3649" s="8"/>
      <c r="G3649" s="8"/>
      <c r="M3649" s="8"/>
    </row>
    <row r="3650">
      <c r="B3650" s="8"/>
      <c r="G3650" s="8"/>
      <c r="M3650" s="8"/>
    </row>
    <row r="3651">
      <c r="B3651" s="8"/>
      <c r="G3651" s="8"/>
      <c r="M3651" s="8"/>
    </row>
    <row r="3652">
      <c r="B3652" s="8"/>
      <c r="G3652" s="8"/>
      <c r="M3652" s="8"/>
    </row>
    <row r="3653">
      <c r="B3653" s="8"/>
      <c r="G3653" s="8"/>
      <c r="M3653" s="8"/>
    </row>
    <row r="3654">
      <c r="B3654" s="8"/>
      <c r="G3654" s="8"/>
      <c r="M3654" s="8"/>
    </row>
    <row r="3655">
      <c r="B3655" s="8"/>
      <c r="G3655" s="8"/>
      <c r="M3655" s="8"/>
    </row>
    <row r="3656">
      <c r="B3656" s="8"/>
      <c r="G3656" s="8"/>
      <c r="M3656" s="8"/>
    </row>
    <row r="3657">
      <c r="B3657" s="8"/>
      <c r="G3657" s="8"/>
      <c r="M3657" s="8"/>
    </row>
    <row r="3658">
      <c r="B3658" s="8"/>
      <c r="G3658" s="8"/>
      <c r="M3658" s="8"/>
    </row>
    <row r="3659">
      <c r="B3659" s="8"/>
      <c r="G3659" s="8"/>
      <c r="M3659" s="8"/>
    </row>
    <row r="3660">
      <c r="B3660" s="8"/>
      <c r="G3660" s="8"/>
      <c r="M3660" s="8"/>
    </row>
    <row r="3661">
      <c r="B3661" s="8"/>
      <c r="G3661" s="8"/>
      <c r="M3661" s="8"/>
    </row>
    <row r="3662">
      <c r="B3662" s="8"/>
      <c r="G3662" s="8"/>
      <c r="M3662" s="8"/>
    </row>
    <row r="3663">
      <c r="B3663" s="8"/>
      <c r="G3663" s="8"/>
      <c r="M3663" s="8"/>
    </row>
    <row r="3664">
      <c r="B3664" s="8"/>
      <c r="G3664" s="8"/>
      <c r="M3664" s="8"/>
    </row>
    <row r="3665">
      <c r="B3665" s="8"/>
      <c r="G3665" s="8"/>
      <c r="M3665" s="8"/>
    </row>
    <row r="3666">
      <c r="B3666" s="8"/>
      <c r="G3666" s="8"/>
      <c r="M3666" s="8"/>
    </row>
    <row r="3667">
      <c r="B3667" s="8"/>
      <c r="G3667" s="8"/>
      <c r="M3667" s="8"/>
    </row>
    <row r="3668">
      <c r="B3668" s="8"/>
      <c r="G3668" s="8"/>
      <c r="M3668" s="8"/>
    </row>
    <row r="3669">
      <c r="B3669" s="8"/>
      <c r="G3669" s="8"/>
      <c r="M3669" s="8"/>
    </row>
    <row r="3670">
      <c r="B3670" s="8"/>
      <c r="G3670" s="8"/>
      <c r="M3670" s="8"/>
    </row>
    <row r="3671">
      <c r="B3671" s="8"/>
      <c r="G3671" s="8"/>
      <c r="M3671" s="8"/>
    </row>
    <row r="3672">
      <c r="B3672" s="8"/>
      <c r="G3672" s="8"/>
      <c r="M3672" s="8"/>
    </row>
    <row r="3673">
      <c r="B3673" s="8"/>
      <c r="G3673" s="8"/>
      <c r="M3673" s="8"/>
    </row>
    <row r="3674">
      <c r="B3674" s="8"/>
      <c r="G3674" s="8"/>
      <c r="M3674" s="8"/>
    </row>
    <row r="3675">
      <c r="B3675" s="8"/>
      <c r="G3675" s="8"/>
      <c r="M3675" s="8"/>
    </row>
    <row r="3676">
      <c r="B3676" s="8"/>
      <c r="G3676" s="8"/>
      <c r="M3676" s="8"/>
    </row>
    <row r="3677">
      <c r="B3677" s="8"/>
      <c r="G3677" s="8"/>
      <c r="M3677" s="8"/>
    </row>
    <row r="3678">
      <c r="B3678" s="8"/>
      <c r="G3678" s="8"/>
      <c r="M3678" s="8"/>
    </row>
    <row r="3679">
      <c r="B3679" s="8"/>
      <c r="G3679" s="8"/>
      <c r="M3679" s="8"/>
    </row>
    <row r="3680">
      <c r="B3680" s="8"/>
      <c r="G3680" s="8"/>
      <c r="M3680" s="8"/>
    </row>
    <row r="3681">
      <c r="B3681" s="8"/>
      <c r="G3681" s="8"/>
      <c r="M3681" s="8"/>
    </row>
    <row r="3682">
      <c r="B3682" s="8"/>
      <c r="G3682" s="8"/>
      <c r="M3682" s="8"/>
    </row>
    <row r="3683">
      <c r="B3683" s="8"/>
      <c r="G3683" s="8"/>
      <c r="M3683" s="8"/>
    </row>
    <row r="3684">
      <c r="B3684" s="8"/>
      <c r="G3684" s="8"/>
      <c r="M3684" s="8"/>
    </row>
    <row r="3685">
      <c r="B3685" s="8"/>
      <c r="G3685" s="8"/>
      <c r="M3685" s="8"/>
    </row>
    <row r="3686">
      <c r="B3686" s="8"/>
      <c r="G3686" s="8"/>
      <c r="M3686" s="8"/>
    </row>
    <row r="3687">
      <c r="B3687" s="8"/>
      <c r="G3687" s="8"/>
      <c r="M3687" s="8"/>
    </row>
    <row r="3688">
      <c r="B3688" s="8"/>
      <c r="G3688" s="8"/>
      <c r="M3688" s="8"/>
    </row>
    <row r="3689">
      <c r="B3689" s="8"/>
      <c r="G3689" s="8"/>
      <c r="M3689" s="8"/>
    </row>
    <row r="3690">
      <c r="B3690" s="8"/>
      <c r="G3690" s="8"/>
      <c r="M3690" s="8"/>
    </row>
    <row r="3691">
      <c r="B3691" s="8"/>
      <c r="G3691" s="8"/>
      <c r="M3691" s="8"/>
    </row>
    <row r="3692">
      <c r="B3692" s="8"/>
      <c r="G3692" s="8"/>
      <c r="M3692" s="8"/>
    </row>
    <row r="3693">
      <c r="B3693" s="8"/>
      <c r="G3693" s="8"/>
      <c r="M3693" s="8"/>
    </row>
    <row r="3694">
      <c r="B3694" s="8"/>
      <c r="G3694" s="8"/>
      <c r="M3694" s="8"/>
    </row>
    <row r="3695">
      <c r="B3695" s="8"/>
      <c r="G3695" s="8"/>
      <c r="M3695" s="8"/>
    </row>
    <row r="3696">
      <c r="B3696" s="8"/>
      <c r="G3696" s="8"/>
      <c r="M3696" s="8"/>
    </row>
    <row r="3697">
      <c r="B3697" s="8"/>
      <c r="G3697" s="8"/>
      <c r="M3697" s="8"/>
    </row>
    <row r="3698">
      <c r="B3698" s="8"/>
      <c r="G3698" s="8"/>
      <c r="M3698" s="8"/>
    </row>
    <row r="3699">
      <c r="B3699" s="8"/>
      <c r="G3699" s="8"/>
      <c r="M3699" s="8"/>
    </row>
    <row r="3700">
      <c r="B3700" s="8"/>
      <c r="G3700" s="8"/>
      <c r="M3700" s="8"/>
    </row>
    <row r="3701">
      <c r="B3701" s="8"/>
      <c r="G3701" s="8"/>
      <c r="M3701" s="8"/>
    </row>
    <row r="3702">
      <c r="B3702" s="8"/>
      <c r="G3702" s="8"/>
      <c r="M3702" s="8"/>
    </row>
    <row r="3703">
      <c r="B3703" s="8"/>
      <c r="G3703" s="8"/>
      <c r="M3703" s="8"/>
    </row>
    <row r="3704">
      <c r="B3704" s="8"/>
      <c r="G3704" s="8"/>
      <c r="M3704" s="8"/>
    </row>
    <row r="3705">
      <c r="B3705" s="8"/>
      <c r="G3705" s="8"/>
      <c r="M3705" s="8"/>
    </row>
    <row r="3706">
      <c r="B3706" s="8"/>
      <c r="G3706" s="8"/>
      <c r="M3706" s="8"/>
    </row>
    <row r="3707">
      <c r="B3707" s="8"/>
      <c r="G3707" s="8"/>
      <c r="M3707" s="8"/>
    </row>
    <row r="3708">
      <c r="B3708" s="8"/>
      <c r="G3708" s="8"/>
      <c r="M3708" s="8"/>
    </row>
    <row r="3709">
      <c r="B3709" s="8"/>
      <c r="G3709" s="8"/>
      <c r="M3709" s="8"/>
    </row>
    <row r="3710">
      <c r="B3710" s="8"/>
      <c r="G3710" s="8"/>
      <c r="M3710" s="8"/>
    </row>
    <row r="3711">
      <c r="B3711" s="8"/>
      <c r="G3711" s="8"/>
      <c r="M3711" s="8"/>
    </row>
    <row r="3712">
      <c r="B3712" s="8"/>
      <c r="G3712" s="8"/>
      <c r="M3712" s="8"/>
    </row>
    <row r="3713">
      <c r="B3713" s="8"/>
      <c r="G3713" s="8"/>
      <c r="M3713" s="8"/>
    </row>
    <row r="3714">
      <c r="B3714" s="8"/>
      <c r="G3714" s="8"/>
      <c r="M3714" s="8"/>
    </row>
    <row r="3715">
      <c r="B3715" s="8"/>
      <c r="G3715" s="8"/>
      <c r="M3715" s="8"/>
    </row>
    <row r="3716">
      <c r="B3716" s="8"/>
      <c r="G3716" s="8"/>
      <c r="M3716" s="8"/>
    </row>
    <row r="3717">
      <c r="B3717" s="8"/>
      <c r="G3717" s="8"/>
      <c r="M3717" s="8"/>
    </row>
    <row r="3718">
      <c r="B3718" s="8"/>
      <c r="G3718" s="8"/>
      <c r="M3718" s="8"/>
    </row>
    <row r="3719">
      <c r="B3719" s="8"/>
      <c r="G3719" s="8"/>
      <c r="M3719" s="8"/>
    </row>
    <row r="3720">
      <c r="B3720" s="8"/>
      <c r="G3720" s="8"/>
      <c r="M3720" s="8"/>
    </row>
    <row r="3721">
      <c r="B3721" s="8"/>
      <c r="G3721" s="8"/>
      <c r="M3721" s="8"/>
    </row>
    <row r="3722">
      <c r="B3722" s="8"/>
      <c r="G3722" s="8"/>
      <c r="M3722" s="8"/>
    </row>
    <row r="3723">
      <c r="B3723" s="8"/>
      <c r="G3723" s="8"/>
      <c r="M3723" s="8"/>
    </row>
    <row r="3724">
      <c r="B3724" s="8"/>
      <c r="G3724" s="8"/>
      <c r="M3724" s="8"/>
    </row>
    <row r="3725">
      <c r="B3725" s="8"/>
      <c r="G3725" s="8"/>
      <c r="M3725" s="8"/>
    </row>
    <row r="3726">
      <c r="B3726" s="8"/>
      <c r="G3726" s="8"/>
      <c r="M3726" s="8"/>
    </row>
    <row r="3727">
      <c r="B3727" s="8"/>
      <c r="G3727" s="8"/>
      <c r="M3727" s="8"/>
    </row>
    <row r="3728">
      <c r="B3728" s="8"/>
      <c r="G3728" s="8"/>
      <c r="M3728" s="8"/>
    </row>
    <row r="3729">
      <c r="B3729" s="8"/>
      <c r="G3729" s="8"/>
      <c r="M3729" s="8"/>
    </row>
    <row r="3730">
      <c r="B3730" s="8"/>
      <c r="G3730" s="8"/>
      <c r="M3730" s="8"/>
    </row>
    <row r="3731">
      <c r="B3731" s="8"/>
      <c r="G3731" s="8"/>
      <c r="M3731" s="8"/>
    </row>
    <row r="3732">
      <c r="B3732" s="8"/>
      <c r="G3732" s="8"/>
      <c r="M3732" s="8"/>
    </row>
    <row r="3733">
      <c r="B3733" s="8"/>
      <c r="G3733" s="8"/>
      <c r="M3733" s="8"/>
    </row>
    <row r="3734">
      <c r="B3734" s="8"/>
      <c r="G3734" s="8"/>
      <c r="M3734" s="8"/>
    </row>
    <row r="3735">
      <c r="B3735" s="8"/>
      <c r="G3735" s="8"/>
      <c r="M3735" s="8"/>
    </row>
    <row r="3736">
      <c r="B3736" s="8"/>
      <c r="G3736" s="8"/>
      <c r="M3736" s="8"/>
    </row>
    <row r="3737">
      <c r="B3737" s="8"/>
      <c r="G3737" s="8"/>
      <c r="M3737" s="8"/>
    </row>
    <row r="3738">
      <c r="B3738" s="8"/>
      <c r="G3738" s="8"/>
      <c r="M3738" s="8"/>
    </row>
    <row r="3739">
      <c r="B3739" s="8"/>
      <c r="G3739" s="8"/>
      <c r="M3739" s="8"/>
    </row>
    <row r="3740">
      <c r="B3740" s="8"/>
      <c r="G3740" s="8"/>
      <c r="M3740" s="8"/>
    </row>
    <row r="3741">
      <c r="B3741" s="8"/>
      <c r="G3741" s="8"/>
      <c r="M3741" s="8"/>
    </row>
    <row r="3742">
      <c r="B3742" s="8"/>
      <c r="G3742" s="8"/>
      <c r="M3742" s="8"/>
    </row>
    <row r="3743">
      <c r="B3743" s="8"/>
      <c r="G3743" s="8"/>
      <c r="M3743" s="8"/>
    </row>
    <row r="3744">
      <c r="B3744" s="8"/>
      <c r="G3744" s="8"/>
      <c r="M3744" s="8"/>
    </row>
    <row r="3745">
      <c r="B3745" s="8"/>
      <c r="G3745" s="8"/>
      <c r="M3745" s="8"/>
    </row>
    <row r="3746">
      <c r="B3746" s="8"/>
      <c r="G3746" s="8"/>
      <c r="M3746" s="8"/>
    </row>
    <row r="3747">
      <c r="B3747" s="8"/>
      <c r="G3747" s="8"/>
      <c r="M3747" s="8"/>
    </row>
    <row r="3748">
      <c r="B3748" s="8"/>
      <c r="G3748" s="8"/>
      <c r="M3748" s="8"/>
    </row>
    <row r="3749">
      <c r="B3749" s="8"/>
      <c r="G3749" s="8"/>
      <c r="M3749" s="8"/>
    </row>
    <row r="3750">
      <c r="B3750" s="8"/>
      <c r="G3750" s="8"/>
      <c r="M3750" s="8"/>
    </row>
    <row r="3751">
      <c r="B3751" s="8"/>
      <c r="G3751" s="8"/>
      <c r="M3751" s="8"/>
    </row>
    <row r="3752">
      <c r="B3752" s="8"/>
      <c r="G3752" s="8"/>
      <c r="M3752" s="8"/>
    </row>
    <row r="3753">
      <c r="B3753" s="8"/>
      <c r="G3753" s="8"/>
      <c r="M3753" s="8"/>
    </row>
    <row r="3754">
      <c r="B3754" s="8"/>
      <c r="G3754" s="8"/>
      <c r="M3754" s="8"/>
    </row>
    <row r="3755">
      <c r="B3755" s="8"/>
      <c r="G3755" s="8"/>
      <c r="M3755" s="8"/>
    </row>
    <row r="3756">
      <c r="B3756" s="8"/>
      <c r="G3756" s="8"/>
      <c r="M3756" s="8"/>
    </row>
    <row r="3757">
      <c r="B3757" s="8"/>
      <c r="G3757" s="8"/>
      <c r="M3757" s="8"/>
    </row>
    <row r="3758">
      <c r="B3758" s="8"/>
      <c r="G3758" s="8"/>
      <c r="M3758" s="8"/>
    </row>
    <row r="3759">
      <c r="B3759" s="8"/>
      <c r="G3759" s="8"/>
      <c r="M3759" s="8"/>
    </row>
    <row r="3760">
      <c r="B3760" s="8"/>
      <c r="G3760" s="8"/>
      <c r="M3760" s="8"/>
    </row>
    <row r="3761">
      <c r="B3761" s="8"/>
      <c r="G3761" s="8"/>
      <c r="M3761" s="8"/>
    </row>
    <row r="3762">
      <c r="B3762" s="8"/>
      <c r="G3762" s="8"/>
      <c r="M3762" s="8"/>
    </row>
    <row r="3763">
      <c r="B3763" s="8"/>
      <c r="G3763" s="8"/>
      <c r="M3763" s="8"/>
    </row>
    <row r="3764">
      <c r="B3764" s="8"/>
      <c r="G3764" s="8"/>
      <c r="M3764" s="8"/>
    </row>
    <row r="3765">
      <c r="B3765" s="8"/>
      <c r="G3765" s="8"/>
      <c r="M3765" s="8"/>
    </row>
    <row r="3766">
      <c r="B3766" s="8"/>
      <c r="G3766" s="8"/>
      <c r="M3766" s="8"/>
    </row>
    <row r="3767">
      <c r="B3767" s="8"/>
      <c r="G3767" s="8"/>
      <c r="M3767" s="8"/>
    </row>
    <row r="3768">
      <c r="B3768" s="8"/>
      <c r="G3768" s="8"/>
      <c r="M3768" s="8"/>
    </row>
    <row r="3769">
      <c r="B3769" s="8"/>
      <c r="G3769" s="8"/>
      <c r="M3769" s="8"/>
    </row>
    <row r="3770">
      <c r="B3770" s="8"/>
      <c r="G3770" s="8"/>
      <c r="M3770" s="8"/>
    </row>
    <row r="3771">
      <c r="B3771" s="8"/>
      <c r="G3771" s="8"/>
      <c r="M3771" s="8"/>
    </row>
    <row r="3772">
      <c r="B3772" s="8"/>
      <c r="G3772" s="8"/>
      <c r="M3772" s="8"/>
    </row>
    <row r="3773">
      <c r="B3773" s="8"/>
      <c r="G3773" s="8"/>
      <c r="M3773" s="8"/>
    </row>
    <row r="3774">
      <c r="B3774" s="8"/>
      <c r="G3774" s="8"/>
      <c r="M3774" s="8"/>
    </row>
    <row r="3775">
      <c r="B3775" s="8"/>
      <c r="G3775" s="8"/>
      <c r="M3775" s="8"/>
    </row>
    <row r="3776">
      <c r="B3776" s="8"/>
      <c r="G3776" s="8"/>
      <c r="M3776" s="8"/>
    </row>
    <row r="3777">
      <c r="B3777" s="8"/>
      <c r="G3777" s="8"/>
      <c r="M3777" s="8"/>
    </row>
    <row r="3778">
      <c r="B3778" s="8"/>
      <c r="G3778" s="8"/>
      <c r="M3778" s="8"/>
    </row>
    <row r="3779">
      <c r="B3779" s="8"/>
      <c r="G3779" s="8"/>
      <c r="M3779" s="8"/>
    </row>
    <row r="3780">
      <c r="B3780" s="8"/>
      <c r="G3780" s="8"/>
      <c r="M3780" s="8"/>
    </row>
    <row r="3781">
      <c r="B3781" s="8"/>
      <c r="G3781" s="8"/>
      <c r="M3781" s="8"/>
    </row>
    <row r="3782">
      <c r="B3782" s="8"/>
      <c r="G3782" s="8"/>
      <c r="M3782" s="8"/>
    </row>
    <row r="3783">
      <c r="B3783" s="8"/>
      <c r="G3783" s="8"/>
      <c r="M3783" s="8"/>
    </row>
    <row r="3784">
      <c r="B3784" s="8"/>
      <c r="G3784" s="8"/>
      <c r="M3784" s="8"/>
    </row>
    <row r="3785">
      <c r="B3785" s="8"/>
      <c r="G3785" s="8"/>
      <c r="M3785" s="8"/>
    </row>
    <row r="3786">
      <c r="B3786" s="8"/>
      <c r="G3786" s="8"/>
      <c r="M3786" s="8"/>
    </row>
    <row r="3787">
      <c r="B3787" s="8"/>
      <c r="G3787" s="8"/>
      <c r="M3787" s="8"/>
    </row>
    <row r="3788">
      <c r="B3788" s="8"/>
      <c r="G3788" s="8"/>
      <c r="M3788" s="8"/>
    </row>
    <row r="3789">
      <c r="B3789" s="8"/>
      <c r="G3789" s="8"/>
      <c r="M3789" s="8"/>
    </row>
    <row r="3790">
      <c r="B3790" s="8"/>
      <c r="G3790" s="8"/>
      <c r="M3790" s="8"/>
    </row>
    <row r="3791">
      <c r="B3791" s="8"/>
      <c r="G3791" s="8"/>
      <c r="M3791" s="8"/>
    </row>
    <row r="3792">
      <c r="B3792" s="8"/>
      <c r="G3792" s="8"/>
      <c r="M3792" s="8"/>
    </row>
    <row r="3793">
      <c r="B3793" s="8"/>
      <c r="G3793" s="8"/>
      <c r="M3793" s="8"/>
    </row>
    <row r="3794">
      <c r="B3794" s="8"/>
      <c r="G3794" s="8"/>
      <c r="M3794" s="8"/>
    </row>
    <row r="3795">
      <c r="B3795" s="8"/>
      <c r="G3795" s="8"/>
      <c r="M3795" s="8"/>
    </row>
    <row r="3796">
      <c r="B3796" s="8"/>
      <c r="G3796" s="8"/>
      <c r="M3796" s="8"/>
    </row>
    <row r="3797">
      <c r="B3797" s="8"/>
      <c r="G3797" s="8"/>
      <c r="M3797" s="8"/>
    </row>
    <row r="3798">
      <c r="B3798" s="8"/>
      <c r="G3798" s="8"/>
      <c r="M3798" s="8"/>
    </row>
    <row r="3799">
      <c r="B3799" s="8"/>
      <c r="G3799" s="8"/>
      <c r="M3799" s="8"/>
    </row>
    <row r="3800">
      <c r="B3800" s="8"/>
      <c r="G3800" s="8"/>
      <c r="M3800" s="8"/>
    </row>
    <row r="3801">
      <c r="B3801" s="8"/>
      <c r="G3801" s="8"/>
      <c r="M3801" s="8"/>
    </row>
    <row r="3802">
      <c r="B3802" s="8"/>
      <c r="G3802" s="8"/>
      <c r="M3802" s="8"/>
    </row>
    <row r="3803">
      <c r="B3803" s="8"/>
      <c r="G3803" s="8"/>
      <c r="M3803" s="8"/>
    </row>
    <row r="3804">
      <c r="B3804" s="8"/>
      <c r="G3804" s="8"/>
      <c r="M3804" s="8"/>
    </row>
    <row r="3805">
      <c r="B3805" s="8"/>
      <c r="G3805" s="8"/>
      <c r="M3805" s="8"/>
    </row>
    <row r="3806">
      <c r="B3806" s="8"/>
      <c r="G3806" s="8"/>
      <c r="M3806" s="8"/>
    </row>
    <row r="3807">
      <c r="B3807" s="8"/>
      <c r="G3807" s="8"/>
      <c r="M3807" s="8"/>
    </row>
    <row r="3808">
      <c r="B3808" s="8"/>
      <c r="G3808" s="8"/>
      <c r="M3808" s="8"/>
    </row>
    <row r="3809">
      <c r="B3809" s="8"/>
      <c r="G3809" s="8"/>
      <c r="M3809" s="8"/>
    </row>
    <row r="3810">
      <c r="B3810" s="8"/>
      <c r="G3810" s="8"/>
      <c r="M3810" s="8"/>
    </row>
    <row r="3811">
      <c r="B3811" s="8"/>
      <c r="G3811" s="8"/>
      <c r="M3811" s="8"/>
    </row>
    <row r="3812">
      <c r="B3812" s="8"/>
      <c r="G3812" s="8"/>
      <c r="M3812" s="8"/>
    </row>
    <row r="3813">
      <c r="B3813" s="8"/>
      <c r="G3813" s="8"/>
      <c r="M3813" s="8"/>
    </row>
    <row r="3814">
      <c r="B3814" s="8"/>
      <c r="G3814" s="8"/>
      <c r="M3814" s="8"/>
    </row>
    <row r="3815">
      <c r="B3815" s="8"/>
      <c r="G3815" s="8"/>
      <c r="M3815" s="8"/>
    </row>
    <row r="3816">
      <c r="B3816" s="8"/>
      <c r="G3816" s="8"/>
      <c r="M3816" s="8"/>
    </row>
    <row r="3817">
      <c r="B3817" s="8"/>
      <c r="G3817" s="8"/>
      <c r="M3817" s="8"/>
    </row>
    <row r="3818">
      <c r="B3818" s="8"/>
      <c r="G3818" s="8"/>
      <c r="M3818" s="8"/>
    </row>
    <row r="3819">
      <c r="B3819" s="8"/>
      <c r="G3819" s="8"/>
      <c r="M3819" s="8"/>
    </row>
    <row r="3820">
      <c r="B3820" s="8"/>
      <c r="G3820" s="8"/>
      <c r="M3820" s="8"/>
    </row>
    <row r="3821">
      <c r="B3821" s="8"/>
      <c r="G3821" s="8"/>
      <c r="M3821" s="8"/>
    </row>
    <row r="3822">
      <c r="B3822" s="8"/>
      <c r="G3822" s="8"/>
      <c r="M3822" s="8"/>
    </row>
    <row r="3823">
      <c r="B3823" s="8"/>
      <c r="G3823" s="8"/>
      <c r="M3823" s="8"/>
    </row>
    <row r="3824">
      <c r="B3824" s="8"/>
      <c r="G3824" s="8"/>
      <c r="M3824" s="8"/>
    </row>
    <row r="3825">
      <c r="B3825" s="8"/>
      <c r="G3825" s="8"/>
      <c r="M3825" s="8"/>
    </row>
    <row r="3826">
      <c r="B3826" s="8"/>
      <c r="G3826" s="8"/>
      <c r="M3826" s="8"/>
    </row>
    <row r="3827">
      <c r="B3827" s="8"/>
      <c r="G3827" s="8"/>
      <c r="M3827" s="8"/>
    </row>
    <row r="3828">
      <c r="B3828" s="8"/>
      <c r="G3828" s="8"/>
      <c r="M3828" s="8"/>
    </row>
    <row r="3829">
      <c r="B3829" s="8"/>
      <c r="G3829" s="8"/>
      <c r="M3829" s="8"/>
    </row>
    <row r="3830">
      <c r="B3830" s="8"/>
      <c r="G3830" s="8"/>
      <c r="M3830" s="8"/>
    </row>
    <row r="3831">
      <c r="B3831" s="8"/>
      <c r="G3831" s="8"/>
      <c r="M3831" s="8"/>
    </row>
    <row r="3832">
      <c r="B3832" s="8"/>
      <c r="G3832" s="8"/>
      <c r="M3832" s="8"/>
    </row>
    <row r="3833">
      <c r="B3833" s="8"/>
      <c r="G3833" s="8"/>
      <c r="M3833" s="8"/>
    </row>
    <row r="3834">
      <c r="B3834" s="8"/>
      <c r="G3834" s="8"/>
      <c r="M3834" s="8"/>
    </row>
    <row r="3835">
      <c r="B3835" s="8"/>
      <c r="G3835" s="8"/>
      <c r="M3835" s="8"/>
    </row>
    <row r="3836">
      <c r="B3836" s="8"/>
      <c r="G3836" s="8"/>
      <c r="M3836" s="8"/>
    </row>
    <row r="3837">
      <c r="B3837" s="8"/>
      <c r="G3837" s="8"/>
      <c r="M3837" s="8"/>
    </row>
    <row r="3838">
      <c r="B3838" s="8"/>
      <c r="G3838" s="8"/>
      <c r="M3838" s="8"/>
    </row>
    <row r="3839">
      <c r="B3839" s="8"/>
      <c r="G3839" s="8"/>
      <c r="M3839" s="8"/>
    </row>
    <row r="3840">
      <c r="B3840" s="8"/>
      <c r="G3840" s="8"/>
      <c r="M3840" s="8"/>
    </row>
    <row r="3841">
      <c r="B3841" s="8"/>
      <c r="G3841" s="8"/>
      <c r="M3841" s="8"/>
    </row>
    <row r="3842">
      <c r="B3842" s="8"/>
      <c r="G3842" s="8"/>
      <c r="M3842" s="8"/>
    </row>
    <row r="3843">
      <c r="B3843" s="8"/>
      <c r="G3843" s="8"/>
      <c r="M3843" s="8"/>
    </row>
    <row r="3844">
      <c r="B3844" s="8"/>
      <c r="G3844" s="8"/>
      <c r="M3844" s="8"/>
    </row>
    <row r="3845">
      <c r="B3845" s="8"/>
      <c r="G3845" s="8"/>
      <c r="M3845" s="8"/>
    </row>
    <row r="3846">
      <c r="B3846" s="8"/>
      <c r="G3846" s="8"/>
      <c r="M3846" s="8"/>
    </row>
    <row r="3847">
      <c r="B3847" s="8"/>
      <c r="G3847" s="8"/>
      <c r="M3847" s="8"/>
    </row>
    <row r="3848">
      <c r="B3848" s="8"/>
      <c r="G3848" s="8"/>
      <c r="M3848" s="8"/>
    </row>
    <row r="3849">
      <c r="B3849" s="8"/>
      <c r="G3849" s="8"/>
      <c r="M3849" s="8"/>
    </row>
    <row r="3850">
      <c r="B3850" s="8"/>
      <c r="G3850" s="8"/>
      <c r="M3850" s="8"/>
    </row>
    <row r="3851">
      <c r="B3851" s="8"/>
      <c r="G3851" s="8"/>
      <c r="M3851" s="8"/>
    </row>
    <row r="3852">
      <c r="B3852" s="8"/>
      <c r="G3852" s="8"/>
      <c r="M3852" s="8"/>
    </row>
    <row r="3853">
      <c r="B3853" s="8"/>
      <c r="G3853" s="8"/>
      <c r="M3853" s="8"/>
    </row>
    <row r="3854">
      <c r="B3854" s="8"/>
      <c r="G3854" s="8"/>
      <c r="M3854" s="8"/>
    </row>
    <row r="3855">
      <c r="B3855" s="8"/>
      <c r="G3855" s="8"/>
      <c r="M3855" s="8"/>
    </row>
    <row r="3856">
      <c r="B3856" s="8"/>
      <c r="G3856" s="8"/>
      <c r="M3856" s="8"/>
    </row>
    <row r="3857">
      <c r="B3857" s="8"/>
      <c r="G3857" s="8"/>
      <c r="M3857" s="8"/>
    </row>
    <row r="3858">
      <c r="B3858" s="8"/>
      <c r="G3858" s="8"/>
      <c r="M3858" s="8"/>
    </row>
    <row r="3859">
      <c r="B3859" s="8"/>
      <c r="G3859" s="8"/>
      <c r="M3859" s="8"/>
    </row>
    <row r="3860">
      <c r="B3860" s="8"/>
      <c r="G3860" s="8"/>
      <c r="M3860" s="8"/>
    </row>
    <row r="3861">
      <c r="B3861" s="8"/>
      <c r="G3861" s="8"/>
      <c r="M3861" s="8"/>
    </row>
    <row r="3862">
      <c r="B3862" s="8"/>
      <c r="G3862" s="8"/>
      <c r="M3862" s="8"/>
    </row>
    <row r="3863">
      <c r="B3863" s="8"/>
      <c r="G3863" s="8"/>
      <c r="M3863" s="8"/>
    </row>
    <row r="3864">
      <c r="B3864" s="8"/>
      <c r="G3864" s="8"/>
      <c r="M3864" s="8"/>
    </row>
    <row r="3865">
      <c r="B3865" s="8"/>
      <c r="G3865" s="8"/>
      <c r="M3865" s="8"/>
    </row>
    <row r="3866">
      <c r="B3866" s="8"/>
      <c r="G3866" s="8"/>
      <c r="M3866" s="8"/>
    </row>
    <row r="3867">
      <c r="B3867" s="8"/>
      <c r="G3867" s="8"/>
      <c r="M3867" s="8"/>
    </row>
    <row r="3868">
      <c r="B3868" s="8"/>
      <c r="G3868" s="8"/>
      <c r="M3868" s="8"/>
    </row>
    <row r="3869">
      <c r="B3869" s="8"/>
      <c r="G3869" s="8"/>
      <c r="M3869" s="8"/>
    </row>
    <row r="3870">
      <c r="B3870" s="8"/>
      <c r="G3870" s="8"/>
      <c r="M3870" s="8"/>
    </row>
    <row r="3871">
      <c r="B3871" s="8"/>
      <c r="G3871" s="8"/>
      <c r="M3871" s="8"/>
    </row>
    <row r="3872">
      <c r="B3872" s="8"/>
      <c r="G3872" s="8"/>
      <c r="M3872" s="8"/>
    </row>
    <row r="3873">
      <c r="B3873" s="8"/>
      <c r="G3873" s="8"/>
      <c r="M3873" s="8"/>
    </row>
    <row r="3874">
      <c r="B3874" s="8"/>
      <c r="G3874" s="8"/>
      <c r="M3874" s="8"/>
    </row>
    <row r="3875">
      <c r="B3875" s="8"/>
      <c r="G3875" s="8"/>
      <c r="M3875" s="8"/>
    </row>
    <row r="3876">
      <c r="B3876" s="8"/>
      <c r="G3876" s="8"/>
      <c r="M3876" s="8"/>
    </row>
    <row r="3877">
      <c r="B3877" s="8"/>
      <c r="G3877" s="8"/>
      <c r="M3877" s="8"/>
    </row>
    <row r="3878">
      <c r="B3878" s="8"/>
      <c r="G3878" s="8"/>
      <c r="M3878" s="8"/>
    </row>
    <row r="3879">
      <c r="B3879" s="8"/>
      <c r="G3879" s="8"/>
      <c r="M3879" s="8"/>
    </row>
    <row r="3880">
      <c r="B3880" s="8"/>
      <c r="G3880" s="8"/>
      <c r="M3880" s="8"/>
    </row>
    <row r="3881">
      <c r="B3881" s="8"/>
      <c r="G3881" s="8"/>
      <c r="M3881" s="8"/>
    </row>
    <row r="3882">
      <c r="B3882" s="8"/>
      <c r="G3882" s="8"/>
      <c r="M3882" s="8"/>
    </row>
    <row r="3883">
      <c r="B3883" s="8"/>
      <c r="G3883" s="8"/>
      <c r="M3883" s="8"/>
    </row>
    <row r="3884">
      <c r="B3884" s="8"/>
      <c r="G3884" s="8"/>
      <c r="M3884" s="8"/>
    </row>
    <row r="3885">
      <c r="B3885" s="8"/>
      <c r="G3885" s="8"/>
      <c r="M3885" s="8"/>
    </row>
    <row r="3886">
      <c r="B3886" s="8"/>
      <c r="G3886" s="8"/>
      <c r="M3886" s="8"/>
    </row>
    <row r="3887">
      <c r="B3887" s="8"/>
      <c r="G3887" s="8"/>
      <c r="M3887" s="8"/>
    </row>
    <row r="3888">
      <c r="B3888" s="8"/>
      <c r="G3888" s="8"/>
      <c r="M3888" s="8"/>
    </row>
    <row r="3889">
      <c r="B3889" s="8"/>
      <c r="G3889" s="8"/>
      <c r="M3889" s="8"/>
    </row>
    <row r="3890">
      <c r="B3890" s="8"/>
      <c r="G3890" s="8"/>
      <c r="M3890" s="8"/>
    </row>
    <row r="3891">
      <c r="B3891" s="8"/>
      <c r="G3891" s="8"/>
      <c r="M3891" s="8"/>
    </row>
    <row r="3892">
      <c r="B3892" s="8"/>
      <c r="G3892" s="8"/>
      <c r="M3892" s="8"/>
    </row>
    <row r="3893">
      <c r="B3893" s="8"/>
      <c r="G3893" s="8"/>
      <c r="M3893" s="8"/>
    </row>
    <row r="3894">
      <c r="B3894" s="8"/>
      <c r="G3894" s="8"/>
      <c r="M3894" s="8"/>
    </row>
    <row r="3895">
      <c r="B3895" s="8"/>
      <c r="G3895" s="8"/>
      <c r="M3895" s="8"/>
    </row>
    <row r="3896">
      <c r="B3896" s="8"/>
      <c r="G3896" s="8"/>
      <c r="M3896" s="8"/>
    </row>
    <row r="3897">
      <c r="B3897" s="8"/>
      <c r="G3897" s="8"/>
      <c r="M3897" s="8"/>
    </row>
    <row r="3898">
      <c r="B3898" s="8"/>
      <c r="G3898" s="8"/>
      <c r="M3898" s="8"/>
    </row>
    <row r="3899">
      <c r="B3899" s="8"/>
      <c r="G3899" s="8"/>
      <c r="M3899" s="8"/>
    </row>
    <row r="3900">
      <c r="B3900" s="8"/>
      <c r="G3900" s="8"/>
      <c r="M3900" s="8"/>
    </row>
    <row r="3901">
      <c r="B3901" s="8"/>
      <c r="G3901" s="8"/>
      <c r="M3901" s="8"/>
    </row>
    <row r="3902">
      <c r="B3902" s="8"/>
      <c r="G3902" s="8"/>
      <c r="M3902" s="8"/>
    </row>
    <row r="3903">
      <c r="B3903" s="8"/>
      <c r="G3903" s="8"/>
      <c r="M3903" s="8"/>
    </row>
    <row r="3904">
      <c r="B3904" s="8"/>
      <c r="G3904" s="8"/>
      <c r="M3904" s="8"/>
    </row>
    <row r="3905">
      <c r="B3905" s="8"/>
      <c r="G3905" s="8"/>
      <c r="M3905" s="8"/>
    </row>
    <row r="3906">
      <c r="B3906" s="8"/>
      <c r="G3906" s="8"/>
      <c r="M3906" s="8"/>
    </row>
    <row r="3907">
      <c r="B3907" s="8"/>
      <c r="G3907" s="8"/>
      <c r="M3907" s="8"/>
    </row>
    <row r="3908">
      <c r="B3908" s="8"/>
      <c r="G3908" s="8"/>
      <c r="M3908" s="8"/>
    </row>
    <row r="3909">
      <c r="B3909" s="8"/>
      <c r="G3909" s="8"/>
      <c r="M3909" s="8"/>
    </row>
    <row r="3910">
      <c r="B3910" s="8"/>
      <c r="G3910" s="8"/>
      <c r="M3910" s="8"/>
    </row>
    <row r="3911">
      <c r="B3911" s="8"/>
      <c r="G3911" s="8"/>
      <c r="M3911" s="8"/>
    </row>
    <row r="3912">
      <c r="B3912" s="8"/>
      <c r="G3912" s="8"/>
      <c r="M3912" s="8"/>
    </row>
    <row r="3913">
      <c r="B3913" s="8"/>
      <c r="G3913" s="8"/>
      <c r="M3913" s="8"/>
    </row>
    <row r="3914">
      <c r="B3914" s="8"/>
      <c r="G3914" s="8"/>
      <c r="M3914" s="8"/>
    </row>
    <row r="3915">
      <c r="B3915" s="8"/>
      <c r="G3915" s="8"/>
      <c r="M3915" s="8"/>
    </row>
    <row r="3916">
      <c r="B3916" s="8"/>
      <c r="G3916" s="8"/>
      <c r="M3916" s="8"/>
    </row>
    <row r="3917">
      <c r="B3917" s="8"/>
      <c r="G3917" s="8"/>
      <c r="M3917" s="8"/>
    </row>
    <row r="3918">
      <c r="B3918" s="8"/>
      <c r="G3918" s="8"/>
      <c r="M3918" s="8"/>
    </row>
    <row r="3919">
      <c r="B3919" s="8"/>
      <c r="G3919" s="8"/>
      <c r="M3919" s="8"/>
    </row>
    <row r="3920">
      <c r="B3920" s="8"/>
      <c r="G3920" s="8"/>
      <c r="M3920" s="8"/>
    </row>
    <row r="3921">
      <c r="B3921" s="8"/>
      <c r="G3921" s="8"/>
      <c r="M3921" s="8"/>
    </row>
    <row r="3922">
      <c r="B3922" s="8"/>
      <c r="G3922" s="8"/>
      <c r="M3922" s="8"/>
    </row>
    <row r="3923">
      <c r="B3923" s="8"/>
      <c r="G3923" s="8"/>
      <c r="M3923" s="8"/>
    </row>
    <row r="3924">
      <c r="B3924" s="8"/>
      <c r="G3924" s="8"/>
      <c r="M3924" s="8"/>
    </row>
    <row r="3925">
      <c r="B3925" s="8"/>
      <c r="G3925" s="8"/>
      <c r="M3925" s="8"/>
    </row>
    <row r="3926">
      <c r="B3926" s="8"/>
      <c r="G3926" s="8"/>
      <c r="M3926" s="8"/>
    </row>
    <row r="3927">
      <c r="B3927" s="8"/>
      <c r="G3927" s="8"/>
      <c r="M3927" s="8"/>
    </row>
    <row r="3928">
      <c r="B3928" s="8"/>
      <c r="G3928" s="8"/>
      <c r="M3928" s="8"/>
    </row>
    <row r="3929">
      <c r="B3929" s="8"/>
      <c r="G3929" s="8"/>
      <c r="M3929" s="8"/>
    </row>
    <row r="3930">
      <c r="B3930" s="8"/>
      <c r="G3930" s="8"/>
      <c r="M3930" s="8"/>
    </row>
    <row r="3931">
      <c r="B3931" s="8"/>
      <c r="G3931" s="8"/>
      <c r="M3931" s="8"/>
    </row>
    <row r="3932">
      <c r="B3932" s="8"/>
      <c r="G3932" s="8"/>
      <c r="M3932" s="8"/>
    </row>
    <row r="3933">
      <c r="B3933" s="8"/>
      <c r="G3933" s="8"/>
      <c r="M3933" s="8"/>
    </row>
    <row r="3934">
      <c r="B3934" s="8"/>
      <c r="G3934" s="8"/>
      <c r="M3934" s="8"/>
    </row>
    <row r="3935">
      <c r="B3935" s="8"/>
      <c r="G3935" s="8"/>
      <c r="M3935" s="8"/>
    </row>
    <row r="3936">
      <c r="B3936" s="8"/>
      <c r="G3936" s="8"/>
      <c r="M3936" s="8"/>
    </row>
    <row r="3937">
      <c r="B3937" s="8"/>
      <c r="G3937" s="8"/>
      <c r="M3937" s="8"/>
    </row>
    <row r="3938">
      <c r="B3938" s="8"/>
      <c r="G3938" s="8"/>
      <c r="M3938" s="8"/>
    </row>
    <row r="3939">
      <c r="B3939" s="8"/>
      <c r="G3939" s="8"/>
      <c r="M3939" s="8"/>
    </row>
    <row r="3940">
      <c r="B3940" s="8"/>
      <c r="G3940" s="8"/>
      <c r="M3940" s="8"/>
    </row>
    <row r="3941">
      <c r="B3941" s="8"/>
      <c r="G3941" s="8"/>
      <c r="M3941" s="8"/>
    </row>
    <row r="3942">
      <c r="B3942" s="8"/>
      <c r="G3942" s="8"/>
      <c r="M3942" s="8"/>
    </row>
    <row r="3943">
      <c r="B3943" s="8"/>
      <c r="G3943" s="8"/>
      <c r="M3943" s="8"/>
    </row>
    <row r="3944">
      <c r="B3944" s="8"/>
      <c r="G3944" s="8"/>
      <c r="M3944" s="8"/>
    </row>
    <row r="3945">
      <c r="B3945" s="8"/>
      <c r="G3945" s="8"/>
      <c r="M3945" s="8"/>
    </row>
    <row r="3946">
      <c r="B3946" s="8"/>
      <c r="G3946" s="8"/>
      <c r="M3946" s="8"/>
    </row>
    <row r="3947">
      <c r="B3947" s="8"/>
      <c r="G3947" s="8"/>
      <c r="M3947" s="8"/>
    </row>
    <row r="3948">
      <c r="B3948" s="8"/>
      <c r="G3948" s="8"/>
      <c r="M3948" s="8"/>
    </row>
    <row r="3949">
      <c r="B3949" s="8"/>
      <c r="G3949" s="8"/>
      <c r="M3949" s="8"/>
    </row>
    <row r="3950">
      <c r="B3950" s="8"/>
      <c r="G3950" s="8"/>
      <c r="M3950" s="8"/>
    </row>
    <row r="3951">
      <c r="B3951" s="8"/>
      <c r="G3951" s="8"/>
      <c r="M3951" s="8"/>
    </row>
    <row r="3952">
      <c r="B3952" s="8"/>
      <c r="G3952" s="8"/>
      <c r="M3952" s="8"/>
    </row>
    <row r="3953">
      <c r="B3953" s="8"/>
      <c r="G3953" s="8"/>
      <c r="M3953" s="8"/>
    </row>
    <row r="3954">
      <c r="B3954" s="8"/>
      <c r="G3954" s="8"/>
      <c r="M3954" s="8"/>
    </row>
    <row r="3955">
      <c r="B3955" s="8"/>
      <c r="G3955" s="8"/>
      <c r="M3955" s="8"/>
    </row>
    <row r="3956">
      <c r="B3956" s="8"/>
      <c r="G3956" s="8"/>
      <c r="M3956" s="8"/>
    </row>
    <row r="3957">
      <c r="B3957" s="8"/>
      <c r="G3957" s="8"/>
      <c r="M3957" s="8"/>
    </row>
    <row r="3958">
      <c r="B3958" s="8"/>
      <c r="G3958" s="8"/>
      <c r="M3958" s="8"/>
    </row>
    <row r="3959">
      <c r="B3959" s="8"/>
      <c r="G3959" s="8"/>
      <c r="M3959" s="8"/>
    </row>
    <row r="3960">
      <c r="B3960" s="8"/>
      <c r="G3960" s="8"/>
      <c r="M3960" s="8"/>
    </row>
    <row r="3961">
      <c r="B3961" s="8"/>
      <c r="G3961" s="8"/>
      <c r="M3961" s="8"/>
    </row>
    <row r="3962">
      <c r="B3962" s="8"/>
      <c r="G3962" s="8"/>
      <c r="M3962" s="8"/>
    </row>
    <row r="3963">
      <c r="B3963" s="8"/>
      <c r="G3963" s="8"/>
      <c r="M3963" s="8"/>
    </row>
    <row r="3964">
      <c r="B3964" s="8"/>
      <c r="G3964" s="8"/>
      <c r="M3964" s="8"/>
    </row>
    <row r="3965">
      <c r="B3965" s="8"/>
      <c r="G3965" s="8"/>
      <c r="M3965" s="8"/>
    </row>
    <row r="3966">
      <c r="B3966" s="8"/>
      <c r="G3966" s="8"/>
      <c r="M3966" s="8"/>
    </row>
    <row r="3967">
      <c r="B3967" s="8"/>
      <c r="G3967" s="8"/>
      <c r="M3967" s="8"/>
    </row>
    <row r="3968">
      <c r="B3968" s="8"/>
      <c r="G3968" s="8"/>
      <c r="M3968" s="8"/>
    </row>
    <row r="3969">
      <c r="B3969" s="8"/>
      <c r="G3969" s="8"/>
      <c r="M3969" s="8"/>
    </row>
    <row r="3970">
      <c r="B3970" s="8"/>
      <c r="G3970" s="8"/>
      <c r="M3970" s="8"/>
    </row>
    <row r="3971">
      <c r="B3971" s="8"/>
      <c r="G3971" s="8"/>
      <c r="M3971" s="8"/>
    </row>
    <row r="3972">
      <c r="B3972" s="8"/>
      <c r="G3972" s="8"/>
      <c r="M3972" s="8"/>
    </row>
    <row r="3973">
      <c r="B3973" s="8"/>
      <c r="G3973" s="8"/>
      <c r="M3973" s="8"/>
    </row>
    <row r="3974">
      <c r="B3974" s="8"/>
      <c r="G3974" s="8"/>
      <c r="M3974" s="8"/>
    </row>
    <row r="3975">
      <c r="B3975" s="8"/>
      <c r="G3975" s="8"/>
      <c r="M3975" s="8"/>
    </row>
    <row r="3976">
      <c r="B3976" s="8"/>
      <c r="G3976" s="8"/>
      <c r="M3976" s="8"/>
    </row>
    <row r="3977">
      <c r="B3977" s="8"/>
      <c r="G3977" s="8"/>
      <c r="M3977" s="8"/>
    </row>
    <row r="3978">
      <c r="B3978" s="8"/>
      <c r="G3978" s="8"/>
      <c r="M3978" s="8"/>
    </row>
    <row r="3979">
      <c r="B3979" s="8"/>
      <c r="G3979" s="8"/>
      <c r="M3979" s="8"/>
    </row>
    <row r="3980">
      <c r="B3980" s="8"/>
      <c r="G3980" s="8"/>
      <c r="M3980" s="8"/>
    </row>
    <row r="3981">
      <c r="B3981" s="8"/>
      <c r="G3981" s="8"/>
      <c r="M3981" s="8"/>
    </row>
    <row r="3982">
      <c r="B3982" s="8"/>
      <c r="G3982" s="8"/>
      <c r="M3982" s="8"/>
    </row>
    <row r="3983">
      <c r="B3983" s="8"/>
      <c r="G3983" s="8"/>
      <c r="M3983" s="8"/>
    </row>
    <row r="3984">
      <c r="B3984" s="8"/>
      <c r="G3984" s="8"/>
      <c r="M3984" s="8"/>
    </row>
    <row r="3985">
      <c r="B3985" s="8"/>
      <c r="G3985" s="8"/>
      <c r="M3985" s="8"/>
    </row>
    <row r="3986">
      <c r="B3986" s="8"/>
      <c r="G3986" s="8"/>
      <c r="M3986" s="8"/>
    </row>
    <row r="3987">
      <c r="B3987" s="8"/>
      <c r="G3987" s="8"/>
      <c r="M3987" s="8"/>
    </row>
    <row r="3988">
      <c r="B3988" s="8"/>
      <c r="G3988" s="8"/>
      <c r="M3988" s="8"/>
    </row>
    <row r="3989">
      <c r="B3989" s="8"/>
      <c r="G3989" s="8"/>
      <c r="M3989" s="8"/>
    </row>
    <row r="3990">
      <c r="B3990" s="8"/>
      <c r="G3990" s="8"/>
      <c r="M3990" s="8"/>
    </row>
    <row r="3991">
      <c r="B3991" s="8"/>
      <c r="G3991" s="8"/>
      <c r="M3991" s="8"/>
    </row>
    <row r="3992">
      <c r="B3992" s="8"/>
      <c r="G3992" s="8"/>
      <c r="M3992" s="8"/>
    </row>
    <row r="3993">
      <c r="B3993" s="8"/>
      <c r="G3993" s="8"/>
      <c r="M3993" s="8"/>
    </row>
    <row r="3994">
      <c r="B3994" s="8"/>
      <c r="G3994" s="8"/>
      <c r="M3994" s="8"/>
    </row>
    <row r="3995">
      <c r="B3995" s="8"/>
      <c r="G3995" s="8"/>
      <c r="M3995" s="8"/>
    </row>
    <row r="3996">
      <c r="B3996" s="8"/>
      <c r="G3996" s="8"/>
      <c r="M3996" s="8"/>
    </row>
    <row r="3997">
      <c r="B3997" s="8"/>
      <c r="G3997" s="8"/>
      <c r="M3997" s="8"/>
    </row>
    <row r="3998">
      <c r="B3998" s="8"/>
      <c r="G3998" s="8"/>
      <c r="M3998" s="8"/>
    </row>
    <row r="3999">
      <c r="B3999" s="8"/>
      <c r="G3999" s="8"/>
      <c r="M3999" s="8"/>
    </row>
    <row r="4000">
      <c r="B4000" s="8"/>
      <c r="G4000" s="8"/>
      <c r="M4000" s="8"/>
    </row>
    <row r="4001">
      <c r="B4001" s="8"/>
      <c r="G4001" s="8"/>
      <c r="M4001" s="8"/>
    </row>
    <row r="4002">
      <c r="B4002" s="8"/>
      <c r="G4002" s="8"/>
      <c r="M4002" s="8"/>
    </row>
    <row r="4003">
      <c r="B4003" s="8"/>
      <c r="G4003" s="8"/>
      <c r="M4003" s="8"/>
    </row>
    <row r="4004">
      <c r="B4004" s="8"/>
      <c r="G4004" s="8"/>
      <c r="M4004" s="8"/>
    </row>
    <row r="4005">
      <c r="B4005" s="8"/>
      <c r="G4005" s="8"/>
      <c r="M4005" s="8"/>
    </row>
    <row r="4006">
      <c r="B4006" s="8"/>
      <c r="G4006" s="8"/>
      <c r="M4006" s="8"/>
    </row>
    <row r="4007">
      <c r="B4007" s="8"/>
      <c r="G4007" s="8"/>
      <c r="M4007" s="8"/>
    </row>
    <row r="4008">
      <c r="B4008" s="8"/>
      <c r="G4008" s="8"/>
      <c r="M4008" s="8"/>
    </row>
    <row r="4009">
      <c r="B4009" s="8"/>
      <c r="G4009" s="8"/>
      <c r="M4009" s="8"/>
    </row>
    <row r="4010">
      <c r="B4010" s="8"/>
      <c r="G4010" s="8"/>
      <c r="M4010" s="8"/>
    </row>
    <row r="4011">
      <c r="B4011" s="8"/>
      <c r="G4011" s="8"/>
      <c r="M4011" s="8"/>
    </row>
    <row r="4012">
      <c r="B4012" s="8"/>
      <c r="G4012" s="8"/>
      <c r="M4012" s="8"/>
    </row>
    <row r="4013">
      <c r="B4013" s="8"/>
      <c r="G4013" s="8"/>
      <c r="M4013" s="8"/>
    </row>
    <row r="4014">
      <c r="B4014" s="8"/>
      <c r="G4014" s="8"/>
      <c r="M4014" s="8"/>
    </row>
    <row r="4015">
      <c r="B4015" s="8"/>
      <c r="G4015" s="8"/>
      <c r="M4015" s="8"/>
    </row>
    <row r="4016">
      <c r="B4016" s="8"/>
      <c r="G4016" s="8"/>
      <c r="M4016" s="8"/>
    </row>
    <row r="4017">
      <c r="B4017" s="8"/>
      <c r="G4017" s="8"/>
      <c r="M4017" s="8"/>
    </row>
    <row r="4018">
      <c r="B4018" s="8"/>
      <c r="G4018" s="8"/>
      <c r="M4018" s="8"/>
    </row>
    <row r="4019">
      <c r="B4019" s="8"/>
      <c r="G4019" s="8"/>
      <c r="M4019" s="8"/>
    </row>
    <row r="4020">
      <c r="B4020" s="8"/>
      <c r="G4020" s="8"/>
      <c r="M4020" s="8"/>
    </row>
    <row r="4021">
      <c r="B4021" s="8"/>
      <c r="G4021" s="8"/>
      <c r="M4021" s="8"/>
    </row>
    <row r="4022">
      <c r="B4022" s="8"/>
      <c r="G4022" s="8"/>
      <c r="M4022" s="8"/>
    </row>
    <row r="4023">
      <c r="B4023" s="8"/>
      <c r="G4023" s="8"/>
      <c r="M4023" s="8"/>
    </row>
    <row r="4024">
      <c r="B4024" s="8"/>
      <c r="G4024" s="8"/>
      <c r="M4024" s="8"/>
    </row>
    <row r="4025">
      <c r="B4025" s="8"/>
      <c r="G4025" s="8"/>
      <c r="M4025" s="8"/>
    </row>
    <row r="4026">
      <c r="B4026" s="8"/>
      <c r="G4026" s="8"/>
      <c r="M4026" s="8"/>
    </row>
    <row r="4027">
      <c r="B4027" s="8"/>
      <c r="G4027" s="8"/>
      <c r="M4027" s="8"/>
    </row>
    <row r="4028">
      <c r="B4028" s="8"/>
      <c r="G4028" s="8"/>
      <c r="M4028" s="8"/>
    </row>
    <row r="4029">
      <c r="B4029" s="8"/>
      <c r="G4029" s="8"/>
      <c r="M4029" s="8"/>
    </row>
    <row r="4030">
      <c r="B4030" s="8"/>
      <c r="G4030" s="8"/>
      <c r="M4030" s="8"/>
    </row>
    <row r="4031">
      <c r="B4031" s="8"/>
      <c r="G4031" s="8"/>
      <c r="M4031" s="8"/>
    </row>
    <row r="4032">
      <c r="B4032" s="8"/>
      <c r="G4032" s="8"/>
      <c r="M4032" s="8"/>
    </row>
    <row r="4033">
      <c r="B4033" s="8"/>
      <c r="G4033" s="8"/>
      <c r="M4033" s="8"/>
    </row>
    <row r="4034">
      <c r="B4034" s="8"/>
      <c r="G4034" s="8"/>
      <c r="M4034" s="8"/>
    </row>
    <row r="4035">
      <c r="B4035" s="8"/>
      <c r="G4035" s="8"/>
      <c r="M4035" s="8"/>
    </row>
    <row r="4036">
      <c r="B4036" s="8"/>
      <c r="G4036" s="8"/>
      <c r="M4036" s="8"/>
    </row>
    <row r="4037">
      <c r="B4037" s="8"/>
      <c r="G4037" s="8"/>
      <c r="M4037" s="8"/>
    </row>
    <row r="4038">
      <c r="B4038" s="8"/>
      <c r="G4038" s="8"/>
      <c r="M4038" s="8"/>
    </row>
    <row r="4039">
      <c r="B4039" s="8"/>
      <c r="G4039" s="8"/>
      <c r="M4039" s="8"/>
    </row>
    <row r="4040">
      <c r="B4040" s="8"/>
      <c r="G4040" s="8"/>
      <c r="M4040" s="8"/>
    </row>
    <row r="4041">
      <c r="B4041" s="8"/>
      <c r="G4041" s="8"/>
      <c r="M4041" s="8"/>
    </row>
    <row r="4042">
      <c r="B4042" s="8"/>
      <c r="G4042" s="8"/>
      <c r="M4042" s="8"/>
    </row>
    <row r="4043">
      <c r="B4043" s="8"/>
      <c r="G4043" s="8"/>
      <c r="M4043" s="8"/>
    </row>
    <row r="4044">
      <c r="B4044" s="8"/>
      <c r="G4044" s="8"/>
      <c r="M4044" s="8"/>
    </row>
    <row r="4045">
      <c r="B4045" s="8"/>
      <c r="G4045" s="8"/>
      <c r="M4045" s="8"/>
    </row>
    <row r="4046">
      <c r="B4046" s="8"/>
      <c r="G4046" s="8"/>
      <c r="M4046" s="8"/>
    </row>
    <row r="4047">
      <c r="B4047" s="8"/>
      <c r="G4047" s="8"/>
      <c r="M4047" s="8"/>
    </row>
    <row r="4048">
      <c r="B4048" s="8"/>
      <c r="G4048" s="8"/>
      <c r="M4048" s="8"/>
    </row>
    <row r="4049">
      <c r="B4049" s="8"/>
      <c r="G4049" s="8"/>
      <c r="M4049" s="8"/>
    </row>
    <row r="4050">
      <c r="B4050" s="8"/>
      <c r="G4050" s="8"/>
      <c r="M4050" s="8"/>
    </row>
    <row r="4051">
      <c r="B4051" s="8"/>
      <c r="G4051" s="8"/>
      <c r="M4051" s="8"/>
    </row>
    <row r="4052">
      <c r="B4052" s="8"/>
      <c r="G4052" s="8"/>
      <c r="M4052" s="8"/>
    </row>
    <row r="4053">
      <c r="B4053" s="8"/>
      <c r="G4053" s="8"/>
      <c r="M4053" s="8"/>
    </row>
    <row r="4054">
      <c r="B4054" s="8"/>
      <c r="G4054" s="8"/>
      <c r="M4054" s="8"/>
    </row>
    <row r="4055">
      <c r="B4055" s="8"/>
      <c r="G4055" s="8"/>
      <c r="M4055" s="8"/>
    </row>
    <row r="4056">
      <c r="B4056" s="8"/>
      <c r="G4056" s="8"/>
      <c r="M4056" s="8"/>
    </row>
    <row r="4057">
      <c r="B4057" s="8"/>
      <c r="G4057" s="8"/>
      <c r="M4057" s="8"/>
    </row>
    <row r="4058">
      <c r="B4058" s="8"/>
      <c r="G4058" s="8"/>
      <c r="M4058" s="8"/>
    </row>
    <row r="4059">
      <c r="B4059" s="8"/>
      <c r="G4059" s="8"/>
      <c r="M4059" s="8"/>
    </row>
    <row r="4060">
      <c r="B4060" s="8"/>
      <c r="G4060" s="8"/>
      <c r="M4060" s="8"/>
    </row>
    <row r="4061">
      <c r="B4061" s="8"/>
      <c r="G4061" s="8"/>
      <c r="M4061" s="8"/>
    </row>
    <row r="4062">
      <c r="B4062" s="8"/>
      <c r="G4062" s="8"/>
      <c r="M4062" s="8"/>
    </row>
    <row r="4063">
      <c r="B4063" s="8"/>
      <c r="G4063" s="8"/>
      <c r="M4063" s="8"/>
    </row>
    <row r="4064">
      <c r="B4064" s="8"/>
      <c r="G4064" s="8"/>
      <c r="M4064" s="8"/>
    </row>
    <row r="4065">
      <c r="B4065" s="8"/>
      <c r="G4065" s="8"/>
      <c r="M4065" s="8"/>
    </row>
    <row r="4066">
      <c r="B4066" s="8"/>
      <c r="G4066" s="8"/>
      <c r="M4066" s="8"/>
    </row>
    <row r="4067">
      <c r="B4067" s="8"/>
      <c r="G4067" s="8"/>
      <c r="M4067" s="8"/>
    </row>
    <row r="4068">
      <c r="B4068" s="8"/>
      <c r="G4068" s="8"/>
      <c r="M4068" s="8"/>
    </row>
    <row r="4069">
      <c r="B4069" s="8"/>
      <c r="G4069" s="8"/>
      <c r="M4069" s="8"/>
    </row>
    <row r="4070">
      <c r="B4070" s="8"/>
      <c r="G4070" s="8"/>
      <c r="M4070" s="8"/>
    </row>
    <row r="4071">
      <c r="B4071" s="8"/>
      <c r="G4071" s="8"/>
      <c r="M4071" s="8"/>
    </row>
    <row r="4072">
      <c r="B4072" s="8"/>
      <c r="G4072" s="8"/>
      <c r="M4072" s="8"/>
    </row>
    <row r="4073">
      <c r="B4073" s="8"/>
      <c r="G4073" s="8"/>
      <c r="M4073" s="8"/>
    </row>
    <row r="4074">
      <c r="B4074" s="8"/>
      <c r="G4074" s="8"/>
      <c r="M4074" s="8"/>
    </row>
    <row r="4075">
      <c r="B4075" s="8"/>
      <c r="G4075" s="8"/>
      <c r="M4075" s="8"/>
    </row>
    <row r="4076">
      <c r="B4076" s="8"/>
      <c r="G4076" s="8"/>
      <c r="M4076" s="8"/>
    </row>
    <row r="4077">
      <c r="B4077" s="8"/>
      <c r="G4077" s="8"/>
      <c r="M4077" s="8"/>
    </row>
    <row r="4078">
      <c r="B4078" s="8"/>
      <c r="G4078" s="8"/>
      <c r="M4078" s="8"/>
    </row>
    <row r="4079">
      <c r="B4079" s="8"/>
      <c r="G4079" s="8"/>
      <c r="M4079" s="8"/>
    </row>
    <row r="4080">
      <c r="B4080" s="8"/>
      <c r="G4080" s="8"/>
      <c r="M4080" s="8"/>
    </row>
    <row r="4081">
      <c r="B4081" s="8"/>
      <c r="G4081" s="8"/>
      <c r="M4081" s="8"/>
    </row>
    <row r="4082">
      <c r="B4082" s="8"/>
      <c r="G4082" s="8"/>
      <c r="M4082" s="8"/>
    </row>
    <row r="4083">
      <c r="B4083" s="8"/>
      <c r="G4083" s="8"/>
      <c r="M4083" s="8"/>
    </row>
    <row r="4084">
      <c r="B4084" s="8"/>
      <c r="G4084" s="8"/>
      <c r="M4084" s="8"/>
    </row>
    <row r="4085">
      <c r="B4085" s="8"/>
      <c r="G4085" s="8"/>
      <c r="M4085" s="8"/>
    </row>
    <row r="4086">
      <c r="B4086" s="8"/>
      <c r="G4086" s="8"/>
      <c r="M4086" s="8"/>
    </row>
    <row r="4087">
      <c r="B4087" s="8"/>
      <c r="G4087" s="8"/>
      <c r="M4087" s="8"/>
    </row>
    <row r="4088">
      <c r="B4088" s="8"/>
      <c r="G4088" s="8"/>
      <c r="M4088" s="8"/>
    </row>
    <row r="4089">
      <c r="B4089" s="8"/>
      <c r="G4089" s="8"/>
      <c r="M4089" s="8"/>
    </row>
    <row r="4090">
      <c r="B4090" s="8"/>
      <c r="G4090" s="8"/>
      <c r="M4090" s="8"/>
    </row>
    <row r="4091">
      <c r="B4091" s="8"/>
      <c r="G4091" s="8"/>
      <c r="M4091" s="8"/>
    </row>
    <row r="4092">
      <c r="B4092" s="8"/>
      <c r="G4092" s="8"/>
      <c r="M4092" s="8"/>
    </row>
    <row r="4093">
      <c r="B4093" s="8"/>
      <c r="G4093" s="8"/>
      <c r="M4093" s="8"/>
    </row>
    <row r="4094">
      <c r="B4094" s="8"/>
      <c r="G4094" s="8"/>
      <c r="M4094" s="8"/>
    </row>
    <row r="4095">
      <c r="B4095" s="8"/>
      <c r="G4095" s="8"/>
      <c r="M4095" s="8"/>
    </row>
    <row r="4096">
      <c r="B4096" s="8"/>
      <c r="G4096" s="8"/>
      <c r="M4096" s="8"/>
    </row>
    <row r="4097">
      <c r="B4097" s="8"/>
      <c r="G4097" s="8"/>
      <c r="M4097" s="8"/>
    </row>
    <row r="4098">
      <c r="B4098" s="8"/>
      <c r="G4098" s="8"/>
      <c r="M4098" s="8"/>
    </row>
    <row r="4099">
      <c r="B4099" s="8"/>
      <c r="G4099" s="8"/>
      <c r="M4099" s="8"/>
    </row>
    <row r="4100">
      <c r="B4100" s="8"/>
      <c r="G4100" s="8"/>
      <c r="M4100" s="8"/>
    </row>
    <row r="4101">
      <c r="B4101" s="8"/>
      <c r="G4101" s="8"/>
      <c r="M4101" s="8"/>
    </row>
    <row r="4102">
      <c r="B4102" s="8"/>
      <c r="G4102" s="8"/>
      <c r="M4102" s="8"/>
    </row>
    <row r="4103">
      <c r="B4103" s="8"/>
      <c r="G4103" s="8"/>
      <c r="M4103" s="8"/>
    </row>
    <row r="4104">
      <c r="B4104" s="8"/>
      <c r="G4104" s="8"/>
      <c r="M4104" s="8"/>
    </row>
    <row r="4105">
      <c r="B4105" s="8"/>
      <c r="G4105" s="8"/>
      <c r="M4105" s="8"/>
    </row>
    <row r="4106">
      <c r="B4106" s="8"/>
      <c r="G4106" s="8"/>
      <c r="M4106" s="8"/>
    </row>
    <row r="4107">
      <c r="B4107" s="8"/>
      <c r="G4107" s="8"/>
      <c r="M4107" s="8"/>
    </row>
    <row r="4108">
      <c r="B4108" s="8"/>
      <c r="G4108" s="8"/>
      <c r="M4108" s="8"/>
    </row>
    <row r="4109">
      <c r="B4109" s="8"/>
      <c r="G4109" s="8"/>
      <c r="M4109" s="8"/>
    </row>
    <row r="4110">
      <c r="B4110" s="8"/>
      <c r="G4110" s="8"/>
      <c r="M4110" s="8"/>
    </row>
    <row r="4111">
      <c r="B4111" s="8"/>
      <c r="G4111" s="8"/>
      <c r="M4111" s="8"/>
    </row>
    <row r="4112">
      <c r="B4112" s="8"/>
      <c r="G4112" s="8"/>
      <c r="M4112" s="8"/>
    </row>
    <row r="4113">
      <c r="B4113" s="8"/>
      <c r="G4113" s="8"/>
      <c r="M4113" s="8"/>
    </row>
    <row r="4114">
      <c r="B4114" s="8"/>
      <c r="G4114" s="8"/>
      <c r="M4114" s="8"/>
    </row>
    <row r="4115">
      <c r="B4115" s="8"/>
      <c r="G4115" s="8"/>
      <c r="M4115" s="8"/>
    </row>
    <row r="4116">
      <c r="B4116" s="8"/>
      <c r="G4116" s="8"/>
      <c r="M4116" s="8"/>
    </row>
    <row r="4117">
      <c r="B4117" s="8"/>
      <c r="G4117" s="8"/>
      <c r="M4117" s="8"/>
    </row>
    <row r="4118">
      <c r="B4118" s="8"/>
      <c r="G4118" s="8"/>
      <c r="M4118" s="8"/>
    </row>
    <row r="4119">
      <c r="B4119" s="8"/>
      <c r="G4119" s="8"/>
      <c r="M4119" s="8"/>
    </row>
    <row r="4120">
      <c r="B4120" s="8"/>
      <c r="G4120" s="8"/>
      <c r="M4120" s="8"/>
    </row>
    <row r="4121">
      <c r="B4121" s="8"/>
      <c r="G4121" s="8"/>
      <c r="M4121" s="8"/>
    </row>
    <row r="4122">
      <c r="B4122" s="8"/>
      <c r="G4122" s="8"/>
      <c r="M4122" s="8"/>
    </row>
    <row r="4123">
      <c r="B4123" s="8"/>
      <c r="G4123" s="8"/>
      <c r="M4123" s="8"/>
    </row>
    <row r="4124">
      <c r="B4124" s="8"/>
      <c r="G4124" s="8"/>
      <c r="M4124" s="8"/>
    </row>
    <row r="4125">
      <c r="B4125" s="8"/>
      <c r="G4125" s="8"/>
      <c r="M4125" s="8"/>
    </row>
    <row r="4126">
      <c r="B4126" s="8"/>
      <c r="G4126" s="8"/>
      <c r="M4126" s="8"/>
    </row>
    <row r="4127">
      <c r="B4127" s="8"/>
      <c r="G4127" s="8"/>
      <c r="M4127" s="8"/>
    </row>
    <row r="4128">
      <c r="B4128" s="8"/>
      <c r="G4128" s="8"/>
      <c r="M4128" s="8"/>
    </row>
    <row r="4129">
      <c r="B4129" s="8"/>
      <c r="G4129" s="8"/>
      <c r="M4129" s="8"/>
    </row>
    <row r="4130">
      <c r="B4130" s="8"/>
      <c r="G4130" s="8"/>
      <c r="M4130" s="8"/>
    </row>
    <row r="4131">
      <c r="B4131" s="8"/>
      <c r="G4131" s="8"/>
      <c r="M4131" s="8"/>
    </row>
    <row r="4132">
      <c r="B4132" s="8"/>
      <c r="G4132" s="8"/>
      <c r="M4132" s="8"/>
    </row>
    <row r="4133">
      <c r="B4133" s="8"/>
      <c r="G4133" s="8"/>
      <c r="M4133" s="8"/>
    </row>
    <row r="4134">
      <c r="B4134" s="8"/>
      <c r="G4134" s="8"/>
      <c r="M4134" s="8"/>
    </row>
    <row r="4135">
      <c r="B4135" s="8"/>
      <c r="G4135" s="8"/>
      <c r="M4135" s="8"/>
    </row>
    <row r="4136">
      <c r="B4136" s="8"/>
      <c r="G4136" s="8"/>
      <c r="M4136" s="8"/>
    </row>
    <row r="4137">
      <c r="B4137" s="8"/>
      <c r="G4137" s="8"/>
      <c r="M4137" s="8"/>
    </row>
    <row r="4138">
      <c r="B4138" s="8"/>
      <c r="G4138" s="8"/>
      <c r="M4138" s="8"/>
    </row>
    <row r="4139">
      <c r="B4139" s="8"/>
      <c r="G4139" s="8"/>
      <c r="M4139" s="8"/>
    </row>
    <row r="4140">
      <c r="B4140" s="8"/>
      <c r="G4140" s="8"/>
      <c r="M4140" s="8"/>
    </row>
    <row r="4141">
      <c r="B4141" s="8"/>
      <c r="G4141" s="8"/>
      <c r="M4141" s="8"/>
    </row>
    <row r="4142">
      <c r="B4142" s="8"/>
      <c r="G4142" s="8"/>
      <c r="M4142" s="8"/>
    </row>
    <row r="4143">
      <c r="B4143" s="8"/>
      <c r="G4143" s="8"/>
      <c r="M4143" s="8"/>
    </row>
    <row r="4144">
      <c r="B4144" s="8"/>
      <c r="G4144" s="8"/>
      <c r="M4144" s="8"/>
    </row>
    <row r="4145">
      <c r="B4145" s="8"/>
      <c r="G4145" s="8"/>
      <c r="M4145" s="8"/>
    </row>
    <row r="4146">
      <c r="B4146" s="8"/>
      <c r="G4146" s="8"/>
      <c r="M4146" s="8"/>
    </row>
    <row r="4147">
      <c r="B4147" s="8"/>
      <c r="G4147" s="8"/>
      <c r="M4147" s="8"/>
    </row>
    <row r="4148">
      <c r="B4148" s="8"/>
      <c r="G4148" s="8"/>
      <c r="M4148" s="8"/>
    </row>
    <row r="4149">
      <c r="B4149" s="8"/>
      <c r="G4149" s="8"/>
      <c r="M4149" s="8"/>
    </row>
    <row r="4150">
      <c r="B4150" s="8"/>
      <c r="G4150" s="8"/>
      <c r="M4150" s="8"/>
    </row>
    <row r="4151">
      <c r="B4151" s="8"/>
      <c r="G4151" s="8"/>
      <c r="M4151" s="8"/>
    </row>
    <row r="4152">
      <c r="B4152" s="8"/>
      <c r="G4152" s="8"/>
      <c r="M4152" s="8"/>
    </row>
    <row r="4153">
      <c r="B4153" s="8"/>
      <c r="G4153" s="8"/>
      <c r="M4153" s="8"/>
    </row>
    <row r="4154">
      <c r="B4154" s="8"/>
      <c r="G4154" s="8"/>
      <c r="M4154" s="8"/>
    </row>
    <row r="4155">
      <c r="B4155" s="8"/>
      <c r="G4155" s="8"/>
      <c r="M4155" s="8"/>
    </row>
    <row r="4156">
      <c r="B4156" s="8"/>
      <c r="G4156" s="8"/>
      <c r="M4156" s="8"/>
    </row>
    <row r="4157">
      <c r="B4157" s="8"/>
      <c r="G4157" s="8"/>
      <c r="M4157" s="8"/>
    </row>
    <row r="4158">
      <c r="B4158" s="8"/>
      <c r="G4158" s="8"/>
      <c r="M4158" s="8"/>
    </row>
    <row r="4159">
      <c r="B4159" s="8"/>
      <c r="G4159" s="8"/>
      <c r="M4159" s="8"/>
    </row>
    <row r="4160">
      <c r="B4160" s="8"/>
      <c r="G4160" s="8"/>
      <c r="M4160" s="8"/>
    </row>
    <row r="4161">
      <c r="B4161" s="8"/>
      <c r="G4161" s="8"/>
      <c r="M4161" s="8"/>
    </row>
    <row r="4162">
      <c r="B4162" s="8"/>
      <c r="G4162" s="8"/>
      <c r="M4162" s="8"/>
    </row>
    <row r="4163">
      <c r="B4163" s="8"/>
      <c r="G4163" s="8"/>
      <c r="M4163" s="8"/>
    </row>
    <row r="4164">
      <c r="B4164" s="8"/>
      <c r="G4164" s="8"/>
      <c r="M4164" s="8"/>
    </row>
    <row r="4165">
      <c r="B4165" s="8"/>
      <c r="G4165" s="8"/>
      <c r="M4165" s="8"/>
    </row>
    <row r="4166">
      <c r="B4166" s="8"/>
      <c r="G4166" s="8"/>
      <c r="M4166" s="8"/>
    </row>
    <row r="4167">
      <c r="B4167" s="8"/>
      <c r="G4167" s="8"/>
      <c r="M4167" s="8"/>
    </row>
    <row r="4168">
      <c r="B4168" s="8"/>
      <c r="G4168" s="8"/>
      <c r="M4168" s="8"/>
    </row>
    <row r="4169">
      <c r="B4169" s="8"/>
      <c r="G4169" s="8"/>
      <c r="M4169" s="8"/>
    </row>
    <row r="4170">
      <c r="B4170" s="8"/>
      <c r="G4170" s="8"/>
      <c r="M4170" s="8"/>
    </row>
    <row r="4171">
      <c r="B4171" s="8"/>
      <c r="G4171" s="8"/>
      <c r="M4171" s="8"/>
    </row>
    <row r="4172">
      <c r="B4172" s="8"/>
      <c r="G4172" s="8"/>
      <c r="M4172" s="8"/>
    </row>
    <row r="4173">
      <c r="B4173" s="8"/>
      <c r="G4173" s="8"/>
      <c r="M4173" s="8"/>
    </row>
    <row r="4174">
      <c r="B4174" s="8"/>
      <c r="G4174" s="8"/>
      <c r="M4174" s="8"/>
    </row>
    <row r="4175">
      <c r="B4175" s="8"/>
      <c r="G4175" s="8"/>
      <c r="M4175" s="8"/>
    </row>
    <row r="4176">
      <c r="B4176" s="8"/>
      <c r="G4176" s="8"/>
      <c r="M4176" s="8"/>
    </row>
    <row r="4177">
      <c r="B4177" s="8"/>
      <c r="G4177" s="8"/>
      <c r="M4177" s="8"/>
    </row>
    <row r="4178">
      <c r="B4178" s="8"/>
      <c r="G4178" s="8"/>
      <c r="M4178" s="8"/>
    </row>
    <row r="4179">
      <c r="B4179" s="8"/>
      <c r="G4179" s="8"/>
      <c r="M4179" s="8"/>
    </row>
    <row r="4180">
      <c r="B4180" s="8"/>
      <c r="G4180" s="8"/>
      <c r="M4180" s="8"/>
    </row>
    <row r="4181">
      <c r="B4181" s="8"/>
      <c r="G4181" s="8"/>
      <c r="M4181" s="8"/>
    </row>
    <row r="4182">
      <c r="B4182" s="8"/>
      <c r="G4182" s="8"/>
      <c r="M4182" s="8"/>
    </row>
    <row r="4183">
      <c r="B4183" s="8"/>
      <c r="G4183" s="8"/>
      <c r="M4183" s="8"/>
    </row>
    <row r="4184">
      <c r="B4184" s="8"/>
      <c r="G4184" s="8"/>
      <c r="M4184" s="8"/>
    </row>
    <row r="4185">
      <c r="B4185" s="8"/>
      <c r="G4185" s="8"/>
      <c r="M4185" s="8"/>
    </row>
    <row r="4186">
      <c r="B4186" s="8"/>
      <c r="G4186" s="8"/>
      <c r="M4186" s="8"/>
    </row>
    <row r="4187">
      <c r="B4187" s="8"/>
      <c r="G4187" s="8"/>
      <c r="M4187" s="8"/>
    </row>
    <row r="4188">
      <c r="B4188" s="8"/>
      <c r="G4188" s="8"/>
      <c r="M4188" s="8"/>
    </row>
    <row r="4189">
      <c r="B4189" s="8"/>
      <c r="G4189" s="8"/>
      <c r="M4189" s="8"/>
    </row>
    <row r="4190">
      <c r="B4190" s="8"/>
      <c r="G4190" s="8"/>
      <c r="M4190" s="8"/>
    </row>
    <row r="4191">
      <c r="B4191" s="8"/>
      <c r="G4191" s="8"/>
      <c r="M4191" s="8"/>
    </row>
    <row r="4192">
      <c r="B4192" s="8"/>
      <c r="G4192" s="8"/>
      <c r="M4192" s="8"/>
    </row>
    <row r="4193">
      <c r="B4193" s="8"/>
      <c r="G4193" s="8"/>
      <c r="M4193" s="8"/>
    </row>
    <row r="4194">
      <c r="B4194" s="8"/>
      <c r="G4194" s="8"/>
      <c r="M4194" s="8"/>
    </row>
    <row r="4195">
      <c r="B4195" s="8"/>
      <c r="G4195" s="8"/>
      <c r="M4195" s="8"/>
    </row>
    <row r="4196">
      <c r="B4196" s="8"/>
      <c r="G4196" s="8"/>
      <c r="M4196" s="8"/>
    </row>
    <row r="4197">
      <c r="B4197" s="8"/>
      <c r="G4197" s="8"/>
      <c r="M4197" s="8"/>
    </row>
    <row r="4198">
      <c r="B4198" s="8"/>
      <c r="G4198" s="8"/>
      <c r="M4198" s="8"/>
    </row>
    <row r="4199">
      <c r="B4199" s="8"/>
      <c r="G4199" s="8"/>
      <c r="M4199" s="8"/>
    </row>
    <row r="4200">
      <c r="B4200" s="8"/>
      <c r="G4200" s="8"/>
      <c r="M4200" s="8"/>
    </row>
    <row r="4201">
      <c r="B4201" s="8"/>
      <c r="G4201" s="8"/>
      <c r="M4201" s="8"/>
    </row>
    <row r="4202">
      <c r="B4202" s="8"/>
      <c r="G4202" s="8"/>
      <c r="M4202" s="8"/>
    </row>
    <row r="4203">
      <c r="B4203" s="8"/>
      <c r="G4203" s="8"/>
      <c r="M4203" s="8"/>
    </row>
    <row r="4204">
      <c r="B4204" s="8"/>
      <c r="G4204" s="8"/>
      <c r="M4204" s="8"/>
    </row>
    <row r="4205">
      <c r="B4205" s="8"/>
      <c r="G4205" s="8"/>
      <c r="M4205" s="8"/>
    </row>
    <row r="4206">
      <c r="B4206" s="8"/>
      <c r="G4206" s="8"/>
      <c r="M4206" s="8"/>
    </row>
    <row r="4207">
      <c r="B4207" s="8"/>
      <c r="G4207" s="8"/>
      <c r="M4207" s="8"/>
    </row>
    <row r="4208">
      <c r="B4208" s="8"/>
      <c r="G4208" s="8"/>
      <c r="M4208" s="8"/>
    </row>
    <row r="4209">
      <c r="B4209" s="8"/>
      <c r="G4209" s="8"/>
      <c r="M4209" s="8"/>
    </row>
    <row r="4210">
      <c r="B4210" s="8"/>
      <c r="G4210" s="8"/>
      <c r="M4210" s="8"/>
    </row>
    <row r="4211">
      <c r="B4211" s="8"/>
      <c r="G4211" s="8"/>
      <c r="M4211" s="8"/>
    </row>
    <row r="4212">
      <c r="B4212" s="8"/>
      <c r="G4212" s="8"/>
      <c r="M4212" s="8"/>
    </row>
    <row r="4213">
      <c r="B4213" s="8"/>
      <c r="G4213" s="8"/>
      <c r="M4213" s="8"/>
    </row>
    <row r="4214">
      <c r="B4214" s="8"/>
      <c r="G4214" s="8"/>
      <c r="M4214" s="8"/>
    </row>
    <row r="4215">
      <c r="B4215" s="8"/>
      <c r="G4215" s="8"/>
      <c r="M4215" s="8"/>
    </row>
    <row r="4216">
      <c r="B4216" s="8"/>
      <c r="G4216" s="8"/>
      <c r="M4216" s="8"/>
    </row>
    <row r="4217">
      <c r="B4217" s="8"/>
      <c r="G4217" s="8"/>
      <c r="M4217" s="8"/>
    </row>
    <row r="4218">
      <c r="B4218" s="8"/>
      <c r="G4218" s="8"/>
      <c r="M4218" s="8"/>
    </row>
    <row r="4219">
      <c r="B4219" s="8"/>
      <c r="G4219" s="8"/>
      <c r="M4219" s="8"/>
    </row>
    <row r="4220">
      <c r="B4220" s="8"/>
      <c r="G4220" s="8"/>
      <c r="M4220" s="8"/>
    </row>
    <row r="4221">
      <c r="B4221" s="8"/>
      <c r="G4221" s="8"/>
      <c r="M4221" s="8"/>
    </row>
    <row r="4222">
      <c r="B4222" s="8"/>
      <c r="G4222" s="8"/>
      <c r="M4222" s="8"/>
    </row>
    <row r="4223">
      <c r="B4223" s="8"/>
      <c r="G4223" s="8"/>
      <c r="M4223" s="8"/>
    </row>
    <row r="4224">
      <c r="B4224" s="8"/>
      <c r="G4224" s="8"/>
      <c r="M4224" s="8"/>
    </row>
    <row r="4225">
      <c r="B4225" s="8"/>
      <c r="G4225" s="8"/>
      <c r="M4225" s="8"/>
    </row>
    <row r="4226">
      <c r="B4226" s="8"/>
      <c r="G4226" s="8"/>
      <c r="M4226" s="8"/>
    </row>
    <row r="4227">
      <c r="B4227" s="8"/>
      <c r="G4227" s="8"/>
      <c r="M4227" s="8"/>
    </row>
    <row r="4228">
      <c r="B4228" s="8"/>
      <c r="G4228" s="8"/>
      <c r="M4228" s="8"/>
    </row>
    <row r="4229">
      <c r="B4229" s="8"/>
      <c r="G4229" s="8"/>
      <c r="M4229" s="8"/>
    </row>
    <row r="4230">
      <c r="B4230" s="8"/>
      <c r="G4230" s="8"/>
      <c r="M4230" s="8"/>
    </row>
    <row r="4231">
      <c r="B4231" s="8"/>
      <c r="G4231" s="8"/>
      <c r="M4231" s="8"/>
    </row>
    <row r="4232">
      <c r="B4232" s="8"/>
      <c r="G4232" s="8"/>
      <c r="M4232" s="8"/>
    </row>
    <row r="4233">
      <c r="B4233" s="8"/>
      <c r="G4233" s="8"/>
      <c r="M4233" s="8"/>
    </row>
    <row r="4234">
      <c r="B4234" s="8"/>
      <c r="G4234" s="8"/>
      <c r="M4234" s="8"/>
    </row>
    <row r="4235">
      <c r="B4235" s="8"/>
      <c r="G4235" s="8"/>
      <c r="M4235" s="8"/>
    </row>
    <row r="4236">
      <c r="B4236" s="8"/>
      <c r="G4236" s="8"/>
      <c r="M4236" s="8"/>
    </row>
    <row r="4237">
      <c r="B4237" s="8"/>
      <c r="G4237" s="8"/>
      <c r="M4237" s="8"/>
    </row>
    <row r="4238">
      <c r="B4238" s="8"/>
      <c r="G4238" s="8"/>
      <c r="M4238" s="8"/>
    </row>
    <row r="4239">
      <c r="B4239" s="8"/>
      <c r="G4239" s="8"/>
      <c r="M4239" s="8"/>
    </row>
    <row r="4240">
      <c r="B4240" s="8"/>
      <c r="G4240" s="8"/>
      <c r="M4240" s="8"/>
    </row>
    <row r="4241">
      <c r="B4241" s="8"/>
      <c r="G4241" s="8"/>
      <c r="M4241" s="8"/>
    </row>
    <row r="4242">
      <c r="B4242" s="8"/>
      <c r="G4242" s="8"/>
      <c r="M4242" s="8"/>
    </row>
    <row r="4243">
      <c r="B4243" s="8"/>
      <c r="G4243" s="8"/>
      <c r="M4243" s="8"/>
    </row>
    <row r="4244">
      <c r="B4244" s="8"/>
      <c r="G4244" s="8"/>
      <c r="M4244" s="8"/>
    </row>
    <row r="4245">
      <c r="B4245" s="8"/>
      <c r="G4245" s="8"/>
      <c r="M4245" s="8"/>
    </row>
    <row r="4246">
      <c r="B4246" s="8"/>
      <c r="G4246" s="8"/>
      <c r="M4246" s="8"/>
    </row>
    <row r="4247">
      <c r="B4247" s="8"/>
      <c r="G4247" s="8"/>
      <c r="M4247" s="8"/>
    </row>
    <row r="4248">
      <c r="B4248" s="8"/>
      <c r="G4248" s="8"/>
      <c r="M4248" s="8"/>
    </row>
    <row r="4249">
      <c r="B4249" s="8"/>
      <c r="G4249" s="8"/>
      <c r="M4249" s="8"/>
    </row>
    <row r="4250">
      <c r="B4250" s="8"/>
      <c r="G4250" s="8"/>
      <c r="M4250" s="8"/>
    </row>
    <row r="4251">
      <c r="B4251" s="8"/>
      <c r="G4251" s="8"/>
      <c r="M4251" s="8"/>
    </row>
    <row r="4252">
      <c r="B4252" s="8"/>
      <c r="G4252" s="8"/>
      <c r="M4252" s="8"/>
    </row>
    <row r="4253">
      <c r="B4253" s="8"/>
      <c r="G4253" s="8"/>
      <c r="M4253" s="8"/>
    </row>
    <row r="4254">
      <c r="B4254" s="8"/>
      <c r="G4254" s="8"/>
      <c r="M4254" s="8"/>
    </row>
    <row r="4255">
      <c r="B4255" s="8"/>
      <c r="G4255" s="8"/>
      <c r="M4255" s="8"/>
    </row>
    <row r="4256">
      <c r="B4256" s="8"/>
      <c r="G4256" s="8"/>
      <c r="M4256" s="8"/>
    </row>
    <row r="4257">
      <c r="B4257" s="8"/>
      <c r="G4257" s="8"/>
      <c r="M4257" s="8"/>
    </row>
    <row r="4258">
      <c r="B4258" s="8"/>
      <c r="G4258" s="8"/>
      <c r="M4258" s="8"/>
    </row>
    <row r="4259">
      <c r="B4259" s="8"/>
      <c r="G4259" s="8"/>
      <c r="M4259" s="8"/>
    </row>
    <row r="4260">
      <c r="B4260" s="8"/>
      <c r="G4260" s="8"/>
      <c r="M4260" s="8"/>
    </row>
    <row r="4261">
      <c r="B4261" s="8"/>
      <c r="G4261" s="8"/>
      <c r="M4261" s="8"/>
    </row>
    <row r="4262">
      <c r="B4262" s="8"/>
      <c r="G4262" s="8"/>
      <c r="M4262" s="8"/>
    </row>
    <row r="4263">
      <c r="B4263" s="8"/>
      <c r="G4263" s="8"/>
      <c r="M4263" s="8"/>
    </row>
    <row r="4264">
      <c r="B4264" s="8"/>
      <c r="G4264" s="8"/>
      <c r="M4264" s="8"/>
    </row>
    <row r="4265">
      <c r="B4265" s="8"/>
      <c r="G4265" s="8"/>
      <c r="M4265" s="8"/>
    </row>
    <row r="4266">
      <c r="B4266" s="8"/>
      <c r="G4266" s="8"/>
      <c r="M4266" s="8"/>
    </row>
    <row r="4267">
      <c r="B4267" s="8"/>
      <c r="G4267" s="8"/>
      <c r="M4267" s="8"/>
    </row>
    <row r="4268">
      <c r="B4268" s="8"/>
      <c r="G4268" s="8"/>
      <c r="M4268" s="8"/>
    </row>
    <row r="4269">
      <c r="B4269" s="8"/>
      <c r="G4269" s="8"/>
      <c r="M4269" s="8"/>
    </row>
    <row r="4270">
      <c r="B4270" s="8"/>
      <c r="G4270" s="8"/>
      <c r="M4270" s="8"/>
    </row>
    <row r="4271">
      <c r="B4271" s="8"/>
      <c r="G4271" s="8"/>
      <c r="M4271" s="8"/>
    </row>
    <row r="4272">
      <c r="B4272" s="8"/>
      <c r="G4272" s="8"/>
      <c r="M4272" s="8"/>
    </row>
    <row r="4273">
      <c r="B4273" s="8"/>
      <c r="G4273" s="8"/>
      <c r="M4273" s="8"/>
    </row>
    <row r="4274">
      <c r="B4274" s="8"/>
      <c r="G4274" s="8"/>
      <c r="M4274" s="8"/>
    </row>
    <row r="4275">
      <c r="B4275" s="8"/>
      <c r="G4275" s="8"/>
      <c r="M4275" s="8"/>
    </row>
    <row r="4276">
      <c r="B4276" s="8"/>
      <c r="G4276" s="8"/>
      <c r="M4276" s="8"/>
    </row>
    <row r="4277">
      <c r="B4277" s="8"/>
      <c r="G4277" s="8"/>
      <c r="M4277" s="8"/>
    </row>
    <row r="4278">
      <c r="B4278" s="8"/>
      <c r="G4278" s="8"/>
      <c r="M4278" s="8"/>
    </row>
    <row r="4279">
      <c r="B4279" s="8"/>
      <c r="G4279" s="8"/>
      <c r="M4279" s="8"/>
    </row>
    <row r="4280">
      <c r="B4280" s="8"/>
      <c r="G4280" s="8"/>
      <c r="M4280" s="8"/>
    </row>
    <row r="4281">
      <c r="B4281" s="8"/>
      <c r="G4281" s="8"/>
      <c r="M4281" s="8"/>
    </row>
    <row r="4282">
      <c r="B4282" s="8"/>
      <c r="G4282" s="8"/>
      <c r="M4282" s="8"/>
    </row>
    <row r="4283">
      <c r="B4283" s="8"/>
      <c r="G4283" s="8"/>
      <c r="M4283" s="8"/>
    </row>
    <row r="4284">
      <c r="B4284" s="8"/>
      <c r="G4284" s="8"/>
      <c r="M4284" s="8"/>
    </row>
    <row r="4285">
      <c r="B4285" s="8"/>
      <c r="G4285" s="8"/>
      <c r="M4285" s="8"/>
    </row>
    <row r="4286">
      <c r="B4286" s="8"/>
      <c r="G4286" s="8"/>
      <c r="M4286" s="8"/>
    </row>
    <row r="4287">
      <c r="B4287" s="8"/>
      <c r="G4287" s="8"/>
      <c r="M4287" s="8"/>
    </row>
    <row r="4288">
      <c r="B4288" s="8"/>
      <c r="G4288" s="8"/>
      <c r="M4288" s="8"/>
    </row>
    <row r="4289">
      <c r="B4289" s="8"/>
      <c r="G4289" s="8"/>
      <c r="M4289" s="8"/>
    </row>
    <row r="4290">
      <c r="B4290" s="8"/>
      <c r="G4290" s="8"/>
      <c r="M4290" s="8"/>
    </row>
    <row r="4291">
      <c r="B4291" s="8"/>
      <c r="G4291" s="8"/>
      <c r="M4291" s="8"/>
    </row>
    <row r="4292">
      <c r="B4292" s="8"/>
      <c r="G4292" s="8"/>
      <c r="M4292" s="8"/>
    </row>
    <row r="4293">
      <c r="B4293" s="8"/>
      <c r="G4293" s="8"/>
      <c r="M4293" s="8"/>
    </row>
    <row r="4294">
      <c r="B4294" s="8"/>
      <c r="G4294" s="8"/>
      <c r="M4294" s="8"/>
    </row>
    <row r="4295">
      <c r="B4295" s="8"/>
      <c r="G4295" s="8"/>
      <c r="M4295" s="8"/>
    </row>
    <row r="4296">
      <c r="B4296" s="8"/>
      <c r="G4296" s="8"/>
      <c r="M4296" s="8"/>
    </row>
    <row r="4297">
      <c r="B4297" s="8"/>
      <c r="G4297" s="8"/>
      <c r="M4297" s="8"/>
    </row>
    <row r="4298">
      <c r="B4298" s="8"/>
      <c r="G4298" s="8"/>
      <c r="M4298" s="8"/>
    </row>
    <row r="4299">
      <c r="B4299" s="8"/>
      <c r="G4299" s="8"/>
      <c r="M4299" s="8"/>
    </row>
    <row r="4300">
      <c r="B4300" s="8"/>
      <c r="G4300" s="8"/>
      <c r="M4300" s="8"/>
    </row>
    <row r="4301">
      <c r="B4301" s="8"/>
      <c r="G4301" s="8"/>
      <c r="M4301" s="8"/>
    </row>
    <row r="4302">
      <c r="B4302" s="8"/>
      <c r="G4302" s="8"/>
      <c r="M4302" s="8"/>
    </row>
    <row r="4303">
      <c r="B4303" s="8"/>
      <c r="G4303" s="8"/>
      <c r="M4303" s="8"/>
    </row>
    <row r="4304">
      <c r="B4304" s="8"/>
      <c r="G4304" s="8"/>
      <c r="M4304" s="8"/>
    </row>
    <row r="4305">
      <c r="B4305" s="8"/>
      <c r="G4305" s="8"/>
      <c r="M4305" s="8"/>
    </row>
    <row r="4306">
      <c r="B4306" s="8"/>
      <c r="G4306" s="8"/>
      <c r="M4306" s="8"/>
    </row>
    <row r="4307">
      <c r="B4307" s="8"/>
      <c r="G4307" s="8"/>
      <c r="M4307" s="8"/>
    </row>
    <row r="4308">
      <c r="B4308" s="8"/>
      <c r="G4308" s="8"/>
      <c r="M4308" s="8"/>
    </row>
    <row r="4309">
      <c r="B4309" s="8"/>
      <c r="G4309" s="8"/>
      <c r="M4309" s="8"/>
    </row>
    <row r="4310">
      <c r="B4310" s="8"/>
      <c r="G4310" s="8"/>
      <c r="M4310" s="8"/>
    </row>
    <row r="4311">
      <c r="B4311" s="8"/>
      <c r="G4311" s="8"/>
      <c r="M4311" s="8"/>
    </row>
    <row r="4312">
      <c r="B4312" s="8"/>
      <c r="G4312" s="8"/>
      <c r="M4312" s="8"/>
    </row>
    <row r="4313">
      <c r="B4313" s="8"/>
      <c r="G4313" s="8"/>
      <c r="M4313" s="8"/>
    </row>
    <row r="4314">
      <c r="B4314" s="8"/>
      <c r="G4314" s="8"/>
      <c r="M4314" s="8"/>
    </row>
    <row r="4315">
      <c r="B4315" s="8"/>
      <c r="G4315" s="8"/>
      <c r="M4315" s="8"/>
    </row>
    <row r="4316">
      <c r="B4316" s="8"/>
      <c r="G4316" s="8"/>
      <c r="M4316" s="8"/>
    </row>
    <row r="4317">
      <c r="B4317" s="8"/>
      <c r="G4317" s="8"/>
      <c r="M4317" s="8"/>
    </row>
    <row r="4318">
      <c r="B4318" s="8"/>
      <c r="G4318" s="8"/>
      <c r="M4318" s="8"/>
    </row>
    <row r="4319">
      <c r="B4319" s="8"/>
      <c r="G4319" s="8"/>
      <c r="M4319" s="8"/>
    </row>
    <row r="4320">
      <c r="B4320" s="8"/>
      <c r="G4320" s="8"/>
      <c r="M4320" s="8"/>
    </row>
    <row r="4321">
      <c r="B4321" s="8"/>
      <c r="G4321" s="8"/>
      <c r="M4321" s="8"/>
    </row>
    <row r="4322">
      <c r="B4322" s="8"/>
      <c r="G4322" s="8"/>
      <c r="M4322" s="8"/>
    </row>
    <row r="4323">
      <c r="B4323" s="8"/>
      <c r="G4323" s="8"/>
      <c r="M4323" s="8"/>
    </row>
    <row r="4324">
      <c r="B4324" s="8"/>
      <c r="G4324" s="8"/>
      <c r="M4324" s="8"/>
    </row>
    <row r="4325">
      <c r="B4325" s="8"/>
      <c r="G4325" s="8"/>
      <c r="M4325" s="8"/>
    </row>
    <row r="4326">
      <c r="B4326" s="8"/>
      <c r="G4326" s="8"/>
      <c r="M4326" s="8"/>
    </row>
    <row r="4327">
      <c r="B4327" s="8"/>
      <c r="G4327" s="8"/>
      <c r="M4327" s="8"/>
    </row>
    <row r="4328">
      <c r="B4328" s="8"/>
      <c r="G4328" s="8"/>
      <c r="M4328" s="8"/>
    </row>
    <row r="4329">
      <c r="B4329" s="8"/>
      <c r="G4329" s="8"/>
      <c r="M4329" s="8"/>
    </row>
    <row r="4330">
      <c r="B4330" s="8"/>
      <c r="G4330" s="8"/>
      <c r="M4330" s="8"/>
    </row>
    <row r="4331">
      <c r="B4331" s="8"/>
      <c r="G4331" s="8"/>
      <c r="M4331" s="8"/>
    </row>
    <row r="4332">
      <c r="B4332" s="8"/>
      <c r="G4332" s="8"/>
      <c r="M4332" s="8"/>
    </row>
    <row r="4333">
      <c r="B4333" s="8"/>
      <c r="G4333" s="8"/>
      <c r="M4333" s="8"/>
    </row>
    <row r="4334">
      <c r="B4334" s="8"/>
      <c r="G4334" s="8"/>
      <c r="M4334" s="8"/>
    </row>
    <row r="4335">
      <c r="B4335" s="8"/>
      <c r="G4335" s="8"/>
      <c r="M4335" s="8"/>
    </row>
    <row r="4336">
      <c r="B4336" s="8"/>
      <c r="G4336" s="8"/>
      <c r="M4336" s="8"/>
    </row>
    <row r="4337">
      <c r="B4337" s="8"/>
      <c r="G4337" s="8"/>
      <c r="M4337" s="8"/>
    </row>
    <row r="4338">
      <c r="B4338" s="8"/>
      <c r="G4338" s="8"/>
      <c r="M4338" s="8"/>
    </row>
    <row r="4339">
      <c r="B4339" s="8"/>
      <c r="G4339" s="8"/>
      <c r="M4339" s="8"/>
    </row>
    <row r="4340">
      <c r="B4340" s="8"/>
      <c r="G4340" s="8"/>
      <c r="M4340" s="8"/>
    </row>
    <row r="4341">
      <c r="B4341" s="8"/>
      <c r="G4341" s="8"/>
      <c r="M4341" s="8"/>
    </row>
    <row r="4342">
      <c r="B4342" s="8"/>
      <c r="G4342" s="8"/>
      <c r="M4342" s="8"/>
    </row>
    <row r="4343">
      <c r="B4343" s="8"/>
      <c r="G4343" s="8"/>
      <c r="M4343" s="8"/>
    </row>
    <row r="4344">
      <c r="B4344" s="8"/>
      <c r="G4344" s="8"/>
      <c r="M4344" s="8"/>
    </row>
    <row r="4345">
      <c r="B4345" s="8"/>
      <c r="G4345" s="8"/>
      <c r="M4345" s="8"/>
    </row>
    <row r="4346">
      <c r="B4346" s="8"/>
      <c r="G4346" s="8"/>
      <c r="M4346" s="8"/>
    </row>
    <row r="4347">
      <c r="B4347" s="8"/>
      <c r="G4347" s="8"/>
      <c r="M4347" s="8"/>
    </row>
    <row r="4348">
      <c r="B4348" s="8"/>
      <c r="G4348" s="8"/>
      <c r="M4348" s="8"/>
    </row>
    <row r="4349">
      <c r="B4349" s="8"/>
      <c r="G4349" s="8"/>
      <c r="M4349" s="8"/>
    </row>
    <row r="4350">
      <c r="B4350" s="8"/>
      <c r="G4350" s="8"/>
      <c r="M4350" s="8"/>
    </row>
    <row r="4351">
      <c r="B4351" s="8"/>
      <c r="G4351" s="8"/>
      <c r="M4351" s="8"/>
    </row>
    <row r="4352">
      <c r="B4352" s="8"/>
      <c r="G4352" s="8"/>
      <c r="M4352" s="8"/>
    </row>
    <row r="4353">
      <c r="B4353" s="8"/>
      <c r="G4353" s="8"/>
      <c r="M4353" s="8"/>
    </row>
    <row r="4354">
      <c r="B4354" s="8"/>
      <c r="G4354" s="8"/>
      <c r="M4354" s="8"/>
    </row>
    <row r="4355">
      <c r="B4355" s="8"/>
      <c r="G4355" s="8"/>
      <c r="M4355" s="8"/>
    </row>
    <row r="4356">
      <c r="B4356" s="8"/>
      <c r="G4356" s="8"/>
      <c r="M4356" s="8"/>
    </row>
    <row r="4357">
      <c r="B4357" s="8"/>
      <c r="G4357" s="8"/>
      <c r="M4357" s="8"/>
    </row>
    <row r="4358">
      <c r="B4358" s="8"/>
      <c r="G4358" s="8"/>
      <c r="M4358" s="8"/>
    </row>
    <row r="4359">
      <c r="B4359" s="8"/>
      <c r="G4359" s="8"/>
      <c r="M4359" s="8"/>
    </row>
    <row r="4360">
      <c r="B4360" s="8"/>
      <c r="G4360" s="8"/>
      <c r="M4360" s="8"/>
    </row>
    <row r="4361">
      <c r="B4361" s="8"/>
      <c r="G4361" s="8"/>
      <c r="M4361" s="8"/>
    </row>
    <row r="4362">
      <c r="B4362" s="8"/>
      <c r="G4362" s="8"/>
      <c r="M4362" s="8"/>
    </row>
    <row r="4363">
      <c r="B4363" s="8"/>
      <c r="G4363" s="8"/>
      <c r="M4363" s="8"/>
    </row>
    <row r="4364">
      <c r="B4364" s="8"/>
      <c r="G4364" s="8"/>
      <c r="M4364" s="8"/>
    </row>
    <row r="4365">
      <c r="B4365" s="8"/>
      <c r="G4365" s="8"/>
      <c r="M4365" s="8"/>
    </row>
    <row r="4366">
      <c r="B4366" s="8"/>
      <c r="G4366" s="8"/>
      <c r="M4366" s="8"/>
    </row>
    <row r="4367">
      <c r="B4367" s="8"/>
      <c r="G4367" s="8"/>
      <c r="M4367" s="8"/>
    </row>
    <row r="4368">
      <c r="B4368" s="8"/>
      <c r="G4368" s="8"/>
      <c r="M4368" s="8"/>
    </row>
    <row r="4369">
      <c r="B4369" s="8"/>
      <c r="G4369" s="8"/>
      <c r="M4369" s="8"/>
    </row>
    <row r="4370">
      <c r="B4370" s="8"/>
      <c r="G4370" s="8"/>
      <c r="M4370" s="8"/>
    </row>
    <row r="4371">
      <c r="B4371" s="8"/>
      <c r="G4371" s="8"/>
      <c r="M4371" s="8"/>
    </row>
    <row r="4372">
      <c r="B4372" s="8"/>
      <c r="G4372" s="8"/>
      <c r="M4372" s="8"/>
    </row>
    <row r="4373">
      <c r="B4373" s="8"/>
      <c r="G4373" s="8"/>
      <c r="M4373" s="8"/>
    </row>
    <row r="4374">
      <c r="B4374" s="8"/>
      <c r="G4374" s="8"/>
      <c r="M4374" s="8"/>
    </row>
    <row r="4375">
      <c r="B4375" s="8"/>
      <c r="G4375" s="8"/>
      <c r="M4375" s="8"/>
    </row>
    <row r="4376">
      <c r="B4376" s="8"/>
      <c r="G4376" s="8"/>
      <c r="M4376" s="8"/>
    </row>
    <row r="4377">
      <c r="B4377" s="8"/>
      <c r="G4377" s="8"/>
      <c r="M4377" s="8"/>
    </row>
    <row r="4378">
      <c r="B4378" s="8"/>
      <c r="G4378" s="8"/>
      <c r="M4378" s="8"/>
    </row>
    <row r="4379">
      <c r="B4379" s="8"/>
      <c r="G4379" s="8"/>
      <c r="M4379" s="8"/>
    </row>
    <row r="4380">
      <c r="B4380" s="8"/>
      <c r="G4380" s="8"/>
      <c r="M4380" s="8"/>
    </row>
    <row r="4381">
      <c r="B4381" s="8"/>
      <c r="G4381" s="8"/>
      <c r="M4381" s="8"/>
    </row>
    <row r="4382">
      <c r="B4382" s="8"/>
      <c r="G4382" s="8"/>
      <c r="M4382" s="8"/>
    </row>
    <row r="4383">
      <c r="B4383" s="8"/>
      <c r="G4383" s="8"/>
      <c r="M4383" s="8"/>
    </row>
    <row r="4384">
      <c r="B4384" s="8"/>
      <c r="G4384" s="8"/>
      <c r="M4384" s="8"/>
    </row>
    <row r="4385">
      <c r="B4385" s="8"/>
      <c r="G4385" s="8"/>
      <c r="M4385" s="8"/>
    </row>
    <row r="4386">
      <c r="B4386" s="8"/>
      <c r="G4386" s="8"/>
      <c r="M4386" s="8"/>
    </row>
    <row r="4387">
      <c r="B4387" s="8"/>
      <c r="G4387" s="8"/>
      <c r="M4387" s="8"/>
    </row>
    <row r="4388">
      <c r="B4388" s="8"/>
      <c r="G4388" s="8"/>
      <c r="M4388" s="8"/>
    </row>
    <row r="4389">
      <c r="B4389" s="8"/>
      <c r="G4389" s="8"/>
      <c r="M4389" s="8"/>
    </row>
    <row r="4390">
      <c r="B4390" s="8"/>
      <c r="G4390" s="8"/>
      <c r="M4390" s="8"/>
    </row>
    <row r="4391">
      <c r="B4391" s="8"/>
      <c r="G4391" s="8"/>
      <c r="M4391" s="8"/>
    </row>
    <row r="4392">
      <c r="B4392" s="8"/>
      <c r="G4392" s="8"/>
      <c r="M4392" s="8"/>
    </row>
    <row r="4393">
      <c r="B4393" s="8"/>
      <c r="G4393" s="8"/>
      <c r="M4393" s="8"/>
    </row>
    <row r="4394">
      <c r="B4394" s="8"/>
      <c r="G4394" s="8"/>
      <c r="M4394" s="8"/>
    </row>
    <row r="4395">
      <c r="B4395" s="8"/>
      <c r="G4395" s="8"/>
      <c r="M4395" s="8"/>
    </row>
    <row r="4396">
      <c r="B4396" s="8"/>
      <c r="G4396" s="8"/>
      <c r="M4396" s="8"/>
    </row>
    <row r="4397">
      <c r="B4397" s="8"/>
      <c r="G4397" s="8"/>
      <c r="M4397" s="8"/>
    </row>
    <row r="4398">
      <c r="B4398" s="8"/>
      <c r="G4398" s="8"/>
      <c r="M4398" s="8"/>
    </row>
    <row r="4399">
      <c r="B4399" s="8"/>
      <c r="G4399" s="8"/>
      <c r="M4399" s="8"/>
    </row>
    <row r="4400">
      <c r="B4400" s="8"/>
      <c r="G4400" s="8"/>
      <c r="M4400" s="8"/>
    </row>
    <row r="4401">
      <c r="B4401" s="8"/>
      <c r="G4401" s="8"/>
      <c r="M4401" s="8"/>
    </row>
    <row r="4402">
      <c r="B4402" s="8"/>
      <c r="G4402" s="8"/>
      <c r="M4402" s="8"/>
    </row>
    <row r="4403">
      <c r="B4403" s="8"/>
      <c r="G4403" s="8"/>
      <c r="M4403" s="8"/>
    </row>
    <row r="4404">
      <c r="B4404" s="8"/>
      <c r="G4404" s="8"/>
      <c r="M4404" s="8"/>
    </row>
    <row r="4405">
      <c r="B4405" s="8"/>
      <c r="G4405" s="8"/>
      <c r="M4405" s="8"/>
    </row>
    <row r="4406">
      <c r="B4406" s="8"/>
      <c r="G4406" s="8"/>
      <c r="M4406" s="8"/>
    </row>
    <row r="4407">
      <c r="B4407" s="8"/>
      <c r="G4407" s="8"/>
      <c r="M4407" s="8"/>
    </row>
    <row r="4408">
      <c r="B4408" s="8"/>
      <c r="G4408" s="8"/>
      <c r="M4408" s="8"/>
    </row>
    <row r="4409">
      <c r="B4409" s="8"/>
      <c r="G4409" s="8"/>
      <c r="M4409" s="8"/>
    </row>
    <row r="4410">
      <c r="B4410" s="8"/>
      <c r="G4410" s="8"/>
      <c r="M4410" s="8"/>
    </row>
    <row r="4411">
      <c r="B4411" s="8"/>
      <c r="G4411" s="8"/>
      <c r="M4411" s="8"/>
    </row>
    <row r="4412">
      <c r="B4412" s="8"/>
      <c r="G4412" s="8"/>
      <c r="M4412" s="8"/>
    </row>
    <row r="4413">
      <c r="B4413" s="8"/>
      <c r="G4413" s="8"/>
      <c r="M4413" s="8"/>
    </row>
    <row r="4414">
      <c r="B4414" s="8"/>
      <c r="G4414" s="8"/>
      <c r="M4414" s="8"/>
    </row>
    <row r="4415">
      <c r="B4415" s="8"/>
      <c r="G4415" s="8"/>
      <c r="M4415" s="8"/>
    </row>
    <row r="4416">
      <c r="B4416" s="8"/>
      <c r="G4416" s="8"/>
      <c r="M4416" s="8"/>
    </row>
    <row r="4417">
      <c r="B4417" s="8"/>
      <c r="G4417" s="8"/>
      <c r="M4417" s="8"/>
    </row>
    <row r="4418">
      <c r="B4418" s="8"/>
      <c r="G4418" s="8"/>
      <c r="M4418" s="8"/>
    </row>
    <row r="4419">
      <c r="B4419" s="8"/>
      <c r="G4419" s="8"/>
      <c r="M4419" s="8"/>
    </row>
    <row r="4420">
      <c r="B4420" s="8"/>
      <c r="G4420" s="8"/>
      <c r="M4420" s="8"/>
    </row>
    <row r="4421">
      <c r="B4421" s="8"/>
      <c r="G4421" s="8"/>
      <c r="M4421" s="8"/>
    </row>
    <row r="4422">
      <c r="B4422" s="8"/>
      <c r="G4422" s="8"/>
      <c r="M4422" s="8"/>
    </row>
    <row r="4423">
      <c r="B4423" s="8"/>
      <c r="G4423" s="8"/>
      <c r="M4423" s="8"/>
    </row>
    <row r="4424">
      <c r="B4424" s="8"/>
      <c r="G4424" s="8"/>
      <c r="M4424" s="8"/>
    </row>
    <row r="4425">
      <c r="B4425" s="8"/>
      <c r="G4425" s="8"/>
      <c r="M4425" s="8"/>
    </row>
    <row r="4426">
      <c r="B4426" s="8"/>
      <c r="G4426" s="8"/>
      <c r="M4426" s="8"/>
    </row>
    <row r="4427">
      <c r="B4427" s="8"/>
      <c r="G4427" s="8"/>
      <c r="M4427" s="8"/>
    </row>
    <row r="4428">
      <c r="B4428" s="8"/>
      <c r="G4428" s="8"/>
      <c r="M4428" s="8"/>
    </row>
    <row r="4429">
      <c r="B4429" s="8"/>
      <c r="G4429" s="8"/>
      <c r="M4429" s="8"/>
    </row>
    <row r="4430">
      <c r="B4430" s="8"/>
      <c r="G4430" s="8"/>
      <c r="M4430" s="8"/>
    </row>
    <row r="4431">
      <c r="B4431" s="8"/>
      <c r="G4431" s="8"/>
      <c r="M4431" s="8"/>
    </row>
    <row r="4432">
      <c r="B4432" s="8"/>
      <c r="G4432" s="8"/>
      <c r="M4432" s="8"/>
    </row>
    <row r="4433">
      <c r="B4433" s="8"/>
      <c r="G4433" s="8"/>
      <c r="M4433" s="8"/>
    </row>
    <row r="4434">
      <c r="B4434" s="8"/>
      <c r="G4434" s="8"/>
      <c r="M4434" s="8"/>
    </row>
    <row r="4435">
      <c r="B4435" s="8"/>
      <c r="G4435" s="8"/>
      <c r="M4435" s="8"/>
    </row>
    <row r="4436">
      <c r="B4436" s="8"/>
      <c r="G4436" s="8"/>
      <c r="M4436" s="8"/>
    </row>
    <row r="4437">
      <c r="B4437" s="8"/>
      <c r="G4437" s="8"/>
      <c r="M4437" s="8"/>
    </row>
    <row r="4438">
      <c r="B4438" s="8"/>
      <c r="G4438" s="8"/>
      <c r="M4438" s="8"/>
    </row>
    <row r="4439">
      <c r="B4439" s="8"/>
      <c r="G4439" s="8"/>
      <c r="M4439" s="8"/>
    </row>
    <row r="4440">
      <c r="B4440" s="8"/>
      <c r="G4440" s="8"/>
      <c r="M4440" s="8"/>
    </row>
    <row r="4441">
      <c r="B4441" s="8"/>
      <c r="G4441" s="8"/>
      <c r="M4441" s="8"/>
    </row>
    <row r="4442">
      <c r="B4442" s="8"/>
      <c r="G4442" s="8"/>
      <c r="M4442" s="8"/>
    </row>
    <row r="4443">
      <c r="B4443" s="8"/>
      <c r="G4443" s="8"/>
      <c r="M4443" s="8"/>
    </row>
    <row r="4444">
      <c r="B4444" s="8"/>
      <c r="G4444" s="8"/>
      <c r="M4444" s="8"/>
    </row>
    <row r="4445">
      <c r="B4445" s="8"/>
      <c r="G4445" s="8"/>
      <c r="M4445" s="8"/>
    </row>
    <row r="4446">
      <c r="B4446" s="8"/>
      <c r="G4446" s="8"/>
      <c r="M4446" s="8"/>
    </row>
    <row r="4447">
      <c r="B4447" s="8"/>
      <c r="G4447" s="8"/>
      <c r="M4447" s="8"/>
    </row>
    <row r="4448">
      <c r="B4448" s="8"/>
      <c r="G4448" s="8"/>
      <c r="M4448" s="8"/>
    </row>
    <row r="4449">
      <c r="B4449" s="8"/>
      <c r="G4449" s="8"/>
      <c r="M4449" s="8"/>
    </row>
    <row r="4450">
      <c r="B4450" s="8"/>
      <c r="G4450" s="8"/>
      <c r="M4450" s="8"/>
    </row>
    <row r="4451">
      <c r="B4451" s="8"/>
      <c r="G4451" s="8"/>
      <c r="M4451" s="8"/>
    </row>
    <row r="4452">
      <c r="B4452" s="8"/>
      <c r="G4452" s="8"/>
      <c r="M4452" s="8"/>
    </row>
    <row r="4453">
      <c r="B4453" s="8"/>
      <c r="G4453" s="8"/>
      <c r="M4453" s="8"/>
    </row>
    <row r="4454">
      <c r="B4454" s="8"/>
      <c r="G4454" s="8"/>
      <c r="M4454" s="8"/>
    </row>
    <row r="4455">
      <c r="B4455" s="8"/>
      <c r="G4455" s="8"/>
      <c r="M4455" s="8"/>
    </row>
    <row r="4456">
      <c r="B4456" s="8"/>
      <c r="G4456" s="8"/>
      <c r="M4456" s="8"/>
    </row>
    <row r="4457">
      <c r="B4457" s="8"/>
      <c r="G4457" s="8"/>
      <c r="M4457" s="8"/>
    </row>
    <row r="4458">
      <c r="B4458" s="8"/>
      <c r="G4458" s="8"/>
      <c r="M4458" s="8"/>
    </row>
    <row r="4459">
      <c r="B4459" s="8"/>
      <c r="G4459" s="8"/>
      <c r="M4459" s="8"/>
    </row>
    <row r="4460">
      <c r="B4460" s="8"/>
      <c r="G4460" s="8"/>
      <c r="M4460" s="8"/>
    </row>
    <row r="4461">
      <c r="B4461" s="8"/>
      <c r="G4461" s="8"/>
      <c r="M4461" s="8"/>
    </row>
    <row r="4462">
      <c r="B4462" s="8"/>
      <c r="G4462" s="8"/>
      <c r="M4462" s="8"/>
    </row>
    <row r="4463">
      <c r="B4463" s="8"/>
      <c r="G4463" s="8"/>
      <c r="M4463" s="8"/>
    </row>
    <row r="4464">
      <c r="B4464" s="8"/>
      <c r="G4464" s="8"/>
      <c r="M4464" s="8"/>
    </row>
    <row r="4465">
      <c r="B4465" s="8"/>
      <c r="G4465" s="8"/>
      <c r="M4465" s="8"/>
    </row>
    <row r="4466">
      <c r="B4466" s="8"/>
      <c r="G4466" s="8"/>
      <c r="M4466" s="8"/>
    </row>
    <row r="4467">
      <c r="B4467" s="8"/>
      <c r="G4467" s="8"/>
      <c r="M4467" s="8"/>
    </row>
    <row r="4468">
      <c r="B4468" s="8"/>
      <c r="G4468" s="8"/>
      <c r="M4468" s="8"/>
    </row>
    <row r="4469">
      <c r="B4469" s="8"/>
      <c r="G4469" s="8"/>
      <c r="M4469" s="8"/>
    </row>
    <row r="4470">
      <c r="B4470" s="8"/>
      <c r="G4470" s="8"/>
      <c r="M4470" s="8"/>
    </row>
    <row r="4471">
      <c r="B4471" s="8"/>
      <c r="G4471" s="8"/>
      <c r="M4471" s="8"/>
    </row>
    <row r="4472">
      <c r="B4472" s="8"/>
      <c r="G4472" s="8"/>
      <c r="M4472" s="8"/>
    </row>
    <row r="4473">
      <c r="B4473" s="8"/>
      <c r="G4473" s="8"/>
      <c r="M4473" s="8"/>
    </row>
    <row r="4474">
      <c r="B4474" s="8"/>
      <c r="G4474" s="8"/>
      <c r="M4474" s="8"/>
    </row>
    <row r="4475">
      <c r="B4475" s="8"/>
      <c r="G4475" s="8"/>
      <c r="M4475" s="8"/>
    </row>
    <row r="4476">
      <c r="B4476" s="8"/>
      <c r="G4476" s="8"/>
      <c r="M4476" s="8"/>
    </row>
    <row r="4477">
      <c r="B4477" s="8"/>
      <c r="G4477" s="8"/>
      <c r="M4477" s="8"/>
    </row>
    <row r="4478">
      <c r="B4478" s="8"/>
      <c r="G4478" s="8"/>
      <c r="M4478" s="8"/>
    </row>
    <row r="4479">
      <c r="B4479" s="8"/>
      <c r="G4479" s="8"/>
      <c r="M4479" s="8"/>
    </row>
    <row r="4480">
      <c r="B4480" s="8"/>
      <c r="G4480" s="8"/>
      <c r="M4480" s="8"/>
    </row>
    <row r="4481">
      <c r="B4481" s="8"/>
      <c r="G4481" s="8"/>
      <c r="M4481" s="8"/>
    </row>
    <row r="4482">
      <c r="B4482" s="8"/>
      <c r="G4482" s="8"/>
      <c r="M4482" s="8"/>
    </row>
    <row r="4483">
      <c r="B4483" s="8"/>
      <c r="G4483" s="8"/>
      <c r="M4483" s="8"/>
    </row>
    <row r="4484">
      <c r="B4484" s="8"/>
      <c r="G4484" s="8"/>
      <c r="M4484" s="8"/>
    </row>
    <row r="4485">
      <c r="B4485" s="8"/>
      <c r="G4485" s="8"/>
      <c r="M4485" s="8"/>
    </row>
    <row r="4486">
      <c r="B4486" s="8"/>
      <c r="G4486" s="8"/>
      <c r="M4486" s="8"/>
    </row>
    <row r="4487">
      <c r="B4487" s="8"/>
      <c r="G4487" s="8"/>
      <c r="M4487" s="8"/>
    </row>
    <row r="4488">
      <c r="B4488" s="8"/>
      <c r="G4488" s="8"/>
      <c r="M4488" s="8"/>
    </row>
    <row r="4489">
      <c r="B4489" s="8"/>
      <c r="G4489" s="8"/>
      <c r="M4489" s="8"/>
    </row>
    <row r="4490">
      <c r="B4490" s="8"/>
      <c r="G4490" s="8"/>
      <c r="M4490" s="8"/>
    </row>
    <row r="4491">
      <c r="B4491" s="8"/>
      <c r="G4491" s="8"/>
      <c r="M4491" s="8"/>
    </row>
    <row r="4492">
      <c r="B4492" s="8"/>
      <c r="G4492" s="8"/>
      <c r="M4492" s="8"/>
    </row>
    <row r="4493">
      <c r="B4493" s="8"/>
      <c r="G4493" s="8"/>
      <c r="M4493" s="8"/>
    </row>
    <row r="4494">
      <c r="B4494" s="8"/>
      <c r="G4494" s="8"/>
      <c r="M4494" s="8"/>
    </row>
    <row r="4495">
      <c r="B4495" s="8"/>
      <c r="G4495" s="8"/>
      <c r="M4495" s="8"/>
    </row>
    <row r="4496">
      <c r="B4496" s="8"/>
      <c r="G4496" s="8"/>
      <c r="M4496" s="8"/>
    </row>
    <row r="4497">
      <c r="B4497" s="8"/>
      <c r="G4497" s="8"/>
      <c r="M4497" s="8"/>
    </row>
    <row r="4498">
      <c r="B4498" s="8"/>
      <c r="G4498" s="8"/>
      <c r="M4498" s="8"/>
    </row>
    <row r="4499">
      <c r="B4499" s="8"/>
      <c r="G4499" s="8"/>
      <c r="M4499" s="8"/>
    </row>
    <row r="4500">
      <c r="B4500" s="8"/>
      <c r="G4500" s="8"/>
      <c r="M4500" s="8"/>
    </row>
    <row r="4501">
      <c r="B4501" s="8"/>
      <c r="G4501" s="8"/>
      <c r="M4501" s="8"/>
    </row>
    <row r="4502">
      <c r="B4502" s="8"/>
      <c r="G4502" s="8"/>
      <c r="M4502" s="8"/>
    </row>
    <row r="4503">
      <c r="B4503" s="8"/>
      <c r="G4503" s="8"/>
      <c r="M4503" s="8"/>
    </row>
    <row r="4504">
      <c r="B4504" s="8"/>
      <c r="G4504" s="8"/>
      <c r="M4504" s="8"/>
    </row>
    <row r="4505">
      <c r="B4505" s="8"/>
      <c r="G4505" s="8"/>
      <c r="M4505" s="8"/>
    </row>
    <row r="4506">
      <c r="B4506" s="8"/>
      <c r="G4506" s="8"/>
      <c r="M4506" s="8"/>
    </row>
    <row r="4507">
      <c r="B4507" s="8"/>
      <c r="G4507" s="8"/>
      <c r="M4507" s="8"/>
    </row>
    <row r="4508">
      <c r="B4508" s="8"/>
      <c r="G4508" s="8"/>
      <c r="M4508" s="8"/>
    </row>
    <row r="4509">
      <c r="B4509" s="8"/>
      <c r="G4509" s="8"/>
      <c r="M4509" s="8"/>
    </row>
    <row r="4510">
      <c r="B4510" s="8"/>
      <c r="G4510" s="8"/>
      <c r="M4510" s="8"/>
    </row>
    <row r="4511">
      <c r="B4511" s="8"/>
      <c r="G4511" s="8"/>
      <c r="M4511" s="8"/>
    </row>
    <row r="4512">
      <c r="B4512" s="8"/>
      <c r="G4512" s="8"/>
      <c r="M4512" s="8"/>
    </row>
    <row r="4513">
      <c r="B4513" s="8"/>
      <c r="G4513" s="8"/>
      <c r="M4513" s="8"/>
    </row>
    <row r="4514">
      <c r="B4514" s="8"/>
      <c r="G4514" s="8"/>
      <c r="M4514" s="8"/>
    </row>
    <row r="4515">
      <c r="B4515" s="8"/>
      <c r="G4515" s="8"/>
      <c r="M4515" s="8"/>
    </row>
    <row r="4516">
      <c r="B4516" s="8"/>
      <c r="G4516" s="8"/>
      <c r="M4516" s="8"/>
    </row>
    <row r="4517">
      <c r="B4517" s="8"/>
      <c r="G4517" s="8"/>
      <c r="M4517" s="8"/>
    </row>
    <row r="4518">
      <c r="B4518" s="8"/>
      <c r="G4518" s="8"/>
      <c r="M4518" s="8"/>
    </row>
    <row r="4519">
      <c r="B4519" s="8"/>
      <c r="G4519" s="8"/>
      <c r="M4519" s="8"/>
    </row>
    <row r="4520">
      <c r="B4520" s="8"/>
      <c r="G4520" s="8"/>
      <c r="M4520" s="8"/>
    </row>
    <row r="4521">
      <c r="B4521" s="8"/>
      <c r="G4521" s="8"/>
      <c r="M4521" s="8"/>
    </row>
    <row r="4522">
      <c r="B4522" s="8"/>
      <c r="G4522" s="8"/>
      <c r="M4522" s="8"/>
    </row>
    <row r="4523">
      <c r="B4523" s="8"/>
      <c r="G4523" s="8"/>
      <c r="M4523" s="8"/>
    </row>
    <row r="4524">
      <c r="B4524" s="8"/>
      <c r="G4524" s="8"/>
      <c r="M4524" s="8"/>
    </row>
    <row r="4525">
      <c r="B4525" s="8"/>
      <c r="G4525" s="8"/>
      <c r="M4525" s="8"/>
    </row>
    <row r="4526">
      <c r="B4526" s="8"/>
      <c r="G4526" s="8"/>
      <c r="M4526" s="8"/>
    </row>
    <row r="4527">
      <c r="B4527" s="8"/>
      <c r="G4527" s="8"/>
      <c r="M4527" s="8"/>
    </row>
    <row r="4528">
      <c r="B4528" s="8"/>
      <c r="G4528" s="8"/>
      <c r="M4528" s="8"/>
    </row>
    <row r="4529">
      <c r="B4529" s="8"/>
      <c r="G4529" s="8"/>
      <c r="M4529" s="8"/>
    </row>
    <row r="4530">
      <c r="B4530" s="8"/>
      <c r="G4530" s="8"/>
      <c r="M4530" s="8"/>
    </row>
    <row r="4531">
      <c r="B4531" s="8"/>
      <c r="G4531" s="8"/>
      <c r="M4531" s="8"/>
    </row>
    <row r="4532">
      <c r="B4532" s="8"/>
      <c r="G4532" s="8"/>
      <c r="M4532" s="8"/>
    </row>
    <row r="4533">
      <c r="B4533" s="8"/>
      <c r="G4533" s="8"/>
      <c r="M4533" s="8"/>
    </row>
    <row r="4534">
      <c r="B4534" s="8"/>
      <c r="G4534" s="8"/>
      <c r="M4534" s="8"/>
    </row>
    <row r="4535">
      <c r="B4535" s="8"/>
      <c r="G4535" s="8"/>
      <c r="M4535" s="8"/>
    </row>
    <row r="4536">
      <c r="B4536" s="8"/>
      <c r="G4536" s="8"/>
      <c r="M4536" s="8"/>
    </row>
    <row r="4537">
      <c r="B4537" s="8"/>
      <c r="G4537" s="8"/>
      <c r="M4537" s="8"/>
    </row>
    <row r="4538">
      <c r="B4538" s="8"/>
      <c r="G4538" s="8"/>
      <c r="M4538" s="8"/>
    </row>
    <row r="4539">
      <c r="B4539" s="8"/>
      <c r="G4539" s="8"/>
      <c r="M4539" s="8"/>
    </row>
    <row r="4540">
      <c r="B4540" s="8"/>
      <c r="G4540" s="8"/>
      <c r="M4540" s="8"/>
    </row>
    <row r="4541">
      <c r="B4541" s="8"/>
      <c r="G4541" s="8"/>
      <c r="M4541" s="8"/>
    </row>
    <row r="4542">
      <c r="B4542" s="8"/>
      <c r="G4542" s="8"/>
      <c r="M4542" s="8"/>
    </row>
    <row r="4543">
      <c r="B4543" s="8"/>
      <c r="G4543" s="8"/>
      <c r="M4543" s="8"/>
    </row>
    <row r="4544">
      <c r="B4544" s="8"/>
      <c r="G4544" s="8"/>
      <c r="M4544" s="8"/>
    </row>
    <row r="4545">
      <c r="B4545" s="8"/>
      <c r="G4545" s="8"/>
      <c r="M4545" s="8"/>
    </row>
    <row r="4546">
      <c r="B4546" s="8"/>
      <c r="G4546" s="8"/>
      <c r="M4546" s="8"/>
    </row>
    <row r="4547">
      <c r="B4547" s="8"/>
      <c r="G4547" s="8"/>
      <c r="M4547" s="8"/>
    </row>
    <row r="4548">
      <c r="B4548" s="8"/>
      <c r="G4548" s="8"/>
      <c r="M4548" s="8"/>
    </row>
    <row r="4549">
      <c r="B4549" s="8"/>
      <c r="G4549" s="8"/>
      <c r="M4549" s="8"/>
    </row>
    <row r="4550">
      <c r="B4550" s="8"/>
      <c r="G4550" s="8"/>
      <c r="M4550" s="8"/>
    </row>
    <row r="4551">
      <c r="B4551" s="8"/>
      <c r="G4551" s="8"/>
      <c r="M4551" s="8"/>
    </row>
    <row r="4552">
      <c r="B4552" s="8"/>
      <c r="G4552" s="8"/>
      <c r="M4552" s="8"/>
    </row>
    <row r="4553">
      <c r="B4553" s="8"/>
      <c r="G4553" s="8"/>
      <c r="M4553" s="8"/>
    </row>
    <row r="4554">
      <c r="B4554" s="8"/>
      <c r="G4554" s="8"/>
      <c r="M4554" s="8"/>
    </row>
    <row r="4555">
      <c r="B4555" s="8"/>
      <c r="G4555" s="8"/>
      <c r="M4555" s="8"/>
    </row>
    <row r="4556">
      <c r="B4556" s="8"/>
      <c r="G4556" s="8"/>
      <c r="M4556" s="8"/>
    </row>
    <row r="4557">
      <c r="B4557" s="8"/>
      <c r="G4557" s="8"/>
      <c r="M4557" s="8"/>
    </row>
    <row r="4558">
      <c r="B4558" s="8"/>
      <c r="G4558" s="8"/>
      <c r="M4558" s="8"/>
    </row>
    <row r="4559">
      <c r="B4559" s="8"/>
      <c r="G4559" s="8"/>
      <c r="M4559" s="8"/>
    </row>
    <row r="4560">
      <c r="B4560" s="8"/>
      <c r="G4560" s="8"/>
      <c r="M4560" s="8"/>
    </row>
    <row r="4561">
      <c r="B4561" s="8"/>
      <c r="G4561" s="8"/>
      <c r="M4561" s="8"/>
    </row>
    <row r="4562">
      <c r="B4562" s="8"/>
      <c r="G4562" s="8"/>
      <c r="M4562" s="8"/>
    </row>
    <row r="4563">
      <c r="B4563" s="8"/>
      <c r="G4563" s="8"/>
      <c r="M4563" s="8"/>
    </row>
    <row r="4564">
      <c r="B4564" s="8"/>
      <c r="G4564" s="8"/>
      <c r="M4564" s="8"/>
    </row>
    <row r="4565">
      <c r="B4565" s="8"/>
      <c r="G4565" s="8"/>
      <c r="M4565" s="8"/>
    </row>
    <row r="4566">
      <c r="B4566" s="8"/>
      <c r="G4566" s="8"/>
      <c r="M4566" s="8"/>
    </row>
    <row r="4567">
      <c r="B4567" s="8"/>
      <c r="G4567" s="8"/>
      <c r="M4567" s="8"/>
    </row>
    <row r="4568">
      <c r="B4568" s="8"/>
      <c r="G4568" s="8"/>
      <c r="M4568" s="8"/>
    </row>
    <row r="4569">
      <c r="B4569" s="8"/>
      <c r="G4569" s="8"/>
      <c r="M4569" s="8"/>
    </row>
    <row r="4570">
      <c r="B4570" s="8"/>
      <c r="G4570" s="8"/>
      <c r="M4570" s="8"/>
    </row>
    <row r="4571">
      <c r="B4571" s="8"/>
      <c r="G4571" s="8"/>
      <c r="M4571" s="8"/>
    </row>
    <row r="4572">
      <c r="B4572" s="8"/>
      <c r="G4572" s="8"/>
      <c r="M4572" s="8"/>
    </row>
    <row r="4573">
      <c r="B4573" s="8"/>
      <c r="G4573" s="8"/>
      <c r="M4573" s="8"/>
    </row>
    <row r="4574">
      <c r="B4574" s="8"/>
      <c r="G4574" s="8"/>
      <c r="M4574" s="8"/>
    </row>
    <row r="4575">
      <c r="B4575" s="8"/>
      <c r="G4575" s="8"/>
      <c r="M4575" s="8"/>
    </row>
    <row r="4576">
      <c r="B4576" s="8"/>
      <c r="G4576" s="8"/>
      <c r="M4576" s="8"/>
    </row>
    <row r="4577">
      <c r="B4577" s="8"/>
      <c r="G4577" s="8"/>
      <c r="M4577" s="8"/>
    </row>
    <row r="4578">
      <c r="B4578" s="8"/>
      <c r="G4578" s="8"/>
      <c r="M4578" s="8"/>
    </row>
    <row r="4579">
      <c r="B4579" s="8"/>
      <c r="G4579" s="8"/>
      <c r="M4579" s="8"/>
    </row>
    <row r="4580">
      <c r="B4580" s="8"/>
      <c r="G4580" s="8"/>
      <c r="M4580" s="8"/>
    </row>
    <row r="4581">
      <c r="B4581" s="8"/>
      <c r="G4581" s="8"/>
      <c r="M4581" s="8"/>
    </row>
    <row r="4582">
      <c r="B4582" s="8"/>
      <c r="G4582" s="8"/>
      <c r="M4582" s="8"/>
    </row>
    <row r="4583">
      <c r="B4583" s="8"/>
      <c r="G4583" s="8"/>
      <c r="M4583" s="8"/>
    </row>
    <row r="4584">
      <c r="B4584" s="8"/>
      <c r="G4584" s="8"/>
      <c r="M4584" s="8"/>
    </row>
    <row r="4585">
      <c r="B4585" s="8"/>
      <c r="G4585" s="8"/>
      <c r="M4585" s="8"/>
    </row>
    <row r="4586">
      <c r="B4586" s="8"/>
      <c r="G4586" s="8"/>
      <c r="M4586" s="8"/>
    </row>
    <row r="4587">
      <c r="B4587" s="8"/>
      <c r="G4587" s="8"/>
      <c r="M4587" s="8"/>
    </row>
    <row r="4588">
      <c r="B4588" s="8"/>
      <c r="G4588" s="8"/>
      <c r="M4588" s="8"/>
    </row>
    <row r="4589">
      <c r="B4589" s="8"/>
      <c r="G4589" s="8"/>
      <c r="M4589" s="8"/>
    </row>
    <row r="4590">
      <c r="B4590" s="8"/>
      <c r="G4590" s="8"/>
      <c r="M4590" s="8"/>
    </row>
    <row r="4591">
      <c r="B4591" s="8"/>
      <c r="G4591" s="8"/>
      <c r="M4591" s="8"/>
    </row>
    <row r="4592">
      <c r="B4592" s="8"/>
      <c r="G4592" s="8"/>
      <c r="M4592" s="8"/>
    </row>
    <row r="4593">
      <c r="B4593" s="8"/>
      <c r="G4593" s="8"/>
      <c r="M4593" s="8"/>
    </row>
    <row r="4594">
      <c r="B4594" s="8"/>
      <c r="G4594" s="8"/>
      <c r="M4594" s="8"/>
    </row>
    <row r="4595">
      <c r="B4595" s="8"/>
      <c r="G4595" s="8"/>
      <c r="M4595" s="8"/>
    </row>
    <row r="4596">
      <c r="B4596" s="8"/>
      <c r="G4596" s="8"/>
      <c r="M4596" s="8"/>
    </row>
    <row r="4597">
      <c r="B4597" s="8"/>
      <c r="G4597" s="8"/>
      <c r="M4597" s="8"/>
    </row>
    <row r="4598">
      <c r="B4598" s="8"/>
      <c r="G4598" s="8"/>
      <c r="M4598" s="8"/>
    </row>
    <row r="4599">
      <c r="B4599" s="8"/>
      <c r="G4599" s="8"/>
      <c r="M4599" s="8"/>
    </row>
    <row r="4600">
      <c r="B4600" s="8"/>
      <c r="G4600" s="8"/>
      <c r="M4600" s="8"/>
    </row>
    <row r="4601">
      <c r="B4601" s="8"/>
      <c r="G4601" s="8"/>
      <c r="M4601" s="8"/>
    </row>
    <row r="4602">
      <c r="B4602" s="8"/>
      <c r="G4602" s="8"/>
      <c r="M4602" s="8"/>
    </row>
    <row r="4603">
      <c r="B4603" s="8"/>
      <c r="G4603" s="8"/>
      <c r="M4603" s="8"/>
    </row>
    <row r="4604">
      <c r="B4604" s="8"/>
      <c r="G4604" s="8"/>
      <c r="M4604" s="8"/>
    </row>
    <row r="4605">
      <c r="B4605" s="8"/>
      <c r="G4605" s="8"/>
      <c r="M4605" s="8"/>
    </row>
    <row r="4606">
      <c r="B4606" s="8"/>
      <c r="G4606" s="8"/>
      <c r="M4606" s="8"/>
    </row>
    <row r="4607">
      <c r="B4607" s="8"/>
      <c r="G4607" s="8"/>
      <c r="M4607" s="8"/>
    </row>
    <row r="4608">
      <c r="B4608" s="8"/>
      <c r="G4608" s="8"/>
      <c r="M4608" s="8"/>
    </row>
    <row r="4609">
      <c r="B4609" s="8"/>
      <c r="G4609" s="8"/>
      <c r="M4609" s="8"/>
    </row>
    <row r="4610">
      <c r="B4610" s="8"/>
      <c r="G4610" s="8"/>
      <c r="M4610" s="8"/>
    </row>
    <row r="4611">
      <c r="B4611" s="8"/>
      <c r="G4611" s="8"/>
      <c r="M4611" s="8"/>
    </row>
    <row r="4612">
      <c r="B4612" s="8"/>
      <c r="G4612" s="8"/>
      <c r="M4612" s="8"/>
    </row>
    <row r="4613">
      <c r="B4613" s="8"/>
      <c r="G4613" s="8"/>
      <c r="M4613" s="8"/>
    </row>
    <row r="4614">
      <c r="B4614" s="8"/>
      <c r="G4614" s="8"/>
      <c r="M4614" s="8"/>
    </row>
    <row r="4615">
      <c r="B4615" s="8"/>
      <c r="G4615" s="8"/>
      <c r="M4615" s="8"/>
    </row>
    <row r="4616">
      <c r="B4616" s="8"/>
      <c r="G4616" s="8"/>
      <c r="M4616" s="8"/>
    </row>
    <row r="4617">
      <c r="B4617" s="8"/>
      <c r="G4617" s="8"/>
      <c r="M4617" s="8"/>
    </row>
    <row r="4618">
      <c r="B4618" s="8"/>
      <c r="G4618" s="8"/>
      <c r="M4618" s="8"/>
    </row>
    <row r="4619">
      <c r="B4619" s="8"/>
      <c r="G4619" s="8"/>
      <c r="M4619" s="8"/>
    </row>
    <row r="4620">
      <c r="B4620" s="8"/>
      <c r="G4620" s="8"/>
      <c r="M4620" s="8"/>
    </row>
    <row r="4621">
      <c r="B4621" s="8"/>
      <c r="G4621" s="8"/>
      <c r="M4621" s="8"/>
    </row>
    <row r="4622">
      <c r="B4622" s="8"/>
      <c r="G4622" s="8"/>
      <c r="M4622" s="8"/>
    </row>
    <row r="4623">
      <c r="B4623" s="8"/>
      <c r="G4623" s="8"/>
      <c r="M4623" s="8"/>
    </row>
    <row r="4624">
      <c r="B4624" s="8"/>
      <c r="G4624" s="8"/>
      <c r="M4624" s="8"/>
    </row>
    <row r="4625">
      <c r="B4625" s="8"/>
      <c r="G4625" s="8"/>
      <c r="M4625" s="8"/>
    </row>
    <row r="4626">
      <c r="B4626" s="8"/>
      <c r="G4626" s="8"/>
      <c r="M4626" s="8"/>
    </row>
    <row r="4627">
      <c r="B4627" s="8"/>
      <c r="G4627" s="8"/>
      <c r="M4627" s="8"/>
    </row>
    <row r="4628">
      <c r="B4628" s="8"/>
      <c r="G4628" s="8"/>
      <c r="M4628" s="8"/>
    </row>
    <row r="4629">
      <c r="B4629" s="8"/>
      <c r="G4629" s="8"/>
      <c r="M4629" s="8"/>
    </row>
    <row r="4630">
      <c r="B4630" s="8"/>
      <c r="G4630" s="8"/>
      <c r="M4630" s="8"/>
    </row>
    <row r="4631">
      <c r="B4631" s="8"/>
      <c r="G4631" s="8"/>
      <c r="M4631" s="8"/>
    </row>
    <row r="4632">
      <c r="B4632" s="8"/>
      <c r="G4632" s="8"/>
      <c r="M4632" s="8"/>
    </row>
    <row r="4633">
      <c r="B4633" s="8"/>
      <c r="G4633" s="8"/>
      <c r="M4633" s="8"/>
    </row>
    <row r="4634">
      <c r="B4634" s="8"/>
      <c r="G4634" s="8"/>
      <c r="M4634" s="8"/>
    </row>
    <row r="4635">
      <c r="B4635" s="8"/>
      <c r="G4635" s="8"/>
      <c r="M4635" s="8"/>
    </row>
    <row r="4636">
      <c r="B4636" s="8"/>
      <c r="G4636" s="8"/>
      <c r="M4636" s="8"/>
    </row>
    <row r="4637">
      <c r="B4637" s="8"/>
      <c r="G4637" s="8"/>
      <c r="M4637" s="8"/>
    </row>
    <row r="4638">
      <c r="B4638" s="8"/>
      <c r="G4638" s="8"/>
      <c r="M4638" s="8"/>
    </row>
    <row r="4639">
      <c r="B4639" s="8"/>
      <c r="G4639" s="8"/>
      <c r="M4639" s="8"/>
    </row>
    <row r="4640">
      <c r="B4640" s="8"/>
      <c r="G4640" s="8"/>
      <c r="M4640" s="8"/>
    </row>
    <row r="4641">
      <c r="B4641" s="8"/>
      <c r="G4641" s="8"/>
      <c r="M4641" s="8"/>
    </row>
    <row r="4642">
      <c r="B4642" s="8"/>
      <c r="G4642" s="8"/>
      <c r="M4642" s="8"/>
    </row>
    <row r="4643">
      <c r="B4643" s="8"/>
      <c r="G4643" s="8"/>
      <c r="M4643" s="8"/>
    </row>
    <row r="4644">
      <c r="B4644" s="8"/>
      <c r="G4644" s="8"/>
      <c r="M4644" s="8"/>
    </row>
    <row r="4645">
      <c r="B4645" s="8"/>
      <c r="G4645" s="8"/>
      <c r="M4645" s="8"/>
    </row>
    <row r="4646">
      <c r="B4646" s="8"/>
      <c r="G4646" s="8"/>
      <c r="M4646" s="8"/>
    </row>
    <row r="4647">
      <c r="B4647" s="8"/>
      <c r="G4647" s="8"/>
      <c r="M4647" s="8"/>
    </row>
    <row r="4648">
      <c r="B4648" s="8"/>
      <c r="G4648" s="8"/>
      <c r="M4648" s="8"/>
    </row>
    <row r="4649">
      <c r="B4649" s="8"/>
      <c r="G4649" s="8"/>
      <c r="M4649" s="8"/>
    </row>
    <row r="4650">
      <c r="B4650" s="8"/>
      <c r="G4650" s="8"/>
      <c r="M4650" s="8"/>
    </row>
    <row r="4651">
      <c r="B4651" s="8"/>
      <c r="G4651" s="8"/>
      <c r="M4651" s="8"/>
    </row>
    <row r="4652">
      <c r="B4652" s="8"/>
      <c r="G4652" s="8"/>
      <c r="M4652" s="8"/>
    </row>
    <row r="4653">
      <c r="B4653" s="8"/>
      <c r="G4653" s="8"/>
      <c r="M4653" s="8"/>
    </row>
    <row r="4654">
      <c r="B4654" s="8"/>
      <c r="G4654" s="8"/>
      <c r="M4654" s="8"/>
    </row>
    <row r="4655">
      <c r="B4655" s="8"/>
      <c r="G4655" s="8"/>
      <c r="M4655" s="8"/>
    </row>
    <row r="4656">
      <c r="B4656" s="8"/>
      <c r="G4656" s="8"/>
      <c r="M4656" s="8"/>
    </row>
    <row r="4657">
      <c r="B4657" s="8"/>
      <c r="G4657" s="8"/>
      <c r="M4657" s="8"/>
    </row>
    <row r="4658">
      <c r="B4658" s="8"/>
      <c r="G4658" s="8"/>
      <c r="M4658" s="8"/>
    </row>
    <row r="4659">
      <c r="B4659" s="8"/>
      <c r="G4659" s="8"/>
      <c r="M4659" s="8"/>
    </row>
    <row r="4660">
      <c r="B4660" s="8"/>
      <c r="G4660" s="8"/>
      <c r="M4660" s="8"/>
    </row>
    <row r="4661">
      <c r="B4661" s="8"/>
      <c r="G4661" s="8"/>
      <c r="M4661" s="8"/>
    </row>
    <row r="4662">
      <c r="B4662" s="8"/>
      <c r="G4662" s="8"/>
      <c r="M4662" s="8"/>
    </row>
    <row r="4663">
      <c r="B4663" s="8"/>
      <c r="G4663" s="8"/>
      <c r="M4663" s="8"/>
    </row>
    <row r="4664">
      <c r="B4664" s="8"/>
      <c r="G4664" s="8"/>
      <c r="M4664" s="8"/>
    </row>
    <row r="4665">
      <c r="B4665" s="8"/>
      <c r="G4665" s="8"/>
      <c r="M4665" s="8"/>
    </row>
    <row r="4666">
      <c r="B4666" s="8"/>
      <c r="G4666" s="8"/>
      <c r="M4666" s="8"/>
    </row>
    <row r="4667">
      <c r="B4667" s="8"/>
      <c r="G4667" s="8"/>
      <c r="M4667" s="8"/>
    </row>
    <row r="4668">
      <c r="B4668" s="8"/>
      <c r="G4668" s="8"/>
      <c r="M4668" s="8"/>
    </row>
    <row r="4669">
      <c r="B4669" s="8"/>
      <c r="G4669" s="8"/>
      <c r="M4669" s="8"/>
    </row>
    <row r="4670">
      <c r="B4670" s="8"/>
      <c r="G4670" s="8"/>
      <c r="M4670" s="8"/>
    </row>
    <row r="4671">
      <c r="B4671" s="8"/>
      <c r="G4671" s="8"/>
      <c r="M4671" s="8"/>
    </row>
    <row r="4672">
      <c r="B4672" s="8"/>
      <c r="G4672" s="8"/>
      <c r="M4672" s="8"/>
    </row>
    <row r="4673">
      <c r="B4673" s="8"/>
      <c r="G4673" s="8"/>
      <c r="M4673" s="8"/>
    </row>
    <row r="4674">
      <c r="B4674" s="8"/>
      <c r="G4674" s="8"/>
      <c r="M4674" s="8"/>
    </row>
    <row r="4675">
      <c r="B4675" s="8"/>
      <c r="G4675" s="8"/>
      <c r="M4675" s="8"/>
    </row>
    <row r="4676">
      <c r="B4676" s="8"/>
      <c r="G4676" s="8"/>
      <c r="M4676" s="8"/>
    </row>
    <row r="4677">
      <c r="B4677" s="8"/>
      <c r="G4677" s="8"/>
      <c r="M4677" s="8"/>
    </row>
    <row r="4678">
      <c r="B4678" s="8"/>
      <c r="G4678" s="8"/>
      <c r="M4678" s="8"/>
    </row>
    <row r="4679">
      <c r="B4679" s="8"/>
      <c r="G4679" s="8"/>
      <c r="M4679" s="8"/>
    </row>
    <row r="4680">
      <c r="B4680" s="8"/>
      <c r="G4680" s="8"/>
      <c r="M4680" s="8"/>
    </row>
    <row r="4681">
      <c r="B4681" s="8"/>
      <c r="G4681" s="8"/>
      <c r="M4681" s="8"/>
    </row>
    <row r="4682">
      <c r="B4682" s="8"/>
      <c r="G4682" s="8"/>
      <c r="M4682" s="8"/>
    </row>
    <row r="4683">
      <c r="B4683" s="8"/>
      <c r="G4683" s="8"/>
      <c r="M4683" s="8"/>
    </row>
    <row r="4684">
      <c r="B4684" s="8"/>
      <c r="G4684" s="8"/>
      <c r="M4684" s="8"/>
    </row>
    <row r="4685">
      <c r="B4685" s="8"/>
      <c r="G4685" s="8"/>
      <c r="M4685" s="8"/>
    </row>
    <row r="4686">
      <c r="B4686" s="8"/>
      <c r="G4686" s="8"/>
      <c r="M4686" s="8"/>
    </row>
    <row r="4687">
      <c r="B4687" s="8"/>
      <c r="G4687" s="8"/>
      <c r="M4687" s="8"/>
    </row>
    <row r="4688">
      <c r="B4688" s="8"/>
      <c r="G4688" s="8"/>
      <c r="M4688" s="8"/>
    </row>
    <row r="4689">
      <c r="B4689" s="8"/>
      <c r="G4689" s="8"/>
      <c r="M4689" s="8"/>
    </row>
    <row r="4690">
      <c r="B4690" s="8"/>
      <c r="G4690" s="8"/>
      <c r="M4690" s="8"/>
    </row>
    <row r="4691">
      <c r="B4691" s="8"/>
      <c r="G4691" s="8"/>
      <c r="M4691" s="8"/>
    </row>
    <row r="4692">
      <c r="B4692" s="8"/>
      <c r="G4692" s="8"/>
      <c r="M4692" s="8"/>
    </row>
    <row r="4693">
      <c r="B4693" s="8"/>
      <c r="G4693" s="8"/>
      <c r="M4693" s="8"/>
    </row>
    <row r="4694">
      <c r="B4694" s="8"/>
      <c r="G4694" s="8"/>
      <c r="M4694" s="8"/>
    </row>
    <row r="4695">
      <c r="B4695" s="8"/>
      <c r="G4695" s="8"/>
      <c r="M4695" s="8"/>
    </row>
    <row r="4696">
      <c r="B4696" s="8"/>
      <c r="G4696" s="8"/>
      <c r="M4696" s="8"/>
    </row>
    <row r="4697">
      <c r="B4697" s="8"/>
      <c r="G4697" s="8"/>
      <c r="M4697" s="8"/>
    </row>
    <row r="4698">
      <c r="B4698" s="8"/>
      <c r="G4698" s="8"/>
      <c r="M4698" s="8"/>
    </row>
    <row r="4699">
      <c r="B4699" s="8"/>
      <c r="G4699" s="8"/>
      <c r="M4699" s="8"/>
    </row>
    <row r="4700">
      <c r="B4700" s="8"/>
      <c r="G4700" s="8"/>
      <c r="M4700" s="8"/>
    </row>
    <row r="4701">
      <c r="B4701" s="8"/>
      <c r="G4701" s="8"/>
      <c r="M4701" s="8"/>
    </row>
    <row r="4702">
      <c r="B4702" s="8"/>
      <c r="G4702" s="8"/>
      <c r="M4702" s="8"/>
    </row>
    <row r="4703">
      <c r="B4703" s="8"/>
      <c r="G4703" s="8"/>
      <c r="M4703" s="8"/>
    </row>
    <row r="4704">
      <c r="B4704" s="8"/>
      <c r="G4704" s="8"/>
      <c r="M4704" s="8"/>
    </row>
    <row r="4705">
      <c r="B4705" s="8"/>
      <c r="G4705" s="8"/>
      <c r="M4705" s="8"/>
    </row>
    <row r="4706">
      <c r="B4706" s="8"/>
      <c r="G4706" s="8"/>
      <c r="M4706" s="8"/>
    </row>
    <row r="4707">
      <c r="B4707" s="8"/>
      <c r="G4707" s="8"/>
      <c r="M4707" s="8"/>
    </row>
    <row r="4708">
      <c r="B4708" s="8"/>
      <c r="G4708" s="8"/>
      <c r="M4708" s="8"/>
    </row>
    <row r="4709">
      <c r="B4709" s="8"/>
      <c r="G4709" s="8"/>
      <c r="M4709" s="8"/>
    </row>
    <row r="4710">
      <c r="B4710" s="8"/>
      <c r="G4710" s="8"/>
      <c r="M4710" s="8"/>
    </row>
    <row r="4711">
      <c r="B4711" s="8"/>
      <c r="G4711" s="8"/>
      <c r="M4711" s="8"/>
    </row>
    <row r="4712">
      <c r="B4712" s="8"/>
      <c r="G4712" s="8"/>
      <c r="M4712" s="8"/>
    </row>
    <row r="4713">
      <c r="B4713" s="8"/>
      <c r="G4713" s="8"/>
      <c r="M4713" s="8"/>
    </row>
    <row r="4714">
      <c r="B4714" s="8"/>
      <c r="G4714" s="8"/>
      <c r="M4714" s="8"/>
    </row>
    <row r="4715">
      <c r="B4715" s="8"/>
      <c r="G4715" s="8"/>
      <c r="M4715" s="8"/>
    </row>
    <row r="4716">
      <c r="B4716" s="8"/>
      <c r="G4716" s="8"/>
      <c r="M4716" s="8"/>
    </row>
    <row r="4717">
      <c r="B4717" s="8"/>
      <c r="G4717" s="8"/>
      <c r="M4717" s="8"/>
    </row>
    <row r="4718">
      <c r="B4718" s="8"/>
      <c r="G4718" s="8"/>
      <c r="M4718" s="8"/>
    </row>
    <row r="4719">
      <c r="B4719" s="8"/>
      <c r="G4719" s="8"/>
      <c r="M4719" s="8"/>
    </row>
    <row r="4720">
      <c r="B4720" s="8"/>
      <c r="G4720" s="8"/>
      <c r="M4720" s="8"/>
    </row>
    <row r="4721">
      <c r="B4721" s="8"/>
      <c r="G4721" s="8"/>
      <c r="M4721" s="8"/>
    </row>
    <row r="4722">
      <c r="B4722" s="8"/>
      <c r="G4722" s="8"/>
      <c r="M4722" s="8"/>
    </row>
    <row r="4723">
      <c r="B4723" s="8"/>
      <c r="G4723" s="8"/>
      <c r="M4723" s="8"/>
    </row>
    <row r="4724">
      <c r="B4724" s="8"/>
      <c r="G4724" s="8"/>
      <c r="M4724" s="8"/>
    </row>
    <row r="4725">
      <c r="B4725" s="8"/>
      <c r="G4725" s="8"/>
      <c r="M4725" s="8"/>
    </row>
    <row r="4726">
      <c r="B4726" s="8"/>
      <c r="G4726" s="8"/>
      <c r="M4726" s="8"/>
    </row>
    <row r="4727">
      <c r="B4727" s="8"/>
      <c r="G4727" s="8"/>
      <c r="M4727" s="8"/>
    </row>
    <row r="4728">
      <c r="B4728" s="8"/>
      <c r="G4728" s="8"/>
      <c r="M4728" s="8"/>
    </row>
    <row r="4729">
      <c r="B4729" s="8"/>
      <c r="G4729" s="8"/>
      <c r="M4729" s="8"/>
    </row>
    <row r="4730">
      <c r="B4730" s="8"/>
      <c r="G4730" s="8"/>
      <c r="M4730" s="8"/>
    </row>
    <row r="4731">
      <c r="B4731" s="8"/>
      <c r="G4731" s="8"/>
      <c r="M4731" s="8"/>
    </row>
    <row r="4732">
      <c r="B4732" s="8"/>
      <c r="G4732" s="8"/>
      <c r="M4732" s="8"/>
    </row>
    <row r="4733">
      <c r="B4733" s="8"/>
      <c r="G4733" s="8"/>
      <c r="M4733" s="8"/>
    </row>
    <row r="4734">
      <c r="B4734" s="8"/>
      <c r="G4734" s="8"/>
      <c r="M4734" s="8"/>
    </row>
    <row r="4735">
      <c r="B4735" s="8"/>
      <c r="G4735" s="8"/>
      <c r="M4735" s="8"/>
    </row>
    <row r="4736">
      <c r="B4736" s="8"/>
      <c r="G4736" s="8"/>
      <c r="M4736" s="8"/>
    </row>
    <row r="4737">
      <c r="B4737" s="8"/>
      <c r="G4737" s="8"/>
      <c r="M4737" s="8"/>
    </row>
    <row r="4738">
      <c r="B4738" s="8"/>
      <c r="G4738" s="8"/>
      <c r="M4738" s="8"/>
    </row>
    <row r="4739">
      <c r="B4739" s="8"/>
      <c r="G4739" s="8"/>
      <c r="M4739" s="8"/>
    </row>
    <row r="4740">
      <c r="B4740" s="8"/>
      <c r="G4740" s="8"/>
      <c r="M4740" s="8"/>
    </row>
    <row r="4741">
      <c r="B4741" s="8"/>
      <c r="G4741" s="8"/>
      <c r="M4741" s="8"/>
    </row>
    <row r="4742">
      <c r="B4742" s="8"/>
      <c r="G4742" s="8"/>
      <c r="M4742" s="8"/>
    </row>
    <row r="4743">
      <c r="B4743" s="8"/>
      <c r="G4743" s="8"/>
      <c r="M4743" s="8"/>
    </row>
    <row r="4744">
      <c r="B4744" s="8"/>
      <c r="G4744" s="8"/>
      <c r="M4744" s="8"/>
    </row>
    <row r="4745">
      <c r="B4745" s="8"/>
      <c r="G4745" s="8"/>
      <c r="M4745" s="8"/>
    </row>
    <row r="4746">
      <c r="B4746" s="8"/>
      <c r="G4746" s="8"/>
      <c r="M4746" s="8"/>
    </row>
    <row r="4747">
      <c r="B4747" s="8"/>
      <c r="G4747" s="8"/>
      <c r="M4747" s="8"/>
    </row>
    <row r="4748">
      <c r="B4748" s="8"/>
      <c r="G4748" s="8"/>
      <c r="M4748" s="8"/>
    </row>
    <row r="4749">
      <c r="B4749" s="8"/>
      <c r="G4749" s="8"/>
      <c r="M4749" s="8"/>
    </row>
    <row r="4750">
      <c r="B4750" s="8"/>
      <c r="G4750" s="8"/>
      <c r="M4750" s="8"/>
    </row>
    <row r="4751">
      <c r="B4751" s="8"/>
      <c r="G4751" s="8"/>
      <c r="M4751" s="8"/>
    </row>
    <row r="4752">
      <c r="B4752" s="8"/>
      <c r="G4752" s="8"/>
      <c r="M4752" s="8"/>
    </row>
    <row r="4753">
      <c r="B4753" s="8"/>
      <c r="G4753" s="8"/>
      <c r="M4753" s="8"/>
    </row>
    <row r="4754">
      <c r="B4754" s="8"/>
      <c r="G4754" s="8"/>
      <c r="M4754" s="8"/>
    </row>
    <row r="4755">
      <c r="B4755" s="8"/>
      <c r="G4755" s="8"/>
      <c r="M4755" s="8"/>
    </row>
    <row r="4756">
      <c r="B4756" s="8"/>
      <c r="G4756" s="8"/>
      <c r="M4756" s="8"/>
    </row>
    <row r="4757">
      <c r="B4757" s="8"/>
      <c r="G4757" s="8"/>
      <c r="M4757" s="8"/>
    </row>
    <row r="4758">
      <c r="B4758" s="8"/>
      <c r="G4758" s="8"/>
      <c r="M4758" s="8"/>
    </row>
    <row r="4759">
      <c r="B4759" s="8"/>
      <c r="G4759" s="8"/>
      <c r="M4759" s="8"/>
    </row>
    <row r="4760">
      <c r="B4760" s="8"/>
      <c r="G4760" s="8"/>
      <c r="M4760" s="8"/>
    </row>
    <row r="4761">
      <c r="B4761" s="8"/>
      <c r="G4761" s="8"/>
      <c r="M4761" s="8"/>
    </row>
    <row r="4762">
      <c r="B4762" s="8"/>
      <c r="G4762" s="8"/>
      <c r="M4762" s="8"/>
    </row>
    <row r="4763">
      <c r="B4763" s="8"/>
      <c r="G4763" s="8"/>
      <c r="M4763" s="8"/>
    </row>
    <row r="4764">
      <c r="B4764" s="8"/>
      <c r="G4764" s="8"/>
      <c r="M4764" s="8"/>
    </row>
    <row r="4765">
      <c r="B4765" s="8"/>
      <c r="G4765" s="8"/>
      <c r="M4765" s="8"/>
    </row>
    <row r="4766">
      <c r="B4766" s="8"/>
      <c r="G4766" s="8"/>
      <c r="M4766" s="8"/>
    </row>
    <row r="4767">
      <c r="B4767" s="8"/>
      <c r="G4767" s="8"/>
      <c r="M4767" s="8"/>
    </row>
    <row r="4768">
      <c r="B4768" s="8"/>
      <c r="G4768" s="8"/>
      <c r="M4768" s="8"/>
    </row>
    <row r="4769">
      <c r="B4769" s="8"/>
      <c r="G4769" s="8"/>
      <c r="M4769" s="8"/>
    </row>
    <row r="4770">
      <c r="B4770" s="8"/>
      <c r="G4770" s="8"/>
      <c r="M4770" s="8"/>
    </row>
    <row r="4771">
      <c r="B4771" s="8"/>
      <c r="G4771" s="8"/>
      <c r="M4771" s="8"/>
    </row>
    <row r="4772">
      <c r="B4772" s="8"/>
      <c r="G4772" s="8"/>
      <c r="M4772" s="8"/>
    </row>
    <row r="4773">
      <c r="B4773" s="8"/>
      <c r="G4773" s="8"/>
      <c r="M4773" s="8"/>
    </row>
    <row r="4774">
      <c r="B4774" s="8"/>
      <c r="G4774" s="8"/>
      <c r="M4774" s="8"/>
    </row>
    <row r="4775">
      <c r="B4775" s="8"/>
      <c r="G4775" s="8"/>
      <c r="M4775" s="8"/>
    </row>
    <row r="4776">
      <c r="B4776" s="8"/>
      <c r="G4776" s="8"/>
      <c r="M4776" s="8"/>
    </row>
    <row r="4777">
      <c r="B4777" s="8"/>
      <c r="G4777" s="8"/>
      <c r="M4777" s="8"/>
    </row>
    <row r="4778">
      <c r="B4778" s="8"/>
      <c r="G4778" s="8"/>
      <c r="M4778" s="8"/>
    </row>
    <row r="4779">
      <c r="B4779" s="8"/>
      <c r="G4779" s="8"/>
      <c r="M4779" s="8"/>
    </row>
    <row r="4780">
      <c r="B4780" s="8"/>
      <c r="G4780" s="8"/>
      <c r="M4780" s="8"/>
    </row>
    <row r="4781">
      <c r="B4781" s="8"/>
      <c r="G4781" s="8"/>
      <c r="M4781" s="8"/>
    </row>
    <row r="4782">
      <c r="B4782" s="8"/>
      <c r="G4782" s="8"/>
      <c r="M4782" s="8"/>
    </row>
    <row r="4783">
      <c r="B4783" s="8"/>
      <c r="G4783" s="8"/>
      <c r="M4783" s="8"/>
    </row>
    <row r="4784">
      <c r="B4784" s="8"/>
      <c r="G4784" s="8"/>
      <c r="M4784" s="8"/>
    </row>
    <row r="4785">
      <c r="B4785" s="8"/>
      <c r="G4785" s="8"/>
      <c r="M4785" s="8"/>
    </row>
    <row r="4786">
      <c r="B4786" s="8"/>
      <c r="G4786" s="8"/>
      <c r="M4786" s="8"/>
    </row>
    <row r="4787">
      <c r="B4787" s="8"/>
      <c r="G4787" s="8"/>
      <c r="M4787" s="8"/>
    </row>
    <row r="4788">
      <c r="B4788" s="8"/>
      <c r="G4788" s="8"/>
      <c r="M4788" s="8"/>
    </row>
    <row r="4789">
      <c r="B4789" s="8"/>
      <c r="G4789" s="8"/>
      <c r="M4789" s="8"/>
    </row>
    <row r="4790">
      <c r="B4790" s="8"/>
      <c r="G4790" s="8"/>
      <c r="M4790" s="8"/>
    </row>
    <row r="4791">
      <c r="B4791" s="8"/>
      <c r="G4791" s="8"/>
      <c r="M4791" s="8"/>
    </row>
    <row r="4792">
      <c r="B4792" s="8"/>
      <c r="G4792" s="8"/>
      <c r="M4792" s="8"/>
    </row>
    <row r="4793">
      <c r="B4793" s="8"/>
      <c r="G4793" s="8"/>
      <c r="M4793" s="8"/>
    </row>
    <row r="4794">
      <c r="B4794" s="8"/>
      <c r="G4794" s="8"/>
      <c r="M4794" s="8"/>
    </row>
    <row r="4795">
      <c r="B4795" s="8"/>
      <c r="G4795" s="8"/>
      <c r="M4795" s="8"/>
    </row>
    <row r="4796">
      <c r="B4796" s="8"/>
      <c r="G4796" s="8"/>
      <c r="M4796" s="8"/>
    </row>
    <row r="4797">
      <c r="B4797" s="8"/>
      <c r="G4797" s="8"/>
      <c r="M4797" s="8"/>
    </row>
    <row r="4798">
      <c r="B4798" s="8"/>
      <c r="G4798" s="8"/>
      <c r="M4798" s="8"/>
    </row>
    <row r="4799">
      <c r="B4799" s="8"/>
      <c r="G4799" s="8"/>
      <c r="M4799" s="8"/>
    </row>
    <row r="4800">
      <c r="B4800" s="8"/>
      <c r="G4800" s="8"/>
      <c r="M4800" s="8"/>
    </row>
    <row r="4801">
      <c r="B4801" s="8"/>
      <c r="G4801" s="8"/>
      <c r="M4801" s="8"/>
    </row>
    <row r="4802">
      <c r="B4802" s="8"/>
      <c r="G4802" s="8"/>
      <c r="M4802" s="8"/>
    </row>
    <row r="4803">
      <c r="B4803" s="8"/>
      <c r="G4803" s="8"/>
      <c r="M4803" s="8"/>
    </row>
    <row r="4804">
      <c r="B4804" s="8"/>
      <c r="G4804" s="8"/>
      <c r="M4804" s="8"/>
    </row>
    <row r="4805">
      <c r="B4805" s="8"/>
      <c r="G4805" s="8"/>
      <c r="M4805" s="8"/>
    </row>
    <row r="4806">
      <c r="B4806" s="8"/>
      <c r="G4806" s="8"/>
      <c r="M4806" s="8"/>
    </row>
    <row r="4807">
      <c r="B4807" s="8"/>
      <c r="G4807" s="8"/>
      <c r="M4807" s="8"/>
    </row>
    <row r="4808">
      <c r="B4808" s="8"/>
      <c r="G4808" s="8"/>
      <c r="M4808" s="8"/>
    </row>
    <row r="4809">
      <c r="B4809" s="8"/>
      <c r="G4809" s="8"/>
      <c r="M4809" s="8"/>
    </row>
    <row r="4810">
      <c r="B4810" s="8"/>
      <c r="G4810" s="8"/>
      <c r="M4810" s="8"/>
    </row>
    <row r="4811">
      <c r="B4811" s="8"/>
      <c r="G4811" s="8"/>
      <c r="M4811" s="8"/>
    </row>
    <row r="4812">
      <c r="B4812" s="8"/>
      <c r="G4812" s="8"/>
      <c r="M4812" s="8"/>
    </row>
    <row r="4813">
      <c r="B4813" s="8"/>
      <c r="G4813" s="8"/>
      <c r="M4813" s="8"/>
    </row>
    <row r="4814">
      <c r="B4814" s="8"/>
      <c r="G4814" s="8"/>
      <c r="M4814" s="8"/>
    </row>
    <row r="4815">
      <c r="B4815" s="8"/>
      <c r="G4815" s="8"/>
      <c r="M4815" s="8"/>
    </row>
    <row r="4816">
      <c r="B4816" s="8"/>
      <c r="G4816" s="8"/>
      <c r="M4816" s="8"/>
    </row>
    <row r="4817">
      <c r="B4817" s="8"/>
      <c r="G4817" s="8"/>
      <c r="M4817" s="8"/>
    </row>
    <row r="4818">
      <c r="B4818" s="8"/>
      <c r="G4818" s="8"/>
      <c r="M4818" s="8"/>
    </row>
    <row r="4819">
      <c r="B4819" s="8"/>
      <c r="G4819" s="8"/>
      <c r="M4819" s="8"/>
    </row>
    <row r="4820">
      <c r="B4820" s="8"/>
      <c r="G4820" s="8"/>
      <c r="M4820" s="8"/>
    </row>
    <row r="4821">
      <c r="B4821" s="8"/>
      <c r="G4821" s="8"/>
      <c r="M4821" s="8"/>
    </row>
    <row r="4822">
      <c r="B4822" s="8"/>
      <c r="G4822" s="8"/>
      <c r="M4822" s="8"/>
    </row>
    <row r="4823">
      <c r="B4823" s="8"/>
      <c r="G4823" s="8"/>
      <c r="M4823" s="8"/>
    </row>
    <row r="4824">
      <c r="B4824" s="8"/>
      <c r="G4824" s="8"/>
      <c r="M4824" s="8"/>
    </row>
    <row r="4825">
      <c r="B4825" s="8"/>
      <c r="G4825" s="8"/>
      <c r="M4825" s="8"/>
    </row>
    <row r="4826">
      <c r="B4826" s="8"/>
      <c r="G4826" s="8"/>
      <c r="M4826" s="8"/>
    </row>
    <row r="4827">
      <c r="B4827" s="8"/>
      <c r="G4827" s="8"/>
      <c r="M4827" s="8"/>
    </row>
    <row r="4828">
      <c r="B4828" s="8"/>
      <c r="G4828" s="8"/>
      <c r="M4828" s="8"/>
    </row>
    <row r="4829">
      <c r="B4829" s="8"/>
      <c r="G4829" s="8"/>
      <c r="M4829" s="8"/>
    </row>
    <row r="4830">
      <c r="B4830" s="8"/>
      <c r="G4830" s="8"/>
      <c r="M4830" s="8"/>
    </row>
    <row r="4831">
      <c r="B4831" s="8"/>
      <c r="G4831" s="8"/>
      <c r="M4831" s="8"/>
    </row>
    <row r="4832">
      <c r="B4832" s="8"/>
      <c r="G4832" s="8"/>
      <c r="M4832" s="8"/>
    </row>
    <row r="4833">
      <c r="B4833" s="8"/>
      <c r="G4833" s="8"/>
      <c r="M4833" s="8"/>
    </row>
    <row r="4834">
      <c r="B4834" s="8"/>
      <c r="G4834" s="8"/>
      <c r="M4834" s="8"/>
    </row>
    <row r="4835">
      <c r="B4835" s="8"/>
      <c r="G4835" s="8"/>
      <c r="M4835" s="8"/>
    </row>
    <row r="4836">
      <c r="B4836" s="8"/>
      <c r="G4836" s="8"/>
      <c r="M4836" s="8"/>
    </row>
    <row r="4837">
      <c r="B4837" s="8"/>
      <c r="G4837" s="8"/>
      <c r="M4837" s="8"/>
    </row>
    <row r="4838">
      <c r="B4838" s="8"/>
      <c r="G4838" s="8"/>
      <c r="M4838" s="8"/>
    </row>
    <row r="4839">
      <c r="B4839" s="8"/>
      <c r="G4839" s="8"/>
      <c r="M4839" s="8"/>
    </row>
    <row r="4840">
      <c r="B4840" s="8"/>
      <c r="G4840" s="8"/>
      <c r="M4840" s="8"/>
    </row>
    <row r="4841">
      <c r="B4841" s="8"/>
      <c r="G4841" s="8"/>
      <c r="M4841" s="8"/>
    </row>
    <row r="4842">
      <c r="B4842" s="8"/>
      <c r="G4842" s="8"/>
      <c r="M4842" s="8"/>
    </row>
    <row r="4843">
      <c r="B4843" s="8"/>
      <c r="G4843" s="8"/>
      <c r="M4843" s="8"/>
    </row>
    <row r="4844">
      <c r="B4844" s="8"/>
      <c r="G4844" s="8"/>
      <c r="M4844" s="8"/>
    </row>
    <row r="4845">
      <c r="B4845" s="8"/>
      <c r="G4845" s="8"/>
      <c r="M4845" s="8"/>
    </row>
    <row r="4846">
      <c r="B4846" s="8"/>
      <c r="G4846" s="8"/>
      <c r="M4846" s="8"/>
    </row>
    <row r="4847">
      <c r="B4847" s="8"/>
      <c r="G4847" s="8"/>
      <c r="M4847" s="8"/>
    </row>
    <row r="4848">
      <c r="B4848" s="8"/>
      <c r="G4848" s="8"/>
      <c r="M4848" s="8"/>
    </row>
    <row r="4849">
      <c r="B4849" s="8"/>
      <c r="G4849" s="8"/>
      <c r="M4849" s="8"/>
    </row>
    <row r="4850">
      <c r="B4850" s="8"/>
      <c r="G4850" s="8"/>
      <c r="M4850" s="8"/>
    </row>
    <row r="4851">
      <c r="B4851" s="8"/>
      <c r="G4851" s="8"/>
      <c r="M4851" s="8"/>
    </row>
    <row r="4852">
      <c r="B4852" s="8"/>
      <c r="G4852" s="8"/>
      <c r="M4852" s="8"/>
    </row>
    <row r="4853">
      <c r="B4853" s="8"/>
      <c r="G4853" s="8"/>
      <c r="M4853" s="8"/>
    </row>
    <row r="4854">
      <c r="B4854" s="8"/>
      <c r="G4854" s="8"/>
      <c r="M4854" s="8"/>
    </row>
    <row r="4855">
      <c r="B4855" s="8"/>
      <c r="G4855" s="8"/>
      <c r="M4855" s="8"/>
    </row>
    <row r="4856">
      <c r="B4856" s="8"/>
      <c r="G4856" s="8"/>
      <c r="M4856" s="8"/>
    </row>
    <row r="4857">
      <c r="B4857" s="8"/>
      <c r="G4857" s="8"/>
      <c r="M4857" s="8"/>
    </row>
    <row r="4858">
      <c r="B4858" s="8"/>
      <c r="G4858" s="8"/>
      <c r="M4858" s="8"/>
    </row>
    <row r="4859">
      <c r="B4859" s="8"/>
      <c r="G4859" s="8"/>
      <c r="M4859" s="8"/>
    </row>
    <row r="4860">
      <c r="B4860" s="8"/>
      <c r="G4860" s="8"/>
      <c r="M4860" s="8"/>
    </row>
    <row r="4861">
      <c r="B4861" s="8"/>
      <c r="G4861" s="8"/>
      <c r="M4861" s="8"/>
    </row>
    <row r="4862">
      <c r="B4862" s="8"/>
      <c r="G4862" s="8"/>
      <c r="M4862" s="8"/>
    </row>
    <row r="4863">
      <c r="B4863" s="8"/>
      <c r="G4863" s="8"/>
      <c r="M4863" s="8"/>
    </row>
    <row r="4864">
      <c r="B4864" s="8"/>
      <c r="G4864" s="8"/>
      <c r="M4864" s="8"/>
    </row>
    <row r="4865">
      <c r="B4865" s="8"/>
      <c r="G4865" s="8"/>
      <c r="M4865" s="8"/>
    </row>
    <row r="4866">
      <c r="B4866" s="8"/>
      <c r="G4866" s="8"/>
      <c r="M4866" s="8"/>
    </row>
    <row r="4867">
      <c r="B4867" s="8"/>
      <c r="G4867" s="8"/>
      <c r="M4867" s="8"/>
    </row>
    <row r="4868">
      <c r="B4868" s="8"/>
      <c r="G4868" s="8"/>
      <c r="M4868" s="8"/>
    </row>
    <row r="4869">
      <c r="B4869" s="8"/>
      <c r="G4869" s="8"/>
      <c r="M4869" s="8"/>
    </row>
    <row r="4870">
      <c r="B4870" s="8"/>
      <c r="G4870" s="8"/>
      <c r="M4870" s="8"/>
    </row>
    <row r="4871">
      <c r="B4871" s="8"/>
      <c r="G4871" s="8"/>
      <c r="M4871" s="8"/>
    </row>
    <row r="4872">
      <c r="B4872" s="8"/>
      <c r="G4872" s="8"/>
      <c r="M4872" s="8"/>
    </row>
    <row r="4873">
      <c r="B4873" s="8"/>
      <c r="G4873" s="8"/>
      <c r="M4873" s="8"/>
    </row>
    <row r="4874">
      <c r="B4874" s="8"/>
      <c r="G4874" s="8"/>
      <c r="M4874" s="8"/>
    </row>
    <row r="4875">
      <c r="B4875" s="8"/>
      <c r="G4875" s="8"/>
      <c r="M4875" s="8"/>
    </row>
    <row r="4876">
      <c r="B4876" s="8"/>
      <c r="G4876" s="8"/>
      <c r="M4876" s="8"/>
    </row>
    <row r="4877">
      <c r="B4877" s="8"/>
      <c r="G4877" s="8"/>
      <c r="M4877" s="8"/>
    </row>
    <row r="4878">
      <c r="B4878" s="8"/>
      <c r="G4878" s="8"/>
      <c r="M4878" s="8"/>
    </row>
    <row r="4879">
      <c r="B4879" s="8"/>
      <c r="G4879" s="8"/>
      <c r="M4879" s="8"/>
    </row>
    <row r="4880">
      <c r="B4880" s="8"/>
      <c r="G4880" s="8"/>
      <c r="M4880" s="8"/>
    </row>
    <row r="4881">
      <c r="B4881" s="8"/>
      <c r="G4881" s="8"/>
      <c r="M4881" s="8"/>
    </row>
    <row r="4882">
      <c r="B4882" s="8"/>
      <c r="G4882" s="8"/>
      <c r="M4882" s="8"/>
    </row>
    <row r="4883">
      <c r="B4883" s="8"/>
      <c r="G4883" s="8"/>
      <c r="M4883" s="8"/>
    </row>
    <row r="4884">
      <c r="B4884" s="8"/>
      <c r="G4884" s="8"/>
      <c r="M4884" s="8"/>
    </row>
    <row r="4885">
      <c r="B4885" s="8"/>
      <c r="G4885" s="8"/>
      <c r="M4885" s="8"/>
    </row>
    <row r="4886">
      <c r="B4886" s="8"/>
      <c r="G4886" s="8"/>
      <c r="M4886" s="8"/>
    </row>
    <row r="4887">
      <c r="B4887" s="8"/>
      <c r="G4887" s="8"/>
      <c r="M4887" s="8"/>
    </row>
    <row r="4888">
      <c r="B4888" s="8"/>
      <c r="G4888" s="8"/>
      <c r="M4888" s="8"/>
    </row>
    <row r="4889">
      <c r="B4889" s="8"/>
      <c r="G4889" s="8"/>
      <c r="M4889" s="8"/>
    </row>
    <row r="4890">
      <c r="B4890" s="8"/>
      <c r="G4890" s="8"/>
      <c r="M4890" s="8"/>
    </row>
    <row r="4891">
      <c r="B4891" s="8"/>
      <c r="G4891" s="8"/>
      <c r="M4891" s="8"/>
    </row>
    <row r="4892">
      <c r="B4892" s="8"/>
      <c r="G4892" s="8"/>
      <c r="M4892" s="8"/>
    </row>
    <row r="4893">
      <c r="B4893" s="8"/>
      <c r="G4893" s="8"/>
      <c r="M4893" s="8"/>
    </row>
    <row r="4894">
      <c r="B4894" s="8"/>
      <c r="G4894" s="8"/>
      <c r="M4894" s="8"/>
    </row>
    <row r="4895">
      <c r="B4895" s="8"/>
      <c r="G4895" s="8"/>
      <c r="M4895" s="8"/>
    </row>
    <row r="4896">
      <c r="B4896" s="8"/>
      <c r="G4896" s="8"/>
      <c r="M4896" s="8"/>
    </row>
    <row r="4897">
      <c r="B4897" s="8"/>
      <c r="G4897" s="8"/>
      <c r="M4897" s="8"/>
    </row>
    <row r="4898">
      <c r="B4898" s="8"/>
      <c r="G4898" s="8"/>
      <c r="M4898" s="8"/>
    </row>
    <row r="4899">
      <c r="B4899" s="8"/>
      <c r="G4899" s="8"/>
      <c r="M4899" s="8"/>
    </row>
    <row r="4900">
      <c r="B4900" s="8"/>
      <c r="G4900" s="8"/>
      <c r="M4900" s="8"/>
    </row>
    <row r="4901">
      <c r="B4901" s="8"/>
      <c r="G4901" s="8"/>
      <c r="M4901" s="8"/>
    </row>
    <row r="4902">
      <c r="B4902" s="8"/>
      <c r="G4902" s="8"/>
      <c r="M4902" s="8"/>
    </row>
    <row r="4903">
      <c r="B4903" s="8"/>
      <c r="G4903" s="8"/>
      <c r="M4903" s="8"/>
    </row>
    <row r="4904">
      <c r="B4904" s="8"/>
      <c r="G4904" s="8"/>
      <c r="M4904" s="8"/>
    </row>
    <row r="4905">
      <c r="B4905" s="8"/>
      <c r="G4905" s="8"/>
      <c r="M4905" s="8"/>
    </row>
    <row r="4906">
      <c r="B4906" s="8"/>
      <c r="G4906" s="8"/>
      <c r="M4906" s="8"/>
    </row>
    <row r="4907">
      <c r="B4907" s="8"/>
      <c r="G4907" s="8"/>
      <c r="M4907" s="8"/>
    </row>
    <row r="4908">
      <c r="B4908" s="8"/>
      <c r="G4908" s="8"/>
      <c r="M4908" s="8"/>
    </row>
    <row r="4909">
      <c r="B4909" s="8"/>
      <c r="G4909" s="8"/>
      <c r="M4909" s="8"/>
    </row>
    <row r="4910">
      <c r="B4910" s="8"/>
      <c r="G4910" s="8"/>
      <c r="M4910" s="8"/>
    </row>
    <row r="4911">
      <c r="B4911" s="8"/>
      <c r="G4911" s="8"/>
      <c r="M4911" s="8"/>
    </row>
    <row r="4912">
      <c r="B4912" s="8"/>
      <c r="G4912" s="8"/>
      <c r="M4912" s="8"/>
    </row>
    <row r="4913">
      <c r="B4913" s="8"/>
      <c r="G4913" s="8"/>
      <c r="M4913" s="8"/>
    </row>
    <row r="4914">
      <c r="B4914" s="8"/>
      <c r="G4914" s="8"/>
      <c r="M4914" s="8"/>
    </row>
    <row r="4915">
      <c r="B4915" s="8"/>
      <c r="G4915" s="8"/>
      <c r="M4915" s="8"/>
    </row>
    <row r="4916">
      <c r="B4916" s="8"/>
      <c r="G4916" s="8"/>
      <c r="M4916" s="8"/>
    </row>
    <row r="4917">
      <c r="B4917" s="8"/>
      <c r="G4917" s="8"/>
      <c r="M4917" s="8"/>
    </row>
    <row r="4918">
      <c r="B4918" s="8"/>
      <c r="G4918" s="8"/>
      <c r="M4918" s="8"/>
    </row>
    <row r="4919">
      <c r="B4919" s="8"/>
      <c r="G4919" s="8"/>
      <c r="M4919" s="8"/>
    </row>
    <row r="4920">
      <c r="B4920" s="8"/>
      <c r="G4920" s="8"/>
      <c r="M4920" s="8"/>
    </row>
    <row r="4921">
      <c r="B4921" s="8"/>
      <c r="G4921" s="8"/>
      <c r="M4921" s="8"/>
    </row>
    <row r="4922">
      <c r="B4922" s="8"/>
      <c r="G4922" s="8"/>
      <c r="M4922" s="8"/>
    </row>
    <row r="4923">
      <c r="B4923" s="8"/>
      <c r="G4923" s="8"/>
      <c r="M4923" s="8"/>
    </row>
    <row r="4924">
      <c r="B4924" s="8"/>
      <c r="G4924" s="8"/>
      <c r="M4924" s="8"/>
    </row>
    <row r="4925">
      <c r="B4925" s="8"/>
      <c r="G4925" s="8"/>
      <c r="M4925" s="8"/>
    </row>
    <row r="4926">
      <c r="B4926" s="8"/>
      <c r="G4926" s="8"/>
      <c r="M4926" s="8"/>
    </row>
    <row r="4927">
      <c r="B4927" s="8"/>
      <c r="G4927" s="8"/>
      <c r="M4927" s="8"/>
    </row>
    <row r="4928">
      <c r="B4928" s="8"/>
      <c r="G4928" s="8"/>
      <c r="M4928" s="8"/>
    </row>
    <row r="4929">
      <c r="B4929" s="8"/>
      <c r="G4929" s="8"/>
      <c r="M4929" s="8"/>
    </row>
    <row r="4930">
      <c r="B4930" s="8"/>
      <c r="G4930" s="8"/>
      <c r="M4930" s="8"/>
    </row>
    <row r="4931">
      <c r="B4931" s="8"/>
      <c r="G4931" s="8"/>
      <c r="M4931" s="8"/>
    </row>
    <row r="4932">
      <c r="B4932" s="8"/>
      <c r="G4932" s="8"/>
      <c r="M4932" s="8"/>
    </row>
    <row r="4933">
      <c r="B4933" s="8"/>
      <c r="G4933" s="8"/>
      <c r="M4933" s="8"/>
    </row>
    <row r="4934">
      <c r="B4934" s="8"/>
      <c r="G4934" s="8"/>
      <c r="M4934" s="8"/>
    </row>
    <row r="4935">
      <c r="B4935" s="8"/>
      <c r="G4935" s="8"/>
      <c r="M4935" s="8"/>
    </row>
    <row r="4936">
      <c r="B4936" s="8"/>
      <c r="G4936" s="8"/>
      <c r="M4936" s="8"/>
    </row>
    <row r="4937">
      <c r="B4937" s="8"/>
      <c r="G4937" s="8"/>
      <c r="M4937" s="8"/>
    </row>
    <row r="4938">
      <c r="B4938" s="8"/>
      <c r="G4938" s="8"/>
      <c r="M4938" s="8"/>
    </row>
    <row r="4939">
      <c r="B4939" s="8"/>
      <c r="G4939" s="8"/>
      <c r="M4939" s="8"/>
    </row>
    <row r="4940">
      <c r="B4940" s="8"/>
      <c r="G4940" s="8"/>
      <c r="M4940" s="8"/>
    </row>
    <row r="4941">
      <c r="B4941" s="8"/>
      <c r="G4941" s="8"/>
      <c r="M4941" s="8"/>
    </row>
    <row r="4942">
      <c r="B4942" s="8"/>
      <c r="G4942" s="8"/>
      <c r="M4942" s="8"/>
    </row>
    <row r="4943">
      <c r="B4943" s="8"/>
      <c r="G4943" s="8"/>
      <c r="M4943" s="8"/>
    </row>
    <row r="4944">
      <c r="B4944" s="8"/>
      <c r="G4944" s="8"/>
      <c r="M4944" s="8"/>
    </row>
    <row r="4945">
      <c r="B4945" s="8"/>
      <c r="G4945" s="8"/>
      <c r="M4945" s="8"/>
    </row>
    <row r="4946">
      <c r="B4946" s="8"/>
      <c r="G4946" s="8"/>
      <c r="M4946" s="8"/>
    </row>
    <row r="4947">
      <c r="B4947" s="8"/>
      <c r="G4947" s="8"/>
      <c r="M4947" s="8"/>
    </row>
    <row r="4948">
      <c r="B4948" s="8"/>
      <c r="G4948" s="8"/>
      <c r="M4948" s="8"/>
    </row>
    <row r="4949">
      <c r="B4949" s="8"/>
      <c r="G4949" s="8"/>
      <c r="M4949" s="8"/>
    </row>
    <row r="4950">
      <c r="B4950" s="8"/>
      <c r="G4950" s="8"/>
      <c r="M4950" s="8"/>
    </row>
    <row r="4951">
      <c r="B4951" s="8"/>
      <c r="G4951" s="8"/>
      <c r="M4951" s="8"/>
    </row>
    <row r="4952">
      <c r="B4952" s="8"/>
      <c r="G4952" s="8"/>
      <c r="M4952" s="8"/>
    </row>
    <row r="4953">
      <c r="B4953" s="8"/>
      <c r="G4953" s="8"/>
      <c r="M4953" s="8"/>
    </row>
    <row r="4954">
      <c r="B4954" s="8"/>
      <c r="G4954" s="8"/>
      <c r="M4954" s="8"/>
    </row>
    <row r="4955">
      <c r="B4955" s="8"/>
      <c r="G4955" s="8"/>
      <c r="M4955" s="8"/>
    </row>
    <row r="4956">
      <c r="B4956" s="8"/>
      <c r="G4956" s="8"/>
      <c r="M4956" s="8"/>
    </row>
    <row r="4957">
      <c r="B4957" s="8"/>
      <c r="G4957" s="8"/>
      <c r="M4957" s="8"/>
    </row>
    <row r="4958">
      <c r="B4958" s="8"/>
      <c r="G4958" s="8"/>
      <c r="M4958" s="8"/>
    </row>
    <row r="4959">
      <c r="B4959" s="8"/>
      <c r="G4959" s="8"/>
      <c r="M4959" s="8"/>
    </row>
    <row r="4960">
      <c r="B4960" s="8"/>
      <c r="G4960" s="8"/>
      <c r="M4960" s="8"/>
    </row>
    <row r="4961">
      <c r="B4961" s="8"/>
      <c r="G4961" s="8"/>
      <c r="M4961" s="8"/>
    </row>
    <row r="4962">
      <c r="B4962" s="8"/>
      <c r="G4962" s="8"/>
      <c r="M4962" s="8"/>
    </row>
    <row r="4963">
      <c r="B4963" s="8"/>
      <c r="G4963" s="8"/>
      <c r="M4963" s="8"/>
    </row>
    <row r="4964">
      <c r="B4964" s="8"/>
      <c r="G4964" s="8"/>
      <c r="M4964" s="8"/>
    </row>
    <row r="4965">
      <c r="B4965" s="8"/>
      <c r="G4965" s="8"/>
      <c r="M4965" s="8"/>
    </row>
    <row r="4966">
      <c r="B4966" s="8"/>
      <c r="G4966" s="8"/>
      <c r="M4966" s="8"/>
    </row>
    <row r="4967">
      <c r="B4967" s="8"/>
      <c r="G4967" s="8"/>
      <c r="M4967" s="8"/>
    </row>
    <row r="4968">
      <c r="B4968" s="8"/>
      <c r="G4968" s="8"/>
      <c r="M4968" s="8"/>
    </row>
    <row r="4969">
      <c r="B4969" s="8"/>
      <c r="G4969" s="8"/>
      <c r="M4969" s="8"/>
    </row>
    <row r="4970">
      <c r="B4970" s="8"/>
      <c r="G4970" s="8"/>
      <c r="M4970" s="8"/>
    </row>
    <row r="4971">
      <c r="B4971" s="8"/>
      <c r="G4971" s="8"/>
      <c r="M4971" s="8"/>
    </row>
    <row r="4972">
      <c r="B4972" s="8"/>
      <c r="G4972" s="8"/>
      <c r="M4972" s="8"/>
    </row>
    <row r="4973">
      <c r="B4973" s="8"/>
      <c r="G4973" s="8"/>
      <c r="M4973" s="8"/>
    </row>
    <row r="4974">
      <c r="B4974" s="8"/>
      <c r="G4974" s="8"/>
      <c r="M4974" s="8"/>
    </row>
    <row r="4975">
      <c r="B4975" s="8"/>
      <c r="G4975" s="8"/>
      <c r="M4975" s="8"/>
    </row>
    <row r="4976">
      <c r="B4976" s="8"/>
      <c r="G4976" s="8"/>
      <c r="M4976" s="8"/>
    </row>
    <row r="4977">
      <c r="B4977" s="8"/>
      <c r="G4977" s="8"/>
      <c r="M4977" s="8"/>
    </row>
    <row r="4978">
      <c r="B4978" s="8"/>
      <c r="G4978" s="8"/>
      <c r="M4978" s="8"/>
    </row>
    <row r="4979">
      <c r="B4979" s="8"/>
      <c r="G4979" s="8"/>
      <c r="M4979" s="8"/>
    </row>
    <row r="4980">
      <c r="B4980" s="8"/>
      <c r="G4980" s="8"/>
      <c r="M4980" s="8"/>
    </row>
    <row r="4981">
      <c r="B4981" s="8"/>
      <c r="G4981" s="8"/>
      <c r="M4981" s="8"/>
    </row>
    <row r="4982">
      <c r="B4982" s="8"/>
      <c r="G4982" s="8"/>
      <c r="M4982" s="8"/>
    </row>
    <row r="4983">
      <c r="B4983" s="8"/>
      <c r="G4983" s="8"/>
      <c r="M4983" s="8"/>
    </row>
    <row r="4984">
      <c r="B4984" s="8"/>
      <c r="G4984" s="8"/>
      <c r="M4984" s="8"/>
    </row>
    <row r="4985">
      <c r="B4985" s="8"/>
      <c r="G4985" s="8"/>
      <c r="M4985" s="8"/>
    </row>
    <row r="4986">
      <c r="B4986" s="8"/>
      <c r="G4986" s="8"/>
      <c r="M4986" s="8"/>
    </row>
    <row r="4987">
      <c r="B4987" s="8"/>
      <c r="G4987" s="8"/>
      <c r="M4987" s="8"/>
    </row>
    <row r="4988">
      <c r="B4988" s="8"/>
      <c r="G4988" s="8"/>
      <c r="M4988" s="8"/>
    </row>
    <row r="4989">
      <c r="B4989" s="8"/>
      <c r="G4989" s="8"/>
      <c r="M4989" s="8"/>
    </row>
    <row r="4990">
      <c r="B4990" s="8"/>
      <c r="G4990" s="8"/>
      <c r="M4990" s="8"/>
    </row>
    <row r="4991">
      <c r="B4991" s="8"/>
      <c r="G4991" s="8"/>
      <c r="M4991" s="8"/>
    </row>
    <row r="4992">
      <c r="B4992" s="8"/>
      <c r="G4992" s="8"/>
      <c r="M4992" s="8"/>
    </row>
    <row r="4993">
      <c r="B4993" s="8"/>
      <c r="G4993" s="8"/>
      <c r="M4993" s="8"/>
    </row>
    <row r="4994">
      <c r="B4994" s="8"/>
      <c r="G4994" s="8"/>
      <c r="M4994" s="8"/>
    </row>
    <row r="4995">
      <c r="B4995" s="8"/>
      <c r="G4995" s="8"/>
      <c r="M4995" s="8"/>
    </row>
    <row r="4996">
      <c r="B4996" s="8"/>
      <c r="G4996" s="8"/>
      <c r="M4996" s="8"/>
    </row>
    <row r="4997">
      <c r="B4997" s="8"/>
      <c r="G4997" s="8"/>
      <c r="M4997" s="8"/>
    </row>
    <row r="4998">
      <c r="B4998" s="8"/>
      <c r="G4998" s="8"/>
      <c r="M4998" s="8"/>
    </row>
    <row r="4999">
      <c r="B4999" s="8"/>
      <c r="G4999" s="8"/>
      <c r="M4999" s="8"/>
    </row>
    <row r="5000">
      <c r="B5000" s="8"/>
      <c r="G5000" s="8"/>
      <c r="M5000" s="8"/>
    </row>
    <row r="5001">
      <c r="B5001" s="8"/>
      <c r="G5001" s="8"/>
      <c r="M5001" s="8"/>
    </row>
    <row r="5002">
      <c r="B5002" s="8"/>
      <c r="G5002" s="8"/>
      <c r="M5002" s="8"/>
    </row>
    <row r="5003">
      <c r="B5003" s="8"/>
      <c r="G5003" s="8"/>
      <c r="M5003" s="8"/>
    </row>
    <row r="5004">
      <c r="B5004" s="8"/>
      <c r="G5004" s="8"/>
      <c r="M5004" s="8"/>
    </row>
    <row r="5005">
      <c r="B5005" s="8"/>
      <c r="G5005" s="8"/>
      <c r="M5005" s="8"/>
    </row>
    <row r="5006">
      <c r="B5006" s="8"/>
      <c r="G5006" s="8"/>
      <c r="M5006" s="8"/>
    </row>
    <row r="5007">
      <c r="B5007" s="8"/>
      <c r="G5007" s="8"/>
      <c r="M5007" s="8"/>
    </row>
    <row r="5008">
      <c r="B5008" s="8"/>
      <c r="G5008" s="8"/>
      <c r="M5008" s="8"/>
    </row>
    <row r="5009">
      <c r="B5009" s="8"/>
      <c r="G5009" s="8"/>
      <c r="M5009" s="8"/>
    </row>
    <row r="5010">
      <c r="B5010" s="8"/>
      <c r="G5010" s="8"/>
      <c r="M5010" s="8"/>
    </row>
    <row r="5011">
      <c r="B5011" s="8"/>
      <c r="G5011" s="8"/>
      <c r="M5011" s="8"/>
    </row>
    <row r="5012">
      <c r="B5012" s="8"/>
      <c r="G5012" s="8"/>
      <c r="M5012" s="8"/>
    </row>
    <row r="5013">
      <c r="B5013" s="8"/>
      <c r="G5013" s="8"/>
      <c r="M5013" s="8"/>
    </row>
    <row r="5014">
      <c r="B5014" s="8"/>
      <c r="G5014" s="8"/>
      <c r="M5014" s="8"/>
    </row>
    <row r="5015">
      <c r="B5015" s="8"/>
      <c r="G5015" s="8"/>
      <c r="M5015" s="8"/>
    </row>
    <row r="5016">
      <c r="B5016" s="8"/>
      <c r="G5016" s="8"/>
      <c r="M5016" s="8"/>
    </row>
    <row r="5017">
      <c r="B5017" s="8"/>
      <c r="G5017" s="8"/>
      <c r="M5017" s="8"/>
    </row>
    <row r="5018">
      <c r="B5018" s="8"/>
      <c r="G5018" s="8"/>
      <c r="M5018" s="8"/>
    </row>
    <row r="5019">
      <c r="B5019" s="8"/>
      <c r="G5019" s="8"/>
      <c r="M5019" s="8"/>
    </row>
    <row r="5020">
      <c r="B5020" s="8"/>
      <c r="G5020" s="8"/>
      <c r="M5020" s="8"/>
    </row>
    <row r="5021">
      <c r="B5021" s="8"/>
      <c r="G5021" s="8"/>
      <c r="M5021" s="8"/>
    </row>
    <row r="5022">
      <c r="B5022" s="8"/>
      <c r="G5022" s="8"/>
      <c r="M5022" s="8"/>
    </row>
    <row r="5023">
      <c r="B5023" s="8"/>
      <c r="G5023" s="8"/>
      <c r="M5023" s="8"/>
    </row>
    <row r="5024">
      <c r="B5024" s="8"/>
      <c r="G5024" s="8"/>
      <c r="M5024" s="8"/>
    </row>
    <row r="5025">
      <c r="B5025" s="8"/>
      <c r="G5025" s="8"/>
      <c r="M5025" s="8"/>
    </row>
    <row r="5026">
      <c r="B5026" s="8"/>
      <c r="G5026" s="8"/>
      <c r="M5026" s="8"/>
    </row>
    <row r="5027">
      <c r="B5027" s="8"/>
      <c r="G5027" s="8"/>
      <c r="M5027" s="8"/>
    </row>
    <row r="5028">
      <c r="B5028" s="8"/>
      <c r="G5028" s="8"/>
      <c r="M5028" s="8"/>
    </row>
    <row r="5029">
      <c r="B5029" s="8"/>
      <c r="G5029" s="8"/>
      <c r="M5029" s="8"/>
    </row>
    <row r="5030">
      <c r="B5030" s="8"/>
      <c r="G5030" s="8"/>
      <c r="M5030" s="8"/>
    </row>
    <row r="5031">
      <c r="B5031" s="8"/>
      <c r="G5031" s="8"/>
      <c r="M5031" s="8"/>
    </row>
    <row r="5032">
      <c r="B5032" s="8"/>
      <c r="G5032" s="8"/>
      <c r="M5032" s="8"/>
    </row>
    <row r="5033">
      <c r="B5033" s="8"/>
      <c r="G5033" s="8"/>
      <c r="M5033" s="8"/>
    </row>
    <row r="5034">
      <c r="B5034" s="8"/>
      <c r="G5034" s="8"/>
      <c r="M5034" s="8"/>
    </row>
    <row r="5035">
      <c r="B5035" s="8"/>
      <c r="G5035" s="8"/>
      <c r="M5035" s="8"/>
    </row>
    <row r="5036">
      <c r="B5036" s="8"/>
      <c r="G5036" s="8"/>
      <c r="M5036" s="8"/>
    </row>
    <row r="5037">
      <c r="B5037" s="8"/>
      <c r="G5037" s="8"/>
      <c r="M5037" s="8"/>
    </row>
    <row r="5038">
      <c r="B5038" s="8"/>
      <c r="G5038" s="8"/>
      <c r="M5038" s="8"/>
    </row>
    <row r="5039">
      <c r="B5039" s="8"/>
      <c r="G5039" s="8"/>
      <c r="M5039" s="8"/>
    </row>
    <row r="5040">
      <c r="B5040" s="8"/>
      <c r="G5040" s="8"/>
      <c r="M5040" s="8"/>
    </row>
    <row r="5041">
      <c r="B5041" s="8"/>
      <c r="G5041" s="8"/>
      <c r="M5041" s="8"/>
    </row>
    <row r="5042">
      <c r="B5042" s="8"/>
      <c r="G5042" s="8"/>
      <c r="M5042" s="8"/>
    </row>
    <row r="5043">
      <c r="B5043" s="8"/>
      <c r="G5043" s="8"/>
      <c r="M5043" s="8"/>
    </row>
    <row r="5044">
      <c r="B5044" s="8"/>
      <c r="G5044" s="8"/>
      <c r="M5044" s="8"/>
    </row>
    <row r="5045">
      <c r="B5045" s="8"/>
      <c r="G5045" s="8"/>
      <c r="M5045" s="8"/>
    </row>
    <row r="5046">
      <c r="B5046" s="8"/>
      <c r="G5046" s="8"/>
      <c r="M5046" s="8"/>
    </row>
    <row r="5047">
      <c r="B5047" s="8"/>
      <c r="G5047" s="8"/>
      <c r="M5047" s="8"/>
    </row>
    <row r="5048">
      <c r="B5048" s="8"/>
      <c r="G5048" s="8"/>
      <c r="M5048" s="8"/>
    </row>
    <row r="5049">
      <c r="B5049" s="8"/>
      <c r="G5049" s="8"/>
      <c r="M5049" s="8"/>
    </row>
    <row r="5050">
      <c r="B5050" s="8"/>
      <c r="G5050" s="8"/>
      <c r="M5050" s="8"/>
    </row>
    <row r="5051">
      <c r="B5051" s="8"/>
      <c r="G5051" s="8"/>
      <c r="M5051" s="8"/>
    </row>
    <row r="5052">
      <c r="B5052" s="8"/>
      <c r="G5052" s="8"/>
      <c r="M5052" s="8"/>
    </row>
    <row r="5053">
      <c r="B5053" s="8"/>
      <c r="G5053" s="8"/>
      <c r="M5053" s="8"/>
    </row>
    <row r="5054">
      <c r="B5054" s="8"/>
      <c r="G5054" s="8"/>
      <c r="M5054" s="8"/>
    </row>
    <row r="5055">
      <c r="B5055" s="8"/>
      <c r="G5055" s="8"/>
      <c r="M5055" s="8"/>
    </row>
    <row r="5056">
      <c r="B5056" s="8"/>
      <c r="G5056" s="8"/>
      <c r="M5056" s="8"/>
    </row>
    <row r="5057">
      <c r="B5057" s="8"/>
      <c r="G5057" s="8"/>
      <c r="M5057" s="8"/>
    </row>
    <row r="5058">
      <c r="B5058" s="8"/>
      <c r="G5058" s="8"/>
      <c r="M5058" s="8"/>
    </row>
    <row r="5059">
      <c r="B5059" s="8"/>
      <c r="G5059" s="8"/>
      <c r="M5059" s="8"/>
    </row>
    <row r="5060">
      <c r="B5060" s="8"/>
      <c r="G5060" s="8"/>
      <c r="M5060" s="8"/>
    </row>
    <row r="5061">
      <c r="B5061" s="8"/>
      <c r="G5061" s="8"/>
      <c r="M5061" s="8"/>
    </row>
    <row r="5062">
      <c r="B5062" s="8"/>
      <c r="G5062" s="8"/>
      <c r="M5062" s="8"/>
    </row>
    <row r="5063">
      <c r="B5063" s="8"/>
      <c r="G5063" s="8"/>
      <c r="M5063" s="8"/>
    </row>
    <row r="5064">
      <c r="B5064" s="8"/>
      <c r="G5064" s="8"/>
      <c r="M5064" s="8"/>
    </row>
    <row r="5065">
      <c r="B5065" s="8"/>
      <c r="G5065" s="8"/>
      <c r="M5065" s="8"/>
    </row>
    <row r="5066">
      <c r="B5066" s="8"/>
      <c r="G5066" s="8"/>
      <c r="M5066" s="8"/>
    </row>
    <row r="5067">
      <c r="B5067" s="8"/>
      <c r="G5067" s="8"/>
      <c r="M5067" s="8"/>
    </row>
    <row r="5068">
      <c r="B5068" s="8"/>
      <c r="G5068" s="8"/>
      <c r="M5068" s="8"/>
    </row>
    <row r="5069">
      <c r="B5069" s="8"/>
      <c r="G5069" s="8"/>
      <c r="M5069" s="8"/>
    </row>
    <row r="5070">
      <c r="B5070" s="8"/>
      <c r="G5070" s="8"/>
      <c r="M5070" s="8"/>
    </row>
    <row r="5071">
      <c r="B5071" s="8"/>
      <c r="G5071" s="8"/>
      <c r="M5071" s="8"/>
    </row>
    <row r="5072">
      <c r="B5072" s="8"/>
      <c r="G5072" s="8"/>
      <c r="M5072" s="8"/>
    </row>
    <row r="5073">
      <c r="B5073" s="8"/>
      <c r="G5073" s="8"/>
      <c r="M5073" s="8"/>
    </row>
    <row r="5074">
      <c r="B5074" s="8"/>
      <c r="G5074" s="8"/>
      <c r="M5074" s="8"/>
    </row>
    <row r="5075">
      <c r="B5075" s="8"/>
      <c r="G5075" s="8"/>
      <c r="M5075" s="8"/>
    </row>
    <row r="5076">
      <c r="B5076" s="8"/>
      <c r="G5076" s="8"/>
      <c r="M5076" s="8"/>
    </row>
    <row r="5077">
      <c r="B5077" s="8"/>
      <c r="G5077" s="8"/>
      <c r="M5077" s="8"/>
    </row>
    <row r="5078">
      <c r="B5078" s="8"/>
      <c r="G5078" s="8"/>
      <c r="M5078" s="8"/>
    </row>
    <row r="5079">
      <c r="B5079" s="8"/>
      <c r="G5079" s="8"/>
      <c r="M5079" s="8"/>
    </row>
    <row r="5080">
      <c r="B5080" s="8"/>
      <c r="G5080" s="8"/>
      <c r="M5080" s="8"/>
    </row>
    <row r="5081">
      <c r="B5081" s="8"/>
      <c r="G5081" s="8"/>
      <c r="M5081" s="8"/>
    </row>
    <row r="5082">
      <c r="B5082" s="8"/>
      <c r="G5082" s="8"/>
      <c r="M5082" s="8"/>
    </row>
    <row r="5083">
      <c r="B5083" s="8"/>
      <c r="G5083" s="8"/>
      <c r="M5083" s="8"/>
    </row>
    <row r="5084">
      <c r="B5084" s="8"/>
      <c r="G5084" s="8"/>
      <c r="M5084" s="8"/>
    </row>
    <row r="5085">
      <c r="B5085" s="8"/>
      <c r="G5085" s="8"/>
      <c r="M5085" s="8"/>
    </row>
    <row r="5086">
      <c r="B5086" s="8"/>
      <c r="G5086" s="8"/>
      <c r="M5086" s="8"/>
    </row>
    <row r="5087">
      <c r="B5087" s="8"/>
      <c r="G5087" s="8"/>
      <c r="M5087" s="8"/>
    </row>
    <row r="5088">
      <c r="B5088" s="8"/>
      <c r="G5088" s="8"/>
      <c r="M5088" s="8"/>
    </row>
    <row r="5089">
      <c r="B5089" s="8"/>
      <c r="G5089" s="8"/>
      <c r="M5089" s="8"/>
    </row>
    <row r="5090">
      <c r="B5090" s="8"/>
      <c r="G5090" s="8"/>
      <c r="M5090" s="8"/>
    </row>
    <row r="5091">
      <c r="B5091" s="8"/>
      <c r="G5091" s="8"/>
      <c r="M5091" s="8"/>
    </row>
    <row r="5092">
      <c r="B5092" s="8"/>
      <c r="G5092" s="8"/>
      <c r="M5092" s="8"/>
    </row>
    <row r="5093">
      <c r="B5093" s="8"/>
      <c r="G5093" s="8"/>
      <c r="M5093" s="8"/>
    </row>
    <row r="5094">
      <c r="B5094" s="8"/>
      <c r="G5094" s="8"/>
      <c r="M5094" s="8"/>
    </row>
    <row r="5095">
      <c r="B5095" s="8"/>
      <c r="G5095" s="8"/>
      <c r="M5095" s="8"/>
    </row>
    <row r="5096">
      <c r="B5096" s="8"/>
      <c r="G5096" s="8"/>
      <c r="M5096" s="8"/>
    </row>
    <row r="5097">
      <c r="B5097" s="8"/>
      <c r="G5097" s="8"/>
      <c r="M5097" s="8"/>
    </row>
    <row r="5098">
      <c r="B5098" s="8"/>
      <c r="G5098" s="8"/>
      <c r="M5098" s="8"/>
    </row>
    <row r="5099">
      <c r="B5099" s="8"/>
      <c r="G5099" s="8"/>
      <c r="M5099" s="8"/>
    </row>
    <row r="5100">
      <c r="B5100" s="8"/>
      <c r="G5100" s="8"/>
      <c r="M5100" s="8"/>
    </row>
    <row r="5101">
      <c r="B5101" s="8"/>
      <c r="G5101" s="8"/>
      <c r="M5101" s="8"/>
    </row>
    <row r="5102">
      <c r="B5102" s="8"/>
      <c r="G5102" s="8"/>
      <c r="M5102" s="8"/>
    </row>
    <row r="5103">
      <c r="B5103" s="8"/>
      <c r="G5103" s="8"/>
      <c r="M5103" s="8"/>
    </row>
    <row r="5104">
      <c r="B5104" s="8"/>
      <c r="G5104" s="8"/>
      <c r="M5104" s="8"/>
    </row>
    <row r="5105">
      <c r="B5105" s="8"/>
      <c r="G5105" s="8"/>
      <c r="M5105" s="8"/>
    </row>
    <row r="5106">
      <c r="B5106" s="8"/>
      <c r="G5106" s="8"/>
      <c r="M5106" s="8"/>
    </row>
    <row r="5107">
      <c r="B5107" s="8"/>
      <c r="G5107" s="8"/>
      <c r="M5107" s="8"/>
    </row>
    <row r="5108">
      <c r="B5108" s="8"/>
      <c r="G5108" s="8"/>
      <c r="M5108" s="8"/>
    </row>
    <row r="5109">
      <c r="B5109" s="8"/>
      <c r="G5109" s="8"/>
      <c r="M5109" s="8"/>
    </row>
    <row r="5110">
      <c r="B5110" s="8"/>
      <c r="G5110" s="8"/>
      <c r="M5110" s="8"/>
    </row>
    <row r="5111">
      <c r="B5111" s="8"/>
      <c r="G5111" s="8"/>
      <c r="M5111" s="8"/>
    </row>
    <row r="5112">
      <c r="B5112" s="8"/>
      <c r="G5112" s="8"/>
      <c r="M5112" s="8"/>
    </row>
    <row r="5113">
      <c r="B5113" s="8"/>
      <c r="G5113" s="8"/>
      <c r="M5113" s="8"/>
    </row>
    <row r="5114">
      <c r="B5114" s="8"/>
      <c r="G5114" s="8"/>
      <c r="M5114" s="8"/>
    </row>
    <row r="5115">
      <c r="B5115" s="8"/>
      <c r="G5115" s="8"/>
      <c r="M5115" s="8"/>
    </row>
    <row r="5116">
      <c r="B5116" s="8"/>
      <c r="G5116" s="8"/>
      <c r="M5116" s="8"/>
    </row>
    <row r="5117">
      <c r="B5117" s="8"/>
      <c r="G5117" s="8"/>
      <c r="M5117" s="8"/>
    </row>
    <row r="5118">
      <c r="B5118" s="8"/>
      <c r="G5118" s="8"/>
      <c r="M5118" s="8"/>
    </row>
    <row r="5119">
      <c r="B5119" s="8"/>
      <c r="G5119" s="8"/>
      <c r="M5119" s="8"/>
    </row>
    <row r="5120">
      <c r="B5120" s="8"/>
      <c r="G5120" s="8"/>
      <c r="M5120" s="8"/>
    </row>
    <row r="5121">
      <c r="B5121" s="8"/>
      <c r="G5121" s="8"/>
      <c r="M5121" s="8"/>
    </row>
    <row r="5122">
      <c r="B5122" s="8"/>
      <c r="G5122" s="8"/>
      <c r="M5122" s="8"/>
    </row>
    <row r="5123">
      <c r="B5123" s="8"/>
      <c r="G5123" s="8"/>
      <c r="M5123" s="8"/>
    </row>
    <row r="5124">
      <c r="B5124" s="8"/>
      <c r="G5124" s="8"/>
      <c r="M5124" s="8"/>
    </row>
    <row r="5125">
      <c r="B5125" s="8"/>
      <c r="G5125" s="8"/>
      <c r="M5125" s="8"/>
    </row>
    <row r="5126">
      <c r="B5126" s="8"/>
      <c r="G5126" s="8"/>
      <c r="M5126" s="8"/>
    </row>
    <row r="5127">
      <c r="B5127" s="8"/>
      <c r="G5127" s="8"/>
      <c r="M5127" s="8"/>
    </row>
    <row r="5128">
      <c r="B5128" s="8"/>
      <c r="G5128" s="8"/>
      <c r="M5128" s="8"/>
    </row>
    <row r="5129">
      <c r="B5129" s="8"/>
      <c r="G5129" s="8"/>
      <c r="M5129" s="8"/>
    </row>
    <row r="5130">
      <c r="B5130" s="8"/>
      <c r="G5130" s="8"/>
      <c r="M5130" s="8"/>
    </row>
    <row r="5131">
      <c r="B5131" s="8"/>
      <c r="G5131" s="8"/>
      <c r="M5131" s="8"/>
    </row>
    <row r="5132">
      <c r="B5132" s="8"/>
      <c r="G5132" s="8"/>
      <c r="M5132" s="8"/>
    </row>
    <row r="5133">
      <c r="B5133" s="8"/>
      <c r="G5133" s="8"/>
      <c r="M5133" s="8"/>
    </row>
    <row r="5134">
      <c r="B5134" s="8"/>
      <c r="G5134" s="8"/>
      <c r="M5134" s="8"/>
    </row>
    <row r="5135">
      <c r="B5135" s="8"/>
      <c r="G5135" s="8"/>
      <c r="M5135" s="8"/>
    </row>
    <row r="5136">
      <c r="B5136" s="8"/>
      <c r="G5136" s="8"/>
      <c r="M5136" s="8"/>
    </row>
    <row r="5137">
      <c r="B5137" s="8"/>
      <c r="G5137" s="8"/>
      <c r="M5137" s="8"/>
    </row>
    <row r="5138">
      <c r="B5138" s="8"/>
      <c r="G5138" s="8"/>
      <c r="M5138" s="8"/>
    </row>
    <row r="5139">
      <c r="B5139" s="8"/>
      <c r="G5139" s="8"/>
      <c r="M5139" s="8"/>
    </row>
    <row r="5140">
      <c r="B5140" s="8"/>
      <c r="G5140" s="8"/>
      <c r="M5140" s="8"/>
    </row>
    <row r="5141">
      <c r="B5141" s="8"/>
      <c r="G5141" s="8"/>
      <c r="M5141" s="8"/>
    </row>
    <row r="5142">
      <c r="B5142" s="8"/>
      <c r="G5142" s="8"/>
      <c r="M5142" s="8"/>
    </row>
    <row r="5143">
      <c r="B5143" s="8"/>
      <c r="G5143" s="8"/>
      <c r="M5143" s="8"/>
    </row>
    <row r="5144">
      <c r="B5144" s="8"/>
      <c r="G5144" s="8"/>
      <c r="M5144" s="8"/>
    </row>
    <row r="5145">
      <c r="B5145" s="8"/>
      <c r="G5145" s="8"/>
      <c r="M5145" s="8"/>
    </row>
    <row r="5146">
      <c r="B5146" s="8"/>
      <c r="G5146" s="8"/>
      <c r="M5146" s="8"/>
    </row>
    <row r="5147">
      <c r="B5147" s="8"/>
      <c r="G5147" s="8"/>
      <c r="M5147" s="8"/>
    </row>
    <row r="5148">
      <c r="B5148" s="8"/>
      <c r="G5148" s="8"/>
      <c r="M5148" s="8"/>
    </row>
    <row r="5149">
      <c r="B5149" s="8"/>
      <c r="G5149" s="8"/>
      <c r="M5149" s="8"/>
    </row>
    <row r="5150">
      <c r="B5150" s="8"/>
      <c r="G5150" s="8"/>
      <c r="M5150" s="8"/>
    </row>
    <row r="5151">
      <c r="B5151" s="8"/>
      <c r="G5151" s="8"/>
      <c r="M5151" s="8"/>
    </row>
    <row r="5152">
      <c r="B5152" s="8"/>
      <c r="G5152" s="8"/>
      <c r="M5152" s="8"/>
    </row>
    <row r="5153">
      <c r="B5153" s="8"/>
      <c r="G5153" s="8"/>
      <c r="M5153" s="8"/>
    </row>
    <row r="5154">
      <c r="B5154" s="8"/>
      <c r="G5154" s="8"/>
      <c r="M5154" s="8"/>
    </row>
    <row r="5155">
      <c r="B5155" s="8"/>
      <c r="G5155" s="8"/>
      <c r="M5155" s="8"/>
    </row>
    <row r="5156">
      <c r="B5156" s="8"/>
      <c r="G5156" s="8"/>
      <c r="M5156" s="8"/>
    </row>
    <row r="5157">
      <c r="B5157" s="8"/>
      <c r="G5157" s="8"/>
      <c r="M5157" s="8"/>
    </row>
    <row r="5158">
      <c r="B5158" s="8"/>
      <c r="G5158" s="8"/>
      <c r="M5158" s="8"/>
    </row>
    <row r="5159">
      <c r="B5159" s="8"/>
      <c r="G5159" s="8"/>
      <c r="M5159" s="8"/>
    </row>
    <row r="5160">
      <c r="B5160" s="8"/>
      <c r="G5160" s="8"/>
      <c r="M5160" s="8"/>
    </row>
    <row r="5161">
      <c r="B5161" s="8"/>
      <c r="G5161" s="8"/>
      <c r="M5161" s="8"/>
    </row>
    <row r="5162">
      <c r="B5162" s="8"/>
      <c r="G5162" s="8"/>
      <c r="M5162" s="8"/>
    </row>
    <row r="5163">
      <c r="B5163" s="8"/>
      <c r="G5163" s="8"/>
      <c r="M5163" s="8"/>
    </row>
    <row r="5164">
      <c r="B5164" s="8"/>
      <c r="G5164" s="8"/>
      <c r="M5164" s="8"/>
    </row>
    <row r="5165">
      <c r="B5165" s="8"/>
      <c r="G5165" s="8"/>
      <c r="M5165" s="8"/>
    </row>
    <row r="5166">
      <c r="B5166" s="8"/>
      <c r="G5166" s="8"/>
      <c r="M5166" s="8"/>
    </row>
    <row r="5167">
      <c r="B5167" s="8"/>
      <c r="G5167" s="8"/>
      <c r="M5167" s="8"/>
    </row>
    <row r="5168">
      <c r="B5168" s="8"/>
      <c r="G5168" s="8"/>
      <c r="M5168" s="8"/>
    </row>
    <row r="5169">
      <c r="B5169" s="8"/>
      <c r="G5169" s="8"/>
      <c r="M5169" s="8"/>
    </row>
    <row r="5170">
      <c r="B5170" s="8"/>
      <c r="G5170" s="8"/>
      <c r="M5170" s="8"/>
    </row>
    <row r="5171">
      <c r="B5171" s="8"/>
      <c r="G5171" s="8"/>
      <c r="M5171" s="8"/>
    </row>
    <row r="5172">
      <c r="B5172" s="8"/>
      <c r="G5172" s="8"/>
      <c r="M5172" s="8"/>
    </row>
    <row r="5173">
      <c r="B5173" s="8"/>
      <c r="G5173" s="8"/>
      <c r="M5173" s="8"/>
    </row>
    <row r="5174">
      <c r="B5174" s="8"/>
      <c r="G5174" s="8"/>
      <c r="M5174" s="8"/>
    </row>
    <row r="5175">
      <c r="B5175" s="8"/>
      <c r="G5175" s="8"/>
      <c r="M5175" s="8"/>
    </row>
    <row r="5176">
      <c r="B5176" s="8"/>
      <c r="G5176" s="8"/>
      <c r="M5176" s="8"/>
    </row>
    <row r="5177">
      <c r="B5177" s="8"/>
      <c r="G5177" s="8"/>
      <c r="M5177" s="8"/>
    </row>
    <row r="5178">
      <c r="B5178" s="8"/>
      <c r="G5178" s="8"/>
      <c r="M5178" s="8"/>
    </row>
    <row r="5179">
      <c r="B5179" s="8"/>
      <c r="G5179" s="8"/>
      <c r="M5179" s="8"/>
    </row>
    <row r="5180">
      <c r="B5180" s="8"/>
      <c r="G5180" s="8"/>
      <c r="M5180" s="8"/>
    </row>
    <row r="5181">
      <c r="B5181" s="8"/>
      <c r="G5181" s="8"/>
      <c r="M5181" s="8"/>
    </row>
    <row r="5182">
      <c r="B5182" s="8"/>
      <c r="G5182" s="8"/>
      <c r="M5182" s="8"/>
    </row>
    <row r="5183">
      <c r="B5183" s="8"/>
      <c r="G5183" s="8"/>
      <c r="M5183" s="8"/>
    </row>
    <row r="5184">
      <c r="B5184" s="8"/>
      <c r="G5184" s="8"/>
      <c r="M5184" s="8"/>
    </row>
    <row r="5185">
      <c r="B5185" s="8"/>
      <c r="G5185" s="8"/>
      <c r="M5185" s="8"/>
    </row>
    <row r="5186">
      <c r="B5186" s="8"/>
      <c r="G5186" s="8"/>
      <c r="M5186" s="8"/>
    </row>
    <row r="5187">
      <c r="B5187" s="8"/>
      <c r="G5187" s="8"/>
      <c r="M5187" s="8"/>
    </row>
    <row r="5188">
      <c r="B5188" s="8"/>
      <c r="G5188" s="8"/>
      <c r="M5188" s="8"/>
    </row>
    <row r="5189">
      <c r="B5189" s="8"/>
      <c r="G5189" s="8"/>
      <c r="M5189" s="8"/>
    </row>
    <row r="5190">
      <c r="B5190" s="8"/>
      <c r="G5190" s="8"/>
      <c r="M5190" s="8"/>
    </row>
    <row r="5191">
      <c r="B5191" s="8"/>
      <c r="G5191" s="8"/>
      <c r="M5191" s="8"/>
    </row>
    <row r="5192">
      <c r="B5192" s="8"/>
      <c r="G5192" s="8"/>
      <c r="M5192" s="8"/>
    </row>
    <row r="5193">
      <c r="B5193" s="8"/>
      <c r="G5193" s="8"/>
      <c r="M5193" s="8"/>
    </row>
    <row r="5194">
      <c r="B5194" s="8"/>
      <c r="G5194" s="8"/>
      <c r="M5194" s="8"/>
    </row>
    <row r="5195">
      <c r="B5195" s="8"/>
      <c r="G5195" s="8"/>
      <c r="M5195" s="8"/>
    </row>
    <row r="5196">
      <c r="B5196" s="8"/>
      <c r="G5196" s="8"/>
      <c r="M5196" s="8"/>
    </row>
    <row r="5197">
      <c r="B5197" s="8"/>
      <c r="G5197" s="8"/>
      <c r="M5197" s="8"/>
    </row>
    <row r="5198">
      <c r="B5198" s="8"/>
      <c r="G5198" s="8"/>
      <c r="M5198" s="8"/>
    </row>
    <row r="5199">
      <c r="B5199" s="8"/>
      <c r="G5199" s="8"/>
      <c r="M5199" s="8"/>
    </row>
    <row r="5200">
      <c r="B5200" s="8"/>
      <c r="G5200" s="8"/>
      <c r="M5200" s="8"/>
    </row>
    <row r="5201">
      <c r="B5201" s="8"/>
      <c r="G5201" s="8"/>
      <c r="M5201" s="8"/>
    </row>
    <row r="5202">
      <c r="B5202" s="8"/>
      <c r="G5202" s="8"/>
      <c r="M5202" s="8"/>
    </row>
    <row r="5203">
      <c r="B5203" s="8"/>
      <c r="G5203" s="8"/>
      <c r="M5203" s="8"/>
    </row>
    <row r="5204">
      <c r="B5204" s="8"/>
      <c r="G5204" s="8"/>
      <c r="M5204" s="8"/>
    </row>
    <row r="5205">
      <c r="B5205" s="8"/>
      <c r="G5205" s="8"/>
      <c r="M5205" s="8"/>
    </row>
    <row r="5206">
      <c r="B5206" s="8"/>
      <c r="G5206" s="8"/>
      <c r="M5206" s="8"/>
    </row>
    <row r="5207">
      <c r="B5207" s="8"/>
      <c r="G5207" s="8"/>
      <c r="M5207" s="8"/>
    </row>
    <row r="5208">
      <c r="B5208" s="8"/>
      <c r="G5208" s="8"/>
      <c r="M5208" s="8"/>
    </row>
    <row r="5209">
      <c r="B5209" s="8"/>
      <c r="G5209" s="8"/>
      <c r="M5209" s="8"/>
    </row>
    <row r="5210">
      <c r="B5210" s="8"/>
      <c r="G5210" s="8"/>
      <c r="M5210" s="8"/>
    </row>
    <row r="5211">
      <c r="B5211" s="8"/>
      <c r="G5211" s="8"/>
      <c r="M5211" s="8"/>
    </row>
    <row r="5212">
      <c r="B5212" s="8"/>
      <c r="G5212" s="8"/>
      <c r="M5212" s="8"/>
    </row>
    <row r="5213">
      <c r="B5213" s="8"/>
      <c r="G5213" s="8"/>
      <c r="M5213" s="8"/>
    </row>
    <row r="5214">
      <c r="B5214" s="8"/>
      <c r="G5214" s="8"/>
      <c r="M5214" s="8"/>
    </row>
    <row r="5215">
      <c r="B5215" s="8"/>
      <c r="G5215" s="8"/>
      <c r="M5215" s="8"/>
    </row>
    <row r="5216">
      <c r="B5216" s="8"/>
      <c r="G5216" s="8"/>
      <c r="M5216" s="8"/>
    </row>
    <row r="5217">
      <c r="B5217" s="8"/>
      <c r="G5217" s="8"/>
      <c r="M5217" s="8"/>
    </row>
    <row r="5218">
      <c r="B5218" s="8"/>
      <c r="G5218" s="8"/>
      <c r="M5218" s="8"/>
    </row>
    <row r="5219">
      <c r="B5219" s="8"/>
      <c r="G5219" s="8"/>
      <c r="M5219" s="8"/>
    </row>
    <row r="5220">
      <c r="B5220" s="8"/>
      <c r="G5220" s="8"/>
      <c r="M5220" s="8"/>
    </row>
    <row r="5221">
      <c r="B5221" s="8"/>
      <c r="G5221" s="8"/>
      <c r="M5221" s="8"/>
    </row>
    <row r="5222">
      <c r="B5222" s="8"/>
      <c r="G5222" s="8"/>
      <c r="M5222" s="8"/>
    </row>
    <row r="5223">
      <c r="B5223" s="8"/>
      <c r="G5223" s="8"/>
      <c r="M5223" s="8"/>
    </row>
    <row r="5224">
      <c r="B5224" s="8"/>
      <c r="G5224" s="8"/>
      <c r="M5224" s="8"/>
    </row>
    <row r="5225">
      <c r="B5225" s="8"/>
      <c r="G5225" s="8"/>
      <c r="M5225" s="8"/>
    </row>
    <row r="5226">
      <c r="B5226" s="8"/>
      <c r="G5226" s="8"/>
      <c r="M5226" s="8"/>
    </row>
    <row r="5227">
      <c r="B5227" s="8"/>
      <c r="G5227" s="8"/>
      <c r="M5227" s="8"/>
    </row>
    <row r="5228">
      <c r="B5228" s="8"/>
      <c r="G5228" s="8"/>
      <c r="M5228" s="8"/>
    </row>
    <row r="5229">
      <c r="B5229" s="8"/>
      <c r="G5229" s="8"/>
      <c r="M5229" s="8"/>
    </row>
    <row r="5230">
      <c r="B5230" s="8"/>
      <c r="G5230" s="8"/>
      <c r="M5230" s="8"/>
    </row>
    <row r="5231">
      <c r="B5231" s="8"/>
      <c r="G5231" s="8"/>
      <c r="M5231" s="8"/>
    </row>
    <row r="5232">
      <c r="B5232" s="8"/>
      <c r="G5232" s="8"/>
      <c r="M5232" s="8"/>
    </row>
    <row r="5233">
      <c r="B5233" s="8"/>
      <c r="G5233" s="8"/>
      <c r="M5233" s="8"/>
    </row>
    <row r="5234">
      <c r="B5234" s="8"/>
      <c r="G5234" s="8"/>
      <c r="M5234" s="8"/>
    </row>
    <row r="5235">
      <c r="B5235" s="8"/>
      <c r="G5235" s="8"/>
      <c r="M5235" s="8"/>
    </row>
    <row r="5236">
      <c r="B5236" s="8"/>
      <c r="G5236" s="8"/>
      <c r="M5236" s="8"/>
    </row>
    <row r="5237">
      <c r="B5237" s="8"/>
      <c r="G5237" s="8"/>
      <c r="M5237" s="8"/>
    </row>
    <row r="5238">
      <c r="B5238" s="8"/>
      <c r="G5238" s="8"/>
      <c r="M5238" s="8"/>
    </row>
    <row r="5239">
      <c r="B5239" s="8"/>
      <c r="G5239" s="8"/>
      <c r="M5239" s="8"/>
    </row>
    <row r="5240">
      <c r="B5240" s="8"/>
      <c r="G5240" s="8"/>
      <c r="M5240" s="8"/>
    </row>
    <row r="5241">
      <c r="B5241" s="8"/>
      <c r="G5241" s="8"/>
      <c r="M5241" s="8"/>
    </row>
    <row r="5242">
      <c r="B5242" s="8"/>
      <c r="G5242" s="8"/>
      <c r="M5242" s="8"/>
    </row>
    <row r="5243">
      <c r="B5243" s="8"/>
      <c r="G5243" s="8"/>
      <c r="M5243" s="8"/>
    </row>
    <row r="5244">
      <c r="B5244" s="8"/>
      <c r="G5244" s="8"/>
      <c r="M5244" s="8"/>
    </row>
    <row r="5245">
      <c r="B5245" s="8"/>
      <c r="G5245" s="8"/>
      <c r="M5245" s="8"/>
    </row>
    <row r="5246">
      <c r="B5246" s="8"/>
      <c r="G5246" s="8"/>
      <c r="M5246" s="8"/>
    </row>
    <row r="5247">
      <c r="B5247" s="8"/>
      <c r="G5247" s="8"/>
      <c r="M5247" s="8"/>
    </row>
    <row r="5248">
      <c r="B5248" s="8"/>
      <c r="G5248" s="8"/>
      <c r="M5248" s="8"/>
    </row>
    <row r="5249">
      <c r="B5249" s="8"/>
      <c r="G5249" s="8"/>
      <c r="M5249" s="8"/>
    </row>
    <row r="5250">
      <c r="B5250" s="8"/>
      <c r="G5250" s="8"/>
      <c r="M5250" s="8"/>
    </row>
    <row r="5251">
      <c r="B5251" s="8"/>
      <c r="G5251" s="8"/>
      <c r="M5251" s="8"/>
    </row>
    <row r="5252">
      <c r="B5252" s="8"/>
      <c r="G5252" s="8"/>
      <c r="M5252" s="8"/>
    </row>
    <row r="5253">
      <c r="B5253" s="8"/>
      <c r="G5253" s="8"/>
      <c r="M5253" s="8"/>
    </row>
    <row r="5254">
      <c r="B5254" s="8"/>
      <c r="G5254" s="8"/>
      <c r="M5254" s="8"/>
    </row>
    <row r="5255">
      <c r="B5255" s="8"/>
      <c r="G5255" s="8"/>
      <c r="M5255" s="8"/>
    </row>
    <row r="5256">
      <c r="B5256" s="8"/>
      <c r="G5256" s="8"/>
      <c r="M5256" s="8"/>
    </row>
    <row r="5257">
      <c r="B5257" s="8"/>
      <c r="G5257" s="8"/>
      <c r="M5257" s="8"/>
    </row>
    <row r="5258">
      <c r="B5258" s="8"/>
      <c r="G5258" s="8"/>
      <c r="M5258" s="8"/>
    </row>
    <row r="5259">
      <c r="B5259" s="8"/>
      <c r="G5259" s="8"/>
      <c r="M5259" s="8"/>
    </row>
    <row r="5260">
      <c r="B5260" s="8"/>
      <c r="G5260" s="8"/>
      <c r="M5260" s="8"/>
    </row>
    <row r="5261">
      <c r="B5261" s="8"/>
      <c r="G5261" s="8"/>
      <c r="M5261" s="8"/>
    </row>
    <row r="5262">
      <c r="B5262" s="8"/>
      <c r="G5262" s="8"/>
      <c r="M5262" s="8"/>
    </row>
    <row r="5263">
      <c r="B5263" s="8"/>
      <c r="G5263" s="8"/>
      <c r="M5263" s="8"/>
    </row>
    <row r="5264">
      <c r="B5264" s="8"/>
      <c r="G5264" s="8"/>
      <c r="M5264" s="8"/>
    </row>
    <row r="5265">
      <c r="B5265" s="8"/>
      <c r="G5265" s="8"/>
      <c r="M5265" s="8"/>
    </row>
    <row r="5266">
      <c r="B5266" s="8"/>
      <c r="G5266" s="8"/>
      <c r="M5266" s="8"/>
    </row>
    <row r="5267">
      <c r="B5267" s="8"/>
      <c r="G5267" s="8"/>
      <c r="M5267" s="8"/>
    </row>
    <row r="5268">
      <c r="B5268" s="8"/>
      <c r="G5268" s="8"/>
      <c r="M5268" s="8"/>
    </row>
    <row r="5269">
      <c r="B5269" s="8"/>
      <c r="G5269" s="8"/>
      <c r="M5269" s="8"/>
    </row>
    <row r="5270">
      <c r="B5270" s="8"/>
      <c r="G5270" s="8"/>
      <c r="M5270" s="8"/>
    </row>
    <row r="5271">
      <c r="B5271" s="8"/>
      <c r="G5271" s="8"/>
      <c r="M5271" s="8"/>
    </row>
    <row r="5272">
      <c r="B5272" s="8"/>
      <c r="G5272" s="8"/>
      <c r="M5272" s="8"/>
    </row>
    <row r="5273">
      <c r="B5273" s="8"/>
      <c r="G5273" s="8"/>
      <c r="M5273" s="8"/>
    </row>
    <row r="5274">
      <c r="B5274" s="8"/>
      <c r="G5274" s="8"/>
      <c r="M5274" s="8"/>
    </row>
    <row r="5275">
      <c r="B5275" s="8"/>
      <c r="G5275" s="8"/>
      <c r="M5275" s="8"/>
    </row>
    <row r="5276">
      <c r="B5276" s="8"/>
      <c r="G5276" s="8"/>
      <c r="M5276" s="8"/>
    </row>
    <row r="5277">
      <c r="B5277" s="8"/>
      <c r="G5277" s="8"/>
      <c r="M5277" s="8"/>
    </row>
    <row r="5278">
      <c r="B5278" s="8"/>
      <c r="G5278" s="8"/>
      <c r="M5278" s="8"/>
    </row>
    <row r="5279">
      <c r="B5279" s="8"/>
      <c r="G5279" s="8"/>
      <c r="M5279" s="8"/>
    </row>
    <row r="5280">
      <c r="B5280" s="8"/>
      <c r="G5280" s="8"/>
      <c r="M5280" s="8"/>
    </row>
    <row r="5281">
      <c r="B5281" s="8"/>
      <c r="G5281" s="8"/>
      <c r="M5281" s="8"/>
    </row>
    <row r="5282">
      <c r="B5282" s="8"/>
      <c r="G5282" s="8"/>
      <c r="M5282" s="8"/>
    </row>
    <row r="5283">
      <c r="B5283" s="8"/>
      <c r="G5283" s="8"/>
      <c r="M5283" s="8"/>
    </row>
    <row r="5284">
      <c r="B5284" s="8"/>
      <c r="G5284" s="8"/>
      <c r="M5284" s="8"/>
    </row>
    <row r="5285">
      <c r="B5285" s="8"/>
      <c r="G5285" s="8"/>
      <c r="M5285" s="8"/>
    </row>
    <row r="5286">
      <c r="B5286" s="8"/>
      <c r="G5286" s="8"/>
      <c r="M5286" s="8"/>
    </row>
    <row r="5287">
      <c r="B5287" s="8"/>
      <c r="G5287" s="8"/>
      <c r="M5287" s="8"/>
    </row>
    <row r="5288">
      <c r="B5288" s="8"/>
      <c r="G5288" s="8"/>
      <c r="M5288" s="8"/>
    </row>
    <row r="5289">
      <c r="B5289" s="8"/>
      <c r="G5289" s="8"/>
      <c r="M5289" s="8"/>
    </row>
    <row r="5290">
      <c r="B5290" s="8"/>
      <c r="G5290" s="8"/>
      <c r="M5290" s="8"/>
    </row>
    <row r="5291">
      <c r="B5291" s="8"/>
      <c r="G5291" s="8"/>
      <c r="M5291" s="8"/>
    </row>
    <row r="5292">
      <c r="B5292" s="8"/>
      <c r="G5292" s="8"/>
      <c r="M5292" s="8"/>
    </row>
    <row r="5293">
      <c r="B5293" s="8"/>
      <c r="G5293" s="8"/>
      <c r="M5293" s="8"/>
    </row>
    <row r="5294">
      <c r="B5294" s="8"/>
      <c r="G5294" s="8"/>
      <c r="M5294" s="8"/>
    </row>
    <row r="5295">
      <c r="B5295" s="8"/>
      <c r="G5295" s="8"/>
      <c r="M5295" s="8"/>
    </row>
    <row r="5296">
      <c r="B5296" s="8"/>
      <c r="G5296" s="8"/>
      <c r="M5296" s="8"/>
    </row>
    <row r="5297">
      <c r="B5297" s="8"/>
      <c r="G5297" s="8"/>
      <c r="M5297" s="8"/>
    </row>
    <row r="5298">
      <c r="B5298" s="8"/>
      <c r="G5298" s="8"/>
      <c r="M5298" s="8"/>
    </row>
    <row r="5299">
      <c r="B5299" s="8"/>
      <c r="G5299" s="8"/>
      <c r="M5299" s="8"/>
    </row>
    <row r="5300">
      <c r="B5300" s="8"/>
      <c r="G5300" s="8"/>
      <c r="M5300" s="8"/>
    </row>
    <row r="5301">
      <c r="B5301" s="8"/>
      <c r="G5301" s="8"/>
      <c r="M5301" s="8"/>
    </row>
    <row r="5302">
      <c r="B5302" s="8"/>
      <c r="G5302" s="8"/>
      <c r="M5302" s="8"/>
    </row>
    <row r="5303">
      <c r="B5303" s="8"/>
      <c r="G5303" s="8"/>
      <c r="M5303" s="8"/>
    </row>
    <row r="5304">
      <c r="B5304" s="8"/>
      <c r="G5304" s="8"/>
      <c r="M5304" s="8"/>
    </row>
    <row r="5305">
      <c r="B5305" s="8"/>
      <c r="G5305" s="8"/>
      <c r="M5305" s="8"/>
    </row>
    <row r="5306">
      <c r="B5306" s="8"/>
      <c r="G5306" s="8"/>
      <c r="M5306" s="8"/>
    </row>
    <row r="5307">
      <c r="B5307" s="8"/>
      <c r="G5307" s="8"/>
      <c r="M5307" s="8"/>
    </row>
    <row r="5308">
      <c r="B5308" s="8"/>
      <c r="G5308" s="8"/>
      <c r="M5308" s="8"/>
    </row>
    <row r="5309">
      <c r="B5309" s="8"/>
      <c r="G5309" s="8"/>
      <c r="M5309" s="8"/>
    </row>
    <row r="5310">
      <c r="B5310" s="8"/>
      <c r="G5310" s="8"/>
      <c r="M5310" s="8"/>
    </row>
    <row r="5311">
      <c r="B5311" s="8"/>
      <c r="G5311" s="8"/>
      <c r="M5311" s="8"/>
    </row>
    <row r="5312">
      <c r="B5312" s="8"/>
      <c r="G5312" s="8"/>
      <c r="M5312" s="8"/>
    </row>
    <row r="5313">
      <c r="B5313" s="8"/>
      <c r="G5313" s="8"/>
      <c r="M5313" s="8"/>
    </row>
    <row r="5314">
      <c r="B5314" s="8"/>
      <c r="G5314" s="8"/>
      <c r="M5314" s="8"/>
    </row>
    <row r="5315">
      <c r="B5315" s="8"/>
      <c r="G5315" s="8"/>
      <c r="M5315" s="8"/>
    </row>
    <row r="5316">
      <c r="B5316" s="8"/>
      <c r="G5316" s="8"/>
      <c r="M5316" s="8"/>
    </row>
    <row r="5317">
      <c r="B5317" s="8"/>
      <c r="G5317" s="8"/>
      <c r="M5317" s="8"/>
    </row>
    <row r="5318">
      <c r="B5318" s="8"/>
      <c r="G5318" s="8"/>
      <c r="M5318" s="8"/>
    </row>
    <row r="5319">
      <c r="B5319" s="8"/>
      <c r="G5319" s="8"/>
      <c r="M5319" s="8"/>
    </row>
    <row r="5320">
      <c r="B5320" s="8"/>
      <c r="G5320" s="8"/>
      <c r="M5320" s="8"/>
    </row>
    <row r="5321">
      <c r="B5321" s="8"/>
      <c r="G5321" s="8"/>
      <c r="M5321" s="8"/>
    </row>
    <row r="5322">
      <c r="B5322" s="8"/>
      <c r="G5322" s="8"/>
      <c r="M5322" s="8"/>
    </row>
    <row r="5323">
      <c r="B5323" s="8"/>
      <c r="G5323" s="8"/>
      <c r="M5323" s="8"/>
    </row>
    <row r="5324">
      <c r="B5324" s="8"/>
      <c r="G5324" s="8"/>
      <c r="M5324" s="8"/>
    </row>
    <row r="5325">
      <c r="B5325" s="8"/>
      <c r="G5325" s="8"/>
      <c r="M5325" s="8"/>
    </row>
    <row r="5326">
      <c r="B5326" s="8"/>
      <c r="G5326" s="8"/>
      <c r="M5326" s="8"/>
    </row>
    <row r="5327">
      <c r="B5327" s="8"/>
      <c r="G5327" s="8"/>
      <c r="M5327" s="8"/>
    </row>
    <row r="5328">
      <c r="B5328" s="8"/>
      <c r="G5328" s="8"/>
      <c r="M5328" s="8"/>
    </row>
    <row r="5329">
      <c r="B5329" s="8"/>
      <c r="G5329" s="8"/>
      <c r="M5329" s="8"/>
    </row>
    <row r="5330">
      <c r="B5330" s="8"/>
      <c r="G5330" s="8"/>
      <c r="M5330" s="8"/>
    </row>
    <row r="5331">
      <c r="B5331" s="8"/>
      <c r="G5331" s="8"/>
      <c r="M5331" s="8"/>
    </row>
    <row r="5332">
      <c r="B5332" s="8"/>
      <c r="G5332" s="8"/>
      <c r="M5332" s="8"/>
    </row>
    <row r="5333">
      <c r="B5333" s="8"/>
      <c r="G5333" s="8"/>
      <c r="M5333" s="8"/>
    </row>
    <row r="5334">
      <c r="B5334" s="8"/>
      <c r="G5334" s="8"/>
      <c r="M5334" s="8"/>
    </row>
    <row r="5335">
      <c r="B5335" s="8"/>
      <c r="G5335" s="8"/>
      <c r="M5335" s="8"/>
    </row>
    <row r="5336">
      <c r="B5336" s="8"/>
      <c r="G5336" s="8"/>
      <c r="M5336" s="8"/>
    </row>
    <row r="5337">
      <c r="B5337" s="8"/>
      <c r="G5337" s="8"/>
      <c r="M5337" s="8"/>
    </row>
    <row r="5338">
      <c r="B5338" s="8"/>
      <c r="G5338" s="8"/>
      <c r="M5338" s="8"/>
    </row>
    <row r="5339">
      <c r="B5339" s="8"/>
      <c r="G5339" s="8"/>
      <c r="M5339" s="8"/>
    </row>
    <row r="5340">
      <c r="B5340" s="8"/>
      <c r="G5340" s="8"/>
      <c r="M5340" s="8"/>
    </row>
    <row r="5341">
      <c r="B5341" s="8"/>
      <c r="G5341" s="8"/>
      <c r="M5341" s="8"/>
    </row>
    <row r="5342">
      <c r="B5342" s="8"/>
      <c r="G5342" s="8"/>
      <c r="M5342" s="8"/>
    </row>
    <row r="5343">
      <c r="B5343" s="8"/>
      <c r="G5343" s="8"/>
      <c r="M5343" s="8"/>
    </row>
    <row r="5344">
      <c r="B5344" s="8"/>
      <c r="G5344" s="8"/>
      <c r="M5344" s="8"/>
    </row>
    <row r="5345">
      <c r="B5345" s="8"/>
      <c r="G5345" s="8"/>
      <c r="M5345" s="8"/>
    </row>
    <row r="5346">
      <c r="B5346" s="8"/>
      <c r="G5346" s="8"/>
      <c r="M5346" s="8"/>
    </row>
    <row r="5347">
      <c r="B5347" s="8"/>
      <c r="G5347" s="8"/>
      <c r="M5347" s="8"/>
    </row>
    <row r="5348">
      <c r="B5348" s="8"/>
      <c r="G5348" s="8"/>
      <c r="M5348" s="8"/>
    </row>
    <row r="5349">
      <c r="B5349" s="8"/>
      <c r="G5349" s="8"/>
      <c r="M5349" s="8"/>
    </row>
    <row r="5350">
      <c r="B5350" s="8"/>
      <c r="G5350" s="8"/>
      <c r="M5350" s="8"/>
    </row>
    <row r="5351">
      <c r="B5351" s="8"/>
      <c r="G5351" s="8"/>
      <c r="M5351" s="8"/>
    </row>
    <row r="5352">
      <c r="B5352" s="8"/>
      <c r="G5352" s="8"/>
      <c r="M5352" s="8"/>
    </row>
    <row r="5353">
      <c r="B5353" s="8"/>
      <c r="G5353" s="8"/>
      <c r="M5353" s="8"/>
    </row>
    <row r="5354">
      <c r="B5354" s="8"/>
      <c r="G5354" s="8"/>
      <c r="M5354" s="8"/>
    </row>
    <row r="5355">
      <c r="B5355" s="8"/>
      <c r="G5355" s="8"/>
      <c r="M5355" s="8"/>
    </row>
    <row r="5356">
      <c r="B5356" s="8"/>
      <c r="G5356" s="8"/>
      <c r="M5356" s="8"/>
    </row>
    <row r="5357">
      <c r="B5357" s="8"/>
      <c r="G5357" s="8"/>
      <c r="M5357" s="8"/>
    </row>
    <row r="5358">
      <c r="B5358" s="8"/>
      <c r="G5358" s="8"/>
      <c r="M5358" s="8"/>
    </row>
    <row r="5359">
      <c r="B5359" s="8"/>
      <c r="G5359" s="8"/>
      <c r="M5359" s="8"/>
    </row>
    <row r="5360">
      <c r="B5360" s="8"/>
      <c r="G5360" s="8"/>
      <c r="M5360" s="8"/>
    </row>
    <row r="5361">
      <c r="B5361" s="8"/>
      <c r="G5361" s="8"/>
      <c r="M5361" s="8"/>
    </row>
    <row r="5362">
      <c r="B5362" s="8"/>
      <c r="G5362" s="8"/>
      <c r="M5362" s="8"/>
    </row>
    <row r="5363">
      <c r="B5363" s="8"/>
      <c r="G5363" s="8"/>
      <c r="M5363" s="8"/>
    </row>
    <row r="5364">
      <c r="B5364" s="8"/>
      <c r="G5364" s="8"/>
      <c r="M5364" s="8"/>
    </row>
    <row r="5365">
      <c r="B5365" s="8"/>
      <c r="G5365" s="8"/>
      <c r="M5365" s="8"/>
    </row>
    <row r="5366">
      <c r="B5366" s="8"/>
      <c r="G5366" s="8"/>
      <c r="M5366" s="8"/>
    </row>
    <row r="5367">
      <c r="B5367" s="8"/>
      <c r="G5367" s="8"/>
      <c r="M5367" s="8"/>
    </row>
    <row r="5368">
      <c r="B5368" s="8"/>
      <c r="G5368" s="8"/>
      <c r="M5368" s="8"/>
    </row>
    <row r="5369">
      <c r="B5369" s="8"/>
      <c r="G5369" s="8"/>
      <c r="M5369" s="8"/>
    </row>
    <row r="5370">
      <c r="B5370" s="8"/>
      <c r="G5370" s="8"/>
      <c r="M5370" s="8"/>
    </row>
    <row r="5371">
      <c r="B5371" s="8"/>
      <c r="G5371" s="8"/>
      <c r="M5371" s="8"/>
    </row>
    <row r="5372">
      <c r="B5372" s="8"/>
      <c r="G5372" s="8"/>
      <c r="M5372" s="8"/>
    </row>
    <row r="5373">
      <c r="B5373" s="8"/>
      <c r="G5373" s="8"/>
      <c r="M5373" s="8"/>
    </row>
    <row r="5374">
      <c r="B5374" s="8"/>
      <c r="G5374" s="8"/>
      <c r="M5374" s="8"/>
    </row>
    <row r="5375">
      <c r="B5375" s="8"/>
      <c r="G5375" s="8"/>
      <c r="M5375" s="8"/>
    </row>
    <row r="5376">
      <c r="B5376" s="8"/>
      <c r="G5376" s="8"/>
      <c r="M5376" s="8"/>
    </row>
    <row r="5377">
      <c r="B5377" s="8"/>
      <c r="G5377" s="8"/>
      <c r="M5377" s="8"/>
    </row>
    <row r="5378">
      <c r="B5378" s="8"/>
      <c r="G5378" s="8"/>
      <c r="M5378" s="8"/>
    </row>
    <row r="5379">
      <c r="B5379" s="8"/>
      <c r="G5379" s="8"/>
      <c r="M5379" s="8"/>
    </row>
    <row r="5380">
      <c r="B5380" s="8"/>
      <c r="G5380" s="8"/>
      <c r="M5380" s="8"/>
    </row>
    <row r="5381">
      <c r="B5381" s="8"/>
      <c r="G5381" s="8"/>
      <c r="M5381" s="8"/>
    </row>
    <row r="5382">
      <c r="B5382" s="8"/>
      <c r="G5382" s="8"/>
      <c r="M5382" s="8"/>
    </row>
    <row r="5383">
      <c r="B5383" s="8"/>
      <c r="G5383" s="8"/>
      <c r="M5383" s="8"/>
    </row>
    <row r="5384">
      <c r="B5384" s="8"/>
      <c r="G5384" s="8"/>
      <c r="M5384" s="8"/>
    </row>
    <row r="5385">
      <c r="B5385" s="8"/>
      <c r="G5385" s="8"/>
      <c r="M5385" s="8"/>
    </row>
    <row r="5386">
      <c r="B5386" s="8"/>
      <c r="G5386" s="8"/>
      <c r="M5386" s="8"/>
    </row>
    <row r="5387">
      <c r="B5387" s="8"/>
      <c r="G5387" s="8"/>
      <c r="M5387" s="8"/>
    </row>
    <row r="5388">
      <c r="B5388" s="8"/>
      <c r="G5388" s="8"/>
      <c r="M5388" s="8"/>
    </row>
    <row r="5389">
      <c r="B5389" s="8"/>
      <c r="G5389" s="8"/>
      <c r="M5389" s="8"/>
    </row>
    <row r="5390">
      <c r="B5390" s="8"/>
      <c r="G5390" s="8"/>
      <c r="M5390" s="8"/>
    </row>
    <row r="5391">
      <c r="B5391" s="8"/>
      <c r="G5391" s="8"/>
      <c r="M5391" s="8"/>
    </row>
    <row r="5392">
      <c r="B5392" s="8"/>
      <c r="G5392" s="8"/>
      <c r="M5392" s="8"/>
    </row>
    <row r="5393">
      <c r="B5393" s="8"/>
      <c r="G5393" s="8"/>
      <c r="M5393" s="8"/>
    </row>
    <row r="5394">
      <c r="B5394" s="8"/>
      <c r="G5394" s="8"/>
      <c r="M5394" s="8"/>
    </row>
    <row r="5395">
      <c r="B5395" s="8"/>
      <c r="G5395" s="8"/>
      <c r="M5395" s="8"/>
    </row>
    <row r="5396">
      <c r="B5396" s="8"/>
      <c r="G5396" s="8"/>
      <c r="M5396" s="8"/>
    </row>
    <row r="5397">
      <c r="B5397" s="8"/>
      <c r="G5397" s="8"/>
      <c r="M5397" s="8"/>
    </row>
    <row r="5398">
      <c r="B5398" s="8"/>
      <c r="G5398" s="8"/>
      <c r="M5398" s="8"/>
    </row>
    <row r="5399">
      <c r="B5399" s="8"/>
      <c r="G5399" s="8"/>
      <c r="M5399" s="8"/>
    </row>
    <row r="5400">
      <c r="B5400" s="8"/>
      <c r="G5400" s="8"/>
      <c r="M5400" s="8"/>
    </row>
    <row r="5401">
      <c r="B5401" s="8"/>
      <c r="G5401" s="8"/>
      <c r="M5401" s="8"/>
    </row>
    <row r="5402">
      <c r="B5402" s="8"/>
      <c r="G5402" s="8"/>
      <c r="M5402" s="8"/>
    </row>
    <row r="5403">
      <c r="B5403" s="8"/>
      <c r="G5403" s="8"/>
      <c r="M5403" s="8"/>
    </row>
    <row r="5404">
      <c r="B5404" s="8"/>
      <c r="G5404" s="8"/>
      <c r="M5404" s="8"/>
    </row>
    <row r="5405">
      <c r="B5405" s="8"/>
      <c r="G5405" s="8"/>
      <c r="M5405" s="8"/>
    </row>
    <row r="5406">
      <c r="B5406" s="8"/>
      <c r="G5406" s="8"/>
      <c r="M5406" s="8"/>
    </row>
    <row r="5407">
      <c r="B5407" s="8"/>
      <c r="G5407" s="8"/>
      <c r="M5407" s="8"/>
    </row>
    <row r="5408">
      <c r="B5408" s="8"/>
      <c r="G5408" s="8"/>
      <c r="M5408" s="8"/>
    </row>
    <row r="5409">
      <c r="B5409" s="8"/>
      <c r="G5409" s="8"/>
      <c r="M5409" s="8"/>
    </row>
    <row r="5410">
      <c r="B5410" s="8"/>
      <c r="G5410" s="8"/>
      <c r="M5410" s="8"/>
    </row>
    <row r="5411">
      <c r="B5411" s="8"/>
      <c r="G5411" s="8"/>
      <c r="M5411" s="8"/>
    </row>
    <row r="5412">
      <c r="B5412" s="8"/>
      <c r="G5412" s="8"/>
      <c r="M5412" s="8"/>
    </row>
    <row r="5413">
      <c r="B5413" s="8"/>
      <c r="G5413" s="8"/>
      <c r="M5413" s="8"/>
    </row>
    <row r="5414">
      <c r="B5414" s="8"/>
      <c r="G5414" s="8"/>
      <c r="M5414" s="8"/>
    </row>
    <row r="5415">
      <c r="B5415" s="8"/>
      <c r="G5415" s="8"/>
      <c r="M5415" s="8"/>
    </row>
    <row r="5416">
      <c r="B5416" s="8"/>
      <c r="G5416" s="8"/>
      <c r="M5416" s="8"/>
    </row>
    <row r="5417">
      <c r="B5417" s="8"/>
      <c r="G5417" s="8"/>
      <c r="M5417" s="8"/>
    </row>
    <row r="5418">
      <c r="B5418" s="8"/>
      <c r="G5418" s="8"/>
      <c r="M5418" s="8"/>
    </row>
    <row r="5419">
      <c r="B5419" s="8"/>
      <c r="G5419" s="8"/>
      <c r="M5419" s="8"/>
    </row>
    <row r="5420">
      <c r="B5420" s="8"/>
      <c r="G5420" s="8"/>
      <c r="M5420" s="8"/>
    </row>
    <row r="5421">
      <c r="B5421" s="8"/>
      <c r="G5421" s="8"/>
      <c r="M5421" s="8"/>
    </row>
    <row r="5422">
      <c r="B5422" s="8"/>
      <c r="G5422" s="8"/>
      <c r="M5422" s="8"/>
    </row>
    <row r="5423">
      <c r="B5423" s="8"/>
      <c r="G5423" s="8"/>
      <c r="M5423" s="8"/>
    </row>
    <row r="5424">
      <c r="B5424" s="8"/>
      <c r="G5424" s="8"/>
      <c r="M5424" s="8"/>
    </row>
    <row r="5425">
      <c r="B5425" s="8"/>
      <c r="G5425" s="8"/>
      <c r="M5425" s="8"/>
    </row>
    <row r="5426">
      <c r="B5426" s="8"/>
      <c r="G5426" s="8"/>
      <c r="M5426" s="8"/>
    </row>
    <row r="5427">
      <c r="B5427" s="8"/>
      <c r="G5427" s="8"/>
      <c r="M5427" s="8"/>
    </row>
    <row r="5428">
      <c r="B5428" s="8"/>
      <c r="G5428" s="8"/>
      <c r="M5428" s="8"/>
    </row>
    <row r="5429">
      <c r="B5429" s="8"/>
      <c r="G5429" s="8"/>
      <c r="M5429" s="8"/>
    </row>
    <row r="5430">
      <c r="B5430" s="8"/>
      <c r="G5430" s="8"/>
      <c r="M5430" s="8"/>
    </row>
    <row r="5431">
      <c r="B5431" s="8"/>
      <c r="G5431" s="8"/>
      <c r="M5431" s="8"/>
    </row>
    <row r="5432">
      <c r="B5432" s="8"/>
      <c r="G5432" s="8"/>
      <c r="M5432" s="8"/>
    </row>
    <row r="5433">
      <c r="B5433" s="8"/>
      <c r="G5433" s="8"/>
      <c r="M5433" s="8"/>
    </row>
    <row r="5434">
      <c r="B5434" s="8"/>
      <c r="G5434" s="8"/>
      <c r="M5434" s="8"/>
    </row>
    <row r="5435">
      <c r="B5435" s="8"/>
      <c r="G5435" s="8"/>
      <c r="M5435" s="8"/>
    </row>
    <row r="5436">
      <c r="B5436" s="8"/>
      <c r="G5436" s="8"/>
      <c r="M5436" s="8"/>
    </row>
    <row r="5437">
      <c r="B5437" s="8"/>
      <c r="G5437" s="8"/>
      <c r="M5437" s="8"/>
    </row>
    <row r="5438">
      <c r="B5438" s="8"/>
      <c r="G5438" s="8"/>
      <c r="M5438" s="8"/>
    </row>
    <row r="5439">
      <c r="B5439" s="8"/>
      <c r="G5439" s="8"/>
      <c r="M5439" s="8"/>
    </row>
    <row r="5440">
      <c r="B5440" s="8"/>
      <c r="G5440" s="8"/>
      <c r="M5440" s="8"/>
    </row>
    <row r="5441">
      <c r="B5441" s="8"/>
      <c r="G5441" s="8"/>
      <c r="M5441" s="8"/>
    </row>
    <row r="5442">
      <c r="B5442" s="8"/>
      <c r="G5442" s="8"/>
      <c r="M5442" s="8"/>
    </row>
    <row r="5443">
      <c r="B5443" s="8"/>
      <c r="G5443" s="8"/>
      <c r="M5443" s="8"/>
    </row>
    <row r="5444">
      <c r="B5444" s="8"/>
      <c r="G5444" s="8"/>
      <c r="M5444" s="8"/>
    </row>
    <row r="5445">
      <c r="B5445" s="8"/>
      <c r="G5445" s="8"/>
      <c r="M5445" s="8"/>
    </row>
    <row r="5446">
      <c r="B5446" s="8"/>
      <c r="G5446" s="8"/>
      <c r="M5446" s="8"/>
    </row>
    <row r="5447">
      <c r="B5447" s="8"/>
      <c r="G5447" s="8"/>
      <c r="M5447" s="8"/>
    </row>
    <row r="5448">
      <c r="B5448" s="8"/>
      <c r="G5448" s="8"/>
      <c r="M5448" s="8"/>
    </row>
    <row r="5449">
      <c r="B5449" s="8"/>
      <c r="G5449" s="8"/>
      <c r="M5449" s="8"/>
    </row>
    <row r="5450">
      <c r="B5450" s="8"/>
      <c r="G5450" s="8"/>
      <c r="M5450" s="8"/>
    </row>
    <row r="5451">
      <c r="B5451" s="8"/>
      <c r="G5451" s="8"/>
      <c r="M5451" s="8"/>
    </row>
    <row r="5452">
      <c r="B5452" s="8"/>
      <c r="G5452" s="8"/>
      <c r="M5452" s="8"/>
    </row>
    <row r="5453">
      <c r="B5453" s="8"/>
      <c r="G5453" s="8"/>
      <c r="M5453" s="8"/>
    </row>
    <row r="5454">
      <c r="B5454" s="8"/>
      <c r="G5454" s="8"/>
      <c r="M5454" s="8"/>
    </row>
    <row r="5455">
      <c r="B5455" s="8"/>
      <c r="G5455" s="8"/>
      <c r="M5455" s="8"/>
    </row>
    <row r="5456">
      <c r="B5456" s="8"/>
      <c r="G5456" s="8"/>
      <c r="M5456" s="8"/>
    </row>
    <row r="5457">
      <c r="B5457" s="8"/>
      <c r="G5457" s="8"/>
      <c r="M5457" s="8"/>
    </row>
    <row r="5458">
      <c r="B5458" s="8"/>
      <c r="G5458" s="8"/>
      <c r="M5458" s="8"/>
    </row>
    <row r="5459">
      <c r="B5459" s="8"/>
      <c r="G5459" s="8"/>
      <c r="M5459" s="8"/>
    </row>
    <row r="5460">
      <c r="B5460" s="8"/>
      <c r="G5460" s="8"/>
      <c r="M5460" s="8"/>
    </row>
    <row r="5461">
      <c r="B5461" s="8"/>
      <c r="G5461" s="8"/>
      <c r="M5461" s="8"/>
    </row>
    <row r="5462">
      <c r="B5462" s="8"/>
      <c r="G5462" s="8"/>
      <c r="M5462" s="8"/>
    </row>
    <row r="5463">
      <c r="B5463" s="8"/>
      <c r="G5463" s="8"/>
      <c r="M5463" s="8"/>
    </row>
    <row r="5464">
      <c r="B5464" s="8"/>
      <c r="G5464" s="8"/>
      <c r="M5464" s="8"/>
    </row>
    <row r="5465">
      <c r="B5465" s="8"/>
      <c r="G5465" s="8"/>
      <c r="M5465" s="8"/>
    </row>
    <row r="5466">
      <c r="B5466" s="8"/>
      <c r="G5466" s="8"/>
      <c r="M5466" s="8"/>
    </row>
    <row r="5467">
      <c r="B5467" s="8"/>
      <c r="G5467" s="8"/>
      <c r="M5467" s="8"/>
    </row>
    <row r="5468">
      <c r="B5468" s="8"/>
      <c r="G5468" s="8"/>
      <c r="M5468" s="8"/>
    </row>
    <row r="5469">
      <c r="B5469" s="8"/>
      <c r="G5469" s="8"/>
      <c r="M5469" s="8"/>
    </row>
    <row r="5470">
      <c r="B5470" s="8"/>
      <c r="G5470" s="8"/>
      <c r="M5470" s="8"/>
    </row>
    <row r="5471">
      <c r="B5471" s="8"/>
      <c r="G5471" s="8"/>
      <c r="M5471" s="8"/>
    </row>
    <row r="5472">
      <c r="B5472" s="8"/>
      <c r="G5472" s="8"/>
      <c r="M5472" s="8"/>
    </row>
    <row r="5473">
      <c r="B5473" s="8"/>
      <c r="G5473" s="8"/>
      <c r="M5473" s="8"/>
    </row>
    <row r="5474">
      <c r="B5474" s="8"/>
      <c r="G5474" s="8"/>
      <c r="M5474" s="8"/>
    </row>
    <row r="5475">
      <c r="B5475" s="8"/>
      <c r="G5475" s="8"/>
      <c r="M5475" s="8"/>
    </row>
    <row r="5476">
      <c r="B5476" s="8"/>
      <c r="G5476" s="8"/>
      <c r="M5476" s="8"/>
    </row>
    <row r="5477">
      <c r="B5477" s="8"/>
      <c r="G5477" s="8"/>
      <c r="M5477" s="8"/>
    </row>
    <row r="5478">
      <c r="B5478" s="8"/>
      <c r="G5478" s="8"/>
      <c r="M5478" s="8"/>
    </row>
    <row r="5479">
      <c r="B5479" s="8"/>
      <c r="G5479" s="8"/>
      <c r="M5479" s="8"/>
    </row>
    <row r="5480">
      <c r="B5480" s="8"/>
      <c r="G5480" s="8"/>
      <c r="M5480" s="8"/>
    </row>
    <row r="5481">
      <c r="B5481" s="8"/>
      <c r="G5481" s="8"/>
      <c r="M5481" s="8"/>
    </row>
    <row r="5482">
      <c r="B5482" s="8"/>
      <c r="G5482" s="8"/>
      <c r="M5482" s="8"/>
    </row>
    <row r="5483">
      <c r="B5483" s="8"/>
      <c r="G5483" s="8"/>
      <c r="M5483" s="8"/>
    </row>
    <row r="5484">
      <c r="B5484" s="8"/>
      <c r="G5484" s="8"/>
      <c r="M5484" s="8"/>
    </row>
    <row r="5485">
      <c r="B5485" s="8"/>
      <c r="G5485" s="8"/>
      <c r="M5485" s="8"/>
    </row>
    <row r="5486">
      <c r="B5486" s="8"/>
      <c r="G5486" s="8"/>
      <c r="M5486" s="8"/>
    </row>
    <row r="5487">
      <c r="B5487" s="8"/>
      <c r="G5487" s="8"/>
      <c r="M5487" s="8"/>
    </row>
    <row r="5488">
      <c r="B5488" s="8"/>
      <c r="G5488" s="8"/>
      <c r="M5488" s="8"/>
    </row>
    <row r="5489">
      <c r="B5489" s="8"/>
      <c r="G5489" s="8"/>
      <c r="M5489" s="8"/>
    </row>
    <row r="5490">
      <c r="B5490" s="8"/>
      <c r="G5490" s="8"/>
      <c r="M5490" s="8"/>
    </row>
    <row r="5491">
      <c r="B5491" s="8"/>
      <c r="G5491" s="8"/>
      <c r="M5491" s="8"/>
    </row>
    <row r="5492">
      <c r="B5492" s="8"/>
      <c r="G5492" s="8"/>
      <c r="M5492" s="8"/>
    </row>
    <row r="5493">
      <c r="B5493" s="8"/>
      <c r="G5493" s="8"/>
      <c r="M5493" s="8"/>
    </row>
    <row r="5494">
      <c r="B5494" s="8"/>
      <c r="G5494" s="8"/>
      <c r="M5494" s="8"/>
    </row>
    <row r="5495">
      <c r="B5495" s="8"/>
      <c r="G5495" s="8"/>
      <c r="M5495" s="8"/>
    </row>
    <row r="5496">
      <c r="B5496" s="8"/>
      <c r="G5496" s="8"/>
      <c r="M5496" s="8"/>
    </row>
    <row r="5497">
      <c r="B5497" s="8"/>
      <c r="G5497" s="8"/>
      <c r="M5497" s="8"/>
    </row>
    <row r="5498">
      <c r="B5498" s="8"/>
      <c r="G5498" s="8"/>
      <c r="M5498" s="8"/>
    </row>
    <row r="5499">
      <c r="B5499" s="8"/>
      <c r="G5499" s="8"/>
      <c r="M5499" s="8"/>
    </row>
    <row r="5500">
      <c r="B5500" s="8"/>
      <c r="G5500" s="8"/>
      <c r="M5500" s="8"/>
    </row>
    <row r="5501">
      <c r="B5501" s="8"/>
      <c r="G5501" s="8"/>
      <c r="M5501" s="8"/>
    </row>
    <row r="5502">
      <c r="B5502" s="8"/>
      <c r="G5502" s="8"/>
      <c r="M5502" s="8"/>
    </row>
    <row r="5503">
      <c r="B5503" s="8"/>
      <c r="G5503" s="8"/>
      <c r="M5503" s="8"/>
    </row>
    <row r="5504">
      <c r="B5504" s="8"/>
      <c r="G5504" s="8"/>
      <c r="M5504" s="8"/>
    </row>
    <row r="5505">
      <c r="B5505" s="8"/>
      <c r="G5505" s="8"/>
      <c r="M5505" s="8"/>
    </row>
    <row r="5506">
      <c r="B5506" s="8"/>
      <c r="G5506" s="8"/>
      <c r="M5506" s="8"/>
    </row>
    <row r="5507">
      <c r="B5507" s="8"/>
      <c r="G5507" s="8"/>
      <c r="M5507" s="8"/>
    </row>
    <row r="5508">
      <c r="B5508" s="8"/>
      <c r="G5508" s="8"/>
      <c r="M5508" s="8"/>
    </row>
    <row r="5509">
      <c r="B5509" s="8"/>
      <c r="G5509" s="8"/>
      <c r="M5509" s="8"/>
    </row>
    <row r="5510">
      <c r="B5510" s="8"/>
      <c r="G5510" s="8"/>
      <c r="M5510" s="8"/>
    </row>
    <row r="5511">
      <c r="B5511" s="8"/>
      <c r="G5511" s="8"/>
      <c r="M5511" s="8"/>
    </row>
    <row r="5512">
      <c r="B5512" s="8"/>
      <c r="G5512" s="8"/>
      <c r="M5512" s="8"/>
    </row>
    <row r="5513">
      <c r="B5513" s="8"/>
      <c r="G5513" s="8"/>
      <c r="M5513" s="8"/>
    </row>
    <row r="5514">
      <c r="B5514" s="8"/>
      <c r="G5514" s="8"/>
      <c r="M5514" s="8"/>
    </row>
    <row r="5515">
      <c r="B5515" s="8"/>
      <c r="G5515" s="8"/>
      <c r="M5515" s="8"/>
    </row>
    <row r="5516">
      <c r="B5516" s="8"/>
      <c r="G5516" s="8"/>
      <c r="M5516" s="8"/>
    </row>
    <row r="5517">
      <c r="B5517" s="8"/>
      <c r="G5517" s="8"/>
      <c r="M5517" s="8"/>
    </row>
    <row r="5518">
      <c r="B5518" s="8"/>
      <c r="G5518" s="8"/>
      <c r="M5518" s="8"/>
    </row>
    <row r="5519">
      <c r="B5519" s="8"/>
      <c r="G5519" s="8"/>
      <c r="M5519" s="8"/>
    </row>
    <row r="5520">
      <c r="B5520" s="8"/>
      <c r="G5520" s="8"/>
      <c r="M5520" s="8"/>
    </row>
    <row r="5521">
      <c r="B5521" s="8"/>
      <c r="G5521" s="8"/>
      <c r="M5521" s="8"/>
    </row>
    <row r="5522">
      <c r="B5522" s="8"/>
      <c r="G5522" s="8"/>
      <c r="M5522" s="8"/>
    </row>
    <row r="5523">
      <c r="B5523" s="8"/>
      <c r="G5523" s="8"/>
      <c r="M5523" s="8"/>
    </row>
    <row r="5524">
      <c r="B5524" s="8"/>
      <c r="G5524" s="8"/>
      <c r="M5524" s="8"/>
    </row>
    <row r="5525">
      <c r="B5525" s="8"/>
      <c r="G5525" s="8"/>
      <c r="M5525" s="8"/>
    </row>
    <row r="5526">
      <c r="B5526" s="8"/>
      <c r="G5526" s="8"/>
      <c r="M5526" s="8"/>
    </row>
    <row r="5527">
      <c r="B5527" s="8"/>
      <c r="G5527" s="8"/>
      <c r="M5527" s="8"/>
    </row>
    <row r="5528">
      <c r="B5528" s="8"/>
      <c r="G5528" s="8"/>
      <c r="M5528" s="8"/>
    </row>
    <row r="5529">
      <c r="B5529" s="8"/>
      <c r="G5529" s="8"/>
      <c r="M5529" s="8"/>
    </row>
    <row r="5530">
      <c r="B5530" s="8"/>
      <c r="G5530" s="8"/>
      <c r="M5530" s="8"/>
    </row>
    <row r="5531">
      <c r="B5531" s="8"/>
      <c r="G5531" s="8"/>
      <c r="M5531" s="8"/>
    </row>
    <row r="5532">
      <c r="B5532" s="8"/>
      <c r="G5532" s="8"/>
      <c r="M5532" s="8"/>
    </row>
    <row r="5533">
      <c r="B5533" s="8"/>
      <c r="G5533" s="8"/>
      <c r="M5533" s="8"/>
    </row>
    <row r="5534">
      <c r="B5534" s="8"/>
      <c r="G5534" s="8"/>
      <c r="M5534" s="8"/>
    </row>
    <row r="5535">
      <c r="B5535" s="8"/>
      <c r="G5535" s="8"/>
      <c r="M5535" s="8"/>
    </row>
    <row r="5536">
      <c r="B5536" s="8"/>
      <c r="G5536" s="8"/>
      <c r="M5536" s="8"/>
    </row>
    <row r="5537">
      <c r="B5537" s="8"/>
      <c r="G5537" s="8"/>
      <c r="M5537" s="8"/>
    </row>
    <row r="5538">
      <c r="B5538" s="8"/>
      <c r="G5538" s="8"/>
      <c r="M5538" s="8"/>
    </row>
    <row r="5539">
      <c r="B5539" s="8"/>
      <c r="G5539" s="8"/>
      <c r="M5539" s="8"/>
    </row>
    <row r="5540">
      <c r="B5540" s="8"/>
      <c r="G5540" s="8"/>
      <c r="M5540" s="8"/>
    </row>
    <row r="5541">
      <c r="B5541" s="8"/>
      <c r="G5541" s="8"/>
      <c r="M5541" s="8"/>
    </row>
    <row r="5542">
      <c r="B5542" s="8"/>
      <c r="G5542" s="8"/>
      <c r="M5542" s="8"/>
    </row>
    <row r="5543">
      <c r="B5543" s="8"/>
      <c r="G5543" s="8"/>
      <c r="M5543" s="8"/>
    </row>
    <row r="5544">
      <c r="B5544" s="8"/>
      <c r="G5544" s="8"/>
      <c r="M5544" s="8"/>
    </row>
    <row r="5545">
      <c r="B5545" s="8"/>
      <c r="G5545" s="8"/>
      <c r="M5545" s="8"/>
    </row>
    <row r="5546">
      <c r="B5546" s="8"/>
      <c r="G5546" s="8"/>
      <c r="M5546" s="8"/>
    </row>
    <row r="5547">
      <c r="B5547" s="8"/>
      <c r="G5547" s="8"/>
      <c r="M5547" s="8"/>
    </row>
    <row r="5548">
      <c r="B5548" s="8"/>
      <c r="G5548" s="8"/>
      <c r="M5548" s="8"/>
    </row>
    <row r="5549">
      <c r="B5549" s="8"/>
      <c r="G5549" s="8"/>
      <c r="M5549" s="8"/>
    </row>
    <row r="5550">
      <c r="B5550" s="8"/>
      <c r="G5550" s="8"/>
      <c r="M5550" s="8"/>
    </row>
    <row r="5551">
      <c r="B5551" s="8"/>
      <c r="G5551" s="8"/>
      <c r="M5551" s="8"/>
    </row>
    <row r="5552">
      <c r="B5552" s="8"/>
      <c r="G5552" s="8"/>
      <c r="M5552" s="8"/>
    </row>
    <row r="5553">
      <c r="B5553" s="8"/>
      <c r="G5553" s="8"/>
      <c r="M5553" s="8"/>
    </row>
    <row r="5554">
      <c r="B5554" s="8"/>
      <c r="G5554" s="8"/>
      <c r="M5554" s="8"/>
    </row>
    <row r="5555">
      <c r="B5555" s="8"/>
      <c r="G5555" s="8"/>
      <c r="M5555" s="8"/>
    </row>
    <row r="5556">
      <c r="B5556" s="8"/>
      <c r="G5556" s="8"/>
      <c r="M5556" s="8"/>
    </row>
    <row r="5557">
      <c r="B5557" s="8"/>
      <c r="G5557" s="8"/>
      <c r="M5557" s="8"/>
    </row>
    <row r="5558">
      <c r="B5558" s="8"/>
      <c r="G5558" s="8"/>
      <c r="M5558" s="8"/>
    </row>
    <row r="5559">
      <c r="B5559" s="8"/>
      <c r="G5559" s="8"/>
      <c r="M5559" s="8"/>
    </row>
    <row r="5560">
      <c r="B5560" s="8"/>
      <c r="G5560" s="8"/>
      <c r="M5560" s="8"/>
    </row>
    <row r="5561">
      <c r="B5561" s="8"/>
      <c r="G5561" s="8"/>
      <c r="M5561" s="8"/>
    </row>
    <row r="5562">
      <c r="B5562" s="8"/>
      <c r="G5562" s="8"/>
      <c r="M5562" s="8"/>
    </row>
    <row r="5563">
      <c r="B5563" s="8"/>
      <c r="G5563" s="8"/>
      <c r="M5563" s="8"/>
    </row>
    <row r="5564">
      <c r="B5564" s="8"/>
      <c r="G5564" s="8"/>
      <c r="M5564" s="8"/>
    </row>
    <row r="5565">
      <c r="B5565" s="8"/>
      <c r="G5565" s="8"/>
      <c r="M5565" s="8"/>
    </row>
    <row r="5566">
      <c r="B5566" s="8"/>
      <c r="G5566" s="8"/>
      <c r="M5566" s="8"/>
    </row>
    <row r="5567">
      <c r="B5567" s="8"/>
      <c r="G5567" s="8"/>
      <c r="M5567" s="8"/>
    </row>
    <row r="5568">
      <c r="B5568" s="8"/>
      <c r="G5568" s="8"/>
      <c r="M5568" s="8"/>
    </row>
    <row r="5569">
      <c r="B5569" s="8"/>
      <c r="G5569" s="8"/>
      <c r="M5569" s="8"/>
    </row>
    <row r="5570">
      <c r="B5570" s="8"/>
      <c r="G5570" s="8"/>
      <c r="M5570" s="8"/>
    </row>
    <row r="5571">
      <c r="B5571" s="8"/>
      <c r="G5571" s="8"/>
      <c r="M5571" s="8"/>
    </row>
    <row r="5572">
      <c r="B5572" s="8"/>
      <c r="G5572" s="8"/>
      <c r="M5572" s="8"/>
    </row>
    <row r="5573">
      <c r="B5573" s="8"/>
      <c r="G5573" s="8"/>
      <c r="M5573" s="8"/>
    </row>
    <row r="5574">
      <c r="B5574" s="8"/>
      <c r="G5574" s="8"/>
      <c r="M5574" s="8"/>
    </row>
    <row r="5575">
      <c r="B5575" s="8"/>
      <c r="G5575" s="8"/>
      <c r="M5575" s="8"/>
    </row>
    <row r="5576">
      <c r="B5576" s="8"/>
      <c r="G5576" s="8"/>
      <c r="M5576" s="8"/>
    </row>
    <row r="5577">
      <c r="B5577" s="8"/>
      <c r="G5577" s="8"/>
      <c r="M5577" s="8"/>
    </row>
    <row r="5578">
      <c r="B5578" s="8"/>
      <c r="G5578" s="8"/>
      <c r="M5578" s="8"/>
    </row>
    <row r="5579">
      <c r="B5579" s="8"/>
      <c r="G5579" s="8"/>
      <c r="M5579" s="8"/>
    </row>
    <row r="5580">
      <c r="B5580" s="8"/>
      <c r="G5580" s="8"/>
      <c r="M5580" s="8"/>
    </row>
    <row r="5581">
      <c r="B5581" s="8"/>
      <c r="G5581" s="8"/>
      <c r="M5581" s="8"/>
    </row>
    <row r="5582">
      <c r="B5582" s="8"/>
      <c r="G5582" s="8"/>
      <c r="M5582" s="8"/>
    </row>
    <row r="5583">
      <c r="B5583" s="8"/>
      <c r="G5583" s="8"/>
      <c r="M5583" s="8"/>
    </row>
    <row r="5584">
      <c r="B5584" s="8"/>
      <c r="G5584" s="8"/>
      <c r="M5584" s="8"/>
    </row>
    <row r="5585">
      <c r="B5585" s="8"/>
      <c r="G5585" s="8"/>
      <c r="M5585" s="8"/>
    </row>
    <row r="5586">
      <c r="B5586" s="8"/>
      <c r="G5586" s="8"/>
      <c r="M5586" s="8"/>
    </row>
    <row r="5587">
      <c r="B5587" s="8"/>
      <c r="G5587" s="8"/>
      <c r="M5587" s="8"/>
    </row>
    <row r="5588">
      <c r="B5588" s="8"/>
      <c r="G5588" s="8"/>
      <c r="M5588" s="8"/>
    </row>
    <row r="5589">
      <c r="B5589" s="8"/>
      <c r="G5589" s="8"/>
      <c r="M5589" s="8"/>
    </row>
    <row r="5590">
      <c r="B5590" s="8"/>
      <c r="G5590" s="8"/>
      <c r="M5590" s="8"/>
    </row>
    <row r="5591">
      <c r="B5591" s="8"/>
      <c r="G5591" s="8"/>
      <c r="M5591" s="8"/>
    </row>
    <row r="5592">
      <c r="B5592" s="8"/>
      <c r="G5592" s="8"/>
      <c r="M5592" s="8"/>
    </row>
    <row r="5593">
      <c r="B5593" s="8"/>
      <c r="G5593" s="8"/>
      <c r="M5593" s="8"/>
    </row>
    <row r="5594">
      <c r="B5594" s="8"/>
      <c r="G5594" s="8"/>
      <c r="M5594" s="8"/>
    </row>
    <row r="5595">
      <c r="B5595" s="8"/>
      <c r="G5595" s="8"/>
      <c r="M5595" s="8"/>
    </row>
    <row r="5596">
      <c r="B5596" s="8"/>
      <c r="G5596" s="8"/>
      <c r="M5596" s="8"/>
    </row>
    <row r="5597">
      <c r="B5597" s="8"/>
      <c r="G5597" s="8"/>
      <c r="M5597" s="8"/>
    </row>
    <row r="5598">
      <c r="B5598" s="8"/>
      <c r="G5598" s="8"/>
      <c r="M5598" s="8"/>
    </row>
    <row r="5599">
      <c r="B5599" s="8"/>
      <c r="G5599" s="8"/>
      <c r="M5599" s="8"/>
    </row>
    <row r="5600">
      <c r="B5600" s="8"/>
      <c r="G5600" s="8"/>
      <c r="M5600" s="8"/>
    </row>
    <row r="5601">
      <c r="B5601" s="8"/>
      <c r="G5601" s="8"/>
      <c r="M5601" s="8"/>
    </row>
    <row r="5602">
      <c r="B5602" s="8"/>
      <c r="G5602" s="8"/>
      <c r="M5602" s="8"/>
    </row>
    <row r="5603">
      <c r="B5603" s="8"/>
      <c r="G5603" s="8"/>
      <c r="M5603" s="8"/>
    </row>
    <row r="5604">
      <c r="B5604" s="8"/>
      <c r="G5604" s="8"/>
      <c r="M5604" s="8"/>
    </row>
    <row r="5605">
      <c r="B5605" s="8"/>
      <c r="G5605" s="8"/>
      <c r="M5605" s="8"/>
    </row>
    <row r="5606">
      <c r="B5606" s="8"/>
      <c r="G5606" s="8"/>
      <c r="M5606" s="8"/>
    </row>
    <row r="5607">
      <c r="B5607" s="8"/>
      <c r="G5607" s="8"/>
      <c r="M5607" s="8"/>
    </row>
    <row r="5608">
      <c r="B5608" s="8"/>
      <c r="G5608" s="8"/>
      <c r="M5608" s="8"/>
    </row>
    <row r="5609">
      <c r="B5609" s="8"/>
      <c r="G5609" s="8"/>
      <c r="M5609" s="8"/>
    </row>
    <row r="5610">
      <c r="B5610" s="8"/>
      <c r="G5610" s="8"/>
      <c r="M5610" s="8"/>
    </row>
    <row r="5611">
      <c r="B5611" s="8"/>
      <c r="G5611" s="8"/>
      <c r="M5611" s="8"/>
    </row>
    <row r="5612">
      <c r="B5612" s="8"/>
      <c r="G5612" s="8"/>
      <c r="M5612" s="8"/>
    </row>
    <row r="5613">
      <c r="B5613" s="8"/>
      <c r="G5613" s="8"/>
      <c r="M5613" s="8"/>
    </row>
    <row r="5614">
      <c r="B5614" s="8"/>
      <c r="G5614" s="8"/>
      <c r="M5614" s="8"/>
    </row>
    <row r="5615">
      <c r="B5615" s="8"/>
      <c r="G5615" s="8"/>
      <c r="M5615" s="8"/>
    </row>
    <row r="5616">
      <c r="B5616" s="8"/>
      <c r="G5616" s="8"/>
      <c r="M5616" s="8"/>
    </row>
    <row r="5617">
      <c r="B5617" s="8"/>
      <c r="G5617" s="8"/>
      <c r="M5617" s="8"/>
    </row>
    <row r="5618">
      <c r="B5618" s="8"/>
      <c r="G5618" s="8"/>
      <c r="M5618" s="8"/>
    </row>
    <row r="5619">
      <c r="B5619" s="8"/>
      <c r="G5619" s="8"/>
      <c r="M5619" s="8"/>
    </row>
    <row r="5620">
      <c r="B5620" s="8"/>
      <c r="G5620" s="8"/>
      <c r="M5620" s="8"/>
    </row>
    <row r="5621">
      <c r="B5621" s="8"/>
      <c r="G5621" s="8"/>
      <c r="M5621" s="8"/>
    </row>
    <row r="5622">
      <c r="B5622" s="8"/>
      <c r="G5622" s="8"/>
      <c r="M5622" s="8"/>
    </row>
    <row r="5623">
      <c r="B5623" s="8"/>
      <c r="G5623" s="8"/>
      <c r="M5623" s="8"/>
    </row>
    <row r="5624">
      <c r="B5624" s="8"/>
      <c r="G5624" s="8"/>
      <c r="M5624" s="8"/>
    </row>
    <row r="5625">
      <c r="B5625" s="8"/>
      <c r="G5625" s="8"/>
      <c r="M5625" s="8"/>
    </row>
    <row r="5626">
      <c r="B5626" s="8"/>
      <c r="G5626" s="8"/>
      <c r="M5626" s="8"/>
    </row>
    <row r="5627">
      <c r="B5627" s="8"/>
      <c r="G5627" s="8"/>
      <c r="M5627" s="8"/>
    </row>
    <row r="5628">
      <c r="B5628" s="8"/>
      <c r="G5628" s="8"/>
      <c r="M5628" s="8"/>
    </row>
    <row r="5629">
      <c r="B5629" s="8"/>
      <c r="G5629" s="8"/>
      <c r="M5629" s="8"/>
    </row>
    <row r="5630">
      <c r="B5630" s="8"/>
      <c r="G5630" s="8"/>
      <c r="M5630" s="8"/>
    </row>
    <row r="5631">
      <c r="B5631" s="8"/>
      <c r="G5631" s="8"/>
      <c r="M5631" s="8"/>
    </row>
    <row r="5632">
      <c r="B5632" s="8"/>
      <c r="G5632" s="8"/>
      <c r="M5632" s="8"/>
    </row>
    <row r="5633">
      <c r="B5633" s="8"/>
      <c r="G5633" s="8"/>
      <c r="M5633" s="8"/>
    </row>
    <row r="5634">
      <c r="B5634" s="8"/>
      <c r="G5634" s="8"/>
      <c r="M5634" s="8"/>
    </row>
    <row r="5635">
      <c r="B5635" s="8"/>
      <c r="G5635" s="8"/>
      <c r="M5635" s="8"/>
    </row>
    <row r="5636">
      <c r="B5636" s="8"/>
      <c r="G5636" s="8"/>
      <c r="M5636" s="8"/>
    </row>
    <row r="5637">
      <c r="B5637" s="8"/>
      <c r="G5637" s="8"/>
      <c r="M5637" s="8"/>
    </row>
    <row r="5638">
      <c r="B5638" s="8"/>
      <c r="G5638" s="8"/>
      <c r="M5638" s="8"/>
    </row>
    <row r="5639">
      <c r="B5639" s="8"/>
      <c r="G5639" s="8"/>
      <c r="M5639" s="8"/>
    </row>
    <row r="5640">
      <c r="B5640" s="8"/>
      <c r="G5640" s="8"/>
      <c r="M5640" s="8"/>
    </row>
    <row r="5641">
      <c r="B5641" s="8"/>
      <c r="G5641" s="8"/>
      <c r="M5641" s="8"/>
    </row>
    <row r="5642">
      <c r="B5642" s="8"/>
      <c r="G5642" s="8"/>
      <c r="M5642" s="8"/>
    </row>
    <row r="5643">
      <c r="B5643" s="8"/>
      <c r="G5643" s="8"/>
      <c r="M5643" s="8"/>
    </row>
    <row r="5644">
      <c r="B5644" s="8"/>
      <c r="G5644" s="8"/>
      <c r="M5644" s="8"/>
    </row>
    <row r="5645">
      <c r="B5645" s="8"/>
      <c r="G5645" s="8"/>
      <c r="M5645" s="8"/>
    </row>
    <row r="5646">
      <c r="B5646" s="8"/>
      <c r="G5646" s="8"/>
      <c r="M5646" s="8"/>
    </row>
    <row r="5647">
      <c r="B5647" s="8"/>
      <c r="G5647" s="8"/>
      <c r="M5647" s="8"/>
    </row>
    <row r="5648">
      <c r="B5648" s="8"/>
      <c r="G5648" s="8"/>
      <c r="M5648" s="8"/>
    </row>
    <row r="5649">
      <c r="B5649" s="8"/>
      <c r="G5649" s="8"/>
      <c r="M5649" s="8"/>
    </row>
    <row r="5650">
      <c r="B5650" s="8"/>
      <c r="G5650" s="8"/>
      <c r="M5650" s="8"/>
    </row>
    <row r="5651">
      <c r="B5651" s="8"/>
      <c r="G5651" s="8"/>
      <c r="M5651" s="8"/>
    </row>
    <row r="5652">
      <c r="B5652" s="8"/>
      <c r="G5652" s="8"/>
      <c r="M5652" s="8"/>
    </row>
    <row r="5653">
      <c r="B5653" s="8"/>
      <c r="G5653" s="8"/>
      <c r="M5653" s="8"/>
    </row>
    <row r="5654">
      <c r="B5654" s="8"/>
      <c r="G5654" s="8"/>
      <c r="M5654" s="8"/>
    </row>
    <row r="5655">
      <c r="B5655" s="8"/>
      <c r="G5655" s="8"/>
      <c r="M5655" s="8"/>
    </row>
    <row r="5656">
      <c r="B5656" s="8"/>
      <c r="G5656" s="8"/>
      <c r="M5656" s="8"/>
    </row>
    <row r="5657">
      <c r="B5657" s="8"/>
      <c r="G5657" s="8"/>
      <c r="M5657" s="8"/>
    </row>
    <row r="5658">
      <c r="B5658" s="8"/>
      <c r="G5658" s="8"/>
      <c r="M5658" s="8"/>
    </row>
    <row r="5659">
      <c r="B5659" s="8"/>
      <c r="G5659" s="8"/>
      <c r="M5659" s="8"/>
    </row>
    <row r="5660">
      <c r="B5660" s="8"/>
      <c r="G5660" s="8"/>
      <c r="M5660" s="8"/>
    </row>
    <row r="5661">
      <c r="B5661" s="8"/>
      <c r="G5661" s="8"/>
      <c r="M5661" s="8"/>
    </row>
    <row r="5662">
      <c r="B5662" s="8"/>
      <c r="G5662" s="8"/>
      <c r="M5662" s="8"/>
    </row>
    <row r="5663">
      <c r="B5663" s="8"/>
      <c r="G5663" s="8"/>
      <c r="M5663" s="8"/>
    </row>
    <row r="5664">
      <c r="B5664" s="8"/>
      <c r="G5664" s="8"/>
      <c r="M5664" s="8"/>
    </row>
    <row r="5665">
      <c r="B5665" s="8"/>
      <c r="G5665" s="8"/>
      <c r="M5665" s="8"/>
    </row>
    <row r="5666">
      <c r="B5666" s="8"/>
      <c r="G5666" s="8"/>
      <c r="M5666" s="8"/>
    </row>
    <row r="5667">
      <c r="B5667" s="8"/>
      <c r="G5667" s="8"/>
      <c r="M5667" s="8"/>
    </row>
    <row r="5668">
      <c r="B5668" s="8"/>
      <c r="G5668" s="8"/>
      <c r="M5668" s="8"/>
    </row>
    <row r="5669">
      <c r="B5669" s="8"/>
      <c r="G5669" s="8"/>
      <c r="M5669" s="8"/>
    </row>
    <row r="5670">
      <c r="B5670" s="8"/>
      <c r="G5670" s="8"/>
      <c r="M5670" s="8"/>
    </row>
    <row r="5671">
      <c r="B5671" s="8"/>
      <c r="G5671" s="8"/>
      <c r="M5671" s="8"/>
    </row>
    <row r="5672">
      <c r="B5672" s="8"/>
      <c r="G5672" s="8"/>
      <c r="M5672" s="8"/>
    </row>
    <row r="5673">
      <c r="B5673" s="8"/>
      <c r="G5673" s="8"/>
      <c r="M5673" s="8"/>
    </row>
    <row r="5674">
      <c r="B5674" s="8"/>
      <c r="G5674" s="8"/>
      <c r="M5674" s="8"/>
    </row>
    <row r="5675">
      <c r="B5675" s="8"/>
      <c r="G5675" s="8"/>
      <c r="M5675" s="8"/>
    </row>
    <row r="5676">
      <c r="B5676" s="8"/>
      <c r="G5676" s="8"/>
      <c r="M5676" s="8"/>
    </row>
    <row r="5677">
      <c r="B5677" s="8"/>
      <c r="G5677" s="8"/>
      <c r="M5677" s="8"/>
    </row>
    <row r="5678">
      <c r="B5678" s="8"/>
      <c r="G5678" s="8"/>
      <c r="M5678" s="8"/>
    </row>
    <row r="5679">
      <c r="B5679" s="8"/>
      <c r="G5679" s="8"/>
      <c r="M5679" s="8"/>
    </row>
    <row r="5680">
      <c r="B5680" s="8"/>
      <c r="G5680" s="8"/>
      <c r="M5680" s="8"/>
    </row>
    <row r="5681">
      <c r="B5681" s="8"/>
      <c r="G5681" s="8"/>
      <c r="M5681" s="8"/>
    </row>
    <row r="5682">
      <c r="B5682" s="8"/>
      <c r="G5682" s="8"/>
      <c r="M5682" s="8"/>
    </row>
    <row r="5683">
      <c r="B5683" s="8"/>
      <c r="G5683" s="8"/>
      <c r="M5683" s="8"/>
    </row>
    <row r="5684">
      <c r="B5684" s="8"/>
      <c r="G5684" s="8"/>
      <c r="M5684" s="8"/>
    </row>
    <row r="5685">
      <c r="B5685" s="8"/>
      <c r="G5685" s="8"/>
      <c r="M5685" s="8"/>
    </row>
    <row r="5686">
      <c r="B5686" s="8"/>
      <c r="G5686" s="8"/>
      <c r="M5686" s="8"/>
    </row>
    <row r="5687">
      <c r="B5687" s="8"/>
      <c r="G5687" s="8"/>
      <c r="M5687" s="8"/>
    </row>
    <row r="5688">
      <c r="B5688" s="8"/>
      <c r="G5688" s="8"/>
      <c r="M5688" s="8"/>
    </row>
    <row r="5689">
      <c r="B5689" s="8"/>
      <c r="G5689" s="8"/>
      <c r="M5689" s="8"/>
    </row>
    <row r="5690">
      <c r="B5690" s="8"/>
      <c r="G5690" s="8"/>
      <c r="M5690" s="8"/>
    </row>
    <row r="5691">
      <c r="B5691" s="8"/>
      <c r="G5691" s="8"/>
      <c r="M5691" s="8"/>
    </row>
    <row r="5692">
      <c r="B5692" s="8"/>
      <c r="G5692" s="8"/>
      <c r="M5692" s="8"/>
    </row>
    <row r="5693">
      <c r="B5693" s="8"/>
      <c r="G5693" s="8"/>
      <c r="M5693" s="8"/>
    </row>
    <row r="5694">
      <c r="B5694" s="8"/>
      <c r="G5694" s="8"/>
      <c r="M5694" s="8"/>
    </row>
    <row r="5695">
      <c r="B5695" s="8"/>
      <c r="G5695" s="8"/>
      <c r="M5695" s="8"/>
    </row>
    <row r="5696">
      <c r="B5696" s="8"/>
      <c r="G5696" s="8"/>
      <c r="M5696" s="8"/>
    </row>
    <row r="5697">
      <c r="B5697" s="8"/>
      <c r="G5697" s="8"/>
      <c r="M5697" s="8"/>
    </row>
    <row r="5698">
      <c r="B5698" s="8"/>
      <c r="G5698" s="8"/>
      <c r="M5698" s="8"/>
    </row>
    <row r="5699">
      <c r="B5699" s="8"/>
      <c r="G5699" s="8"/>
      <c r="M5699" s="8"/>
    </row>
    <row r="5700">
      <c r="B5700" s="8"/>
      <c r="G5700" s="8"/>
      <c r="M5700" s="8"/>
    </row>
    <row r="5701">
      <c r="B5701" s="8"/>
      <c r="G5701" s="8"/>
      <c r="M5701" s="8"/>
    </row>
    <row r="5702">
      <c r="B5702" s="8"/>
      <c r="G5702" s="8"/>
      <c r="M5702" s="8"/>
    </row>
    <row r="5703">
      <c r="B5703" s="8"/>
      <c r="G5703" s="8"/>
      <c r="M5703" s="8"/>
    </row>
    <row r="5704">
      <c r="B5704" s="8"/>
      <c r="G5704" s="8"/>
      <c r="M5704" s="8"/>
    </row>
    <row r="5705">
      <c r="B5705" s="8"/>
      <c r="G5705" s="8"/>
      <c r="M5705" s="8"/>
    </row>
    <row r="5706">
      <c r="B5706" s="8"/>
      <c r="G5706" s="8"/>
      <c r="M5706" s="8"/>
    </row>
    <row r="5707">
      <c r="B5707" s="8"/>
      <c r="G5707" s="8"/>
      <c r="M5707" s="8"/>
    </row>
    <row r="5708">
      <c r="B5708" s="8"/>
      <c r="G5708" s="8"/>
      <c r="M5708" s="8"/>
    </row>
    <row r="5709">
      <c r="B5709" s="8"/>
      <c r="G5709" s="8"/>
      <c r="M5709" s="8"/>
    </row>
    <row r="5710">
      <c r="B5710" s="8"/>
      <c r="G5710" s="8"/>
      <c r="M5710" s="8"/>
    </row>
    <row r="5711">
      <c r="B5711" s="8"/>
      <c r="G5711" s="8"/>
      <c r="M5711" s="8"/>
    </row>
    <row r="5712">
      <c r="B5712" s="8"/>
      <c r="G5712" s="8"/>
      <c r="M5712" s="8"/>
    </row>
    <row r="5713">
      <c r="B5713" s="8"/>
      <c r="G5713" s="8"/>
      <c r="M5713" s="8"/>
    </row>
    <row r="5714">
      <c r="B5714" s="8"/>
      <c r="G5714" s="8"/>
      <c r="M5714" s="8"/>
    </row>
    <row r="5715">
      <c r="B5715" s="8"/>
      <c r="G5715" s="8"/>
      <c r="M5715" s="8"/>
    </row>
    <row r="5716">
      <c r="B5716" s="8"/>
      <c r="G5716" s="8"/>
      <c r="M5716" s="8"/>
    </row>
    <row r="5717">
      <c r="B5717" s="8"/>
      <c r="G5717" s="8"/>
      <c r="M5717" s="8"/>
    </row>
    <row r="5718">
      <c r="B5718" s="8"/>
      <c r="G5718" s="8"/>
      <c r="M5718" s="8"/>
    </row>
    <row r="5719">
      <c r="B5719" s="8"/>
      <c r="G5719" s="8"/>
      <c r="M5719" s="8"/>
    </row>
    <row r="5720">
      <c r="B5720" s="8"/>
      <c r="G5720" s="8"/>
      <c r="M5720" s="8"/>
    </row>
    <row r="5721">
      <c r="B5721" s="8"/>
      <c r="G5721" s="8"/>
      <c r="M5721" s="8"/>
    </row>
    <row r="5722">
      <c r="B5722" s="8"/>
      <c r="G5722" s="8"/>
      <c r="M5722" s="8"/>
    </row>
    <row r="5723">
      <c r="B5723" s="8"/>
      <c r="G5723" s="8"/>
      <c r="M5723" s="8"/>
    </row>
    <row r="5724">
      <c r="B5724" s="8"/>
      <c r="G5724" s="8"/>
      <c r="M5724" s="8"/>
    </row>
    <row r="5725">
      <c r="B5725" s="8"/>
      <c r="G5725" s="8"/>
      <c r="M5725" s="8"/>
    </row>
    <row r="5726">
      <c r="B5726" s="8"/>
      <c r="G5726" s="8"/>
      <c r="M5726" s="8"/>
    </row>
    <row r="5727">
      <c r="B5727" s="8"/>
      <c r="G5727" s="8"/>
      <c r="M5727" s="8"/>
    </row>
    <row r="5728">
      <c r="B5728" s="8"/>
      <c r="G5728" s="8"/>
      <c r="M5728" s="8"/>
    </row>
    <row r="5729">
      <c r="B5729" s="8"/>
      <c r="G5729" s="8"/>
      <c r="M5729" s="8"/>
    </row>
    <row r="5730">
      <c r="B5730" s="8"/>
      <c r="G5730" s="8"/>
      <c r="M5730" s="8"/>
    </row>
    <row r="5731">
      <c r="B5731" s="8"/>
      <c r="G5731" s="8"/>
      <c r="M5731" s="8"/>
    </row>
    <row r="5732">
      <c r="B5732" s="8"/>
      <c r="G5732" s="8"/>
      <c r="M5732" s="8"/>
    </row>
    <row r="5733">
      <c r="B5733" s="8"/>
      <c r="G5733" s="8"/>
      <c r="M5733" s="8"/>
    </row>
    <row r="5734">
      <c r="B5734" s="8"/>
      <c r="G5734" s="8"/>
      <c r="M5734" s="8"/>
    </row>
    <row r="5735">
      <c r="B5735" s="8"/>
      <c r="G5735" s="8"/>
      <c r="M5735" s="8"/>
    </row>
    <row r="5736">
      <c r="B5736" s="8"/>
      <c r="G5736" s="8"/>
      <c r="M5736" s="8"/>
    </row>
    <row r="5737">
      <c r="B5737" s="8"/>
      <c r="G5737" s="8"/>
      <c r="M5737" s="8"/>
    </row>
    <row r="5738">
      <c r="B5738" s="8"/>
      <c r="G5738" s="8"/>
      <c r="M5738" s="8"/>
    </row>
    <row r="5739">
      <c r="B5739" s="8"/>
      <c r="G5739" s="8"/>
      <c r="M5739" s="8"/>
    </row>
    <row r="5740">
      <c r="B5740" s="8"/>
      <c r="G5740" s="8"/>
      <c r="M5740" s="8"/>
    </row>
    <row r="5741">
      <c r="B5741" s="8"/>
      <c r="G5741" s="8"/>
      <c r="M5741" s="8"/>
    </row>
    <row r="5742">
      <c r="B5742" s="8"/>
      <c r="G5742" s="8"/>
      <c r="M5742" s="8"/>
    </row>
    <row r="5743">
      <c r="B5743" s="8"/>
      <c r="G5743" s="8"/>
      <c r="M5743" s="8"/>
    </row>
    <row r="5744">
      <c r="B5744" s="8"/>
      <c r="G5744" s="8"/>
      <c r="M5744" s="8"/>
    </row>
    <row r="5745">
      <c r="B5745" s="8"/>
      <c r="G5745" s="8"/>
      <c r="M5745" s="8"/>
    </row>
    <row r="5746">
      <c r="B5746" s="8"/>
      <c r="G5746" s="8"/>
      <c r="M5746" s="8"/>
    </row>
    <row r="5747">
      <c r="B5747" s="8"/>
      <c r="G5747" s="8"/>
      <c r="M5747" s="8"/>
    </row>
    <row r="5748">
      <c r="B5748" s="8"/>
      <c r="G5748" s="8"/>
      <c r="M5748" s="8"/>
    </row>
    <row r="5749">
      <c r="B5749" s="8"/>
      <c r="G5749" s="8"/>
      <c r="M5749" s="8"/>
    </row>
    <row r="5750">
      <c r="B5750" s="8"/>
      <c r="G5750" s="8"/>
      <c r="M5750" s="8"/>
    </row>
    <row r="5751">
      <c r="B5751" s="8"/>
      <c r="G5751" s="8"/>
      <c r="M5751" s="8"/>
    </row>
    <row r="5752">
      <c r="B5752" s="8"/>
      <c r="G5752" s="8"/>
      <c r="M5752" s="8"/>
    </row>
    <row r="5753">
      <c r="B5753" s="8"/>
      <c r="G5753" s="8"/>
      <c r="M5753" s="8"/>
    </row>
    <row r="5754">
      <c r="B5754" s="8"/>
      <c r="G5754" s="8"/>
      <c r="M5754" s="8"/>
    </row>
    <row r="5755">
      <c r="B5755" s="8"/>
      <c r="G5755" s="8"/>
      <c r="M5755" s="8"/>
    </row>
    <row r="5756">
      <c r="B5756" s="8"/>
      <c r="G5756" s="8"/>
      <c r="M5756" s="8"/>
    </row>
    <row r="5757">
      <c r="B5757" s="8"/>
      <c r="G5757" s="8"/>
      <c r="M5757" s="8"/>
    </row>
    <row r="5758">
      <c r="B5758" s="8"/>
      <c r="G5758" s="8"/>
      <c r="M5758" s="8"/>
    </row>
    <row r="5759">
      <c r="B5759" s="8"/>
      <c r="G5759" s="8"/>
      <c r="M5759" s="8"/>
    </row>
    <row r="5760">
      <c r="B5760" s="8"/>
      <c r="G5760" s="8"/>
      <c r="M5760" s="8"/>
    </row>
    <row r="5761">
      <c r="B5761" s="8"/>
      <c r="G5761" s="8"/>
      <c r="M5761" s="8"/>
    </row>
    <row r="5762">
      <c r="B5762" s="8"/>
      <c r="G5762" s="8"/>
      <c r="M5762" s="8"/>
    </row>
    <row r="5763">
      <c r="B5763" s="8"/>
      <c r="G5763" s="8"/>
      <c r="M5763" s="8"/>
    </row>
    <row r="5764">
      <c r="B5764" s="8"/>
      <c r="G5764" s="8"/>
      <c r="M5764" s="8"/>
    </row>
    <row r="5765">
      <c r="B5765" s="8"/>
      <c r="G5765" s="8"/>
      <c r="M5765" s="8"/>
    </row>
    <row r="5766">
      <c r="B5766" s="8"/>
      <c r="G5766" s="8"/>
      <c r="M5766" s="8"/>
    </row>
    <row r="5767">
      <c r="B5767" s="8"/>
      <c r="G5767" s="8"/>
      <c r="M5767" s="8"/>
    </row>
    <row r="5768">
      <c r="B5768" s="8"/>
      <c r="G5768" s="8"/>
      <c r="M5768" s="8"/>
    </row>
    <row r="5769">
      <c r="B5769" s="8"/>
      <c r="G5769" s="8"/>
      <c r="M5769" s="8"/>
    </row>
    <row r="5770">
      <c r="B5770" s="8"/>
      <c r="G5770" s="8"/>
      <c r="M5770" s="8"/>
    </row>
    <row r="5771">
      <c r="B5771" s="8"/>
      <c r="G5771" s="8"/>
      <c r="M5771" s="8"/>
    </row>
    <row r="5772">
      <c r="B5772" s="8"/>
      <c r="G5772" s="8"/>
      <c r="M5772" s="8"/>
    </row>
    <row r="5773">
      <c r="B5773" s="8"/>
      <c r="G5773" s="8"/>
      <c r="M5773" s="8"/>
    </row>
    <row r="5774">
      <c r="B5774" s="8"/>
      <c r="G5774" s="8"/>
      <c r="M5774" s="8"/>
    </row>
    <row r="5775">
      <c r="B5775" s="8"/>
      <c r="G5775" s="8"/>
      <c r="M5775" s="8"/>
    </row>
    <row r="5776">
      <c r="B5776" s="8"/>
      <c r="G5776" s="8"/>
      <c r="M5776" s="8"/>
    </row>
    <row r="5777">
      <c r="B5777" s="8"/>
      <c r="G5777" s="8"/>
      <c r="M5777" s="8"/>
    </row>
    <row r="5778">
      <c r="B5778" s="8"/>
      <c r="G5778" s="8"/>
      <c r="M5778" s="8"/>
    </row>
    <row r="5779">
      <c r="B5779" s="8"/>
      <c r="G5779" s="8"/>
      <c r="M5779" s="8"/>
    </row>
    <row r="5780">
      <c r="B5780" s="8"/>
      <c r="G5780" s="8"/>
      <c r="M5780" s="8"/>
    </row>
    <row r="5781">
      <c r="B5781" s="8"/>
      <c r="G5781" s="8"/>
      <c r="M5781" s="8"/>
    </row>
    <row r="5782">
      <c r="B5782" s="8"/>
      <c r="G5782" s="8"/>
      <c r="M5782" s="8"/>
    </row>
    <row r="5783">
      <c r="B5783" s="8"/>
      <c r="G5783" s="8"/>
      <c r="M5783" s="8"/>
    </row>
    <row r="5784">
      <c r="B5784" s="8"/>
      <c r="G5784" s="8"/>
      <c r="M5784" s="8"/>
    </row>
    <row r="5785">
      <c r="B5785" s="8"/>
      <c r="G5785" s="8"/>
      <c r="M5785" s="8"/>
    </row>
    <row r="5786">
      <c r="B5786" s="8"/>
      <c r="G5786" s="8"/>
      <c r="M5786" s="8"/>
    </row>
    <row r="5787">
      <c r="B5787" s="8"/>
      <c r="G5787" s="8"/>
      <c r="M5787" s="8"/>
    </row>
    <row r="5788">
      <c r="B5788" s="8"/>
      <c r="G5788" s="8"/>
      <c r="M5788" s="8"/>
    </row>
    <row r="5789">
      <c r="B5789" s="8"/>
      <c r="G5789" s="8"/>
      <c r="M5789" s="8"/>
    </row>
    <row r="5790">
      <c r="B5790" s="8"/>
      <c r="G5790" s="8"/>
      <c r="M5790" s="8"/>
    </row>
    <row r="5791">
      <c r="B5791" s="8"/>
      <c r="G5791" s="8"/>
      <c r="M5791" s="8"/>
    </row>
    <row r="5792">
      <c r="B5792" s="8"/>
      <c r="G5792" s="8"/>
      <c r="M5792" s="8"/>
    </row>
    <row r="5793">
      <c r="B5793" s="8"/>
      <c r="G5793" s="8"/>
      <c r="M5793" s="8"/>
    </row>
    <row r="5794">
      <c r="B5794" s="8"/>
      <c r="G5794" s="8"/>
      <c r="M5794" s="8"/>
    </row>
    <row r="5795">
      <c r="B5795" s="8"/>
      <c r="G5795" s="8"/>
      <c r="M5795" s="8"/>
    </row>
    <row r="5796">
      <c r="B5796" s="8"/>
      <c r="G5796" s="8"/>
      <c r="M5796" s="8"/>
    </row>
    <row r="5797">
      <c r="B5797" s="8"/>
      <c r="G5797" s="8"/>
      <c r="M5797" s="8"/>
    </row>
    <row r="5798">
      <c r="B5798" s="8"/>
      <c r="G5798" s="8"/>
      <c r="M5798" s="8"/>
    </row>
    <row r="5799">
      <c r="B5799" s="8"/>
      <c r="G5799" s="8"/>
      <c r="M5799" s="8"/>
    </row>
    <row r="5800">
      <c r="B5800" s="8"/>
      <c r="G5800" s="8"/>
      <c r="M5800" s="8"/>
    </row>
    <row r="5801">
      <c r="B5801" s="8"/>
      <c r="G5801" s="8"/>
      <c r="M5801" s="8"/>
    </row>
    <row r="5802">
      <c r="B5802" s="8"/>
      <c r="G5802" s="8"/>
      <c r="M5802" s="8"/>
    </row>
    <row r="5803">
      <c r="B5803" s="8"/>
      <c r="G5803" s="8"/>
      <c r="M5803" s="8"/>
    </row>
    <row r="5804">
      <c r="B5804" s="8"/>
      <c r="G5804" s="8"/>
      <c r="M5804" s="8"/>
    </row>
    <row r="5805">
      <c r="B5805" s="8"/>
      <c r="G5805" s="8"/>
      <c r="M5805" s="8"/>
    </row>
    <row r="5806">
      <c r="B5806" s="8"/>
      <c r="G5806" s="8"/>
      <c r="M5806" s="8"/>
    </row>
    <row r="5807">
      <c r="B5807" s="8"/>
      <c r="G5807" s="8"/>
      <c r="M5807" s="8"/>
    </row>
    <row r="5808">
      <c r="B5808" s="8"/>
      <c r="G5808" s="8"/>
      <c r="M5808" s="8"/>
    </row>
    <row r="5809">
      <c r="B5809" s="8"/>
      <c r="G5809" s="8"/>
      <c r="M5809" s="8"/>
    </row>
    <row r="5810">
      <c r="B5810" s="8"/>
      <c r="G5810" s="8"/>
      <c r="M5810" s="8"/>
    </row>
    <row r="5811">
      <c r="B5811" s="8"/>
      <c r="G5811" s="8"/>
      <c r="M5811" s="8"/>
    </row>
    <row r="5812">
      <c r="B5812" s="8"/>
      <c r="G5812" s="8"/>
      <c r="M5812" s="8"/>
    </row>
    <row r="5813">
      <c r="B5813" s="8"/>
      <c r="G5813" s="8"/>
      <c r="M5813" s="8"/>
    </row>
    <row r="5814">
      <c r="B5814" s="8"/>
      <c r="G5814" s="8"/>
      <c r="M5814" s="8"/>
    </row>
    <row r="5815">
      <c r="B5815" s="8"/>
      <c r="G5815" s="8"/>
      <c r="M5815" s="8"/>
    </row>
    <row r="5816">
      <c r="B5816" s="8"/>
      <c r="G5816" s="8"/>
      <c r="M5816" s="8"/>
    </row>
    <row r="5817">
      <c r="B5817" s="8"/>
      <c r="G5817" s="8"/>
      <c r="M5817" s="8"/>
    </row>
    <row r="5818">
      <c r="B5818" s="8"/>
      <c r="G5818" s="8"/>
      <c r="M5818" s="8"/>
    </row>
    <row r="5819">
      <c r="B5819" s="8"/>
      <c r="G5819" s="8"/>
      <c r="M5819" s="8"/>
    </row>
    <row r="5820">
      <c r="B5820" s="8"/>
      <c r="G5820" s="8"/>
      <c r="M5820" s="8"/>
    </row>
    <row r="5821">
      <c r="B5821" s="8"/>
      <c r="G5821" s="8"/>
      <c r="M5821" s="8"/>
    </row>
    <row r="5822">
      <c r="B5822" s="8"/>
      <c r="G5822" s="8"/>
      <c r="M5822" s="8"/>
    </row>
    <row r="5823">
      <c r="B5823" s="8"/>
      <c r="G5823" s="8"/>
      <c r="M5823" s="8"/>
    </row>
    <row r="5824">
      <c r="B5824" s="8"/>
      <c r="G5824" s="8"/>
      <c r="M5824" s="8"/>
    </row>
    <row r="5825">
      <c r="B5825" s="8"/>
      <c r="G5825" s="8"/>
      <c r="M5825" s="8"/>
    </row>
    <row r="5826">
      <c r="B5826" s="8"/>
      <c r="G5826" s="8"/>
      <c r="M5826" s="8"/>
    </row>
    <row r="5827">
      <c r="B5827" s="8"/>
      <c r="G5827" s="8"/>
      <c r="M5827" s="8"/>
    </row>
    <row r="5828">
      <c r="B5828" s="8"/>
      <c r="G5828" s="8"/>
      <c r="M5828" s="8"/>
    </row>
    <row r="5829">
      <c r="B5829" s="8"/>
      <c r="G5829" s="8"/>
      <c r="M5829" s="8"/>
    </row>
    <row r="5830">
      <c r="B5830" s="8"/>
      <c r="G5830" s="8"/>
      <c r="M5830" s="8"/>
    </row>
    <row r="5831">
      <c r="B5831" s="8"/>
      <c r="G5831" s="8"/>
      <c r="M5831" s="8"/>
    </row>
    <row r="5832">
      <c r="B5832" s="8"/>
      <c r="G5832" s="8"/>
      <c r="M5832" s="8"/>
    </row>
    <row r="5833">
      <c r="B5833" s="8"/>
      <c r="G5833" s="8"/>
      <c r="M5833" s="8"/>
    </row>
    <row r="5834">
      <c r="B5834" s="8"/>
      <c r="G5834" s="8"/>
      <c r="M5834" s="8"/>
    </row>
    <row r="5835">
      <c r="B5835" s="8"/>
      <c r="G5835" s="8"/>
      <c r="M5835" s="8"/>
    </row>
    <row r="5836">
      <c r="B5836" s="8"/>
      <c r="G5836" s="8"/>
      <c r="M5836" s="8"/>
    </row>
    <row r="5837">
      <c r="B5837" s="8"/>
      <c r="G5837" s="8"/>
      <c r="M5837" s="8"/>
    </row>
    <row r="5838">
      <c r="B5838" s="8"/>
      <c r="G5838" s="8"/>
      <c r="M5838" s="8"/>
    </row>
    <row r="5839">
      <c r="B5839" s="8"/>
      <c r="G5839" s="8"/>
      <c r="M5839" s="8"/>
    </row>
    <row r="5840">
      <c r="B5840" s="8"/>
      <c r="G5840" s="8"/>
      <c r="M5840" s="8"/>
    </row>
    <row r="5841">
      <c r="B5841" s="8"/>
      <c r="G5841" s="8"/>
      <c r="M5841" s="8"/>
    </row>
    <row r="5842">
      <c r="B5842" s="8"/>
      <c r="G5842" s="8"/>
      <c r="M5842" s="8"/>
    </row>
    <row r="5843">
      <c r="B5843" s="8"/>
      <c r="G5843" s="8"/>
      <c r="M5843" s="8"/>
    </row>
    <row r="5844">
      <c r="B5844" s="8"/>
      <c r="G5844" s="8"/>
      <c r="M5844" s="8"/>
    </row>
    <row r="5845">
      <c r="B5845" s="8"/>
      <c r="G5845" s="8"/>
      <c r="M5845" s="8"/>
    </row>
    <row r="5846">
      <c r="B5846" s="8"/>
      <c r="G5846" s="8"/>
      <c r="M5846" s="8"/>
    </row>
    <row r="5847">
      <c r="B5847" s="8"/>
      <c r="G5847" s="8"/>
      <c r="M5847" s="8"/>
    </row>
    <row r="5848">
      <c r="B5848" s="8"/>
      <c r="G5848" s="8"/>
      <c r="M5848" s="8"/>
    </row>
    <row r="5849">
      <c r="B5849" s="8"/>
      <c r="G5849" s="8"/>
      <c r="M5849" s="8"/>
    </row>
    <row r="5850">
      <c r="B5850" s="8"/>
      <c r="G5850" s="8"/>
      <c r="M5850" s="8"/>
    </row>
    <row r="5851">
      <c r="B5851" s="8"/>
      <c r="G5851" s="8"/>
      <c r="M5851" s="8"/>
    </row>
    <row r="5852">
      <c r="B5852" s="8"/>
      <c r="G5852" s="8"/>
      <c r="M5852" s="8"/>
    </row>
    <row r="5853">
      <c r="B5853" s="8"/>
      <c r="G5853" s="8"/>
      <c r="M5853" s="8"/>
    </row>
    <row r="5854">
      <c r="B5854" s="8"/>
      <c r="G5854" s="8"/>
      <c r="M5854" s="8"/>
    </row>
    <row r="5855">
      <c r="B5855" s="8"/>
      <c r="G5855" s="8"/>
      <c r="M5855" s="8"/>
    </row>
    <row r="5856">
      <c r="B5856" s="8"/>
      <c r="G5856" s="8"/>
      <c r="M5856" s="8"/>
    </row>
    <row r="5857">
      <c r="B5857" s="8"/>
      <c r="G5857" s="8"/>
      <c r="M5857" s="8"/>
    </row>
    <row r="5858">
      <c r="B5858" s="8"/>
      <c r="G5858" s="8"/>
      <c r="M5858" s="8"/>
    </row>
    <row r="5859">
      <c r="B5859" s="8"/>
      <c r="G5859" s="8"/>
      <c r="M5859" s="8"/>
    </row>
    <row r="5860">
      <c r="B5860" s="8"/>
      <c r="G5860" s="8"/>
      <c r="M5860" s="8"/>
    </row>
    <row r="5861">
      <c r="B5861" s="8"/>
      <c r="G5861" s="8"/>
      <c r="M5861" s="8"/>
    </row>
    <row r="5862">
      <c r="B5862" s="8"/>
      <c r="G5862" s="8"/>
      <c r="M5862" s="8"/>
    </row>
    <row r="5863">
      <c r="B5863" s="8"/>
      <c r="G5863" s="8"/>
      <c r="M5863" s="8"/>
    </row>
    <row r="5864">
      <c r="B5864" s="8"/>
      <c r="G5864" s="8"/>
      <c r="M5864" s="8"/>
    </row>
    <row r="5865">
      <c r="B5865" s="8"/>
      <c r="G5865" s="8"/>
      <c r="M5865" s="8"/>
    </row>
    <row r="5866">
      <c r="B5866" s="8"/>
      <c r="G5866" s="8"/>
      <c r="M5866" s="8"/>
    </row>
    <row r="5867">
      <c r="B5867" s="8"/>
      <c r="G5867" s="8"/>
      <c r="M5867" s="8"/>
    </row>
    <row r="5868">
      <c r="B5868" s="8"/>
      <c r="G5868" s="8"/>
      <c r="M5868" s="8"/>
    </row>
    <row r="5869">
      <c r="B5869" s="8"/>
      <c r="G5869" s="8"/>
      <c r="M5869" s="8"/>
    </row>
    <row r="5870">
      <c r="B5870" s="8"/>
      <c r="G5870" s="8"/>
      <c r="M5870" s="8"/>
    </row>
    <row r="5871">
      <c r="B5871" s="8"/>
      <c r="G5871" s="8"/>
      <c r="M5871" s="8"/>
    </row>
    <row r="5872">
      <c r="B5872" s="8"/>
      <c r="G5872" s="8"/>
      <c r="M5872" s="8"/>
    </row>
    <row r="5873">
      <c r="B5873" s="8"/>
      <c r="G5873" s="8"/>
      <c r="M5873" s="8"/>
    </row>
    <row r="5874">
      <c r="B5874" s="8"/>
      <c r="G5874" s="8"/>
      <c r="M5874" s="8"/>
    </row>
    <row r="5875">
      <c r="B5875" s="8"/>
      <c r="G5875" s="8"/>
      <c r="M5875" s="8"/>
    </row>
    <row r="5876">
      <c r="B5876" s="8"/>
      <c r="G5876" s="8"/>
      <c r="M5876" s="8"/>
    </row>
    <row r="5877">
      <c r="B5877" s="8"/>
      <c r="G5877" s="8"/>
      <c r="M5877" s="8"/>
    </row>
    <row r="5878">
      <c r="B5878" s="8"/>
      <c r="G5878" s="8"/>
      <c r="M5878" s="8"/>
    </row>
    <row r="5879">
      <c r="B5879" s="8"/>
      <c r="G5879" s="8"/>
      <c r="M5879" s="8"/>
    </row>
    <row r="5880">
      <c r="B5880" s="8"/>
      <c r="G5880" s="8"/>
      <c r="M5880" s="8"/>
    </row>
    <row r="5881">
      <c r="B5881" s="8"/>
      <c r="G5881" s="8"/>
      <c r="M5881" s="8"/>
    </row>
    <row r="5882">
      <c r="B5882" s="8"/>
      <c r="G5882" s="8"/>
      <c r="M5882" s="8"/>
    </row>
    <row r="5883">
      <c r="B5883" s="8"/>
      <c r="G5883" s="8"/>
      <c r="M5883" s="8"/>
    </row>
    <row r="5884">
      <c r="B5884" s="8"/>
      <c r="G5884" s="8"/>
      <c r="M5884" s="8"/>
    </row>
    <row r="5885">
      <c r="B5885" s="8"/>
      <c r="G5885" s="8"/>
      <c r="M5885" s="8"/>
    </row>
    <row r="5886">
      <c r="B5886" s="8"/>
      <c r="G5886" s="8"/>
      <c r="M5886" s="8"/>
    </row>
    <row r="5887">
      <c r="B5887" s="8"/>
      <c r="G5887" s="8"/>
      <c r="M5887" s="8"/>
    </row>
    <row r="5888">
      <c r="B5888" s="8"/>
      <c r="G5888" s="8"/>
      <c r="M5888" s="8"/>
    </row>
    <row r="5889">
      <c r="B5889" s="8"/>
      <c r="G5889" s="8"/>
      <c r="M5889" s="8"/>
    </row>
    <row r="5890">
      <c r="B5890" s="8"/>
      <c r="G5890" s="8"/>
      <c r="M5890" s="8"/>
    </row>
    <row r="5891">
      <c r="B5891" s="8"/>
      <c r="G5891" s="8"/>
      <c r="M5891" s="8"/>
    </row>
    <row r="5892">
      <c r="B5892" s="8"/>
      <c r="G5892" s="8"/>
      <c r="M5892" s="8"/>
    </row>
    <row r="5893">
      <c r="B5893" s="8"/>
      <c r="G5893" s="8"/>
      <c r="M5893" s="8"/>
    </row>
    <row r="5894">
      <c r="B5894" s="8"/>
      <c r="G5894" s="8"/>
      <c r="M5894" s="8"/>
    </row>
    <row r="5895">
      <c r="B5895" s="8"/>
      <c r="G5895" s="8"/>
      <c r="M5895" s="8"/>
    </row>
    <row r="5896">
      <c r="B5896" s="8"/>
      <c r="G5896" s="8"/>
      <c r="M5896" s="8"/>
    </row>
    <row r="5897">
      <c r="B5897" s="8"/>
      <c r="G5897" s="8"/>
      <c r="M5897" s="8"/>
    </row>
    <row r="5898">
      <c r="B5898" s="8"/>
      <c r="G5898" s="8"/>
      <c r="M5898" s="8"/>
    </row>
    <row r="5899">
      <c r="B5899" s="8"/>
      <c r="G5899" s="8"/>
      <c r="M5899" s="8"/>
    </row>
    <row r="5900">
      <c r="B5900" s="8"/>
      <c r="G5900" s="8"/>
      <c r="M5900" s="8"/>
    </row>
    <row r="5901">
      <c r="B5901" s="8"/>
      <c r="G5901" s="8"/>
      <c r="M5901" s="8"/>
    </row>
    <row r="5902">
      <c r="B5902" s="8"/>
      <c r="G5902" s="8"/>
      <c r="M5902" s="8"/>
    </row>
    <row r="5903">
      <c r="B5903" s="8"/>
      <c r="G5903" s="8"/>
      <c r="M5903" s="8"/>
    </row>
    <row r="5904">
      <c r="B5904" s="8"/>
      <c r="G5904" s="8"/>
      <c r="M5904" s="8"/>
    </row>
    <row r="5905">
      <c r="B5905" s="8"/>
      <c r="G5905" s="8"/>
      <c r="M5905" s="8"/>
    </row>
    <row r="5906">
      <c r="B5906" s="8"/>
      <c r="G5906" s="8"/>
      <c r="M5906" s="8"/>
    </row>
    <row r="5907">
      <c r="B5907" s="8"/>
      <c r="G5907" s="8"/>
      <c r="M5907" s="8"/>
    </row>
    <row r="5908">
      <c r="B5908" s="8"/>
      <c r="G5908" s="8"/>
      <c r="M5908" s="8"/>
    </row>
    <row r="5909">
      <c r="B5909" s="8"/>
      <c r="G5909" s="8"/>
      <c r="M5909" s="8"/>
    </row>
    <row r="5910">
      <c r="B5910" s="8"/>
      <c r="G5910" s="8"/>
      <c r="M5910" s="8"/>
    </row>
    <row r="5911">
      <c r="B5911" s="8"/>
      <c r="G5911" s="8"/>
      <c r="M5911" s="8"/>
    </row>
    <row r="5912">
      <c r="B5912" s="8"/>
      <c r="G5912" s="8"/>
      <c r="M5912" s="8"/>
    </row>
    <row r="5913">
      <c r="B5913" s="8"/>
      <c r="G5913" s="8"/>
      <c r="M5913" s="8"/>
    </row>
    <row r="5914">
      <c r="B5914" s="8"/>
      <c r="G5914" s="8"/>
      <c r="M5914" s="8"/>
    </row>
    <row r="5915">
      <c r="B5915" s="8"/>
      <c r="G5915" s="8"/>
      <c r="M5915" s="8"/>
    </row>
    <row r="5916">
      <c r="B5916" s="8"/>
      <c r="G5916" s="8"/>
      <c r="M5916" s="8"/>
    </row>
    <row r="5917">
      <c r="B5917" s="8"/>
      <c r="G5917" s="8"/>
      <c r="M5917" s="8"/>
    </row>
    <row r="5918">
      <c r="B5918" s="8"/>
      <c r="G5918" s="8"/>
      <c r="M5918" s="8"/>
    </row>
    <row r="5919">
      <c r="B5919" s="8"/>
      <c r="G5919" s="8"/>
      <c r="M5919" s="8"/>
    </row>
    <row r="5920">
      <c r="B5920" s="8"/>
      <c r="G5920" s="8"/>
      <c r="M5920" s="8"/>
    </row>
    <row r="5921">
      <c r="B5921" s="8"/>
      <c r="G5921" s="8"/>
      <c r="M5921" s="8"/>
    </row>
    <row r="5922">
      <c r="B5922" s="8"/>
      <c r="G5922" s="8"/>
      <c r="M5922" s="8"/>
    </row>
    <row r="5923">
      <c r="B5923" s="8"/>
      <c r="G5923" s="8"/>
      <c r="M5923" s="8"/>
    </row>
    <row r="5924">
      <c r="B5924" s="8"/>
      <c r="G5924" s="8"/>
      <c r="M5924" s="8"/>
    </row>
    <row r="5925">
      <c r="B5925" s="8"/>
      <c r="G5925" s="8"/>
      <c r="M5925" s="8"/>
    </row>
    <row r="5926">
      <c r="B5926" s="8"/>
      <c r="G5926" s="8"/>
      <c r="M5926" s="8"/>
    </row>
    <row r="5927">
      <c r="B5927" s="8"/>
      <c r="G5927" s="8"/>
      <c r="M5927" s="8"/>
    </row>
    <row r="5928">
      <c r="B5928" s="8"/>
      <c r="G5928" s="8"/>
      <c r="M5928" s="8"/>
    </row>
    <row r="5929">
      <c r="B5929" s="8"/>
      <c r="G5929" s="8"/>
      <c r="M5929" s="8"/>
    </row>
    <row r="5930">
      <c r="B5930" s="8"/>
      <c r="G5930" s="8"/>
      <c r="M5930" s="8"/>
    </row>
    <row r="5931">
      <c r="B5931" s="8"/>
      <c r="G5931" s="8"/>
      <c r="M5931" s="8"/>
    </row>
    <row r="5932">
      <c r="B5932" s="8"/>
      <c r="G5932" s="8"/>
      <c r="M5932" s="8"/>
    </row>
    <row r="5933">
      <c r="B5933" s="8"/>
      <c r="G5933" s="8"/>
      <c r="M5933" s="8"/>
    </row>
    <row r="5934">
      <c r="B5934" s="8"/>
      <c r="G5934" s="8"/>
      <c r="M5934" s="8"/>
    </row>
    <row r="5935">
      <c r="B5935" s="8"/>
      <c r="G5935" s="8"/>
      <c r="M5935" s="8"/>
    </row>
    <row r="5936">
      <c r="B5936" s="8"/>
      <c r="G5936" s="8"/>
      <c r="M5936" s="8"/>
    </row>
    <row r="5937">
      <c r="B5937" s="8"/>
      <c r="G5937" s="8"/>
      <c r="M5937" s="8"/>
    </row>
    <row r="5938">
      <c r="B5938" s="8"/>
      <c r="G5938" s="8"/>
      <c r="M5938" s="8"/>
    </row>
    <row r="5939">
      <c r="B5939" s="8"/>
      <c r="G5939" s="8"/>
      <c r="M5939" s="8"/>
    </row>
    <row r="5940">
      <c r="B5940" s="8"/>
      <c r="G5940" s="8"/>
      <c r="M5940" s="8"/>
    </row>
    <row r="5941">
      <c r="B5941" s="8"/>
      <c r="G5941" s="8"/>
      <c r="M5941" s="8"/>
    </row>
    <row r="5942">
      <c r="B5942" s="8"/>
      <c r="G5942" s="8"/>
      <c r="M5942" s="8"/>
    </row>
    <row r="5943">
      <c r="B5943" s="8"/>
      <c r="G5943" s="8"/>
      <c r="M5943" s="8"/>
    </row>
    <row r="5944">
      <c r="B5944" s="8"/>
      <c r="G5944" s="8"/>
      <c r="M5944" s="8"/>
    </row>
    <row r="5945">
      <c r="B5945" s="8"/>
      <c r="G5945" s="8"/>
      <c r="M5945" s="8"/>
    </row>
    <row r="5946">
      <c r="B5946" s="8"/>
      <c r="G5946" s="8"/>
      <c r="M5946" s="8"/>
    </row>
    <row r="5947">
      <c r="B5947" s="8"/>
      <c r="G5947" s="8"/>
      <c r="M5947" s="8"/>
    </row>
    <row r="5948">
      <c r="B5948" s="8"/>
      <c r="G5948" s="8"/>
      <c r="M5948" s="8"/>
    </row>
    <row r="5949">
      <c r="B5949" s="8"/>
      <c r="G5949" s="8"/>
      <c r="M5949" s="8"/>
    </row>
    <row r="5950">
      <c r="B5950" s="8"/>
      <c r="G5950" s="8"/>
      <c r="M5950" s="8"/>
    </row>
    <row r="5951">
      <c r="B5951" s="8"/>
      <c r="G5951" s="8"/>
      <c r="M5951" s="8"/>
    </row>
    <row r="5952">
      <c r="B5952" s="8"/>
      <c r="G5952" s="8"/>
      <c r="M5952" s="8"/>
    </row>
    <row r="5953">
      <c r="B5953" s="8"/>
      <c r="G5953" s="8"/>
      <c r="M5953" s="8"/>
    </row>
    <row r="5954">
      <c r="B5954" s="8"/>
      <c r="G5954" s="8"/>
      <c r="M5954" s="8"/>
    </row>
    <row r="5955">
      <c r="B5955" s="8"/>
      <c r="G5955" s="8"/>
      <c r="M5955" s="8"/>
    </row>
    <row r="5956">
      <c r="B5956" s="8"/>
      <c r="G5956" s="8"/>
      <c r="M5956" s="8"/>
    </row>
    <row r="5957">
      <c r="B5957" s="8"/>
      <c r="G5957" s="8"/>
      <c r="M5957" s="8"/>
    </row>
    <row r="5958">
      <c r="B5958" s="8"/>
      <c r="G5958" s="8"/>
      <c r="M5958" s="8"/>
    </row>
    <row r="5959">
      <c r="B5959" s="8"/>
      <c r="G5959" s="8"/>
      <c r="M5959" s="8"/>
    </row>
    <row r="5960">
      <c r="B5960" s="8"/>
      <c r="G5960" s="8"/>
      <c r="M5960" s="8"/>
    </row>
    <row r="5961">
      <c r="B5961" s="8"/>
      <c r="G5961" s="8"/>
      <c r="M5961" s="8"/>
    </row>
    <row r="5962">
      <c r="B5962" s="8"/>
      <c r="G5962" s="8"/>
      <c r="M5962" s="8"/>
    </row>
    <row r="5963">
      <c r="B5963" s="8"/>
      <c r="G5963" s="8"/>
      <c r="M5963" s="8"/>
    </row>
    <row r="5964">
      <c r="B5964" s="8"/>
      <c r="G5964" s="8"/>
      <c r="M5964" s="8"/>
    </row>
    <row r="5965">
      <c r="B5965" s="8"/>
      <c r="G5965" s="8"/>
      <c r="M5965" s="8"/>
    </row>
    <row r="5966">
      <c r="B5966" s="8"/>
      <c r="G5966" s="8"/>
      <c r="M5966" s="8"/>
    </row>
    <row r="5967">
      <c r="B5967" s="8"/>
      <c r="G5967" s="8"/>
      <c r="M5967" s="8"/>
    </row>
    <row r="5968">
      <c r="B5968" s="8"/>
      <c r="G5968" s="8"/>
      <c r="M5968" s="8"/>
    </row>
    <row r="5969">
      <c r="B5969" s="8"/>
      <c r="G5969" s="8"/>
      <c r="M5969" s="8"/>
    </row>
    <row r="5970">
      <c r="B5970" s="8"/>
      <c r="G5970" s="8"/>
      <c r="M5970" s="8"/>
    </row>
    <row r="5971">
      <c r="B5971" s="8"/>
      <c r="G5971" s="8"/>
      <c r="M5971" s="8"/>
    </row>
    <row r="5972">
      <c r="B5972" s="8"/>
      <c r="G5972" s="8"/>
      <c r="M5972" s="8"/>
    </row>
    <row r="5973">
      <c r="B5973" s="8"/>
      <c r="G5973" s="8"/>
      <c r="M5973" s="8"/>
    </row>
    <row r="5974">
      <c r="B5974" s="8"/>
      <c r="G5974" s="8"/>
      <c r="M5974" s="8"/>
    </row>
    <row r="5975">
      <c r="B5975" s="8"/>
      <c r="G5975" s="8"/>
      <c r="M5975" s="8"/>
    </row>
    <row r="5976">
      <c r="B5976" s="8"/>
      <c r="G5976" s="8"/>
      <c r="M5976" s="8"/>
    </row>
    <row r="5977">
      <c r="B5977" s="8"/>
      <c r="G5977" s="8"/>
      <c r="M5977" s="8"/>
    </row>
    <row r="5978">
      <c r="B5978" s="8"/>
      <c r="G5978" s="8"/>
      <c r="M5978" s="8"/>
    </row>
    <row r="5979">
      <c r="B5979" s="8"/>
      <c r="G5979" s="8"/>
      <c r="M5979" s="8"/>
    </row>
    <row r="5980">
      <c r="B5980" s="8"/>
      <c r="G5980" s="8"/>
      <c r="M5980" s="8"/>
    </row>
    <row r="5981">
      <c r="B5981" s="8"/>
      <c r="G5981" s="8"/>
      <c r="M5981" s="8"/>
    </row>
    <row r="5982">
      <c r="B5982" s="8"/>
      <c r="G5982" s="8"/>
      <c r="M5982" s="8"/>
    </row>
    <row r="5983">
      <c r="B5983" s="8"/>
      <c r="G5983" s="8"/>
      <c r="M5983" s="8"/>
    </row>
    <row r="5984">
      <c r="B5984" s="8"/>
      <c r="G5984" s="8"/>
      <c r="M5984" s="8"/>
    </row>
    <row r="5985">
      <c r="B5985" s="8"/>
      <c r="G5985" s="8"/>
      <c r="M5985" s="8"/>
    </row>
    <row r="5986">
      <c r="B5986" s="8"/>
      <c r="G5986" s="8"/>
      <c r="M5986" s="8"/>
    </row>
    <row r="5987">
      <c r="B5987" s="8"/>
      <c r="G5987" s="8"/>
      <c r="M5987" s="8"/>
    </row>
    <row r="5988">
      <c r="B5988" s="8"/>
      <c r="G5988" s="8"/>
      <c r="M5988" s="8"/>
    </row>
    <row r="5989">
      <c r="B5989" s="8"/>
      <c r="G5989" s="8"/>
      <c r="M5989" s="8"/>
    </row>
    <row r="5990">
      <c r="B5990" s="8"/>
      <c r="G5990" s="8"/>
      <c r="M5990" s="8"/>
    </row>
    <row r="5991">
      <c r="B5991" s="8"/>
      <c r="G5991" s="8"/>
      <c r="M5991" s="8"/>
    </row>
    <row r="5992">
      <c r="B5992" s="8"/>
      <c r="G5992" s="8"/>
      <c r="M5992" s="8"/>
    </row>
    <row r="5993">
      <c r="B5993" s="8"/>
      <c r="G5993" s="8"/>
      <c r="M5993" s="8"/>
    </row>
    <row r="5994">
      <c r="B5994" s="8"/>
      <c r="G5994" s="8"/>
      <c r="M5994" s="8"/>
    </row>
    <row r="5995">
      <c r="B5995" s="8"/>
      <c r="G5995" s="8"/>
      <c r="M5995" s="8"/>
    </row>
    <row r="5996">
      <c r="B5996" s="8"/>
      <c r="G5996" s="8"/>
      <c r="M5996" s="8"/>
    </row>
    <row r="5997">
      <c r="B5997" s="8"/>
      <c r="G5997" s="8"/>
      <c r="M5997" s="8"/>
    </row>
    <row r="5998">
      <c r="B5998" s="8"/>
      <c r="G5998" s="8"/>
      <c r="M5998" s="8"/>
    </row>
    <row r="5999">
      <c r="B5999" s="8"/>
      <c r="G5999" s="8"/>
      <c r="M5999" s="8"/>
    </row>
    <row r="6000">
      <c r="B6000" s="8"/>
      <c r="G6000" s="8"/>
      <c r="M6000" s="8"/>
    </row>
    <row r="6001">
      <c r="B6001" s="8"/>
      <c r="G6001" s="8"/>
      <c r="M6001" s="8"/>
    </row>
    <row r="6002">
      <c r="B6002" s="8"/>
      <c r="G6002" s="8"/>
      <c r="M6002" s="8"/>
    </row>
    <row r="6003">
      <c r="B6003" s="8"/>
      <c r="G6003" s="8"/>
      <c r="M6003" s="8"/>
    </row>
    <row r="6004">
      <c r="B6004" s="8"/>
      <c r="G6004" s="8"/>
      <c r="M6004" s="8"/>
    </row>
    <row r="6005">
      <c r="B6005" s="8"/>
      <c r="G6005" s="8"/>
      <c r="M6005" s="8"/>
    </row>
    <row r="6006">
      <c r="B6006" s="8"/>
      <c r="G6006" s="8"/>
      <c r="M6006" s="8"/>
    </row>
    <row r="6007">
      <c r="B6007" s="8"/>
      <c r="G6007" s="8"/>
      <c r="M6007" s="8"/>
    </row>
    <row r="6008">
      <c r="B6008" s="8"/>
      <c r="G6008" s="8"/>
      <c r="M6008" s="8"/>
    </row>
    <row r="6009">
      <c r="B6009" s="8"/>
      <c r="G6009" s="8"/>
      <c r="M6009" s="8"/>
    </row>
    <row r="6010">
      <c r="B6010" s="8"/>
      <c r="G6010" s="8"/>
      <c r="M6010" s="8"/>
    </row>
    <row r="6011">
      <c r="B6011" s="8"/>
      <c r="G6011" s="8"/>
      <c r="M6011" s="8"/>
    </row>
    <row r="6012">
      <c r="B6012" s="8"/>
      <c r="G6012" s="8"/>
      <c r="M6012" s="8"/>
    </row>
    <row r="6013">
      <c r="B6013" s="8"/>
      <c r="G6013" s="8"/>
      <c r="M6013" s="8"/>
    </row>
    <row r="6014">
      <c r="B6014" s="8"/>
      <c r="G6014" s="8"/>
      <c r="M6014" s="8"/>
    </row>
    <row r="6015">
      <c r="B6015" s="8"/>
      <c r="G6015" s="8"/>
      <c r="M6015" s="8"/>
    </row>
    <row r="6016">
      <c r="B6016" s="8"/>
      <c r="G6016" s="8"/>
      <c r="M6016" s="8"/>
    </row>
    <row r="6017">
      <c r="B6017" s="8"/>
      <c r="G6017" s="8"/>
      <c r="M6017" s="8"/>
    </row>
    <row r="6018">
      <c r="B6018" s="8"/>
      <c r="G6018" s="8"/>
      <c r="M6018" s="8"/>
    </row>
    <row r="6019">
      <c r="B6019" s="8"/>
      <c r="G6019" s="8"/>
      <c r="M6019" s="8"/>
    </row>
    <row r="6020">
      <c r="B6020" s="8"/>
      <c r="G6020" s="8"/>
      <c r="M6020" s="8"/>
    </row>
    <row r="6021">
      <c r="B6021" s="8"/>
      <c r="G6021" s="8"/>
      <c r="M6021" s="8"/>
    </row>
    <row r="6022">
      <c r="B6022" s="8"/>
      <c r="G6022" s="8"/>
      <c r="M6022" s="8"/>
    </row>
    <row r="6023">
      <c r="B6023" s="8"/>
      <c r="G6023" s="8"/>
      <c r="M6023" s="8"/>
    </row>
    <row r="6024">
      <c r="B6024" s="8"/>
      <c r="G6024" s="8"/>
      <c r="M6024" s="8"/>
    </row>
    <row r="6025">
      <c r="B6025" s="8"/>
      <c r="G6025" s="8"/>
      <c r="M6025" s="8"/>
    </row>
    <row r="6026">
      <c r="B6026" s="8"/>
      <c r="G6026" s="8"/>
      <c r="M6026" s="8"/>
    </row>
    <row r="6027">
      <c r="B6027" s="8"/>
      <c r="G6027" s="8"/>
      <c r="M6027" s="8"/>
    </row>
    <row r="6028">
      <c r="B6028" s="8"/>
      <c r="G6028" s="8"/>
      <c r="M6028" s="8"/>
    </row>
    <row r="6029">
      <c r="B6029" s="8"/>
      <c r="G6029" s="8"/>
      <c r="M6029" s="8"/>
    </row>
    <row r="6030">
      <c r="B6030" s="8"/>
      <c r="G6030" s="8"/>
      <c r="M6030" s="8"/>
    </row>
    <row r="6031">
      <c r="B6031" s="8"/>
      <c r="G6031" s="8"/>
      <c r="M6031" s="8"/>
    </row>
    <row r="6032">
      <c r="B6032" s="8"/>
      <c r="G6032" s="8"/>
      <c r="M6032" s="8"/>
    </row>
    <row r="6033">
      <c r="B6033" s="8"/>
      <c r="G6033" s="8"/>
      <c r="M6033" s="8"/>
    </row>
    <row r="6034">
      <c r="B6034" s="8"/>
      <c r="G6034" s="8"/>
      <c r="M6034" s="8"/>
    </row>
    <row r="6035">
      <c r="B6035" s="8"/>
      <c r="G6035" s="8"/>
      <c r="M6035" s="8"/>
    </row>
    <row r="6036">
      <c r="B6036" s="8"/>
      <c r="G6036" s="8"/>
      <c r="M6036" s="8"/>
    </row>
    <row r="6037">
      <c r="B6037" s="8"/>
      <c r="G6037" s="8"/>
      <c r="M6037" s="8"/>
    </row>
    <row r="6038">
      <c r="B6038" s="8"/>
      <c r="G6038" s="8"/>
      <c r="M6038" s="8"/>
    </row>
    <row r="6039">
      <c r="B6039" s="8"/>
      <c r="G6039" s="8"/>
      <c r="M6039" s="8"/>
    </row>
    <row r="6040">
      <c r="B6040" s="8"/>
      <c r="G6040" s="8"/>
      <c r="M6040" s="8"/>
    </row>
    <row r="6041">
      <c r="B6041" s="8"/>
      <c r="G6041" s="8"/>
      <c r="M6041" s="8"/>
    </row>
    <row r="6042">
      <c r="B6042" s="8"/>
      <c r="G6042" s="8"/>
      <c r="M6042" s="8"/>
    </row>
    <row r="6043">
      <c r="B6043" s="8"/>
      <c r="G6043" s="8"/>
      <c r="M6043" s="8"/>
    </row>
    <row r="6044">
      <c r="B6044" s="8"/>
      <c r="G6044" s="8"/>
      <c r="M6044" s="8"/>
    </row>
    <row r="6045">
      <c r="B6045" s="8"/>
      <c r="G6045" s="8"/>
      <c r="M6045" s="8"/>
    </row>
    <row r="6046">
      <c r="B6046" s="8"/>
      <c r="G6046" s="8"/>
      <c r="M6046" s="8"/>
    </row>
    <row r="6047">
      <c r="B6047" s="8"/>
      <c r="G6047" s="8"/>
      <c r="M6047" s="8"/>
    </row>
    <row r="6048">
      <c r="B6048" s="8"/>
      <c r="G6048" s="8"/>
      <c r="M6048" s="8"/>
    </row>
    <row r="6049">
      <c r="B6049" s="8"/>
      <c r="G6049" s="8"/>
      <c r="M6049" s="8"/>
    </row>
    <row r="6050">
      <c r="B6050" s="8"/>
      <c r="G6050" s="8"/>
      <c r="M6050" s="8"/>
    </row>
    <row r="6051">
      <c r="B6051" s="8"/>
      <c r="G6051" s="8"/>
      <c r="M6051" s="8"/>
    </row>
    <row r="6052">
      <c r="B6052" s="8"/>
      <c r="G6052" s="8"/>
      <c r="M6052" s="8"/>
    </row>
    <row r="6053">
      <c r="B6053" s="8"/>
      <c r="G6053" s="8"/>
      <c r="M6053" s="8"/>
    </row>
    <row r="6054">
      <c r="B6054" s="8"/>
      <c r="G6054" s="8"/>
      <c r="M6054" s="8"/>
    </row>
    <row r="6055">
      <c r="B6055" s="8"/>
      <c r="G6055" s="8"/>
      <c r="M6055" s="8"/>
    </row>
    <row r="6056">
      <c r="B6056" s="8"/>
      <c r="G6056" s="8"/>
      <c r="M6056" s="8"/>
    </row>
    <row r="6057">
      <c r="B6057" s="8"/>
      <c r="G6057" s="8"/>
      <c r="M6057" s="8"/>
    </row>
    <row r="6058">
      <c r="B6058" s="8"/>
      <c r="G6058" s="8"/>
      <c r="M6058" s="8"/>
    </row>
    <row r="6059">
      <c r="B6059" s="8"/>
      <c r="G6059" s="8"/>
      <c r="M6059" s="8"/>
    </row>
    <row r="6060">
      <c r="B6060" s="8"/>
      <c r="G6060" s="8"/>
      <c r="M6060" s="8"/>
    </row>
    <row r="6061">
      <c r="B6061" s="8"/>
      <c r="G6061" s="8"/>
      <c r="M6061" s="8"/>
    </row>
    <row r="6062">
      <c r="B6062" s="8"/>
      <c r="G6062" s="8"/>
      <c r="M6062" s="8"/>
    </row>
    <row r="6063">
      <c r="B6063" s="8"/>
      <c r="G6063" s="8"/>
      <c r="M6063" s="8"/>
    </row>
    <row r="6064">
      <c r="B6064" s="8"/>
      <c r="G6064" s="8"/>
      <c r="M6064" s="8"/>
    </row>
    <row r="6065">
      <c r="B6065" s="8"/>
      <c r="G6065" s="8"/>
      <c r="M6065" s="8"/>
    </row>
    <row r="6066">
      <c r="B6066" s="8"/>
      <c r="G6066" s="8"/>
      <c r="M6066" s="8"/>
    </row>
    <row r="6067">
      <c r="B6067" s="8"/>
      <c r="G6067" s="8"/>
      <c r="M6067" s="8"/>
    </row>
    <row r="6068">
      <c r="B6068" s="8"/>
      <c r="G6068" s="8"/>
      <c r="M6068" s="8"/>
    </row>
    <row r="6069">
      <c r="B6069" s="8"/>
      <c r="G6069" s="8"/>
      <c r="M6069" s="8"/>
    </row>
    <row r="6070">
      <c r="B6070" s="8"/>
      <c r="G6070" s="8"/>
      <c r="M6070" s="8"/>
    </row>
    <row r="6071">
      <c r="B6071" s="8"/>
      <c r="G6071" s="8"/>
      <c r="M6071" s="8"/>
    </row>
    <row r="6072">
      <c r="B6072" s="8"/>
      <c r="G6072" s="8"/>
      <c r="M6072" s="8"/>
    </row>
    <row r="6073">
      <c r="B6073" s="8"/>
      <c r="G6073" s="8"/>
      <c r="M6073" s="8"/>
    </row>
    <row r="6074">
      <c r="B6074" s="8"/>
      <c r="G6074" s="8"/>
      <c r="M6074" s="8"/>
    </row>
    <row r="6075">
      <c r="B6075" s="8"/>
      <c r="G6075" s="8"/>
      <c r="M6075" s="8"/>
    </row>
    <row r="6076">
      <c r="B6076" s="8"/>
      <c r="G6076" s="8"/>
      <c r="M6076" s="8"/>
    </row>
    <row r="6077">
      <c r="B6077" s="8"/>
      <c r="G6077" s="8"/>
      <c r="M6077" s="8"/>
    </row>
    <row r="6078">
      <c r="B6078" s="8"/>
      <c r="G6078" s="8"/>
      <c r="M6078" s="8"/>
    </row>
    <row r="6079">
      <c r="B6079" s="8"/>
      <c r="G6079" s="8"/>
      <c r="M6079" s="8"/>
    </row>
    <row r="6080">
      <c r="B6080" s="8"/>
      <c r="G6080" s="8"/>
      <c r="M6080" s="8"/>
    </row>
    <row r="6081">
      <c r="B6081" s="8"/>
      <c r="G6081" s="8"/>
      <c r="M6081" s="8"/>
    </row>
    <row r="6082">
      <c r="B6082" s="8"/>
      <c r="G6082" s="8"/>
      <c r="M6082" s="8"/>
    </row>
    <row r="6083">
      <c r="B6083" s="8"/>
      <c r="G6083" s="8"/>
      <c r="M6083" s="8"/>
    </row>
    <row r="6084">
      <c r="B6084" s="8"/>
      <c r="G6084" s="8"/>
      <c r="M6084" s="8"/>
    </row>
    <row r="6085">
      <c r="B6085" s="8"/>
      <c r="G6085" s="8"/>
      <c r="M6085" s="8"/>
    </row>
    <row r="6086">
      <c r="B6086" s="8"/>
      <c r="G6086" s="8"/>
      <c r="M6086" s="8"/>
    </row>
    <row r="6087">
      <c r="B6087" s="8"/>
      <c r="G6087" s="8"/>
      <c r="M6087" s="8"/>
    </row>
    <row r="6088">
      <c r="B6088" s="8"/>
      <c r="G6088" s="8"/>
      <c r="M6088" s="8"/>
    </row>
    <row r="6089">
      <c r="B6089" s="8"/>
      <c r="G6089" s="8"/>
      <c r="M6089" s="8"/>
    </row>
    <row r="6090">
      <c r="B6090" s="8"/>
      <c r="G6090" s="8"/>
      <c r="M6090" s="8"/>
    </row>
    <row r="6091">
      <c r="B6091" s="8"/>
      <c r="G6091" s="8"/>
      <c r="M6091" s="8"/>
    </row>
    <row r="6092">
      <c r="B6092" s="8"/>
      <c r="G6092" s="8"/>
      <c r="M6092" s="8"/>
    </row>
    <row r="6093">
      <c r="B6093" s="8"/>
      <c r="G6093" s="8"/>
      <c r="M6093" s="8"/>
    </row>
    <row r="6094">
      <c r="B6094" s="8"/>
      <c r="G6094" s="8"/>
      <c r="M6094" s="8"/>
    </row>
    <row r="6095">
      <c r="B6095" s="8"/>
      <c r="G6095" s="8"/>
      <c r="M6095" s="8"/>
    </row>
    <row r="6096">
      <c r="B6096" s="8"/>
      <c r="G6096" s="8"/>
      <c r="M6096" s="8"/>
    </row>
    <row r="6097">
      <c r="B6097" s="8"/>
      <c r="G6097" s="8"/>
      <c r="M6097" s="8"/>
    </row>
    <row r="6098">
      <c r="B6098" s="8"/>
      <c r="G6098" s="8"/>
      <c r="M6098" s="8"/>
    </row>
    <row r="6099">
      <c r="B6099" s="8"/>
      <c r="G6099" s="8"/>
      <c r="M6099" s="8"/>
    </row>
    <row r="6100">
      <c r="B6100" s="8"/>
      <c r="G6100" s="8"/>
      <c r="M6100" s="8"/>
    </row>
    <row r="6101">
      <c r="B6101" s="8"/>
      <c r="G6101" s="8"/>
      <c r="M6101" s="8"/>
    </row>
    <row r="6102">
      <c r="B6102" s="8"/>
      <c r="G6102" s="8"/>
      <c r="M6102" s="8"/>
    </row>
    <row r="6103">
      <c r="B6103" s="8"/>
      <c r="G6103" s="8"/>
      <c r="M6103" s="8"/>
    </row>
    <row r="6104">
      <c r="B6104" s="8"/>
      <c r="G6104" s="8"/>
      <c r="M6104" s="8"/>
    </row>
    <row r="6105">
      <c r="B6105" s="8"/>
      <c r="G6105" s="8"/>
      <c r="M6105" s="8"/>
    </row>
    <row r="6106">
      <c r="B6106" s="8"/>
      <c r="G6106" s="8"/>
      <c r="M6106" s="8"/>
    </row>
    <row r="6107">
      <c r="B6107" s="8"/>
      <c r="G6107" s="8"/>
      <c r="M6107" s="8"/>
    </row>
    <row r="6108">
      <c r="B6108" s="8"/>
      <c r="G6108" s="8"/>
      <c r="M6108" s="8"/>
    </row>
    <row r="6109">
      <c r="B6109" s="8"/>
      <c r="G6109" s="8"/>
      <c r="M6109" s="8"/>
    </row>
    <row r="6110">
      <c r="B6110" s="8"/>
      <c r="G6110" s="8"/>
      <c r="M6110" s="8"/>
    </row>
    <row r="6111">
      <c r="B6111" s="8"/>
      <c r="G6111" s="8"/>
      <c r="M6111" s="8"/>
    </row>
    <row r="6112">
      <c r="B6112" s="8"/>
      <c r="G6112" s="8"/>
      <c r="M6112" s="8"/>
    </row>
    <row r="6113">
      <c r="B6113" s="8"/>
      <c r="G6113" s="8"/>
      <c r="M6113" s="8"/>
    </row>
    <row r="6114">
      <c r="B6114" s="8"/>
      <c r="G6114" s="8"/>
      <c r="M6114" s="8"/>
    </row>
    <row r="6115">
      <c r="B6115" s="8"/>
      <c r="G6115" s="8"/>
      <c r="M6115" s="8"/>
    </row>
    <row r="6116">
      <c r="B6116" s="8"/>
      <c r="G6116" s="8"/>
      <c r="M6116" s="8"/>
    </row>
    <row r="6117">
      <c r="B6117" s="8"/>
      <c r="G6117" s="8"/>
      <c r="M6117" s="8"/>
    </row>
    <row r="6118">
      <c r="B6118" s="8"/>
      <c r="G6118" s="8"/>
      <c r="M6118" s="8"/>
    </row>
    <row r="6119">
      <c r="B6119" s="8"/>
      <c r="G6119" s="8"/>
      <c r="M6119" s="8"/>
    </row>
    <row r="6120">
      <c r="B6120" s="8"/>
      <c r="G6120" s="8"/>
      <c r="M6120" s="8"/>
    </row>
    <row r="6121">
      <c r="B6121" s="8"/>
      <c r="G6121" s="8"/>
      <c r="M6121" s="8"/>
    </row>
    <row r="6122">
      <c r="B6122" s="8"/>
      <c r="G6122" s="8"/>
      <c r="M6122" s="8"/>
    </row>
    <row r="6123">
      <c r="B6123" s="8"/>
      <c r="G6123" s="8"/>
      <c r="M6123" s="8"/>
    </row>
    <row r="6124">
      <c r="B6124" s="8"/>
      <c r="G6124" s="8"/>
      <c r="M6124" s="8"/>
    </row>
    <row r="6125">
      <c r="B6125" s="8"/>
      <c r="G6125" s="8"/>
      <c r="M6125" s="8"/>
    </row>
    <row r="6126">
      <c r="B6126" s="8"/>
      <c r="G6126" s="8"/>
      <c r="M6126" s="8"/>
    </row>
    <row r="6127">
      <c r="B6127" s="8"/>
      <c r="G6127" s="8"/>
      <c r="M6127" s="8"/>
    </row>
    <row r="6128">
      <c r="B6128" s="8"/>
      <c r="G6128" s="8"/>
      <c r="M6128" s="8"/>
    </row>
    <row r="6129">
      <c r="B6129" s="8"/>
      <c r="G6129" s="8"/>
      <c r="M6129" s="8"/>
    </row>
    <row r="6130">
      <c r="B6130" s="8"/>
      <c r="G6130" s="8"/>
      <c r="M6130" s="8"/>
    </row>
    <row r="6131">
      <c r="B6131" s="8"/>
      <c r="G6131" s="8"/>
      <c r="M6131" s="8"/>
    </row>
    <row r="6132">
      <c r="B6132" s="8"/>
      <c r="G6132" s="8"/>
      <c r="M6132" s="8"/>
    </row>
    <row r="6133">
      <c r="B6133" s="8"/>
      <c r="G6133" s="8"/>
      <c r="M6133" s="8"/>
    </row>
    <row r="6134">
      <c r="B6134" s="8"/>
      <c r="G6134" s="8"/>
      <c r="M6134" s="8"/>
    </row>
    <row r="6135">
      <c r="B6135" s="8"/>
      <c r="G6135" s="8"/>
      <c r="M6135" s="8"/>
    </row>
    <row r="6136">
      <c r="B6136" s="8"/>
      <c r="G6136" s="8"/>
      <c r="M6136" s="8"/>
    </row>
    <row r="6137">
      <c r="B6137" s="8"/>
      <c r="G6137" s="8"/>
      <c r="M6137" s="8"/>
    </row>
    <row r="6138">
      <c r="B6138" s="8"/>
      <c r="G6138" s="8"/>
      <c r="M6138" s="8"/>
    </row>
    <row r="6139">
      <c r="B6139" s="8"/>
      <c r="G6139" s="8"/>
      <c r="M6139" s="8"/>
    </row>
    <row r="6140">
      <c r="B6140" s="8"/>
      <c r="G6140" s="8"/>
      <c r="M6140" s="8"/>
    </row>
    <row r="6141">
      <c r="B6141" s="8"/>
      <c r="G6141" s="8"/>
      <c r="M6141" s="8"/>
    </row>
    <row r="6142">
      <c r="B6142" s="8"/>
      <c r="G6142" s="8"/>
      <c r="M6142" s="8"/>
    </row>
    <row r="6143">
      <c r="B6143" s="8"/>
      <c r="G6143" s="8"/>
      <c r="M6143" s="8"/>
    </row>
    <row r="6144">
      <c r="B6144" s="8"/>
      <c r="G6144" s="8"/>
      <c r="M6144" s="8"/>
    </row>
    <row r="6145">
      <c r="B6145" s="8"/>
      <c r="G6145" s="8"/>
      <c r="M6145" s="8"/>
    </row>
    <row r="6146">
      <c r="B6146" s="8"/>
      <c r="G6146" s="8"/>
      <c r="M6146" s="8"/>
    </row>
    <row r="6147">
      <c r="B6147" s="8"/>
      <c r="G6147" s="8"/>
      <c r="M6147" s="8"/>
    </row>
    <row r="6148">
      <c r="B6148" s="8"/>
      <c r="G6148" s="8"/>
      <c r="M6148" s="8"/>
    </row>
    <row r="6149">
      <c r="B6149" s="8"/>
      <c r="G6149" s="8"/>
      <c r="M6149" s="8"/>
    </row>
    <row r="6150">
      <c r="B6150" s="8"/>
      <c r="G6150" s="8"/>
      <c r="M6150" s="8"/>
    </row>
    <row r="6151">
      <c r="B6151" s="8"/>
      <c r="G6151" s="8"/>
      <c r="M6151" s="8"/>
    </row>
    <row r="6152">
      <c r="B6152" s="8"/>
      <c r="G6152" s="8"/>
      <c r="M6152" s="8"/>
    </row>
    <row r="6153">
      <c r="B6153" s="8"/>
      <c r="G6153" s="8"/>
      <c r="M6153" s="8"/>
    </row>
    <row r="6154">
      <c r="B6154" s="8"/>
      <c r="G6154" s="8"/>
      <c r="M6154" s="8"/>
    </row>
    <row r="6155">
      <c r="B6155" s="8"/>
      <c r="G6155" s="8"/>
      <c r="M6155" s="8"/>
    </row>
    <row r="6156">
      <c r="B6156" s="8"/>
      <c r="G6156" s="8"/>
      <c r="M6156" s="8"/>
    </row>
    <row r="6157">
      <c r="B6157" s="8"/>
      <c r="G6157" s="8"/>
      <c r="M6157" s="8"/>
    </row>
    <row r="6158">
      <c r="B6158" s="8"/>
      <c r="G6158" s="8"/>
      <c r="M6158" s="8"/>
    </row>
    <row r="6159">
      <c r="B6159" s="8"/>
      <c r="G6159" s="8"/>
      <c r="M6159" s="8"/>
    </row>
    <row r="6160">
      <c r="B6160" s="8"/>
      <c r="G6160" s="8"/>
      <c r="M6160" s="8"/>
    </row>
    <row r="6161">
      <c r="B6161" s="8"/>
      <c r="G6161" s="8"/>
      <c r="M6161" s="8"/>
    </row>
    <row r="6162">
      <c r="B6162" s="8"/>
      <c r="G6162" s="8"/>
      <c r="M6162" s="8"/>
    </row>
    <row r="6163">
      <c r="B6163" s="8"/>
      <c r="G6163" s="8"/>
      <c r="M6163" s="8"/>
    </row>
    <row r="6164">
      <c r="B6164" s="8"/>
      <c r="G6164" s="8"/>
      <c r="M6164" s="8"/>
    </row>
    <row r="6165">
      <c r="B6165" s="8"/>
      <c r="G6165" s="8"/>
      <c r="M6165" s="8"/>
    </row>
    <row r="6166">
      <c r="B6166" s="8"/>
      <c r="G6166" s="8"/>
      <c r="M6166" s="8"/>
    </row>
    <row r="6167">
      <c r="B6167" s="8"/>
      <c r="G6167" s="8"/>
      <c r="M6167" s="8"/>
    </row>
    <row r="6168">
      <c r="B6168" s="8"/>
      <c r="G6168" s="8"/>
      <c r="M6168" s="8"/>
    </row>
    <row r="6169">
      <c r="B6169" s="8"/>
      <c r="G6169" s="8"/>
      <c r="M6169" s="8"/>
    </row>
    <row r="6170">
      <c r="B6170" s="8"/>
      <c r="G6170" s="8"/>
      <c r="M6170" s="8"/>
    </row>
    <row r="6171">
      <c r="B6171" s="8"/>
      <c r="G6171" s="8"/>
      <c r="M6171" s="8"/>
    </row>
    <row r="6172">
      <c r="B6172" s="8"/>
      <c r="G6172" s="8"/>
      <c r="M6172" s="8"/>
    </row>
    <row r="6173">
      <c r="B6173" s="8"/>
      <c r="G6173" s="8"/>
      <c r="M6173" s="8"/>
    </row>
    <row r="6174">
      <c r="B6174" s="8"/>
      <c r="G6174" s="8"/>
      <c r="M6174" s="8"/>
    </row>
    <row r="6175">
      <c r="B6175" s="8"/>
      <c r="G6175" s="8"/>
      <c r="M6175" s="8"/>
    </row>
    <row r="6176">
      <c r="B6176" s="8"/>
      <c r="G6176" s="8"/>
      <c r="M6176" s="8"/>
    </row>
    <row r="6177">
      <c r="B6177" s="8"/>
      <c r="G6177" s="8"/>
      <c r="M6177" s="8"/>
    </row>
    <row r="6178">
      <c r="B6178" s="8"/>
      <c r="G6178" s="8"/>
      <c r="M6178" s="8"/>
    </row>
    <row r="6179">
      <c r="B6179" s="8"/>
      <c r="G6179" s="8"/>
      <c r="M6179" s="8"/>
    </row>
    <row r="6180">
      <c r="B6180" s="8"/>
      <c r="G6180" s="8"/>
      <c r="M6180" s="8"/>
    </row>
    <row r="6181">
      <c r="B6181" s="8"/>
      <c r="G6181" s="8"/>
      <c r="M6181" s="8"/>
    </row>
    <row r="6182">
      <c r="B6182" s="8"/>
      <c r="G6182" s="8"/>
      <c r="M6182" s="8"/>
    </row>
    <row r="6183">
      <c r="B6183" s="8"/>
      <c r="G6183" s="8"/>
      <c r="M6183" s="8"/>
    </row>
    <row r="6184">
      <c r="B6184" s="8"/>
      <c r="G6184" s="8"/>
      <c r="M6184" s="8"/>
    </row>
    <row r="6185">
      <c r="B6185" s="8"/>
      <c r="G6185" s="8"/>
      <c r="M6185" s="8"/>
    </row>
    <row r="6186">
      <c r="B6186" s="8"/>
      <c r="G6186" s="8"/>
      <c r="M6186" s="8"/>
    </row>
    <row r="6187">
      <c r="B6187" s="8"/>
      <c r="G6187" s="8"/>
      <c r="M6187" s="8"/>
    </row>
    <row r="6188">
      <c r="B6188" s="8"/>
      <c r="G6188" s="8"/>
      <c r="M6188" s="8"/>
    </row>
    <row r="6189">
      <c r="B6189" s="8"/>
      <c r="G6189" s="8"/>
      <c r="M6189" s="8"/>
    </row>
    <row r="6190">
      <c r="B6190" s="8"/>
      <c r="G6190" s="8"/>
      <c r="M6190" s="8"/>
    </row>
    <row r="6191">
      <c r="B6191" s="8"/>
      <c r="G6191" s="8"/>
      <c r="M6191" s="8"/>
    </row>
    <row r="6192">
      <c r="B6192" s="8"/>
      <c r="G6192" s="8"/>
      <c r="M6192" s="8"/>
    </row>
    <row r="6193">
      <c r="B6193" s="8"/>
      <c r="G6193" s="8"/>
      <c r="M6193" s="8"/>
    </row>
    <row r="6194">
      <c r="B6194" s="8"/>
      <c r="G6194" s="8"/>
      <c r="M6194" s="8"/>
    </row>
    <row r="6195">
      <c r="B6195" s="8"/>
      <c r="G6195" s="8"/>
      <c r="M6195" s="8"/>
    </row>
    <row r="6196">
      <c r="B6196" s="8"/>
      <c r="G6196" s="8"/>
      <c r="M6196" s="8"/>
    </row>
    <row r="6197">
      <c r="B6197" s="8"/>
      <c r="G6197" s="8"/>
      <c r="M6197" s="8"/>
    </row>
    <row r="6198">
      <c r="B6198" s="8"/>
      <c r="G6198" s="8"/>
      <c r="M6198" s="8"/>
    </row>
    <row r="6199">
      <c r="B6199" s="8"/>
      <c r="G6199" s="8"/>
      <c r="M6199" s="8"/>
    </row>
    <row r="6200">
      <c r="B6200" s="8"/>
      <c r="G6200" s="8"/>
      <c r="M6200" s="8"/>
    </row>
    <row r="6201">
      <c r="B6201" s="8"/>
      <c r="G6201" s="8"/>
      <c r="M6201" s="8"/>
    </row>
    <row r="6202">
      <c r="B6202" s="8"/>
      <c r="G6202" s="8"/>
      <c r="M6202" s="8"/>
    </row>
    <row r="6203">
      <c r="B6203" s="8"/>
      <c r="G6203" s="8"/>
      <c r="M6203" s="8"/>
    </row>
    <row r="6204">
      <c r="B6204" s="8"/>
      <c r="G6204" s="8"/>
      <c r="M6204" s="8"/>
    </row>
    <row r="6205">
      <c r="B6205" s="8"/>
      <c r="G6205" s="8"/>
      <c r="M6205" s="8"/>
    </row>
    <row r="6206">
      <c r="B6206" s="8"/>
      <c r="G6206" s="8"/>
      <c r="M6206" s="8"/>
    </row>
    <row r="6207">
      <c r="B6207" s="8"/>
      <c r="G6207" s="8"/>
      <c r="M6207" s="8"/>
    </row>
    <row r="6208">
      <c r="B6208" s="8"/>
      <c r="G6208" s="8"/>
      <c r="M6208" s="8"/>
    </row>
    <row r="6209">
      <c r="B6209" s="8"/>
      <c r="G6209" s="8"/>
      <c r="M6209" s="8"/>
    </row>
    <row r="6210">
      <c r="B6210" s="8"/>
      <c r="G6210" s="8"/>
      <c r="M6210" s="8"/>
    </row>
    <row r="6211">
      <c r="B6211" s="8"/>
      <c r="G6211" s="8"/>
      <c r="M6211" s="8"/>
    </row>
    <row r="6212">
      <c r="B6212" s="8"/>
      <c r="G6212" s="8"/>
      <c r="M6212" s="8"/>
    </row>
    <row r="6213">
      <c r="B6213" s="8"/>
      <c r="G6213" s="8"/>
      <c r="M6213" s="8"/>
    </row>
    <row r="6214">
      <c r="B6214" s="8"/>
      <c r="G6214" s="8"/>
      <c r="M6214" s="8"/>
    </row>
    <row r="6215">
      <c r="B6215" s="8"/>
      <c r="G6215" s="8"/>
      <c r="M6215" s="8"/>
    </row>
    <row r="6216">
      <c r="B6216" s="8"/>
      <c r="G6216" s="8"/>
      <c r="M6216" s="8"/>
    </row>
    <row r="6217">
      <c r="B6217" s="8"/>
      <c r="G6217" s="8"/>
      <c r="M6217" s="8"/>
    </row>
    <row r="6218">
      <c r="B6218" s="8"/>
      <c r="G6218" s="8"/>
      <c r="M6218" s="8"/>
    </row>
    <row r="6219">
      <c r="B6219" s="8"/>
      <c r="G6219" s="8"/>
      <c r="M6219" s="8"/>
    </row>
    <row r="6220">
      <c r="B6220" s="8"/>
      <c r="G6220" s="8"/>
      <c r="M6220" s="8"/>
    </row>
    <row r="6221">
      <c r="B6221" s="8"/>
      <c r="G6221" s="8"/>
      <c r="M6221" s="8"/>
    </row>
    <row r="6222">
      <c r="B6222" s="8"/>
      <c r="G6222" s="8"/>
      <c r="M6222" s="8"/>
    </row>
    <row r="6223">
      <c r="B6223" s="8"/>
      <c r="G6223" s="8"/>
      <c r="M6223" s="8"/>
    </row>
    <row r="6224">
      <c r="B6224" s="8"/>
      <c r="G6224" s="8"/>
      <c r="M6224" s="8"/>
    </row>
    <row r="6225">
      <c r="B6225" s="8"/>
      <c r="G6225" s="8"/>
      <c r="M6225" s="8"/>
    </row>
    <row r="6226">
      <c r="B6226" s="8"/>
      <c r="G6226" s="8"/>
      <c r="M6226" s="8"/>
    </row>
    <row r="6227">
      <c r="B6227" s="8"/>
      <c r="G6227" s="8"/>
      <c r="M6227" s="8"/>
    </row>
    <row r="6228">
      <c r="B6228" s="8"/>
      <c r="G6228" s="8"/>
      <c r="M6228" s="8"/>
    </row>
    <row r="6229">
      <c r="B6229" s="8"/>
      <c r="G6229" s="8"/>
      <c r="M6229" s="8"/>
    </row>
    <row r="6230">
      <c r="B6230" s="8"/>
      <c r="G6230" s="8"/>
      <c r="M6230" s="8"/>
    </row>
    <row r="6231">
      <c r="B6231" s="8"/>
      <c r="G6231" s="8"/>
      <c r="M6231" s="8"/>
    </row>
    <row r="6232">
      <c r="B6232" s="8"/>
      <c r="G6232" s="8"/>
      <c r="M6232" s="8"/>
    </row>
    <row r="6233">
      <c r="B6233" s="8"/>
      <c r="G6233" s="8"/>
      <c r="M6233" s="8"/>
    </row>
    <row r="6234">
      <c r="B6234" s="8"/>
      <c r="G6234" s="8"/>
      <c r="M6234" s="8"/>
    </row>
    <row r="6235">
      <c r="B6235" s="8"/>
      <c r="G6235" s="8"/>
      <c r="M6235" s="8"/>
    </row>
    <row r="6236">
      <c r="B6236" s="8"/>
      <c r="G6236" s="8"/>
      <c r="M6236" s="8"/>
    </row>
    <row r="6237">
      <c r="B6237" s="8"/>
      <c r="G6237" s="8"/>
      <c r="M6237" s="8"/>
    </row>
    <row r="6238">
      <c r="B6238" s="8"/>
      <c r="G6238" s="8"/>
      <c r="M6238" s="8"/>
    </row>
    <row r="6239">
      <c r="B6239" s="8"/>
      <c r="G6239" s="8"/>
      <c r="M6239" s="8"/>
    </row>
    <row r="6240">
      <c r="B6240" s="8"/>
      <c r="G6240" s="8"/>
      <c r="M6240" s="8"/>
    </row>
    <row r="6241">
      <c r="B6241" s="8"/>
      <c r="G6241" s="8"/>
      <c r="M6241" s="8"/>
    </row>
    <row r="6242">
      <c r="B6242" s="8"/>
      <c r="G6242" s="8"/>
      <c r="M6242" s="8"/>
    </row>
    <row r="6243">
      <c r="B6243" s="8"/>
      <c r="G6243" s="8"/>
      <c r="M6243" s="8"/>
    </row>
    <row r="6244">
      <c r="B6244" s="8"/>
      <c r="G6244" s="8"/>
      <c r="M6244" s="8"/>
    </row>
    <row r="6245">
      <c r="B6245" s="8"/>
      <c r="G6245" s="8"/>
      <c r="M6245" s="8"/>
    </row>
    <row r="6246">
      <c r="B6246" s="8"/>
      <c r="G6246" s="8"/>
      <c r="M6246" s="8"/>
    </row>
    <row r="6247">
      <c r="B6247" s="8"/>
      <c r="G6247" s="8"/>
      <c r="M6247" s="8"/>
    </row>
    <row r="6248">
      <c r="B6248" s="8"/>
      <c r="G6248" s="8"/>
      <c r="M6248" s="8"/>
    </row>
    <row r="6249">
      <c r="B6249" s="8"/>
      <c r="G6249" s="8"/>
      <c r="M6249" s="8"/>
    </row>
    <row r="6250">
      <c r="B6250" s="8"/>
      <c r="G6250" s="8"/>
      <c r="M6250" s="8"/>
    </row>
    <row r="6251">
      <c r="B6251" s="8"/>
      <c r="G6251" s="8"/>
      <c r="M6251" s="8"/>
    </row>
    <row r="6252">
      <c r="B6252" s="8"/>
      <c r="G6252" s="8"/>
      <c r="M6252" s="8"/>
    </row>
    <row r="6253">
      <c r="B6253" s="8"/>
      <c r="G6253" s="8"/>
      <c r="M6253" s="8"/>
    </row>
    <row r="6254">
      <c r="B6254" s="8"/>
      <c r="G6254" s="8"/>
      <c r="M6254" s="8"/>
    </row>
    <row r="6255">
      <c r="B6255" s="8"/>
      <c r="G6255" s="8"/>
      <c r="M6255" s="8"/>
    </row>
    <row r="6256">
      <c r="B6256" s="8"/>
      <c r="G6256" s="8"/>
      <c r="M6256" s="8"/>
    </row>
    <row r="6257">
      <c r="B6257" s="8"/>
      <c r="G6257" s="8"/>
      <c r="M6257" s="8"/>
    </row>
    <row r="6258">
      <c r="B6258" s="8"/>
      <c r="G6258" s="8"/>
      <c r="M6258" s="8"/>
    </row>
    <row r="6259">
      <c r="B6259" s="8"/>
      <c r="G6259" s="8"/>
      <c r="M6259" s="8"/>
    </row>
    <row r="6260">
      <c r="B6260" s="8"/>
      <c r="G6260" s="8"/>
      <c r="M6260" s="8"/>
    </row>
    <row r="6261">
      <c r="B6261" s="8"/>
      <c r="G6261" s="8"/>
      <c r="M6261" s="8"/>
    </row>
    <row r="6262">
      <c r="B6262" s="8"/>
      <c r="G6262" s="8"/>
      <c r="M6262" s="8"/>
    </row>
    <row r="6263">
      <c r="B6263" s="8"/>
      <c r="G6263" s="8"/>
      <c r="M6263" s="8"/>
    </row>
    <row r="6264">
      <c r="B6264" s="8"/>
      <c r="G6264" s="8"/>
      <c r="M6264" s="8"/>
    </row>
    <row r="6265">
      <c r="B6265" s="8"/>
      <c r="G6265" s="8"/>
      <c r="M6265" s="8"/>
    </row>
    <row r="6266">
      <c r="B6266" s="8"/>
      <c r="G6266" s="8"/>
      <c r="M6266" s="8"/>
    </row>
    <row r="6267">
      <c r="B6267" s="8"/>
      <c r="G6267" s="8"/>
      <c r="M6267" s="8"/>
    </row>
    <row r="6268">
      <c r="B6268" s="8"/>
      <c r="G6268" s="8"/>
      <c r="M6268" s="8"/>
    </row>
    <row r="6269">
      <c r="B6269" s="8"/>
      <c r="G6269" s="8"/>
      <c r="M6269" s="8"/>
    </row>
    <row r="6270">
      <c r="B6270" s="8"/>
      <c r="G6270" s="8"/>
      <c r="M6270" s="8"/>
    </row>
    <row r="6271">
      <c r="B6271" s="8"/>
      <c r="G6271" s="8"/>
      <c r="M6271" s="8"/>
    </row>
    <row r="6272">
      <c r="B6272" s="8"/>
      <c r="G6272" s="8"/>
      <c r="M6272" s="8"/>
    </row>
    <row r="6273">
      <c r="B6273" s="8"/>
      <c r="G6273" s="8"/>
      <c r="M6273" s="8"/>
    </row>
    <row r="6274">
      <c r="B6274" s="8"/>
      <c r="G6274" s="8"/>
      <c r="M6274" s="8"/>
    </row>
    <row r="6275">
      <c r="B6275" s="8"/>
      <c r="G6275" s="8"/>
      <c r="M6275" s="8"/>
    </row>
    <row r="6276">
      <c r="B6276" s="8"/>
      <c r="G6276" s="8"/>
      <c r="M6276" s="8"/>
    </row>
    <row r="6277">
      <c r="B6277" s="8"/>
      <c r="G6277" s="8"/>
      <c r="M6277" s="8"/>
    </row>
    <row r="6278">
      <c r="B6278" s="8"/>
      <c r="G6278" s="8"/>
      <c r="M6278" s="8"/>
    </row>
    <row r="6279">
      <c r="B6279" s="8"/>
      <c r="G6279" s="8"/>
      <c r="M6279" s="8"/>
    </row>
    <row r="6280">
      <c r="B6280" s="8"/>
      <c r="G6280" s="8"/>
      <c r="M6280" s="8"/>
    </row>
    <row r="6281">
      <c r="B6281" s="8"/>
      <c r="G6281" s="8"/>
      <c r="M6281" s="8"/>
    </row>
    <row r="6282">
      <c r="B6282" s="8"/>
      <c r="G6282" s="8"/>
      <c r="M6282" s="8"/>
    </row>
    <row r="6283">
      <c r="B6283" s="8"/>
      <c r="G6283" s="8"/>
      <c r="M6283" s="8"/>
    </row>
    <row r="6284">
      <c r="B6284" s="8"/>
      <c r="G6284" s="8"/>
      <c r="M6284" s="8"/>
    </row>
    <row r="6285">
      <c r="B6285" s="8"/>
      <c r="G6285" s="8"/>
      <c r="M6285" s="8"/>
    </row>
    <row r="6286">
      <c r="B6286" s="8"/>
      <c r="G6286" s="8"/>
      <c r="M6286" s="8"/>
    </row>
    <row r="6287">
      <c r="B6287" s="8"/>
      <c r="G6287" s="8"/>
      <c r="M6287" s="8"/>
    </row>
    <row r="6288">
      <c r="B6288" s="8"/>
      <c r="G6288" s="8"/>
      <c r="M6288" s="8"/>
    </row>
    <row r="6289">
      <c r="B6289" s="8"/>
      <c r="G6289" s="8"/>
      <c r="M6289" s="8"/>
    </row>
    <row r="6290">
      <c r="B6290" s="8"/>
      <c r="G6290" s="8"/>
      <c r="M6290" s="8"/>
    </row>
    <row r="6291">
      <c r="B6291" s="8"/>
      <c r="G6291" s="8"/>
      <c r="M6291" s="8"/>
    </row>
    <row r="6292">
      <c r="B6292" s="8"/>
      <c r="G6292" s="8"/>
      <c r="M6292" s="8"/>
    </row>
    <row r="6293">
      <c r="B6293" s="8"/>
      <c r="G6293" s="8"/>
      <c r="M6293" s="8"/>
    </row>
    <row r="6294">
      <c r="B6294" s="8"/>
      <c r="G6294" s="8"/>
      <c r="M6294" s="8"/>
    </row>
    <row r="6295">
      <c r="B6295" s="8"/>
      <c r="G6295" s="8"/>
      <c r="M6295" s="8"/>
    </row>
    <row r="6296">
      <c r="B6296" s="8"/>
      <c r="G6296" s="8"/>
      <c r="M6296" s="8"/>
    </row>
    <row r="6297">
      <c r="B6297" s="8"/>
      <c r="G6297" s="8"/>
      <c r="M6297" s="8"/>
    </row>
    <row r="6298">
      <c r="B6298" s="8"/>
      <c r="G6298" s="8"/>
      <c r="M6298" s="8"/>
    </row>
    <row r="6299">
      <c r="B6299" s="8"/>
      <c r="G6299" s="8"/>
      <c r="M6299" s="8"/>
    </row>
    <row r="6300">
      <c r="B6300" s="8"/>
      <c r="G6300" s="8"/>
      <c r="M6300" s="8"/>
    </row>
    <row r="6301">
      <c r="B6301" s="8"/>
      <c r="G6301" s="8"/>
      <c r="M6301" s="8"/>
    </row>
    <row r="6302">
      <c r="B6302" s="8"/>
      <c r="G6302" s="8"/>
      <c r="M6302" s="8"/>
    </row>
    <row r="6303">
      <c r="B6303" s="8"/>
      <c r="G6303" s="8"/>
      <c r="M6303" s="8"/>
    </row>
    <row r="6304">
      <c r="B6304" s="8"/>
      <c r="G6304" s="8"/>
      <c r="M6304" s="8"/>
    </row>
    <row r="6305">
      <c r="B6305" s="8"/>
      <c r="G6305" s="8"/>
      <c r="M6305" s="8"/>
    </row>
    <row r="6306">
      <c r="B6306" s="8"/>
      <c r="G6306" s="8"/>
      <c r="M6306" s="8"/>
    </row>
    <row r="6307">
      <c r="B6307" s="8"/>
      <c r="G6307" s="8"/>
      <c r="M6307" s="8"/>
    </row>
    <row r="6308">
      <c r="B6308" s="8"/>
      <c r="G6308" s="8"/>
      <c r="M6308" s="8"/>
    </row>
    <row r="6309">
      <c r="B6309" s="8"/>
      <c r="G6309" s="8"/>
      <c r="M6309" s="8"/>
    </row>
    <row r="6310">
      <c r="B6310" s="8"/>
      <c r="G6310" s="8"/>
      <c r="M6310" s="8"/>
    </row>
    <row r="6311">
      <c r="B6311" s="8"/>
      <c r="G6311" s="8"/>
      <c r="M6311" s="8"/>
    </row>
    <row r="6312">
      <c r="B6312" s="8"/>
      <c r="G6312" s="8"/>
      <c r="M6312" s="8"/>
    </row>
    <row r="6313">
      <c r="B6313" s="8"/>
      <c r="G6313" s="8"/>
      <c r="M6313" s="8"/>
    </row>
    <row r="6314">
      <c r="B6314" s="8"/>
      <c r="G6314" s="8"/>
      <c r="M6314" s="8"/>
    </row>
    <row r="6315">
      <c r="B6315" s="8"/>
      <c r="G6315" s="8"/>
      <c r="M6315" s="8"/>
    </row>
    <row r="6316">
      <c r="B6316" s="8"/>
      <c r="G6316" s="8"/>
      <c r="M6316" s="8"/>
    </row>
    <row r="6317">
      <c r="B6317" s="8"/>
      <c r="G6317" s="8"/>
      <c r="M6317" s="8"/>
    </row>
    <row r="6318">
      <c r="B6318" s="8"/>
      <c r="G6318" s="8"/>
      <c r="M6318" s="8"/>
    </row>
    <row r="6319">
      <c r="B6319" s="8"/>
      <c r="G6319" s="8"/>
      <c r="M6319" s="8"/>
    </row>
    <row r="6320">
      <c r="B6320" s="8"/>
      <c r="G6320" s="8"/>
      <c r="M6320" s="8"/>
    </row>
    <row r="6321">
      <c r="B6321" s="8"/>
      <c r="G6321" s="8"/>
      <c r="M6321" s="8"/>
    </row>
    <row r="6322">
      <c r="B6322" s="8"/>
      <c r="G6322" s="8"/>
      <c r="M6322" s="8"/>
    </row>
    <row r="6323">
      <c r="B6323" s="8"/>
      <c r="G6323" s="8"/>
      <c r="M6323" s="8"/>
    </row>
    <row r="6324">
      <c r="B6324" s="8"/>
      <c r="G6324" s="8"/>
      <c r="M6324" s="8"/>
    </row>
    <row r="6325">
      <c r="B6325" s="8"/>
      <c r="G6325" s="8"/>
      <c r="M6325" s="8"/>
    </row>
    <row r="6326">
      <c r="B6326" s="8"/>
      <c r="G6326" s="8"/>
      <c r="M6326" s="8"/>
    </row>
    <row r="6327">
      <c r="B6327" s="8"/>
      <c r="G6327" s="8"/>
      <c r="M6327" s="8"/>
    </row>
    <row r="6328">
      <c r="B6328" s="8"/>
      <c r="G6328" s="8"/>
      <c r="M6328" s="8"/>
    </row>
    <row r="6329">
      <c r="B6329" s="8"/>
      <c r="G6329" s="8"/>
      <c r="M6329" s="8"/>
    </row>
    <row r="6330">
      <c r="B6330" s="8"/>
      <c r="G6330" s="8"/>
      <c r="M6330" s="8"/>
    </row>
    <row r="6331">
      <c r="B6331" s="8"/>
      <c r="G6331" s="8"/>
      <c r="M6331" s="8"/>
    </row>
    <row r="6332">
      <c r="B6332" s="8"/>
      <c r="G6332" s="8"/>
      <c r="M6332" s="8"/>
    </row>
    <row r="6333">
      <c r="B6333" s="8"/>
      <c r="G6333" s="8"/>
      <c r="M6333" s="8"/>
    </row>
    <row r="6334">
      <c r="B6334" s="8"/>
      <c r="G6334" s="8"/>
      <c r="M6334" s="8"/>
    </row>
    <row r="6335">
      <c r="B6335" s="8"/>
      <c r="G6335" s="8"/>
      <c r="M6335" s="8"/>
    </row>
    <row r="6336">
      <c r="B6336" s="8"/>
      <c r="G6336" s="8"/>
      <c r="M6336" s="8"/>
    </row>
    <row r="6337">
      <c r="B6337" s="8"/>
      <c r="G6337" s="8"/>
      <c r="M6337" s="8"/>
    </row>
    <row r="6338">
      <c r="B6338" s="8"/>
      <c r="G6338" s="8"/>
      <c r="M6338" s="8"/>
    </row>
    <row r="6339">
      <c r="B6339" s="8"/>
      <c r="G6339" s="8"/>
      <c r="M6339" s="8"/>
    </row>
    <row r="6340">
      <c r="B6340" s="8"/>
      <c r="G6340" s="8"/>
      <c r="M6340" s="8"/>
    </row>
    <row r="6341">
      <c r="B6341" s="8"/>
      <c r="G6341" s="8"/>
      <c r="M6341" s="8"/>
    </row>
    <row r="6342">
      <c r="B6342" s="8"/>
      <c r="G6342" s="8"/>
      <c r="M6342" s="8"/>
    </row>
    <row r="6343">
      <c r="B6343" s="8"/>
      <c r="G6343" s="8"/>
      <c r="M6343" s="8"/>
    </row>
    <row r="6344">
      <c r="B6344" s="8"/>
      <c r="G6344" s="8"/>
      <c r="M6344" s="8"/>
    </row>
    <row r="6345">
      <c r="B6345" s="8"/>
      <c r="G6345" s="8"/>
      <c r="M6345" s="8"/>
    </row>
    <row r="6346">
      <c r="B6346" s="8"/>
      <c r="G6346" s="8"/>
      <c r="M6346" s="8"/>
    </row>
    <row r="6347">
      <c r="B6347" s="8"/>
      <c r="G6347" s="8"/>
      <c r="M6347" s="8"/>
    </row>
    <row r="6348">
      <c r="B6348" s="8"/>
      <c r="G6348" s="8"/>
      <c r="M6348" s="8"/>
    </row>
    <row r="6349">
      <c r="B6349" s="8"/>
      <c r="G6349" s="8"/>
      <c r="M6349" s="8"/>
    </row>
    <row r="6350">
      <c r="B6350" s="8"/>
      <c r="G6350" s="8"/>
      <c r="M6350" s="8"/>
    </row>
    <row r="6351">
      <c r="B6351" s="8"/>
      <c r="G6351" s="8"/>
      <c r="M6351" s="8"/>
    </row>
    <row r="6352">
      <c r="B6352" s="8"/>
      <c r="G6352" s="8"/>
      <c r="M6352" s="8"/>
    </row>
    <row r="6353">
      <c r="B6353" s="8"/>
      <c r="G6353" s="8"/>
      <c r="M6353" s="8"/>
    </row>
    <row r="6354">
      <c r="B6354" s="8"/>
      <c r="G6354" s="8"/>
      <c r="M6354" s="8"/>
    </row>
    <row r="6355">
      <c r="B6355" s="8"/>
      <c r="G6355" s="8"/>
      <c r="M6355" s="8"/>
    </row>
    <row r="6356">
      <c r="B6356" s="8"/>
      <c r="G6356" s="8"/>
      <c r="M6356" s="8"/>
    </row>
    <row r="6357">
      <c r="B6357" s="8"/>
      <c r="G6357" s="8"/>
      <c r="M6357" s="8"/>
    </row>
    <row r="6358">
      <c r="B6358" s="8"/>
      <c r="G6358" s="8"/>
      <c r="M6358" s="8"/>
    </row>
    <row r="6359">
      <c r="B6359" s="8"/>
      <c r="G6359" s="8"/>
      <c r="M6359" s="8"/>
    </row>
    <row r="6360">
      <c r="B6360" s="8"/>
      <c r="G6360" s="8"/>
      <c r="M6360" s="8"/>
    </row>
    <row r="6361">
      <c r="B6361" s="8"/>
      <c r="G6361" s="8"/>
      <c r="M6361" s="8"/>
    </row>
    <row r="6362">
      <c r="B6362" s="8"/>
      <c r="G6362" s="8"/>
      <c r="M6362" s="8"/>
    </row>
    <row r="6363">
      <c r="B6363" s="8"/>
      <c r="G6363" s="8"/>
      <c r="M6363" s="8"/>
    </row>
    <row r="6364">
      <c r="B6364" s="8"/>
      <c r="G6364" s="8"/>
      <c r="M6364" s="8"/>
    </row>
    <row r="6365">
      <c r="B6365" s="8"/>
      <c r="G6365" s="8"/>
      <c r="M6365" s="8"/>
    </row>
    <row r="6366">
      <c r="B6366" s="8"/>
      <c r="G6366" s="8"/>
      <c r="M6366" s="8"/>
    </row>
    <row r="6367">
      <c r="B6367" s="8"/>
      <c r="G6367" s="8"/>
      <c r="M6367" s="8"/>
    </row>
    <row r="6368">
      <c r="B6368" s="8"/>
      <c r="G6368" s="8"/>
      <c r="M6368" s="8"/>
    </row>
    <row r="6369">
      <c r="B6369" s="8"/>
      <c r="G6369" s="8"/>
      <c r="M6369" s="8"/>
    </row>
    <row r="6370">
      <c r="B6370" s="8"/>
      <c r="G6370" s="8"/>
      <c r="M6370" s="8"/>
    </row>
    <row r="6371">
      <c r="B6371" s="8"/>
      <c r="G6371" s="8"/>
      <c r="M6371" s="8"/>
    </row>
    <row r="6372">
      <c r="B6372" s="8"/>
      <c r="G6372" s="8"/>
      <c r="M6372" s="8"/>
    </row>
    <row r="6373">
      <c r="B6373" s="8"/>
      <c r="G6373" s="8"/>
      <c r="M6373" s="8"/>
    </row>
    <row r="6374">
      <c r="B6374" s="8"/>
      <c r="G6374" s="8"/>
      <c r="M6374" s="8"/>
    </row>
    <row r="6375">
      <c r="B6375" s="8"/>
      <c r="G6375" s="8"/>
      <c r="M6375" s="8"/>
    </row>
    <row r="6376">
      <c r="B6376" s="8"/>
      <c r="G6376" s="8"/>
      <c r="M6376" s="8"/>
    </row>
    <row r="6377">
      <c r="B6377" s="8"/>
      <c r="G6377" s="8"/>
      <c r="M6377" s="8"/>
    </row>
    <row r="6378">
      <c r="B6378" s="8"/>
      <c r="G6378" s="8"/>
      <c r="M6378" s="8"/>
    </row>
    <row r="6379">
      <c r="B6379" s="8"/>
      <c r="G6379" s="8"/>
      <c r="M6379" s="8"/>
    </row>
    <row r="6380">
      <c r="B6380" s="8"/>
      <c r="G6380" s="8"/>
      <c r="M6380" s="8"/>
    </row>
    <row r="6381">
      <c r="B6381" s="8"/>
      <c r="G6381" s="8"/>
      <c r="M6381" s="8"/>
    </row>
    <row r="6382">
      <c r="B6382" s="8"/>
      <c r="G6382" s="8"/>
      <c r="M6382" s="8"/>
    </row>
    <row r="6383">
      <c r="B6383" s="8"/>
      <c r="G6383" s="8"/>
      <c r="M6383" s="8"/>
    </row>
    <row r="6384">
      <c r="B6384" s="8"/>
      <c r="G6384" s="8"/>
      <c r="M6384" s="8"/>
    </row>
    <row r="6385">
      <c r="B6385" s="8"/>
      <c r="G6385" s="8"/>
      <c r="M6385" s="8"/>
    </row>
    <row r="6386">
      <c r="B6386" s="8"/>
      <c r="G6386" s="8"/>
      <c r="M6386" s="8"/>
    </row>
    <row r="6387">
      <c r="B6387" s="8"/>
      <c r="G6387" s="8"/>
      <c r="M6387" s="8"/>
    </row>
    <row r="6388">
      <c r="B6388" s="8"/>
      <c r="G6388" s="8"/>
      <c r="M6388" s="8"/>
    </row>
    <row r="6389">
      <c r="B6389" s="8"/>
      <c r="G6389" s="8"/>
      <c r="M6389" s="8"/>
    </row>
    <row r="6390">
      <c r="B6390" s="8"/>
      <c r="G6390" s="8"/>
      <c r="M6390" s="8"/>
    </row>
    <row r="6391">
      <c r="B6391" s="8"/>
      <c r="G6391" s="8"/>
      <c r="M6391" s="8"/>
    </row>
    <row r="6392">
      <c r="B6392" s="8"/>
      <c r="G6392" s="8"/>
      <c r="M6392" s="8"/>
    </row>
    <row r="6393">
      <c r="B6393" s="8"/>
      <c r="G6393" s="8"/>
      <c r="M6393" s="8"/>
    </row>
    <row r="6394">
      <c r="B6394" s="8"/>
      <c r="G6394" s="8"/>
      <c r="M6394" s="8"/>
    </row>
    <row r="6395">
      <c r="B6395" s="8"/>
      <c r="G6395" s="8"/>
      <c r="M6395" s="8"/>
    </row>
    <row r="6396">
      <c r="B6396" s="8"/>
      <c r="G6396" s="8"/>
      <c r="M6396" s="8"/>
    </row>
    <row r="6397">
      <c r="B6397" s="8"/>
      <c r="G6397" s="8"/>
      <c r="M6397" s="8"/>
    </row>
    <row r="6398">
      <c r="B6398" s="8"/>
      <c r="G6398" s="8"/>
      <c r="M6398" s="8"/>
    </row>
    <row r="6399">
      <c r="B6399" s="8"/>
      <c r="G6399" s="8"/>
      <c r="M6399" s="8"/>
    </row>
    <row r="6400">
      <c r="B6400" s="8"/>
      <c r="G6400" s="8"/>
      <c r="M6400" s="8"/>
    </row>
    <row r="6401">
      <c r="B6401" s="8"/>
      <c r="G6401" s="8"/>
      <c r="M6401" s="8"/>
    </row>
    <row r="6402">
      <c r="B6402" s="8"/>
      <c r="G6402" s="8"/>
      <c r="M6402" s="8"/>
    </row>
    <row r="6403">
      <c r="B6403" s="8"/>
      <c r="G6403" s="8"/>
      <c r="M6403" s="8"/>
    </row>
    <row r="6404">
      <c r="B6404" s="8"/>
      <c r="G6404" s="8"/>
      <c r="M6404" s="8"/>
    </row>
    <row r="6405">
      <c r="B6405" s="8"/>
      <c r="G6405" s="8"/>
      <c r="M6405" s="8"/>
    </row>
    <row r="6406">
      <c r="B6406" s="8"/>
      <c r="G6406" s="8"/>
      <c r="M6406" s="8"/>
    </row>
    <row r="6407">
      <c r="B6407" s="8"/>
      <c r="G6407" s="8"/>
      <c r="M6407" s="8"/>
    </row>
    <row r="6408">
      <c r="B6408" s="8"/>
      <c r="G6408" s="8"/>
      <c r="M6408" s="8"/>
    </row>
    <row r="6409">
      <c r="B6409" s="8"/>
      <c r="G6409" s="8"/>
      <c r="M6409" s="8"/>
    </row>
    <row r="6410">
      <c r="B6410" s="8"/>
      <c r="G6410" s="8"/>
      <c r="M6410" s="8"/>
    </row>
    <row r="6411">
      <c r="B6411" s="8"/>
      <c r="G6411" s="8"/>
      <c r="M6411" s="8"/>
    </row>
    <row r="6412">
      <c r="B6412" s="8"/>
      <c r="G6412" s="8"/>
      <c r="M6412" s="8"/>
    </row>
    <row r="6413">
      <c r="B6413" s="8"/>
      <c r="G6413" s="8"/>
      <c r="M6413" s="8"/>
    </row>
    <row r="6414">
      <c r="B6414" s="8"/>
      <c r="G6414" s="8"/>
      <c r="M6414" s="8"/>
    </row>
    <row r="6415">
      <c r="B6415" s="8"/>
      <c r="G6415" s="8"/>
      <c r="M6415" s="8"/>
    </row>
    <row r="6416">
      <c r="B6416" s="8"/>
      <c r="G6416" s="8"/>
      <c r="M6416" s="8"/>
    </row>
    <row r="6417">
      <c r="B6417" s="8"/>
      <c r="G6417" s="8"/>
      <c r="M6417" s="8"/>
    </row>
    <row r="6418">
      <c r="B6418" s="8"/>
      <c r="G6418" s="8"/>
      <c r="M6418" s="8"/>
    </row>
    <row r="6419">
      <c r="B6419" s="8"/>
      <c r="G6419" s="8"/>
      <c r="M6419" s="8"/>
    </row>
    <row r="6420">
      <c r="B6420" s="8"/>
      <c r="G6420" s="8"/>
      <c r="M6420" s="8"/>
    </row>
    <row r="6421">
      <c r="B6421" s="8"/>
      <c r="G6421" s="8"/>
      <c r="M6421" s="8"/>
    </row>
    <row r="6422">
      <c r="B6422" s="8"/>
      <c r="G6422" s="8"/>
      <c r="M6422" s="8"/>
    </row>
    <row r="6423">
      <c r="B6423" s="8"/>
      <c r="G6423" s="8"/>
      <c r="M6423" s="8"/>
    </row>
    <row r="6424">
      <c r="B6424" s="8"/>
      <c r="G6424" s="8"/>
      <c r="M6424" s="8"/>
    </row>
    <row r="6425">
      <c r="B6425" s="8"/>
      <c r="G6425" s="8"/>
      <c r="M6425" s="8"/>
    </row>
    <row r="6426">
      <c r="B6426" s="8"/>
      <c r="G6426" s="8"/>
      <c r="M6426" s="8"/>
    </row>
    <row r="6427">
      <c r="B6427" s="8"/>
      <c r="G6427" s="8"/>
      <c r="M6427" s="8"/>
    </row>
    <row r="6428">
      <c r="B6428" s="8"/>
      <c r="G6428" s="8"/>
      <c r="M6428" s="8"/>
    </row>
    <row r="6429">
      <c r="B6429" s="8"/>
      <c r="G6429" s="8"/>
      <c r="M6429" s="8"/>
    </row>
    <row r="6430">
      <c r="B6430" s="8"/>
      <c r="G6430" s="8"/>
      <c r="M6430" s="8"/>
    </row>
    <row r="6431">
      <c r="B6431" s="8"/>
      <c r="G6431" s="8"/>
      <c r="M6431" s="8"/>
    </row>
    <row r="6432">
      <c r="B6432" s="8"/>
      <c r="G6432" s="8"/>
      <c r="M6432" s="8"/>
    </row>
    <row r="6433">
      <c r="B6433" s="8"/>
      <c r="G6433" s="8"/>
      <c r="M6433" s="8"/>
    </row>
    <row r="6434">
      <c r="B6434" s="8"/>
      <c r="G6434" s="8"/>
      <c r="M6434" s="8"/>
    </row>
    <row r="6435">
      <c r="B6435" s="8"/>
      <c r="G6435" s="8"/>
      <c r="M6435" s="8"/>
    </row>
    <row r="6436">
      <c r="B6436" s="8"/>
      <c r="G6436" s="8"/>
      <c r="M6436" s="8"/>
    </row>
    <row r="6437">
      <c r="B6437" s="8"/>
      <c r="G6437" s="8"/>
      <c r="M6437" s="8"/>
    </row>
    <row r="6438">
      <c r="B6438" s="8"/>
      <c r="G6438" s="8"/>
      <c r="M6438" s="8"/>
    </row>
    <row r="6439">
      <c r="B6439" s="8"/>
      <c r="G6439" s="8"/>
      <c r="M6439" s="8"/>
    </row>
    <row r="6440">
      <c r="B6440" s="8"/>
      <c r="G6440" s="8"/>
      <c r="M6440" s="8"/>
    </row>
    <row r="6441">
      <c r="B6441" s="8"/>
      <c r="G6441" s="8"/>
      <c r="M6441" s="8"/>
    </row>
    <row r="6442">
      <c r="B6442" s="8"/>
      <c r="G6442" s="8"/>
      <c r="M6442" s="8"/>
    </row>
    <row r="6443">
      <c r="B6443" s="8"/>
      <c r="G6443" s="8"/>
      <c r="M6443" s="8"/>
    </row>
    <row r="6444">
      <c r="B6444" s="8"/>
      <c r="G6444" s="8"/>
      <c r="M6444" s="8"/>
    </row>
    <row r="6445">
      <c r="B6445" s="8"/>
      <c r="G6445" s="8"/>
      <c r="M6445" s="8"/>
    </row>
    <row r="6446">
      <c r="B6446" s="8"/>
      <c r="G6446" s="8"/>
      <c r="M6446" s="8"/>
    </row>
    <row r="6447">
      <c r="B6447" s="8"/>
      <c r="G6447" s="8"/>
      <c r="M6447" s="8"/>
    </row>
    <row r="6448">
      <c r="B6448" s="8"/>
      <c r="G6448" s="8"/>
      <c r="M6448" s="8"/>
    </row>
    <row r="6449">
      <c r="B6449" s="8"/>
      <c r="G6449" s="8"/>
      <c r="M6449" s="8"/>
    </row>
    <row r="6450">
      <c r="B6450" s="8"/>
      <c r="G6450" s="8"/>
      <c r="M6450" s="8"/>
    </row>
    <row r="6451">
      <c r="B6451" s="8"/>
      <c r="G6451" s="8"/>
      <c r="M6451" s="8"/>
    </row>
    <row r="6452">
      <c r="B6452" s="8"/>
      <c r="G6452" s="8"/>
      <c r="M6452" s="8"/>
    </row>
    <row r="6453">
      <c r="B6453" s="8"/>
      <c r="G6453" s="8"/>
      <c r="M6453" s="8"/>
    </row>
    <row r="6454">
      <c r="B6454" s="8"/>
      <c r="G6454" s="8"/>
      <c r="M6454" s="8"/>
    </row>
    <row r="6455">
      <c r="B6455" s="8"/>
      <c r="G6455" s="8"/>
      <c r="M6455" s="8"/>
    </row>
    <row r="6456">
      <c r="B6456" s="8"/>
      <c r="G6456" s="8"/>
      <c r="M6456" s="8"/>
    </row>
    <row r="6457">
      <c r="B6457" s="8"/>
      <c r="G6457" s="8"/>
      <c r="M6457" s="8"/>
    </row>
    <row r="6458">
      <c r="B6458" s="8"/>
      <c r="G6458" s="8"/>
      <c r="M6458" s="8"/>
    </row>
    <row r="6459">
      <c r="B6459" s="8"/>
      <c r="G6459" s="8"/>
      <c r="M6459" s="8"/>
    </row>
    <row r="6460">
      <c r="B6460" s="8"/>
      <c r="G6460" s="8"/>
      <c r="M6460" s="8"/>
    </row>
    <row r="6461">
      <c r="B6461" s="8"/>
      <c r="G6461" s="8"/>
      <c r="M6461" s="8"/>
    </row>
    <row r="6462">
      <c r="B6462" s="8"/>
      <c r="G6462" s="8"/>
      <c r="M6462" s="8"/>
    </row>
    <row r="6463">
      <c r="B6463" s="8"/>
      <c r="G6463" s="8"/>
      <c r="M6463" s="8"/>
    </row>
    <row r="6464">
      <c r="B6464" s="8"/>
      <c r="G6464" s="8"/>
      <c r="M6464" s="8"/>
    </row>
    <row r="6465">
      <c r="B6465" s="8"/>
      <c r="G6465" s="8"/>
      <c r="M6465" s="8"/>
    </row>
    <row r="6466">
      <c r="B6466" s="8"/>
      <c r="G6466" s="8"/>
      <c r="M6466" s="8"/>
    </row>
    <row r="6467">
      <c r="B6467" s="8"/>
      <c r="G6467" s="8"/>
      <c r="M6467" s="8"/>
    </row>
    <row r="6468">
      <c r="B6468" s="8"/>
      <c r="G6468" s="8"/>
      <c r="M6468" s="8"/>
    </row>
    <row r="6469">
      <c r="B6469" s="8"/>
      <c r="G6469" s="8"/>
      <c r="M6469" s="8"/>
    </row>
    <row r="6470">
      <c r="B6470" s="8"/>
      <c r="G6470" s="8"/>
      <c r="M6470" s="8"/>
    </row>
    <row r="6471">
      <c r="B6471" s="8"/>
      <c r="G6471" s="8"/>
      <c r="M6471" s="8"/>
    </row>
    <row r="6472">
      <c r="B6472" s="8"/>
      <c r="G6472" s="8"/>
      <c r="M6472" s="8"/>
    </row>
    <row r="6473">
      <c r="B6473" s="8"/>
      <c r="G6473" s="8"/>
      <c r="M6473" s="8"/>
    </row>
    <row r="6474">
      <c r="B6474" s="8"/>
      <c r="G6474" s="8"/>
      <c r="M6474" s="8"/>
    </row>
    <row r="6475">
      <c r="B6475" s="8"/>
      <c r="G6475" s="8"/>
      <c r="M6475" s="8"/>
    </row>
    <row r="6476">
      <c r="B6476" s="8"/>
      <c r="G6476" s="8"/>
      <c r="M6476" s="8"/>
    </row>
    <row r="6477">
      <c r="B6477" s="8"/>
      <c r="G6477" s="8"/>
      <c r="M6477" s="8"/>
    </row>
    <row r="6478">
      <c r="B6478" s="8"/>
      <c r="G6478" s="8"/>
      <c r="M6478" s="8"/>
    </row>
    <row r="6479">
      <c r="B6479" s="8"/>
      <c r="G6479" s="8"/>
      <c r="M6479" s="8"/>
    </row>
    <row r="6480">
      <c r="B6480" s="8"/>
      <c r="G6480" s="8"/>
      <c r="M6480" s="8"/>
    </row>
    <row r="6481">
      <c r="B6481" s="8"/>
      <c r="G6481" s="8"/>
      <c r="M6481" s="8"/>
    </row>
    <row r="6482">
      <c r="B6482" s="8"/>
      <c r="G6482" s="8"/>
      <c r="M6482" s="8"/>
    </row>
    <row r="6483">
      <c r="B6483" s="8"/>
      <c r="G6483" s="8"/>
      <c r="M6483" s="8"/>
    </row>
    <row r="6484">
      <c r="B6484" s="8"/>
      <c r="G6484" s="8"/>
      <c r="M6484" s="8"/>
    </row>
    <row r="6485">
      <c r="B6485" s="8"/>
      <c r="G6485" s="8"/>
      <c r="M6485" s="8"/>
    </row>
    <row r="6486">
      <c r="B6486" s="8"/>
      <c r="G6486" s="8"/>
      <c r="M6486" s="8"/>
    </row>
    <row r="6487">
      <c r="B6487" s="8"/>
      <c r="G6487" s="8"/>
      <c r="M6487" s="8"/>
    </row>
    <row r="6488">
      <c r="B6488" s="8"/>
      <c r="G6488" s="8"/>
      <c r="M6488" s="8"/>
    </row>
    <row r="6489">
      <c r="B6489" s="8"/>
      <c r="G6489" s="8"/>
      <c r="M6489" s="8"/>
    </row>
    <row r="6490">
      <c r="B6490" s="8"/>
      <c r="G6490" s="8"/>
      <c r="M6490" s="8"/>
    </row>
    <row r="6491">
      <c r="B6491" s="8"/>
      <c r="G6491" s="8"/>
      <c r="M6491" s="8"/>
    </row>
    <row r="6492">
      <c r="B6492" s="8"/>
      <c r="G6492" s="8"/>
      <c r="M6492" s="8"/>
    </row>
    <row r="6493">
      <c r="B6493" s="8"/>
      <c r="G6493" s="8"/>
      <c r="M6493" s="8"/>
    </row>
    <row r="6494">
      <c r="B6494" s="8"/>
      <c r="G6494" s="8"/>
      <c r="M6494" s="8"/>
    </row>
    <row r="6495">
      <c r="B6495" s="8"/>
      <c r="G6495" s="8"/>
      <c r="M6495" s="8"/>
    </row>
    <row r="6496">
      <c r="B6496" s="8"/>
      <c r="G6496" s="8"/>
      <c r="M6496" s="8"/>
    </row>
    <row r="6497">
      <c r="B6497" s="8"/>
      <c r="G6497" s="8"/>
      <c r="M6497" s="8"/>
    </row>
    <row r="6498">
      <c r="B6498" s="8"/>
      <c r="G6498" s="8"/>
      <c r="M6498" s="8"/>
    </row>
    <row r="6499">
      <c r="B6499" s="8"/>
      <c r="G6499" s="8"/>
      <c r="M6499" s="8"/>
    </row>
    <row r="6500">
      <c r="B6500" s="8"/>
      <c r="G6500" s="8"/>
      <c r="M6500" s="8"/>
    </row>
    <row r="6501">
      <c r="B6501" s="8"/>
      <c r="G6501" s="8"/>
      <c r="M6501" s="8"/>
    </row>
    <row r="6502">
      <c r="B6502" s="8"/>
      <c r="G6502" s="8"/>
      <c r="M6502" s="8"/>
    </row>
    <row r="6503">
      <c r="B6503" s="8"/>
      <c r="G6503" s="8"/>
      <c r="M6503" s="8"/>
    </row>
    <row r="6504">
      <c r="B6504" s="8"/>
      <c r="G6504" s="8"/>
      <c r="M6504" s="8"/>
    </row>
    <row r="6505">
      <c r="B6505" s="8"/>
      <c r="G6505" s="8"/>
      <c r="M6505" s="8"/>
    </row>
    <row r="6506">
      <c r="B6506" s="8"/>
      <c r="G6506" s="8"/>
      <c r="M6506" s="8"/>
    </row>
    <row r="6507">
      <c r="B6507" s="8"/>
      <c r="G6507" s="8"/>
      <c r="M6507" s="8"/>
    </row>
    <row r="6508">
      <c r="B6508" s="8"/>
      <c r="G6508" s="8"/>
      <c r="M6508" s="8"/>
    </row>
    <row r="6509">
      <c r="B6509" s="8"/>
      <c r="G6509" s="8"/>
      <c r="M6509" s="8"/>
    </row>
    <row r="6510">
      <c r="B6510" s="8"/>
      <c r="G6510" s="8"/>
      <c r="M6510" s="8"/>
    </row>
    <row r="6511">
      <c r="B6511" s="8"/>
      <c r="G6511" s="8"/>
      <c r="M6511" s="8"/>
    </row>
    <row r="6512">
      <c r="B6512" s="8"/>
      <c r="G6512" s="8"/>
      <c r="M6512" s="8"/>
    </row>
    <row r="6513">
      <c r="B6513" s="8"/>
      <c r="G6513" s="8"/>
      <c r="M6513" s="8"/>
    </row>
    <row r="6514">
      <c r="B6514" s="8"/>
      <c r="G6514" s="8"/>
      <c r="M6514" s="8"/>
    </row>
    <row r="6515">
      <c r="B6515" s="8"/>
      <c r="G6515" s="8"/>
      <c r="M6515" s="8"/>
    </row>
    <row r="6516">
      <c r="B6516" s="8"/>
      <c r="G6516" s="8"/>
      <c r="M6516" s="8"/>
    </row>
    <row r="6517">
      <c r="B6517" s="8"/>
      <c r="G6517" s="8"/>
      <c r="M6517" s="8"/>
    </row>
    <row r="6518">
      <c r="B6518" s="8"/>
      <c r="G6518" s="8"/>
      <c r="M6518" s="8"/>
    </row>
    <row r="6519">
      <c r="B6519" s="8"/>
      <c r="G6519" s="8"/>
      <c r="M6519" s="8"/>
    </row>
    <row r="6520">
      <c r="B6520" s="8"/>
      <c r="G6520" s="8"/>
      <c r="M6520" s="8"/>
    </row>
    <row r="6521">
      <c r="B6521" s="8"/>
      <c r="G6521" s="8"/>
      <c r="M6521" s="8"/>
    </row>
    <row r="6522">
      <c r="B6522" s="8"/>
      <c r="G6522" s="8"/>
      <c r="M6522" s="8"/>
    </row>
    <row r="6523">
      <c r="B6523" s="8"/>
      <c r="G6523" s="8"/>
      <c r="M6523" s="8"/>
    </row>
    <row r="6524">
      <c r="B6524" s="8"/>
      <c r="G6524" s="8"/>
      <c r="M6524" s="8"/>
    </row>
    <row r="6525">
      <c r="B6525" s="8"/>
      <c r="G6525" s="8"/>
      <c r="M6525" s="8"/>
    </row>
    <row r="6526">
      <c r="B6526" s="8"/>
      <c r="G6526" s="8"/>
      <c r="M6526" s="8"/>
    </row>
    <row r="6527">
      <c r="B6527" s="8"/>
      <c r="G6527" s="8"/>
      <c r="M6527" s="8"/>
    </row>
    <row r="6528">
      <c r="B6528" s="8"/>
      <c r="G6528" s="8"/>
      <c r="M6528" s="8"/>
    </row>
    <row r="6529">
      <c r="B6529" s="8"/>
      <c r="G6529" s="8"/>
      <c r="M6529" s="8"/>
    </row>
    <row r="6530">
      <c r="B6530" s="8"/>
      <c r="G6530" s="8"/>
      <c r="M6530" s="8"/>
    </row>
    <row r="6531">
      <c r="B6531" s="8"/>
      <c r="G6531" s="8"/>
      <c r="M6531" s="8"/>
    </row>
    <row r="6532">
      <c r="B6532" s="8"/>
      <c r="G6532" s="8"/>
      <c r="M6532" s="8"/>
    </row>
    <row r="6533">
      <c r="B6533" s="8"/>
      <c r="G6533" s="8"/>
      <c r="M6533" s="8"/>
    </row>
    <row r="6534">
      <c r="B6534" s="8"/>
      <c r="G6534" s="8"/>
      <c r="M6534" s="8"/>
    </row>
    <row r="6535">
      <c r="B6535" s="8"/>
      <c r="G6535" s="8"/>
      <c r="M6535" s="8"/>
    </row>
    <row r="6536">
      <c r="B6536" s="8"/>
      <c r="G6536" s="8"/>
      <c r="M6536" s="8"/>
    </row>
    <row r="6537">
      <c r="B6537" s="8"/>
      <c r="G6537" s="8"/>
      <c r="M6537" s="8"/>
    </row>
    <row r="6538">
      <c r="B6538" s="8"/>
      <c r="G6538" s="8"/>
      <c r="M6538" s="8"/>
    </row>
    <row r="6539">
      <c r="B6539" s="8"/>
      <c r="G6539" s="8"/>
      <c r="M6539" s="8"/>
    </row>
    <row r="6540">
      <c r="B6540" s="8"/>
      <c r="G6540" s="8"/>
      <c r="M6540" s="8"/>
    </row>
    <row r="6541">
      <c r="B6541" s="8"/>
      <c r="G6541" s="8"/>
      <c r="M6541" s="8"/>
    </row>
    <row r="6542">
      <c r="B6542" s="8"/>
      <c r="G6542" s="8"/>
      <c r="M6542" s="8"/>
    </row>
    <row r="6543">
      <c r="B6543" s="8"/>
      <c r="G6543" s="8"/>
      <c r="M6543" s="8"/>
    </row>
    <row r="6544">
      <c r="B6544" s="8"/>
      <c r="G6544" s="8"/>
      <c r="M6544" s="8"/>
    </row>
    <row r="6545">
      <c r="B6545" s="8"/>
      <c r="G6545" s="8"/>
      <c r="M6545" s="8"/>
    </row>
    <row r="6546">
      <c r="B6546" s="8"/>
      <c r="G6546" s="8"/>
      <c r="M6546" s="8"/>
    </row>
    <row r="6547">
      <c r="B6547" s="8"/>
      <c r="G6547" s="8"/>
      <c r="M6547" s="8"/>
    </row>
    <row r="6548">
      <c r="B6548" s="8"/>
      <c r="G6548" s="8"/>
      <c r="M6548" s="8"/>
    </row>
    <row r="6549">
      <c r="B6549" s="8"/>
      <c r="G6549" s="8"/>
      <c r="M6549" s="8"/>
    </row>
    <row r="6550">
      <c r="B6550" s="8"/>
      <c r="G6550" s="8"/>
      <c r="M6550" s="8"/>
    </row>
    <row r="6551">
      <c r="B6551" s="8"/>
      <c r="G6551" s="8"/>
      <c r="M6551" s="8"/>
    </row>
    <row r="6552">
      <c r="B6552" s="8"/>
      <c r="G6552" s="8"/>
      <c r="M6552" s="8"/>
    </row>
    <row r="6553">
      <c r="B6553" s="8"/>
      <c r="G6553" s="8"/>
      <c r="M6553" s="8"/>
    </row>
    <row r="6554">
      <c r="B6554" s="8"/>
      <c r="G6554" s="8"/>
      <c r="M6554" s="8"/>
    </row>
    <row r="6555">
      <c r="B6555" s="8"/>
      <c r="G6555" s="8"/>
      <c r="M6555" s="8"/>
    </row>
    <row r="6556">
      <c r="B6556" s="8"/>
      <c r="G6556" s="8"/>
      <c r="M6556" s="8"/>
    </row>
    <row r="6557">
      <c r="B6557" s="8"/>
      <c r="G6557" s="8"/>
      <c r="M6557" s="8"/>
    </row>
    <row r="6558">
      <c r="B6558" s="8"/>
      <c r="G6558" s="8"/>
      <c r="M6558" s="8"/>
    </row>
    <row r="6559">
      <c r="B6559" s="8"/>
      <c r="G6559" s="8"/>
      <c r="M6559" s="8"/>
    </row>
    <row r="6560">
      <c r="B6560" s="8"/>
      <c r="G6560" s="8"/>
      <c r="M6560" s="8"/>
    </row>
    <row r="6561">
      <c r="B6561" s="8"/>
      <c r="G6561" s="8"/>
      <c r="M6561" s="8"/>
    </row>
    <row r="6562">
      <c r="B6562" s="8"/>
      <c r="G6562" s="8"/>
      <c r="M6562" s="8"/>
    </row>
    <row r="6563">
      <c r="B6563" s="8"/>
      <c r="G6563" s="8"/>
      <c r="M6563" s="8"/>
    </row>
    <row r="6564">
      <c r="B6564" s="8"/>
      <c r="G6564" s="8"/>
      <c r="M6564" s="8"/>
    </row>
    <row r="6565">
      <c r="B6565" s="8"/>
      <c r="G6565" s="8"/>
      <c r="M6565" s="8"/>
    </row>
    <row r="6566">
      <c r="B6566" s="8"/>
      <c r="G6566" s="8"/>
      <c r="M6566" s="8"/>
    </row>
    <row r="6567">
      <c r="B6567" s="8"/>
      <c r="G6567" s="8"/>
      <c r="M6567" s="8"/>
    </row>
    <row r="6568">
      <c r="B6568" s="8"/>
      <c r="G6568" s="8"/>
      <c r="M6568" s="8"/>
    </row>
    <row r="6569">
      <c r="B6569" s="8"/>
      <c r="G6569" s="8"/>
      <c r="M6569" s="8"/>
    </row>
    <row r="6570">
      <c r="B6570" s="8"/>
      <c r="G6570" s="8"/>
      <c r="M6570" s="8"/>
    </row>
    <row r="6571">
      <c r="B6571" s="8"/>
      <c r="G6571" s="8"/>
      <c r="M6571" s="8"/>
    </row>
    <row r="6572">
      <c r="B6572" s="8"/>
      <c r="G6572" s="8"/>
      <c r="M6572" s="8"/>
    </row>
    <row r="6573">
      <c r="B6573" s="8"/>
      <c r="G6573" s="8"/>
      <c r="M6573" s="8"/>
    </row>
    <row r="6574">
      <c r="B6574" s="8"/>
      <c r="G6574" s="8"/>
      <c r="M6574" s="8"/>
    </row>
    <row r="6575">
      <c r="B6575" s="8"/>
      <c r="G6575" s="8"/>
      <c r="M6575" s="8"/>
    </row>
    <row r="6576">
      <c r="B6576" s="8"/>
      <c r="G6576" s="8"/>
      <c r="M6576" s="8"/>
    </row>
    <row r="6577">
      <c r="B6577" s="8"/>
      <c r="G6577" s="8"/>
      <c r="M6577" s="8"/>
    </row>
    <row r="6578">
      <c r="B6578" s="8"/>
      <c r="G6578" s="8"/>
      <c r="M6578" s="8"/>
    </row>
    <row r="6579">
      <c r="B6579" s="8"/>
      <c r="G6579" s="8"/>
      <c r="M6579" s="8"/>
    </row>
    <row r="6580">
      <c r="B6580" s="8"/>
      <c r="G6580" s="8"/>
      <c r="M6580" s="8"/>
    </row>
    <row r="6581">
      <c r="B6581" s="8"/>
      <c r="G6581" s="8"/>
      <c r="M6581" s="8"/>
    </row>
    <row r="6582">
      <c r="B6582" s="8"/>
      <c r="G6582" s="8"/>
      <c r="M6582" s="8"/>
    </row>
    <row r="6583">
      <c r="B6583" s="8"/>
      <c r="G6583" s="8"/>
      <c r="M6583" s="8"/>
    </row>
    <row r="6584">
      <c r="B6584" s="8"/>
      <c r="G6584" s="8"/>
      <c r="M6584" s="8"/>
    </row>
    <row r="6585">
      <c r="B6585" s="8"/>
      <c r="G6585" s="8"/>
      <c r="M6585" s="8"/>
    </row>
    <row r="6586">
      <c r="B6586" s="8"/>
      <c r="G6586" s="8"/>
      <c r="M6586" s="8"/>
    </row>
    <row r="6587">
      <c r="B6587" s="8"/>
      <c r="G6587" s="8"/>
      <c r="M6587" s="8"/>
    </row>
    <row r="6588">
      <c r="B6588" s="8"/>
      <c r="G6588" s="8"/>
      <c r="M6588" s="8"/>
    </row>
    <row r="6589">
      <c r="B6589" s="8"/>
      <c r="G6589" s="8"/>
      <c r="M6589" s="8"/>
    </row>
    <row r="6590">
      <c r="B6590" s="8"/>
      <c r="G6590" s="8"/>
      <c r="M6590" s="8"/>
    </row>
    <row r="6591">
      <c r="B6591" s="8"/>
      <c r="G6591" s="8"/>
      <c r="M6591" s="8"/>
    </row>
    <row r="6592">
      <c r="B6592" s="8"/>
      <c r="G6592" s="8"/>
      <c r="M6592" s="8"/>
    </row>
    <row r="6593">
      <c r="B6593" s="8"/>
      <c r="G6593" s="8"/>
      <c r="M6593" s="8"/>
    </row>
    <row r="6594">
      <c r="B6594" s="8"/>
      <c r="G6594" s="8"/>
      <c r="M6594" s="8"/>
    </row>
    <row r="6595">
      <c r="B6595" s="8"/>
      <c r="G6595" s="8"/>
      <c r="M6595" s="8"/>
    </row>
    <row r="6596">
      <c r="B6596" s="8"/>
      <c r="G6596" s="8"/>
      <c r="M6596" s="8"/>
    </row>
    <row r="6597">
      <c r="B6597" s="8"/>
      <c r="G6597" s="8"/>
      <c r="M6597" s="8"/>
    </row>
    <row r="6598">
      <c r="B6598" s="8"/>
      <c r="G6598" s="8"/>
      <c r="M6598" s="8"/>
    </row>
    <row r="6599">
      <c r="B6599" s="8"/>
      <c r="G6599" s="8"/>
      <c r="M6599" s="8"/>
    </row>
    <row r="6600">
      <c r="B6600" s="8"/>
      <c r="G6600" s="8"/>
      <c r="M6600" s="8"/>
    </row>
    <row r="6601">
      <c r="B6601" s="8"/>
      <c r="G6601" s="8"/>
      <c r="M6601" s="8"/>
    </row>
    <row r="6602">
      <c r="B6602" s="8"/>
      <c r="G6602" s="8"/>
      <c r="M6602" s="8"/>
    </row>
    <row r="6603">
      <c r="B6603" s="8"/>
      <c r="G6603" s="8"/>
      <c r="M6603" s="8"/>
    </row>
    <row r="6604">
      <c r="B6604" s="8"/>
      <c r="G6604" s="8"/>
      <c r="M6604" s="8"/>
    </row>
    <row r="6605">
      <c r="B6605" s="8"/>
      <c r="G6605" s="8"/>
      <c r="M6605" s="8"/>
    </row>
    <row r="6606">
      <c r="B6606" s="8"/>
      <c r="G6606" s="8"/>
      <c r="M6606" s="8"/>
    </row>
    <row r="6607">
      <c r="B6607" s="8"/>
      <c r="G6607" s="8"/>
      <c r="M6607" s="8"/>
    </row>
    <row r="6608">
      <c r="B6608" s="8"/>
      <c r="G6608" s="8"/>
      <c r="M6608" s="8"/>
    </row>
    <row r="6609">
      <c r="B6609" s="8"/>
      <c r="G6609" s="8"/>
      <c r="M6609" s="8"/>
    </row>
    <row r="6610">
      <c r="B6610" s="8"/>
      <c r="G6610" s="8"/>
      <c r="M6610" s="8"/>
    </row>
    <row r="6611">
      <c r="B6611" s="8"/>
      <c r="G6611" s="8"/>
      <c r="M6611" s="8"/>
    </row>
    <row r="6612">
      <c r="B6612" s="8"/>
      <c r="G6612" s="8"/>
      <c r="M6612" s="8"/>
    </row>
    <row r="6613">
      <c r="B6613" s="8"/>
      <c r="G6613" s="8"/>
      <c r="M6613" s="8"/>
    </row>
    <row r="6614">
      <c r="B6614" s="8"/>
      <c r="G6614" s="8"/>
      <c r="M6614" s="8"/>
    </row>
    <row r="6615">
      <c r="B6615" s="8"/>
      <c r="G6615" s="8"/>
      <c r="M6615" s="8"/>
    </row>
    <row r="6616">
      <c r="B6616" s="8"/>
      <c r="G6616" s="8"/>
      <c r="M6616" s="8"/>
    </row>
    <row r="6617">
      <c r="B6617" s="8"/>
      <c r="G6617" s="8"/>
      <c r="M6617" s="8"/>
    </row>
    <row r="6618">
      <c r="B6618" s="8"/>
      <c r="G6618" s="8"/>
      <c r="M6618" s="8"/>
    </row>
    <row r="6619">
      <c r="B6619" s="8"/>
      <c r="G6619" s="8"/>
      <c r="M6619" s="8"/>
    </row>
    <row r="6620">
      <c r="B6620" s="8"/>
      <c r="G6620" s="8"/>
      <c r="M6620" s="8"/>
    </row>
    <row r="6621">
      <c r="B6621" s="8"/>
      <c r="G6621" s="8"/>
      <c r="M6621" s="8"/>
    </row>
    <row r="6622">
      <c r="B6622" s="8"/>
      <c r="G6622" s="8"/>
      <c r="M6622" s="8"/>
    </row>
    <row r="6623">
      <c r="B6623" s="8"/>
      <c r="G6623" s="8"/>
      <c r="M6623" s="8"/>
    </row>
    <row r="6624">
      <c r="B6624" s="8"/>
      <c r="G6624" s="8"/>
      <c r="M6624" s="8"/>
    </row>
    <row r="6625">
      <c r="B6625" s="8"/>
      <c r="G6625" s="8"/>
      <c r="M6625" s="8"/>
    </row>
    <row r="6626">
      <c r="B6626" s="8"/>
      <c r="G6626" s="8"/>
      <c r="M6626" s="8"/>
    </row>
    <row r="6627">
      <c r="B6627" s="8"/>
      <c r="G6627" s="8"/>
      <c r="M6627" s="8"/>
    </row>
    <row r="6628">
      <c r="B6628" s="8"/>
      <c r="G6628" s="8"/>
      <c r="M6628" s="8"/>
    </row>
    <row r="6629">
      <c r="B6629" s="8"/>
      <c r="G6629" s="8"/>
      <c r="M6629" s="8"/>
    </row>
    <row r="6630">
      <c r="B6630" s="8"/>
      <c r="G6630" s="8"/>
      <c r="M6630" s="8"/>
    </row>
    <row r="6631">
      <c r="B6631" s="8"/>
      <c r="G6631" s="8"/>
      <c r="M6631" s="8"/>
    </row>
    <row r="6632">
      <c r="B6632" s="8"/>
      <c r="G6632" s="8"/>
      <c r="M6632" s="8"/>
    </row>
    <row r="6633">
      <c r="B6633" s="8"/>
      <c r="G6633" s="8"/>
      <c r="M6633" s="8"/>
    </row>
    <row r="6634">
      <c r="B6634" s="8"/>
      <c r="G6634" s="8"/>
      <c r="M6634" s="8"/>
    </row>
    <row r="6635">
      <c r="B6635" s="8"/>
      <c r="G6635" s="8"/>
      <c r="M6635" s="8"/>
    </row>
    <row r="6636">
      <c r="B6636" s="8"/>
      <c r="G6636" s="8"/>
      <c r="M6636" s="8"/>
    </row>
    <row r="6637">
      <c r="B6637" s="8"/>
      <c r="G6637" s="8"/>
      <c r="M6637" s="8"/>
    </row>
    <row r="6638">
      <c r="B6638" s="8"/>
      <c r="G6638" s="8"/>
      <c r="M6638" s="8"/>
    </row>
    <row r="6639">
      <c r="B6639" s="8"/>
      <c r="G6639" s="8"/>
      <c r="M6639" s="8"/>
    </row>
    <row r="6640">
      <c r="B6640" s="8"/>
      <c r="G6640" s="8"/>
      <c r="M6640" s="8"/>
    </row>
    <row r="6641">
      <c r="B6641" s="8"/>
      <c r="G6641" s="8"/>
      <c r="M6641" s="8"/>
    </row>
    <row r="6642">
      <c r="B6642" s="8"/>
      <c r="G6642" s="8"/>
      <c r="M6642" s="8"/>
    </row>
    <row r="6643">
      <c r="B6643" s="8"/>
      <c r="G6643" s="8"/>
      <c r="M6643" s="8"/>
    </row>
    <row r="6644">
      <c r="B6644" s="8"/>
      <c r="G6644" s="8"/>
      <c r="M6644" s="8"/>
    </row>
    <row r="6645">
      <c r="B6645" s="8"/>
      <c r="G6645" s="8"/>
      <c r="M6645" s="8"/>
    </row>
    <row r="6646">
      <c r="B6646" s="8"/>
      <c r="G6646" s="8"/>
      <c r="M6646" s="8"/>
    </row>
    <row r="6647">
      <c r="B6647" s="8"/>
      <c r="G6647" s="8"/>
      <c r="M6647" s="8"/>
    </row>
    <row r="6648">
      <c r="B6648" s="8"/>
      <c r="G6648" s="8"/>
      <c r="M6648" s="8"/>
    </row>
    <row r="6649">
      <c r="B6649" s="8"/>
      <c r="G6649" s="8"/>
      <c r="M6649" s="8"/>
    </row>
    <row r="6650">
      <c r="B6650" s="8"/>
      <c r="G6650" s="8"/>
      <c r="M6650" s="8"/>
    </row>
    <row r="6651">
      <c r="B6651" s="8"/>
      <c r="G6651" s="8"/>
      <c r="M6651" s="8"/>
    </row>
    <row r="6652">
      <c r="B6652" s="8"/>
      <c r="G6652" s="8"/>
      <c r="M6652" s="8"/>
    </row>
    <row r="6653">
      <c r="B6653" s="8"/>
      <c r="G6653" s="8"/>
      <c r="M6653" s="8"/>
    </row>
    <row r="6654">
      <c r="B6654" s="8"/>
      <c r="G6654" s="8"/>
      <c r="M6654" s="8"/>
    </row>
    <row r="6655">
      <c r="B6655" s="8"/>
      <c r="G6655" s="8"/>
      <c r="M6655" s="8"/>
    </row>
    <row r="6656">
      <c r="B6656" s="8"/>
      <c r="G6656" s="8"/>
      <c r="M6656" s="8"/>
    </row>
    <row r="6657">
      <c r="B6657" s="8"/>
      <c r="G6657" s="8"/>
      <c r="M6657" s="8"/>
    </row>
    <row r="6658">
      <c r="B6658" s="8"/>
      <c r="G6658" s="8"/>
      <c r="M6658" s="8"/>
    </row>
    <row r="6659">
      <c r="B6659" s="8"/>
      <c r="G6659" s="8"/>
      <c r="M6659" s="8"/>
    </row>
    <row r="6660">
      <c r="B6660" s="8"/>
      <c r="G6660" s="8"/>
      <c r="M6660" s="8"/>
    </row>
    <row r="6661">
      <c r="B6661" s="8"/>
      <c r="G6661" s="8"/>
      <c r="M6661" s="8"/>
    </row>
    <row r="6662">
      <c r="B6662" s="8"/>
      <c r="G6662" s="8"/>
      <c r="M6662" s="8"/>
    </row>
    <row r="6663">
      <c r="B6663" s="8"/>
      <c r="G6663" s="8"/>
      <c r="M6663" s="8"/>
    </row>
    <row r="6664">
      <c r="B6664" s="8"/>
      <c r="G6664" s="8"/>
      <c r="M6664" s="8"/>
    </row>
    <row r="6665">
      <c r="B6665" s="8"/>
      <c r="G6665" s="8"/>
      <c r="M6665" s="8"/>
    </row>
    <row r="6666">
      <c r="B6666" s="8"/>
      <c r="G6666" s="8"/>
      <c r="M6666" s="8"/>
    </row>
    <row r="6667">
      <c r="B6667" s="8"/>
      <c r="G6667" s="8"/>
      <c r="M6667" s="8"/>
    </row>
    <row r="6668">
      <c r="B6668" s="8"/>
      <c r="G6668" s="8"/>
      <c r="M6668" s="8"/>
    </row>
    <row r="6669">
      <c r="B6669" s="8"/>
      <c r="G6669" s="8"/>
      <c r="M6669" s="8"/>
    </row>
    <row r="6670">
      <c r="B6670" s="8"/>
      <c r="G6670" s="8"/>
      <c r="M6670" s="8"/>
    </row>
    <row r="6671">
      <c r="B6671" s="8"/>
      <c r="G6671" s="8"/>
      <c r="M6671" s="8"/>
    </row>
    <row r="6672">
      <c r="B6672" s="8"/>
      <c r="G6672" s="8"/>
      <c r="M6672" s="8"/>
    </row>
    <row r="6673">
      <c r="B6673" s="8"/>
      <c r="G6673" s="8"/>
      <c r="M6673" s="8"/>
    </row>
    <row r="6674">
      <c r="B6674" s="8"/>
      <c r="G6674" s="8"/>
      <c r="M6674" s="8"/>
    </row>
    <row r="6675">
      <c r="B6675" s="8"/>
      <c r="G6675" s="8"/>
      <c r="M6675" s="8"/>
    </row>
    <row r="6676">
      <c r="B6676" s="8"/>
      <c r="G6676" s="8"/>
      <c r="M6676" s="8"/>
    </row>
    <row r="6677">
      <c r="B6677" s="8"/>
      <c r="G6677" s="8"/>
      <c r="M6677" s="8"/>
    </row>
    <row r="6678">
      <c r="B6678" s="8"/>
      <c r="G6678" s="8"/>
      <c r="M6678" s="8"/>
    </row>
    <row r="6679">
      <c r="B6679" s="8"/>
      <c r="G6679" s="8"/>
      <c r="M6679" s="8"/>
    </row>
    <row r="6680">
      <c r="B6680" s="8"/>
      <c r="G6680" s="8"/>
      <c r="M6680" s="8"/>
    </row>
    <row r="6681">
      <c r="B6681" s="8"/>
      <c r="G6681" s="8"/>
      <c r="M6681" s="8"/>
    </row>
    <row r="6682">
      <c r="B6682" s="8"/>
      <c r="G6682" s="8"/>
      <c r="M6682" s="8"/>
    </row>
    <row r="6683">
      <c r="B6683" s="8"/>
      <c r="G6683" s="8"/>
      <c r="M6683" s="8"/>
    </row>
    <row r="6684">
      <c r="B6684" s="8"/>
      <c r="G6684" s="8"/>
      <c r="M6684" s="8"/>
    </row>
    <row r="6685">
      <c r="B6685" s="8"/>
      <c r="G6685" s="8"/>
      <c r="M6685" s="8"/>
    </row>
    <row r="6686">
      <c r="B6686" s="8"/>
      <c r="G6686" s="8"/>
      <c r="M6686" s="8"/>
    </row>
    <row r="6687">
      <c r="B6687" s="8"/>
      <c r="G6687" s="8"/>
      <c r="M6687" s="8"/>
    </row>
    <row r="6688">
      <c r="B6688" s="8"/>
      <c r="G6688" s="8"/>
      <c r="M6688" s="8"/>
    </row>
    <row r="6689">
      <c r="B6689" s="8"/>
      <c r="G6689" s="8"/>
      <c r="M6689" s="8"/>
    </row>
    <row r="6690">
      <c r="B6690" s="8"/>
      <c r="G6690" s="8"/>
      <c r="M6690" s="8"/>
    </row>
    <row r="6691">
      <c r="B6691" s="8"/>
      <c r="G6691" s="8"/>
      <c r="M6691" s="8"/>
    </row>
    <row r="6692">
      <c r="B6692" s="8"/>
      <c r="G6692" s="8"/>
      <c r="M6692" s="8"/>
    </row>
    <row r="6693">
      <c r="B6693" s="8"/>
      <c r="G6693" s="8"/>
      <c r="M6693" s="8"/>
    </row>
    <row r="6694">
      <c r="B6694" s="8"/>
      <c r="G6694" s="8"/>
      <c r="M6694" s="8"/>
    </row>
    <row r="6695">
      <c r="B6695" s="8"/>
      <c r="G6695" s="8"/>
      <c r="M6695" s="8"/>
    </row>
    <row r="6696">
      <c r="B6696" s="8"/>
      <c r="G6696" s="8"/>
      <c r="M6696" s="8"/>
    </row>
    <row r="6697">
      <c r="B6697" s="8"/>
      <c r="G6697" s="8"/>
      <c r="M6697" s="8"/>
    </row>
    <row r="6698">
      <c r="B6698" s="8"/>
      <c r="G6698" s="8"/>
      <c r="M6698" s="8"/>
    </row>
    <row r="6699">
      <c r="B6699" s="8"/>
      <c r="G6699" s="8"/>
      <c r="M6699" s="8"/>
    </row>
    <row r="6700">
      <c r="B6700" s="8"/>
      <c r="G6700" s="8"/>
      <c r="M6700" s="8"/>
    </row>
    <row r="6701">
      <c r="B6701" s="8"/>
      <c r="G6701" s="8"/>
      <c r="M6701" s="8"/>
    </row>
    <row r="6702">
      <c r="B6702" s="8"/>
      <c r="G6702" s="8"/>
      <c r="M6702" s="8"/>
    </row>
    <row r="6703">
      <c r="B6703" s="8"/>
      <c r="G6703" s="8"/>
      <c r="M6703" s="8"/>
    </row>
    <row r="6704">
      <c r="B6704" s="8"/>
      <c r="G6704" s="8"/>
      <c r="M6704" s="8"/>
    </row>
    <row r="6705">
      <c r="B6705" s="8"/>
      <c r="G6705" s="8"/>
      <c r="M6705" s="8"/>
    </row>
    <row r="6706">
      <c r="B6706" s="8"/>
      <c r="G6706" s="8"/>
      <c r="M6706" s="8"/>
    </row>
    <row r="6707">
      <c r="B6707" s="8"/>
      <c r="G6707" s="8"/>
      <c r="M6707" s="8"/>
    </row>
    <row r="6708">
      <c r="B6708" s="8"/>
      <c r="G6708" s="8"/>
      <c r="M6708" s="8"/>
    </row>
    <row r="6709">
      <c r="B6709" s="8"/>
      <c r="G6709" s="8"/>
      <c r="M6709" s="8"/>
    </row>
    <row r="6710">
      <c r="B6710" s="8"/>
      <c r="G6710" s="8"/>
      <c r="M6710" s="8"/>
    </row>
    <row r="6711">
      <c r="B6711" s="8"/>
      <c r="G6711" s="8"/>
      <c r="M6711" s="8"/>
    </row>
    <row r="6712">
      <c r="B6712" s="8"/>
      <c r="G6712" s="8"/>
      <c r="M6712" s="8"/>
    </row>
    <row r="6713">
      <c r="B6713" s="8"/>
      <c r="G6713" s="8"/>
      <c r="M6713" s="8"/>
    </row>
    <row r="6714">
      <c r="B6714" s="8"/>
      <c r="G6714" s="8"/>
      <c r="M6714" s="8"/>
    </row>
    <row r="6715">
      <c r="B6715" s="8"/>
      <c r="G6715" s="8"/>
      <c r="M6715" s="8"/>
    </row>
    <row r="6716">
      <c r="B6716" s="8"/>
      <c r="G6716" s="8"/>
      <c r="M6716" s="8"/>
    </row>
    <row r="6717">
      <c r="B6717" s="8"/>
      <c r="G6717" s="8"/>
      <c r="M6717" s="8"/>
    </row>
    <row r="6718">
      <c r="B6718" s="8"/>
      <c r="G6718" s="8"/>
      <c r="M6718" s="8"/>
    </row>
    <row r="6719">
      <c r="B6719" s="8"/>
      <c r="G6719" s="8"/>
      <c r="M6719" s="8"/>
    </row>
    <row r="6720">
      <c r="B6720" s="8"/>
      <c r="G6720" s="8"/>
      <c r="M6720" s="8"/>
    </row>
    <row r="6721">
      <c r="B6721" s="8"/>
      <c r="G6721" s="8"/>
      <c r="M6721" s="8"/>
    </row>
    <row r="6722">
      <c r="B6722" s="8"/>
      <c r="G6722" s="8"/>
      <c r="M6722" s="8"/>
    </row>
    <row r="6723">
      <c r="B6723" s="8"/>
      <c r="G6723" s="8"/>
      <c r="M6723" s="8"/>
    </row>
    <row r="6724">
      <c r="B6724" s="8"/>
      <c r="G6724" s="8"/>
      <c r="M6724" s="8"/>
    </row>
    <row r="6725">
      <c r="B6725" s="8"/>
      <c r="G6725" s="8"/>
      <c r="M6725" s="8"/>
    </row>
    <row r="6726">
      <c r="B6726" s="8"/>
      <c r="G6726" s="8"/>
      <c r="M6726" s="8"/>
    </row>
    <row r="6727">
      <c r="B6727" s="8"/>
      <c r="G6727" s="8"/>
      <c r="M6727" s="8"/>
    </row>
    <row r="6728">
      <c r="B6728" s="8"/>
      <c r="G6728" s="8"/>
      <c r="M6728" s="8"/>
    </row>
    <row r="6729">
      <c r="B6729" s="8"/>
      <c r="G6729" s="8"/>
      <c r="M6729" s="8"/>
    </row>
    <row r="6730">
      <c r="B6730" s="8"/>
      <c r="G6730" s="8"/>
      <c r="M6730" s="8"/>
    </row>
    <row r="6731">
      <c r="B6731" s="8"/>
      <c r="G6731" s="8"/>
      <c r="M6731" s="8"/>
    </row>
    <row r="6732">
      <c r="B6732" s="8"/>
      <c r="G6732" s="8"/>
      <c r="M6732" s="8"/>
    </row>
    <row r="6733">
      <c r="B6733" s="8"/>
      <c r="G6733" s="8"/>
      <c r="M6733" s="8"/>
    </row>
    <row r="6734">
      <c r="B6734" s="8"/>
      <c r="G6734" s="8"/>
      <c r="M6734" s="8"/>
    </row>
    <row r="6735">
      <c r="B6735" s="8"/>
      <c r="G6735" s="8"/>
      <c r="M6735" s="8"/>
    </row>
    <row r="6736">
      <c r="B6736" s="8"/>
      <c r="G6736" s="8"/>
      <c r="M6736" s="8"/>
    </row>
    <row r="6737">
      <c r="B6737" s="8"/>
      <c r="G6737" s="8"/>
      <c r="M6737" s="8"/>
    </row>
    <row r="6738">
      <c r="B6738" s="8"/>
      <c r="G6738" s="8"/>
      <c r="M6738" s="8"/>
    </row>
    <row r="6739">
      <c r="B6739" s="8"/>
      <c r="G6739" s="8"/>
      <c r="M6739" s="8"/>
    </row>
    <row r="6740">
      <c r="B6740" s="8"/>
      <c r="G6740" s="8"/>
      <c r="M6740" s="8"/>
    </row>
    <row r="6741">
      <c r="B6741" s="8"/>
      <c r="G6741" s="8"/>
      <c r="M6741" s="8"/>
    </row>
    <row r="6742">
      <c r="B6742" s="8"/>
      <c r="G6742" s="8"/>
      <c r="M6742" s="8"/>
    </row>
    <row r="6743">
      <c r="B6743" s="8"/>
      <c r="G6743" s="8"/>
      <c r="M6743" s="8"/>
    </row>
    <row r="6744">
      <c r="B6744" s="8"/>
      <c r="G6744" s="8"/>
      <c r="M6744" s="8"/>
    </row>
    <row r="6745">
      <c r="B6745" s="8"/>
      <c r="G6745" s="8"/>
      <c r="M6745" s="8"/>
    </row>
    <row r="6746">
      <c r="B6746" s="8"/>
      <c r="G6746" s="8"/>
      <c r="M6746" s="8"/>
    </row>
    <row r="6747">
      <c r="B6747" s="8"/>
      <c r="G6747" s="8"/>
      <c r="M6747" s="8"/>
    </row>
    <row r="6748">
      <c r="B6748" s="8"/>
      <c r="G6748" s="8"/>
      <c r="M6748" s="8"/>
    </row>
    <row r="6749">
      <c r="B6749" s="8"/>
      <c r="G6749" s="8"/>
      <c r="M6749" s="8"/>
    </row>
    <row r="6750">
      <c r="B6750" s="8"/>
      <c r="G6750" s="8"/>
      <c r="M6750" s="8"/>
    </row>
    <row r="6751">
      <c r="B6751" s="8"/>
      <c r="G6751" s="8"/>
      <c r="M6751" s="8"/>
    </row>
    <row r="6752">
      <c r="B6752" s="8"/>
      <c r="G6752" s="8"/>
      <c r="M6752" s="8"/>
    </row>
    <row r="6753">
      <c r="B6753" s="8"/>
      <c r="G6753" s="8"/>
      <c r="M6753" s="8"/>
    </row>
    <row r="6754">
      <c r="B6754" s="8"/>
      <c r="G6754" s="8"/>
      <c r="M6754" s="8"/>
    </row>
    <row r="6755">
      <c r="B6755" s="8"/>
      <c r="G6755" s="8"/>
      <c r="M6755" s="8"/>
    </row>
    <row r="6756">
      <c r="B6756" s="8"/>
      <c r="G6756" s="8"/>
      <c r="M6756" s="8"/>
    </row>
    <row r="6757">
      <c r="B6757" s="8"/>
      <c r="G6757" s="8"/>
      <c r="M6757" s="8"/>
    </row>
    <row r="6758">
      <c r="B6758" s="8"/>
      <c r="G6758" s="8"/>
      <c r="M6758" s="8"/>
    </row>
    <row r="6759">
      <c r="B6759" s="8"/>
      <c r="G6759" s="8"/>
      <c r="M6759" s="8"/>
    </row>
    <row r="6760">
      <c r="B6760" s="8"/>
      <c r="G6760" s="8"/>
      <c r="M6760" s="8"/>
    </row>
    <row r="6761">
      <c r="B6761" s="8"/>
      <c r="G6761" s="8"/>
      <c r="M6761" s="8"/>
    </row>
    <row r="6762">
      <c r="B6762" s="8"/>
      <c r="G6762" s="8"/>
      <c r="M6762" s="8"/>
    </row>
    <row r="6763">
      <c r="B6763" s="8"/>
      <c r="G6763" s="8"/>
      <c r="M6763" s="8"/>
    </row>
    <row r="6764">
      <c r="B6764" s="8"/>
      <c r="G6764" s="8"/>
      <c r="M6764" s="8"/>
    </row>
    <row r="6765">
      <c r="B6765" s="8"/>
      <c r="G6765" s="8"/>
      <c r="M6765" s="8"/>
    </row>
    <row r="6766">
      <c r="B6766" s="8"/>
      <c r="G6766" s="8"/>
      <c r="M6766" s="8"/>
    </row>
    <row r="6767">
      <c r="B6767" s="8"/>
      <c r="G6767" s="8"/>
      <c r="M6767" s="8"/>
    </row>
    <row r="6768">
      <c r="B6768" s="8"/>
      <c r="G6768" s="8"/>
      <c r="M6768" s="8"/>
    </row>
    <row r="6769">
      <c r="B6769" s="8"/>
      <c r="G6769" s="8"/>
      <c r="M6769" s="8"/>
    </row>
    <row r="6770">
      <c r="B6770" s="8"/>
      <c r="G6770" s="8"/>
      <c r="M6770" s="8"/>
    </row>
    <row r="6771">
      <c r="B6771" s="8"/>
      <c r="G6771" s="8"/>
      <c r="M6771" s="8"/>
    </row>
    <row r="6772">
      <c r="B6772" s="8"/>
      <c r="G6772" s="8"/>
      <c r="M6772" s="8"/>
    </row>
    <row r="6773">
      <c r="B6773" s="8"/>
      <c r="G6773" s="8"/>
      <c r="M6773" s="8"/>
    </row>
    <row r="6774">
      <c r="B6774" s="8"/>
      <c r="G6774" s="8"/>
      <c r="M6774" s="8"/>
    </row>
    <row r="6775">
      <c r="B6775" s="8"/>
      <c r="G6775" s="8"/>
      <c r="M6775" s="8"/>
    </row>
    <row r="6776">
      <c r="B6776" s="8"/>
      <c r="G6776" s="8"/>
      <c r="M6776" s="8"/>
    </row>
    <row r="6777">
      <c r="B6777" s="8"/>
      <c r="G6777" s="8"/>
      <c r="M6777" s="8"/>
    </row>
    <row r="6778">
      <c r="B6778" s="8"/>
      <c r="G6778" s="8"/>
      <c r="M6778" s="8"/>
    </row>
    <row r="6779">
      <c r="B6779" s="8"/>
      <c r="G6779" s="8"/>
      <c r="M6779" s="8"/>
    </row>
    <row r="6780">
      <c r="B6780" s="8"/>
      <c r="G6780" s="8"/>
      <c r="M6780" s="8"/>
    </row>
    <row r="6781">
      <c r="B6781" s="8"/>
      <c r="G6781" s="8"/>
      <c r="M6781" s="8"/>
    </row>
    <row r="6782">
      <c r="B6782" s="8"/>
      <c r="G6782" s="8"/>
      <c r="M6782" s="8"/>
    </row>
    <row r="6783">
      <c r="B6783" s="8"/>
      <c r="G6783" s="8"/>
      <c r="M6783" s="8"/>
    </row>
    <row r="6784">
      <c r="B6784" s="8"/>
      <c r="G6784" s="8"/>
      <c r="M6784" s="8"/>
    </row>
    <row r="6785">
      <c r="B6785" s="8"/>
      <c r="G6785" s="8"/>
      <c r="M6785" s="8"/>
    </row>
    <row r="6786">
      <c r="B6786" s="8"/>
      <c r="G6786" s="8"/>
      <c r="M6786" s="8"/>
    </row>
    <row r="6787">
      <c r="B6787" s="8"/>
      <c r="G6787" s="8"/>
      <c r="M6787" s="8"/>
    </row>
    <row r="6788">
      <c r="B6788" s="8"/>
      <c r="G6788" s="8"/>
      <c r="M6788" s="8"/>
    </row>
    <row r="6789">
      <c r="B6789" s="8"/>
      <c r="G6789" s="8"/>
      <c r="M6789" s="8"/>
    </row>
    <row r="6790">
      <c r="B6790" s="8"/>
      <c r="G6790" s="8"/>
      <c r="M6790" s="8"/>
    </row>
    <row r="6791">
      <c r="B6791" s="8"/>
      <c r="G6791" s="8"/>
      <c r="M6791" s="8"/>
    </row>
    <row r="6792">
      <c r="B6792" s="8"/>
      <c r="G6792" s="8"/>
      <c r="M6792" s="8"/>
    </row>
    <row r="6793">
      <c r="B6793" s="8"/>
      <c r="G6793" s="8"/>
      <c r="M6793" s="8"/>
    </row>
    <row r="6794">
      <c r="B6794" s="8"/>
      <c r="G6794" s="8"/>
      <c r="M6794" s="8"/>
    </row>
    <row r="6795">
      <c r="B6795" s="8"/>
      <c r="G6795" s="8"/>
      <c r="M6795" s="8"/>
    </row>
    <row r="6796">
      <c r="B6796" s="8"/>
      <c r="G6796" s="8"/>
      <c r="M6796" s="8"/>
    </row>
    <row r="6797">
      <c r="B6797" s="8"/>
      <c r="G6797" s="8"/>
      <c r="M6797" s="8"/>
    </row>
    <row r="6798">
      <c r="B6798" s="8"/>
      <c r="G6798" s="8"/>
      <c r="M6798" s="8"/>
    </row>
    <row r="6799">
      <c r="B6799" s="8"/>
      <c r="G6799" s="8"/>
      <c r="M6799" s="8"/>
    </row>
    <row r="6800">
      <c r="B6800" s="8"/>
      <c r="G6800" s="8"/>
      <c r="M6800" s="8"/>
    </row>
    <row r="6801">
      <c r="B6801" s="8"/>
      <c r="G6801" s="8"/>
      <c r="M6801" s="8"/>
    </row>
    <row r="6802">
      <c r="B6802" s="8"/>
      <c r="G6802" s="8"/>
      <c r="M6802" s="8"/>
    </row>
    <row r="6803">
      <c r="B6803" s="8"/>
      <c r="G6803" s="8"/>
      <c r="M6803" s="8"/>
    </row>
    <row r="6804">
      <c r="B6804" s="8"/>
      <c r="G6804" s="8"/>
      <c r="M6804" s="8"/>
    </row>
    <row r="6805">
      <c r="B6805" s="8"/>
      <c r="G6805" s="8"/>
      <c r="M6805" s="8"/>
    </row>
    <row r="6806">
      <c r="B6806" s="8"/>
      <c r="G6806" s="8"/>
      <c r="M6806" s="8"/>
    </row>
    <row r="6807">
      <c r="B6807" s="8"/>
      <c r="G6807" s="8"/>
      <c r="M6807" s="8"/>
    </row>
    <row r="6808">
      <c r="B6808" s="8"/>
      <c r="G6808" s="8"/>
      <c r="M6808" s="8"/>
    </row>
    <row r="6809">
      <c r="B6809" s="8"/>
      <c r="G6809" s="8"/>
      <c r="M6809" s="8"/>
    </row>
    <row r="6810">
      <c r="B6810" s="8"/>
      <c r="G6810" s="8"/>
      <c r="M6810" s="8"/>
    </row>
    <row r="6811">
      <c r="B6811" s="8"/>
      <c r="G6811" s="8"/>
      <c r="M6811" s="8"/>
    </row>
    <row r="6812">
      <c r="B6812" s="8"/>
      <c r="G6812" s="8"/>
      <c r="M6812" s="8"/>
    </row>
    <row r="6813">
      <c r="B6813" s="8"/>
      <c r="G6813" s="8"/>
      <c r="M6813" s="8"/>
    </row>
    <row r="6814">
      <c r="B6814" s="8"/>
      <c r="G6814" s="8"/>
      <c r="M6814" s="8"/>
    </row>
    <row r="6815">
      <c r="B6815" s="8"/>
      <c r="G6815" s="8"/>
      <c r="M6815" s="8"/>
    </row>
    <row r="6816">
      <c r="B6816" s="8"/>
      <c r="G6816" s="8"/>
      <c r="M6816" s="8"/>
    </row>
    <row r="6817">
      <c r="B6817" s="8"/>
      <c r="G6817" s="8"/>
      <c r="M6817" s="8"/>
    </row>
    <row r="6818">
      <c r="B6818" s="8"/>
      <c r="G6818" s="8"/>
      <c r="M6818" s="8"/>
    </row>
    <row r="6819">
      <c r="B6819" s="8"/>
      <c r="G6819" s="8"/>
      <c r="M6819" s="8"/>
    </row>
    <row r="6820">
      <c r="B6820" s="8"/>
      <c r="G6820" s="8"/>
      <c r="M6820" s="8"/>
    </row>
    <row r="6821">
      <c r="B6821" s="8"/>
      <c r="G6821" s="8"/>
      <c r="M6821" s="8"/>
    </row>
    <row r="6822">
      <c r="B6822" s="8"/>
      <c r="G6822" s="8"/>
      <c r="M6822" s="8"/>
    </row>
    <row r="6823">
      <c r="B6823" s="8"/>
      <c r="G6823" s="8"/>
      <c r="M6823" s="8"/>
    </row>
    <row r="6824">
      <c r="B6824" s="8"/>
      <c r="G6824" s="8"/>
      <c r="M6824" s="8"/>
    </row>
    <row r="6825">
      <c r="B6825" s="8"/>
      <c r="G6825" s="8"/>
      <c r="M6825" s="8"/>
    </row>
    <row r="6826">
      <c r="B6826" s="8"/>
      <c r="G6826" s="8"/>
      <c r="M6826" s="8"/>
    </row>
    <row r="6827">
      <c r="B6827" s="8"/>
      <c r="G6827" s="8"/>
      <c r="M6827" s="8"/>
    </row>
    <row r="6828">
      <c r="B6828" s="8"/>
      <c r="G6828" s="8"/>
      <c r="M6828" s="8"/>
    </row>
    <row r="6829">
      <c r="B6829" s="8"/>
      <c r="G6829" s="8"/>
      <c r="M6829" s="8"/>
    </row>
    <row r="6830">
      <c r="B6830" s="8"/>
      <c r="G6830" s="8"/>
      <c r="M6830" s="8"/>
    </row>
    <row r="6831">
      <c r="B6831" s="8"/>
      <c r="G6831" s="8"/>
      <c r="M6831" s="8"/>
    </row>
    <row r="6832">
      <c r="B6832" s="8"/>
      <c r="G6832" s="8"/>
      <c r="M6832" s="8"/>
    </row>
    <row r="6833">
      <c r="B6833" s="8"/>
      <c r="G6833" s="8"/>
      <c r="M6833" s="8"/>
    </row>
    <row r="6834">
      <c r="B6834" s="8"/>
      <c r="G6834" s="8"/>
      <c r="M6834" s="8"/>
    </row>
    <row r="6835">
      <c r="B6835" s="8"/>
      <c r="G6835" s="8"/>
      <c r="M6835" s="8"/>
    </row>
    <row r="6836">
      <c r="B6836" s="8"/>
      <c r="G6836" s="8"/>
      <c r="M6836" s="8"/>
    </row>
    <row r="6837">
      <c r="B6837" s="8"/>
      <c r="G6837" s="8"/>
      <c r="M6837" s="8"/>
    </row>
    <row r="6838">
      <c r="B6838" s="8"/>
      <c r="G6838" s="8"/>
      <c r="M6838" s="8"/>
    </row>
    <row r="6839">
      <c r="B6839" s="8"/>
      <c r="G6839" s="8"/>
      <c r="M6839" s="8"/>
    </row>
    <row r="6840">
      <c r="B6840" s="8"/>
      <c r="G6840" s="8"/>
      <c r="M6840" s="8"/>
    </row>
    <row r="6841">
      <c r="B6841" s="8"/>
      <c r="G6841" s="8"/>
      <c r="M6841" s="8"/>
    </row>
    <row r="6842">
      <c r="B6842" s="8"/>
      <c r="G6842" s="8"/>
      <c r="M6842" s="8"/>
    </row>
    <row r="6843">
      <c r="B6843" s="8"/>
      <c r="G6843" s="8"/>
      <c r="M6843" s="8"/>
    </row>
    <row r="6844">
      <c r="B6844" s="8"/>
      <c r="G6844" s="8"/>
      <c r="M6844" s="8"/>
    </row>
    <row r="6845">
      <c r="B6845" s="8"/>
      <c r="G6845" s="8"/>
      <c r="M6845" s="8"/>
    </row>
    <row r="6846">
      <c r="B6846" s="8"/>
      <c r="G6846" s="8"/>
      <c r="M6846" s="8"/>
    </row>
    <row r="6847">
      <c r="B6847" s="8"/>
      <c r="G6847" s="8"/>
      <c r="M6847" s="8"/>
    </row>
    <row r="6848">
      <c r="B6848" s="8"/>
      <c r="G6848" s="8"/>
      <c r="M6848" s="8"/>
    </row>
    <row r="6849">
      <c r="B6849" s="8"/>
      <c r="G6849" s="8"/>
      <c r="M6849" s="8"/>
    </row>
    <row r="6850">
      <c r="B6850" s="8"/>
      <c r="G6850" s="8"/>
      <c r="M6850" s="8"/>
    </row>
    <row r="6851">
      <c r="B6851" s="8"/>
      <c r="G6851" s="8"/>
      <c r="M6851" s="8"/>
    </row>
    <row r="6852">
      <c r="B6852" s="8"/>
      <c r="G6852" s="8"/>
      <c r="M6852" s="8"/>
    </row>
    <row r="6853">
      <c r="B6853" s="8"/>
      <c r="G6853" s="8"/>
      <c r="M6853" s="8"/>
    </row>
    <row r="6854">
      <c r="B6854" s="8"/>
      <c r="G6854" s="8"/>
      <c r="M6854" s="8"/>
    </row>
    <row r="6855">
      <c r="B6855" s="8"/>
      <c r="G6855" s="8"/>
      <c r="M6855" s="8"/>
    </row>
    <row r="6856">
      <c r="B6856" s="8"/>
      <c r="G6856" s="8"/>
      <c r="M6856" s="8"/>
    </row>
    <row r="6857">
      <c r="B6857" s="8"/>
      <c r="G6857" s="8"/>
      <c r="M6857" s="8"/>
    </row>
    <row r="6858">
      <c r="B6858" s="8"/>
      <c r="G6858" s="8"/>
      <c r="M6858" s="8"/>
    </row>
    <row r="6859">
      <c r="B6859" s="8"/>
      <c r="G6859" s="8"/>
      <c r="M6859" s="8"/>
    </row>
    <row r="6860">
      <c r="B6860" s="8"/>
      <c r="G6860" s="8"/>
      <c r="M6860" s="8"/>
    </row>
    <row r="6861">
      <c r="B6861" s="8"/>
      <c r="G6861" s="8"/>
      <c r="M6861" s="8"/>
    </row>
    <row r="6862">
      <c r="B6862" s="8"/>
      <c r="G6862" s="8"/>
      <c r="M6862" s="8"/>
    </row>
    <row r="6863">
      <c r="B6863" s="8"/>
      <c r="G6863" s="8"/>
      <c r="M6863" s="8"/>
    </row>
    <row r="6864">
      <c r="B6864" s="8"/>
      <c r="G6864" s="8"/>
      <c r="M6864" s="8"/>
    </row>
    <row r="6865">
      <c r="B6865" s="8"/>
      <c r="G6865" s="8"/>
      <c r="M6865" s="8"/>
    </row>
    <row r="6866">
      <c r="B6866" s="8"/>
      <c r="G6866" s="8"/>
      <c r="M6866" s="8"/>
    </row>
    <row r="6867">
      <c r="B6867" s="8"/>
      <c r="G6867" s="8"/>
      <c r="M6867" s="8"/>
    </row>
    <row r="6868">
      <c r="B6868" s="8"/>
      <c r="G6868" s="8"/>
      <c r="M6868" s="8"/>
    </row>
    <row r="6869">
      <c r="B6869" s="8"/>
      <c r="G6869" s="8"/>
      <c r="M6869" s="8"/>
    </row>
    <row r="6870">
      <c r="B6870" s="8"/>
      <c r="G6870" s="8"/>
      <c r="M6870" s="8"/>
    </row>
    <row r="6871">
      <c r="B6871" s="8"/>
      <c r="G6871" s="8"/>
      <c r="M6871" s="8"/>
    </row>
    <row r="6872">
      <c r="B6872" s="8"/>
      <c r="G6872" s="8"/>
      <c r="M6872" s="8"/>
    </row>
    <row r="6873">
      <c r="B6873" s="8"/>
      <c r="G6873" s="8"/>
      <c r="M6873" s="8"/>
    </row>
    <row r="6874">
      <c r="B6874" s="8"/>
      <c r="G6874" s="8"/>
      <c r="M6874" s="8"/>
    </row>
    <row r="6875">
      <c r="B6875" s="8"/>
      <c r="G6875" s="8"/>
      <c r="M6875" s="8"/>
    </row>
    <row r="6876">
      <c r="B6876" s="8"/>
      <c r="G6876" s="8"/>
      <c r="M6876" s="8"/>
    </row>
    <row r="6877">
      <c r="B6877" s="8"/>
      <c r="G6877" s="8"/>
      <c r="M6877" s="8"/>
    </row>
    <row r="6878">
      <c r="B6878" s="8"/>
      <c r="G6878" s="8"/>
      <c r="M6878" s="8"/>
    </row>
    <row r="6879">
      <c r="B6879" s="8"/>
      <c r="G6879" s="8"/>
      <c r="M6879" s="8"/>
    </row>
    <row r="6880">
      <c r="B6880" s="8"/>
      <c r="G6880" s="8"/>
      <c r="M6880" s="8"/>
    </row>
    <row r="6881">
      <c r="B6881" s="8"/>
      <c r="G6881" s="8"/>
      <c r="M6881" s="8"/>
    </row>
    <row r="6882">
      <c r="B6882" s="8"/>
      <c r="G6882" s="8"/>
      <c r="M6882" s="8"/>
    </row>
    <row r="6883">
      <c r="B6883" s="8"/>
      <c r="G6883" s="8"/>
      <c r="M6883" s="8"/>
    </row>
    <row r="6884">
      <c r="B6884" s="8"/>
      <c r="G6884" s="8"/>
      <c r="M6884" s="8"/>
    </row>
    <row r="6885">
      <c r="B6885" s="8"/>
      <c r="G6885" s="8"/>
      <c r="M6885" s="8"/>
    </row>
    <row r="6886">
      <c r="B6886" s="8"/>
      <c r="G6886" s="8"/>
      <c r="M6886" s="8"/>
    </row>
    <row r="6887">
      <c r="B6887" s="8"/>
      <c r="G6887" s="8"/>
      <c r="M6887" s="8"/>
    </row>
    <row r="6888">
      <c r="B6888" s="8"/>
      <c r="G6888" s="8"/>
      <c r="M6888" s="8"/>
    </row>
    <row r="6889">
      <c r="B6889" s="8"/>
      <c r="G6889" s="8"/>
      <c r="M6889" s="8"/>
    </row>
    <row r="6890">
      <c r="B6890" s="8"/>
      <c r="G6890" s="8"/>
      <c r="M6890" s="8"/>
    </row>
    <row r="6891">
      <c r="B6891" s="8"/>
      <c r="G6891" s="8"/>
      <c r="M6891" s="8"/>
    </row>
    <row r="6892">
      <c r="B6892" s="8"/>
      <c r="G6892" s="8"/>
      <c r="M6892" s="8"/>
    </row>
    <row r="6893">
      <c r="B6893" s="8"/>
      <c r="G6893" s="8"/>
      <c r="M6893" s="8"/>
    </row>
    <row r="6894">
      <c r="B6894" s="8"/>
      <c r="G6894" s="8"/>
      <c r="M6894" s="8"/>
    </row>
    <row r="6895">
      <c r="B6895" s="8"/>
      <c r="G6895" s="8"/>
      <c r="M6895" s="8"/>
    </row>
    <row r="6896">
      <c r="B6896" s="8"/>
      <c r="G6896" s="8"/>
      <c r="M6896" s="8"/>
    </row>
    <row r="6897">
      <c r="B6897" s="8"/>
      <c r="G6897" s="8"/>
      <c r="M6897" s="8"/>
    </row>
    <row r="6898">
      <c r="B6898" s="8"/>
      <c r="G6898" s="8"/>
      <c r="M6898" s="8"/>
    </row>
    <row r="6899">
      <c r="B6899" s="8"/>
      <c r="G6899" s="8"/>
      <c r="M6899" s="8"/>
    </row>
    <row r="6900">
      <c r="B6900" s="8"/>
      <c r="G6900" s="8"/>
      <c r="M6900" s="8"/>
    </row>
    <row r="6901">
      <c r="B6901" s="8"/>
      <c r="G6901" s="8"/>
      <c r="M6901" s="8"/>
    </row>
    <row r="6902">
      <c r="B6902" s="8"/>
      <c r="G6902" s="8"/>
      <c r="M6902" s="8"/>
    </row>
    <row r="6903">
      <c r="B6903" s="8"/>
      <c r="G6903" s="8"/>
      <c r="M6903" s="8"/>
    </row>
    <row r="6904">
      <c r="B6904" s="8"/>
      <c r="G6904" s="8"/>
      <c r="M6904" s="8"/>
    </row>
    <row r="6905">
      <c r="B6905" s="8"/>
      <c r="G6905" s="8"/>
      <c r="M6905" s="8"/>
    </row>
    <row r="6906">
      <c r="B6906" s="8"/>
      <c r="G6906" s="8"/>
      <c r="M6906" s="8"/>
    </row>
    <row r="6907">
      <c r="B6907" s="8"/>
      <c r="G6907" s="8"/>
      <c r="M6907" s="8"/>
    </row>
    <row r="6908">
      <c r="B6908" s="8"/>
      <c r="G6908" s="8"/>
      <c r="M6908" s="8"/>
    </row>
    <row r="6909">
      <c r="B6909" s="8"/>
      <c r="G6909" s="8"/>
      <c r="M6909" s="8"/>
    </row>
    <row r="6910">
      <c r="B6910" s="8"/>
      <c r="G6910" s="8"/>
      <c r="M6910" s="8"/>
    </row>
    <row r="6911">
      <c r="B6911" s="8"/>
      <c r="G6911" s="8"/>
      <c r="M6911" s="8"/>
    </row>
    <row r="6912">
      <c r="B6912" s="8"/>
      <c r="G6912" s="8"/>
      <c r="M6912" s="8"/>
    </row>
    <row r="6913">
      <c r="B6913" s="8"/>
      <c r="G6913" s="8"/>
      <c r="M6913" s="8"/>
    </row>
    <row r="6914">
      <c r="B6914" s="8"/>
      <c r="G6914" s="8"/>
      <c r="M6914" s="8"/>
    </row>
    <row r="6915">
      <c r="B6915" s="8"/>
      <c r="G6915" s="8"/>
      <c r="M6915" s="8"/>
    </row>
    <row r="6916">
      <c r="B6916" s="8"/>
      <c r="G6916" s="8"/>
      <c r="M6916" s="8"/>
    </row>
    <row r="6917">
      <c r="B6917" s="8"/>
      <c r="G6917" s="8"/>
      <c r="M6917" s="8"/>
    </row>
    <row r="6918">
      <c r="B6918" s="8"/>
      <c r="G6918" s="8"/>
      <c r="M6918" s="8"/>
    </row>
    <row r="6919">
      <c r="B6919" s="8"/>
      <c r="G6919" s="8"/>
      <c r="M6919" s="8"/>
    </row>
    <row r="6920">
      <c r="B6920" s="8"/>
      <c r="G6920" s="8"/>
      <c r="M6920" s="8"/>
    </row>
    <row r="6921">
      <c r="B6921" s="8"/>
      <c r="G6921" s="8"/>
      <c r="M6921" s="8"/>
    </row>
    <row r="6922">
      <c r="B6922" s="8"/>
      <c r="G6922" s="8"/>
      <c r="M6922" s="8"/>
    </row>
    <row r="6923">
      <c r="B6923" s="8"/>
      <c r="G6923" s="8"/>
      <c r="M6923" s="8"/>
    </row>
    <row r="6924">
      <c r="B6924" s="8"/>
      <c r="G6924" s="8"/>
      <c r="M6924" s="8"/>
    </row>
    <row r="6925">
      <c r="B6925" s="8"/>
      <c r="G6925" s="8"/>
      <c r="M6925" s="8"/>
    </row>
    <row r="6926">
      <c r="B6926" s="8"/>
      <c r="G6926" s="8"/>
      <c r="M6926" s="8"/>
    </row>
    <row r="6927">
      <c r="B6927" s="8"/>
      <c r="G6927" s="8"/>
      <c r="M6927" s="8"/>
    </row>
    <row r="6928">
      <c r="B6928" s="8"/>
      <c r="G6928" s="8"/>
      <c r="M6928" s="8"/>
    </row>
    <row r="6929">
      <c r="B6929" s="8"/>
      <c r="G6929" s="8"/>
      <c r="M6929" s="8"/>
    </row>
    <row r="6930">
      <c r="B6930" s="8"/>
      <c r="G6930" s="8"/>
      <c r="M6930" s="8"/>
    </row>
    <row r="6931">
      <c r="B6931" s="8"/>
      <c r="G6931" s="8"/>
      <c r="M6931" s="8"/>
    </row>
    <row r="6932">
      <c r="B6932" s="8"/>
      <c r="G6932" s="8"/>
      <c r="M6932" s="8"/>
    </row>
    <row r="6933">
      <c r="B6933" s="8"/>
      <c r="G6933" s="8"/>
      <c r="M6933" s="8"/>
    </row>
    <row r="6934">
      <c r="B6934" s="8"/>
      <c r="G6934" s="8"/>
      <c r="M6934" s="8"/>
    </row>
    <row r="6935">
      <c r="B6935" s="8"/>
      <c r="G6935" s="8"/>
      <c r="M6935" s="8"/>
    </row>
    <row r="6936">
      <c r="B6936" s="8"/>
      <c r="G6936" s="8"/>
      <c r="M6936" s="8"/>
    </row>
    <row r="6937">
      <c r="B6937" s="8"/>
      <c r="G6937" s="8"/>
      <c r="M6937" s="8"/>
    </row>
    <row r="6938">
      <c r="B6938" s="8"/>
      <c r="G6938" s="8"/>
      <c r="M6938" s="8"/>
    </row>
    <row r="6939">
      <c r="B6939" s="8"/>
      <c r="G6939" s="8"/>
      <c r="M6939" s="8"/>
    </row>
    <row r="6940">
      <c r="B6940" s="8"/>
      <c r="G6940" s="8"/>
      <c r="M6940" s="8"/>
    </row>
    <row r="6941">
      <c r="B6941" s="8"/>
      <c r="G6941" s="8"/>
      <c r="M6941" s="8"/>
    </row>
    <row r="6942">
      <c r="B6942" s="8"/>
      <c r="G6942" s="8"/>
      <c r="M6942" s="8"/>
    </row>
    <row r="6943">
      <c r="B6943" s="8"/>
      <c r="G6943" s="8"/>
      <c r="M6943" s="8"/>
    </row>
    <row r="6944">
      <c r="B6944" s="8"/>
      <c r="G6944" s="8"/>
      <c r="M6944" s="8"/>
    </row>
    <row r="6945">
      <c r="B6945" s="8"/>
      <c r="G6945" s="8"/>
      <c r="M6945" s="8"/>
    </row>
    <row r="6946">
      <c r="B6946" s="8"/>
      <c r="G6946" s="8"/>
      <c r="M6946" s="8"/>
    </row>
    <row r="6947">
      <c r="B6947" s="8"/>
      <c r="G6947" s="8"/>
      <c r="M6947" s="8"/>
    </row>
    <row r="6948">
      <c r="B6948" s="8"/>
      <c r="G6948" s="8"/>
      <c r="M6948" s="8"/>
    </row>
    <row r="6949">
      <c r="B6949" s="8"/>
      <c r="G6949" s="8"/>
      <c r="M6949" s="8"/>
    </row>
    <row r="6950">
      <c r="B6950" s="8"/>
      <c r="G6950" s="8"/>
      <c r="M6950" s="8"/>
    </row>
    <row r="6951">
      <c r="B6951" s="8"/>
      <c r="G6951" s="8"/>
      <c r="M6951" s="8"/>
    </row>
    <row r="6952">
      <c r="B6952" s="8"/>
      <c r="G6952" s="8"/>
      <c r="M6952" s="8"/>
    </row>
    <row r="6953">
      <c r="B6953" s="8"/>
      <c r="G6953" s="8"/>
      <c r="M6953" s="8"/>
    </row>
    <row r="6954">
      <c r="B6954" s="8"/>
      <c r="G6954" s="8"/>
      <c r="M6954" s="8"/>
    </row>
    <row r="6955">
      <c r="B6955" s="8"/>
      <c r="G6955" s="8"/>
      <c r="M6955" s="8"/>
    </row>
    <row r="6956">
      <c r="B6956" s="8"/>
      <c r="G6956" s="8"/>
      <c r="M6956" s="8"/>
    </row>
    <row r="6957">
      <c r="B6957" s="8"/>
      <c r="G6957" s="8"/>
      <c r="M6957" s="8"/>
    </row>
    <row r="6958">
      <c r="B6958" s="8"/>
      <c r="G6958" s="8"/>
      <c r="M6958" s="8"/>
    </row>
    <row r="6959">
      <c r="B6959" s="8"/>
      <c r="G6959" s="8"/>
      <c r="M6959" s="8"/>
    </row>
    <row r="6960">
      <c r="B6960" s="8"/>
      <c r="G6960" s="8"/>
      <c r="M6960" s="8"/>
    </row>
    <row r="6961">
      <c r="B6961" s="8"/>
      <c r="G6961" s="8"/>
      <c r="M6961" s="8"/>
    </row>
    <row r="6962">
      <c r="B6962" s="8"/>
      <c r="G6962" s="8"/>
      <c r="M6962" s="8"/>
    </row>
    <row r="6963">
      <c r="B6963" s="8"/>
      <c r="G6963" s="8"/>
      <c r="M6963" s="8"/>
    </row>
    <row r="6964">
      <c r="B6964" s="8"/>
      <c r="G6964" s="8"/>
      <c r="M6964" s="8"/>
    </row>
    <row r="6965">
      <c r="B6965" s="8"/>
      <c r="G6965" s="8"/>
      <c r="M6965" s="8"/>
    </row>
    <row r="6966">
      <c r="B6966" s="8"/>
      <c r="G6966" s="8"/>
      <c r="M6966" s="8"/>
    </row>
    <row r="6967">
      <c r="B6967" s="8"/>
      <c r="G6967" s="8"/>
      <c r="M6967" s="8"/>
    </row>
    <row r="6968">
      <c r="B6968" s="8"/>
      <c r="G6968" s="8"/>
      <c r="M6968" s="8"/>
    </row>
    <row r="6969">
      <c r="B6969" s="8"/>
      <c r="G6969" s="8"/>
      <c r="M6969" s="8"/>
    </row>
    <row r="6970">
      <c r="B6970" s="8"/>
      <c r="G6970" s="8"/>
      <c r="M6970" s="8"/>
    </row>
    <row r="6971">
      <c r="B6971" s="8"/>
      <c r="G6971" s="8"/>
      <c r="M6971" s="8"/>
    </row>
    <row r="6972">
      <c r="B6972" s="8"/>
      <c r="G6972" s="8"/>
      <c r="M6972" s="8"/>
    </row>
    <row r="6973">
      <c r="B6973" s="8"/>
      <c r="G6973" s="8"/>
      <c r="M6973" s="8"/>
    </row>
    <row r="6974">
      <c r="B6974" s="8"/>
      <c r="G6974" s="8"/>
      <c r="M6974" s="8"/>
    </row>
    <row r="6975">
      <c r="B6975" s="8"/>
      <c r="G6975" s="8"/>
      <c r="M6975" s="8"/>
    </row>
    <row r="6976">
      <c r="B6976" s="8"/>
      <c r="G6976" s="8"/>
      <c r="M6976" s="8"/>
    </row>
    <row r="6977">
      <c r="B6977" s="8"/>
      <c r="G6977" s="8"/>
      <c r="M6977" s="8"/>
    </row>
    <row r="6978">
      <c r="B6978" s="8"/>
      <c r="G6978" s="8"/>
      <c r="M6978" s="8"/>
    </row>
    <row r="6979">
      <c r="B6979" s="8"/>
      <c r="G6979" s="8"/>
      <c r="M6979" s="8"/>
    </row>
    <row r="6980">
      <c r="B6980" s="8"/>
      <c r="G6980" s="8"/>
      <c r="M6980" s="8"/>
    </row>
    <row r="6981">
      <c r="B6981" s="8"/>
      <c r="G6981" s="8"/>
      <c r="M6981" s="8"/>
    </row>
    <row r="6982">
      <c r="B6982" s="8"/>
      <c r="G6982" s="8"/>
      <c r="M6982" s="8"/>
    </row>
    <row r="6983">
      <c r="B6983" s="8"/>
      <c r="G6983" s="8"/>
      <c r="M6983" s="8"/>
    </row>
    <row r="6984">
      <c r="B6984" s="8"/>
      <c r="G6984" s="8"/>
      <c r="M6984" s="8"/>
    </row>
    <row r="6985">
      <c r="B6985" s="8"/>
      <c r="G6985" s="8"/>
      <c r="M6985" s="8"/>
    </row>
    <row r="6986">
      <c r="B6986" s="8"/>
      <c r="G6986" s="8"/>
      <c r="M6986" s="8"/>
    </row>
    <row r="6987">
      <c r="B6987" s="8"/>
      <c r="G6987" s="8"/>
      <c r="M6987" s="8"/>
    </row>
    <row r="6988">
      <c r="B6988" s="8"/>
      <c r="G6988" s="8"/>
      <c r="M6988" s="8"/>
    </row>
    <row r="6989">
      <c r="B6989" s="8"/>
      <c r="G6989" s="8"/>
      <c r="M6989" s="8"/>
    </row>
    <row r="6990">
      <c r="B6990" s="8"/>
      <c r="G6990" s="8"/>
      <c r="M6990" s="8"/>
    </row>
    <row r="6991">
      <c r="B6991" s="8"/>
      <c r="G6991" s="8"/>
      <c r="M6991" s="8"/>
    </row>
    <row r="6992">
      <c r="B6992" s="8"/>
      <c r="G6992" s="8"/>
      <c r="M6992" s="8"/>
    </row>
    <row r="6993">
      <c r="B6993" s="8"/>
      <c r="G6993" s="8"/>
      <c r="M6993" s="8"/>
    </row>
    <row r="6994">
      <c r="B6994" s="8"/>
      <c r="G6994" s="8"/>
      <c r="M6994" s="8"/>
    </row>
    <row r="6995">
      <c r="B6995" s="8"/>
      <c r="G6995" s="8"/>
      <c r="M6995" s="8"/>
    </row>
    <row r="6996">
      <c r="B6996" s="8"/>
      <c r="G6996" s="8"/>
      <c r="M6996" s="8"/>
    </row>
    <row r="6997">
      <c r="B6997" s="8"/>
      <c r="G6997" s="8"/>
      <c r="M6997" s="8"/>
    </row>
    <row r="6998">
      <c r="B6998" s="8"/>
      <c r="G6998" s="8"/>
      <c r="M6998" s="8"/>
    </row>
    <row r="6999">
      <c r="B6999" s="8"/>
      <c r="G6999" s="8"/>
      <c r="M6999" s="8"/>
    </row>
    <row r="7000">
      <c r="B7000" s="8"/>
      <c r="G7000" s="8"/>
      <c r="M7000" s="8"/>
    </row>
    <row r="7001">
      <c r="B7001" s="8"/>
      <c r="G7001" s="8"/>
      <c r="M7001" s="8"/>
    </row>
    <row r="7002">
      <c r="B7002" s="8"/>
      <c r="G7002" s="8"/>
      <c r="M7002" s="8"/>
    </row>
    <row r="7003">
      <c r="B7003" s="8"/>
      <c r="G7003" s="8"/>
      <c r="M7003" s="8"/>
    </row>
    <row r="7004">
      <c r="B7004" s="8"/>
      <c r="G7004" s="8"/>
      <c r="M7004" s="8"/>
    </row>
    <row r="7005">
      <c r="B7005" s="8"/>
      <c r="G7005" s="8"/>
      <c r="M7005" s="8"/>
    </row>
    <row r="7006">
      <c r="B7006" s="8"/>
      <c r="G7006" s="8"/>
      <c r="M7006" s="8"/>
    </row>
    <row r="7007">
      <c r="B7007" s="8"/>
      <c r="G7007" s="8"/>
      <c r="M7007" s="8"/>
    </row>
    <row r="7008">
      <c r="B7008" s="8"/>
      <c r="G7008" s="8"/>
      <c r="M7008" s="8"/>
    </row>
    <row r="7009">
      <c r="B7009" s="8"/>
      <c r="G7009" s="8"/>
      <c r="M7009" s="8"/>
    </row>
    <row r="7010">
      <c r="B7010" s="8"/>
      <c r="G7010" s="8"/>
      <c r="M7010" s="8"/>
    </row>
    <row r="7011">
      <c r="B7011" s="8"/>
      <c r="G7011" s="8"/>
      <c r="M7011" s="8"/>
    </row>
    <row r="7012">
      <c r="B7012" s="8"/>
      <c r="G7012" s="8"/>
      <c r="M7012" s="8"/>
    </row>
    <row r="7013">
      <c r="B7013" s="8"/>
      <c r="G7013" s="8"/>
      <c r="M7013" s="8"/>
    </row>
    <row r="7014">
      <c r="B7014" s="8"/>
      <c r="G7014" s="8"/>
      <c r="M7014" s="8"/>
    </row>
    <row r="7015">
      <c r="B7015" s="8"/>
      <c r="G7015" s="8"/>
      <c r="M7015" s="8"/>
    </row>
    <row r="7016">
      <c r="B7016" s="8"/>
      <c r="G7016" s="8"/>
      <c r="M7016" s="8"/>
    </row>
    <row r="7017">
      <c r="B7017" s="8"/>
      <c r="G7017" s="8"/>
      <c r="M7017" s="8"/>
    </row>
    <row r="7018">
      <c r="B7018" s="8"/>
      <c r="G7018" s="8"/>
      <c r="M7018" s="8"/>
    </row>
    <row r="7019">
      <c r="B7019" s="8"/>
      <c r="G7019" s="8"/>
      <c r="M7019" s="8"/>
    </row>
    <row r="7020">
      <c r="B7020" s="8"/>
      <c r="G7020" s="8"/>
      <c r="M7020" s="8"/>
    </row>
    <row r="7021">
      <c r="B7021" s="8"/>
      <c r="G7021" s="8"/>
      <c r="M7021" s="8"/>
    </row>
    <row r="7022">
      <c r="B7022" s="8"/>
      <c r="G7022" s="8"/>
      <c r="M7022" s="8"/>
    </row>
    <row r="7023">
      <c r="B7023" s="8"/>
      <c r="G7023" s="8"/>
      <c r="M7023" s="8"/>
    </row>
    <row r="7024">
      <c r="B7024" s="8"/>
      <c r="G7024" s="8"/>
      <c r="M7024" s="8"/>
    </row>
    <row r="7025">
      <c r="B7025" s="8"/>
      <c r="G7025" s="8"/>
      <c r="M7025" s="8"/>
    </row>
    <row r="7026">
      <c r="B7026" s="8"/>
      <c r="G7026" s="8"/>
      <c r="M7026" s="8"/>
    </row>
    <row r="7027">
      <c r="B7027" s="8"/>
      <c r="G7027" s="8"/>
      <c r="M7027" s="8"/>
    </row>
    <row r="7028">
      <c r="B7028" s="8"/>
      <c r="G7028" s="8"/>
      <c r="M7028" s="8"/>
    </row>
    <row r="7029">
      <c r="B7029" s="8"/>
      <c r="G7029" s="8"/>
      <c r="M7029" s="8"/>
    </row>
    <row r="7030">
      <c r="B7030" s="8"/>
      <c r="G7030" s="8"/>
      <c r="M7030" s="8"/>
    </row>
    <row r="7031">
      <c r="B7031" s="8"/>
      <c r="G7031" s="8"/>
      <c r="M7031" s="8"/>
    </row>
    <row r="7032">
      <c r="B7032" s="8"/>
      <c r="G7032" s="8"/>
      <c r="M7032" s="8"/>
    </row>
    <row r="7033">
      <c r="B7033" s="8"/>
      <c r="G7033" s="8"/>
      <c r="M7033" s="8"/>
    </row>
    <row r="7034">
      <c r="B7034" s="8"/>
      <c r="G7034" s="8"/>
      <c r="M7034" s="8"/>
    </row>
    <row r="7035">
      <c r="B7035" s="8"/>
      <c r="G7035" s="8"/>
      <c r="M7035" s="8"/>
    </row>
    <row r="7036">
      <c r="B7036" s="8"/>
      <c r="G7036" s="8"/>
      <c r="M7036" s="8"/>
    </row>
    <row r="7037">
      <c r="B7037" s="8"/>
      <c r="G7037" s="8"/>
      <c r="M7037" s="8"/>
    </row>
    <row r="7038">
      <c r="B7038" s="8"/>
      <c r="G7038" s="8"/>
      <c r="M7038" s="8"/>
    </row>
    <row r="7039">
      <c r="B7039" s="8"/>
      <c r="G7039" s="8"/>
      <c r="M7039" s="8"/>
    </row>
    <row r="7040">
      <c r="B7040" s="8"/>
      <c r="G7040" s="8"/>
      <c r="M7040" s="8"/>
    </row>
    <row r="7041">
      <c r="B7041" s="8"/>
      <c r="G7041" s="8"/>
      <c r="M7041" s="8"/>
    </row>
    <row r="7042">
      <c r="B7042" s="8"/>
      <c r="G7042" s="8"/>
      <c r="M7042" s="8"/>
    </row>
    <row r="7043">
      <c r="B7043" s="8"/>
      <c r="G7043" s="8"/>
      <c r="M7043" s="8"/>
    </row>
    <row r="7044">
      <c r="B7044" s="8"/>
      <c r="G7044" s="8"/>
      <c r="M7044" s="8"/>
    </row>
    <row r="7045">
      <c r="B7045" s="8"/>
      <c r="G7045" s="8"/>
      <c r="M7045" s="8"/>
    </row>
    <row r="7046">
      <c r="B7046" s="8"/>
      <c r="G7046" s="8"/>
      <c r="M7046" s="8"/>
    </row>
    <row r="7047">
      <c r="B7047" s="8"/>
      <c r="G7047" s="8"/>
      <c r="M7047" s="8"/>
    </row>
    <row r="7048">
      <c r="B7048" s="8"/>
      <c r="G7048" s="8"/>
      <c r="M7048" s="8"/>
    </row>
    <row r="7049">
      <c r="B7049" s="8"/>
      <c r="G7049" s="8"/>
      <c r="M7049" s="8"/>
    </row>
    <row r="7050">
      <c r="B7050" s="8"/>
      <c r="G7050" s="8"/>
      <c r="M7050" s="8"/>
    </row>
    <row r="7051">
      <c r="B7051" s="8"/>
      <c r="G7051" s="8"/>
      <c r="M7051" s="8"/>
    </row>
    <row r="7052">
      <c r="B7052" s="8"/>
      <c r="G7052" s="8"/>
      <c r="M7052" s="8"/>
    </row>
    <row r="7053">
      <c r="B7053" s="8"/>
      <c r="G7053" s="8"/>
      <c r="M7053" s="8"/>
    </row>
    <row r="7054">
      <c r="B7054" s="8"/>
      <c r="G7054" s="8"/>
      <c r="M7054" s="8"/>
    </row>
    <row r="7055">
      <c r="B7055" s="8"/>
      <c r="G7055" s="8"/>
      <c r="M7055" s="8"/>
    </row>
    <row r="7056">
      <c r="B7056" s="8"/>
      <c r="G7056" s="8"/>
      <c r="M7056" s="8"/>
    </row>
    <row r="7057">
      <c r="B7057" s="8"/>
      <c r="G7057" s="8"/>
      <c r="M7057" s="8"/>
    </row>
    <row r="7058">
      <c r="B7058" s="8"/>
      <c r="G7058" s="8"/>
      <c r="M7058" s="8"/>
    </row>
    <row r="7059">
      <c r="B7059" s="8"/>
      <c r="G7059" s="8"/>
      <c r="M7059" s="8"/>
    </row>
    <row r="7060">
      <c r="B7060" s="8"/>
      <c r="G7060" s="8"/>
      <c r="M7060" s="8"/>
    </row>
    <row r="7061">
      <c r="B7061" s="8"/>
      <c r="G7061" s="8"/>
      <c r="M7061" s="8"/>
    </row>
    <row r="7062">
      <c r="B7062" s="8"/>
      <c r="G7062" s="8"/>
      <c r="M7062" s="8"/>
    </row>
    <row r="7063">
      <c r="B7063" s="8"/>
      <c r="G7063" s="8"/>
      <c r="M7063" s="8"/>
    </row>
    <row r="7064">
      <c r="B7064" s="8"/>
      <c r="G7064" s="8"/>
      <c r="M7064" s="8"/>
    </row>
    <row r="7065">
      <c r="B7065" s="8"/>
      <c r="G7065" s="8"/>
      <c r="M7065" s="8"/>
    </row>
    <row r="7066">
      <c r="B7066" s="8"/>
      <c r="G7066" s="8"/>
      <c r="M7066" s="8"/>
    </row>
    <row r="7067">
      <c r="B7067" s="8"/>
      <c r="G7067" s="8"/>
      <c r="M7067" s="8"/>
    </row>
    <row r="7068">
      <c r="B7068" s="8"/>
      <c r="G7068" s="8"/>
      <c r="M7068" s="8"/>
    </row>
    <row r="7069">
      <c r="B7069" s="8"/>
      <c r="G7069" s="8"/>
      <c r="M7069" s="8"/>
    </row>
    <row r="7070">
      <c r="B7070" s="8"/>
      <c r="G7070" s="8"/>
      <c r="M7070" s="8"/>
    </row>
    <row r="7071">
      <c r="B7071" s="8"/>
      <c r="G7071" s="8"/>
      <c r="M7071" s="8"/>
    </row>
    <row r="7072">
      <c r="B7072" s="8"/>
      <c r="G7072" s="8"/>
      <c r="M7072" s="8"/>
    </row>
    <row r="7073">
      <c r="B7073" s="8"/>
      <c r="G7073" s="8"/>
      <c r="M7073" s="8"/>
    </row>
    <row r="7074">
      <c r="B7074" s="8"/>
      <c r="G7074" s="8"/>
      <c r="M7074" s="8"/>
    </row>
    <row r="7075">
      <c r="B7075" s="8"/>
      <c r="G7075" s="8"/>
      <c r="M7075" s="8"/>
    </row>
    <row r="7076">
      <c r="B7076" s="8"/>
      <c r="G7076" s="8"/>
      <c r="M7076" s="8"/>
    </row>
    <row r="7077">
      <c r="B7077" s="8"/>
      <c r="G7077" s="8"/>
      <c r="M7077" s="8"/>
    </row>
    <row r="7078">
      <c r="B7078" s="8"/>
      <c r="G7078" s="8"/>
      <c r="M7078" s="8"/>
    </row>
    <row r="7079">
      <c r="B7079" s="8"/>
      <c r="G7079" s="8"/>
      <c r="M7079" s="8"/>
    </row>
    <row r="7080">
      <c r="B7080" s="8"/>
      <c r="G7080" s="8"/>
      <c r="M7080" s="8"/>
    </row>
    <row r="7081">
      <c r="B7081" s="8"/>
      <c r="G7081" s="8"/>
      <c r="M7081" s="8"/>
    </row>
    <row r="7082">
      <c r="B7082" s="8"/>
      <c r="G7082" s="8"/>
      <c r="M7082" s="8"/>
    </row>
    <row r="7083">
      <c r="B7083" s="8"/>
      <c r="G7083" s="8"/>
      <c r="M7083" s="8"/>
    </row>
    <row r="7084">
      <c r="B7084" s="8"/>
      <c r="G7084" s="8"/>
      <c r="M7084" s="8"/>
    </row>
    <row r="7085">
      <c r="B7085" s="8"/>
      <c r="G7085" s="8"/>
      <c r="M7085" s="8"/>
    </row>
    <row r="7086">
      <c r="B7086" s="8"/>
      <c r="G7086" s="8"/>
      <c r="M7086" s="8"/>
    </row>
    <row r="7087">
      <c r="B7087" s="8"/>
      <c r="G7087" s="8"/>
      <c r="M7087" s="8"/>
    </row>
    <row r="7088">
      <c r="B7088" s="8"/>
      <c r="G7088" s="8"/>
      <c r="M7088" s="8"/>
    </row>
    <row r="7089">
      <c r="B7089" s="8"/>
      <c r="G7089" s="8"/>
      <c r="M7089" s="8"/>
    </row>
    <row r="7090">
      <c r="B7090" s="8"/>
      <c r="G7090" s="8"/>
      <c r="M7090" s="8"/>
    </row>
    <row r="7091">
      <c r="B7091" s="8"/>
      <c r="G7091" s="8"/>
      <c r="M7091" s="8"/>
    </row>
    <row r="7092">
      <c r="B7092" s="8"/>
      <c r="G7092" s="8"/>
      <c r="M7092" s="8"/>
    </row>
    <row r="7093">
      <c r="B7093" s="8"/>
      <c r="G7093" s="8"/>
      <c r="M7093" s="8"/>
    </row>
    <row r="7094">
      <c r="B7094" s="8"/>
      <c r="G7094" s="8"/>
      <c r="M7094" s="8"/>
    </row>
    <row r="7095">
      <c r="B7095" s="8"/>
      <c r="G7095" s="8"/>
      <c r="M7095" s="8"/>
    </row>
    <row r="7096">
      <c r="B7096" s="8"/>
      <c r="G7096" s="8"/>
      <c r="M7096" s="8"/>
    </row>
    <row r="7097">
      <c r="B7097" s="8"/>
      <c r="G7097" s="8"/>
      <c r="M7097" s="8"/>
    </row>
    <row r="7098">
      <c r="B7098" s="8"/>
      <c r="G7098" s="8"/>
      <c r="M7098" s="8"/>
    </row>
    <row r="7099">
      <c r="B7099" s="8"/>
      <c r="G7099" s="8"/>
      <c r="M7099" s="8"/>
    </row>
    <row r="7100">
      <c r="B7100" s="8"/>
      <c r="G7100" s="8"/>
      <c r="M7100" s="8"/>
    </row>
    <row r="7101">
      <c r="B7101" s="8"/>
      <c r="G7101" s="8"/>
      <c r="M7101" s="8"/>
    </row>
    <row r="7102">
      <c r="B7102" s="8"/>
      <c r="G7102" s="8"/>
      <c r="M7102" s="8"/>
    </row>
    <row r="7103">
      <c r="B7103" s="8"/>
      <c r="G7103" s="8"/>
      <c r="M7103" s="8"/>
    </row>
    <row r="7104">
      <c r="B7104" s="8"/>
      <c r="G7104" s="8"/>
      <c r="M7104" s="8"/>
    </row>
    <row r="7105">
      <c r="B7105" s="8"/>
      <c r="G7105" s="8"/>
      <c r="M7105" s="8"/>
    </row>
    <row r="7106">
      <c r="B7106" s="8"/>
      <c r="G7106" s="8"/>
      <c r="M7106" s="8"/>
    </row>
    <row r="7107">
      <c r="B7107" s="8"/>
      <c r="G7107" s="8"/>
      <c r="M7107" s="8"/>
    </row>
    <row r="7108">
      <c r="B7108" s="8"/>
      <c r="G7108" s="8"/>
      <c r="M7108" s="8"/>
    </row>
    <row r="7109">
      <c r="B7109" s="8"/>
      <c r="G7109" s="8"/>
      <c r="M7109" s="8"/>
    </row>
    <row r="7110">
      <c r="B7110" s="8"/>
      <c r="G7110" s="8"/>
      <c r="M7110" s="8"/>
    </row>
    <row r="7111">
      <c r="B7111" s="8"/>
      <c r="G7111" s="8"/>
      <c r="M7111" s="8"/>
    </row>
    <row r="7112">
      <c r="B7112" s="8"/>
      <c r="G7112" s="8"/>
      <c r="M7112" s="8"/>
    </row>
    <row r="7113">
      <c r="B7113" s="8"/>
      <c r="G7113" s="8"/>
      <c r="M7113" s="8"/>
    </row>
    <row r="7114">
      <c r="B7114" s="8"/>
      <c r="G7114" s="8"/>
      <c r="M7114" s="8"/>
    </row>
    <row r="7115">
      <c r="B7115" s="8"/>
      <c r="G7115" s="8"/>
      <c r="M7115" s="8"/>
    </row>
    <row r="7116">
      <c r="B7116" s="8"/>
      <c r="G7116" s="8"/>
      <c r="M7116" s="8"/>
    </row>
    <row r="7117">
      <c r="B7117" s="8"/>
      <c r="G7117" s="8"/>
      <c r="M7117" s="8"/>
    </row>
    <row r="7118">
      <c r="B7118" s="8"/>
      <c r="G7118" s="8"/>
      <c r="M7118" s="8"/>
    </row>
    <row r="7119">
      <c r="B7119" s="8"/>
      <c r="G7119" s="8"/>
      <c r="M7119" s="8"/>
    </row>
    <row r="7120">
      <c r="B7120" s="8"/>
      <c r="G7120" s="8"/>
      <c r="M7120" s="8"/>
    </row>
    <row r="7121">
      <c r="B7121" s="8"/>
      <c r="G7121" s="8"/>
      <c r="M7121" s="8"/>
    </row>
    <row r="7122">
      <c r="B7122" s="8"/>
      <c r="G7122" s="8"/>
      <c r="M7122" s="8"/>
    </row>
    <row r="7123">
      <c r="B7123" s="8"/>
      <c r="G7123" s="8"/>
      <c r="M7123" s="8"/>
    </row>
    <row r="7124">
      <c r="B7124" s="8"/>
      <c r="G7124" s="8"/>
      <c r="M7124" s="8"/>
    </row>
    <row r="7125">
      <c r="B7125" s="8"/>
      <c r="G7125" s="8"/>
      <c r="M7125" s="8"/>
    </row>
    <row r="7126">
      <c r="B7126" s="8"/>
      <c r="G7126" s="8"/>
      <c r="M7126" s="8"/>
    </row>
    <row r="7127">
      <c r="B7127" s="8"/>
      <c r="G7127" s="8"/>
      <c r="M7127" s="8"/>
    </row>
    <row r="7128">
      <c r="B7128" s="8"/>
      <c r="G7128" s="8"/>
      <c r="M7128" s="8"/>
    </row>
    <row r="7129">
      <c r="B7129" s="8"/>
      <c r="G7129" s="8"/>
      <c r="M7129" s="8"/>
    </row>
    <row r="7130">
      <c r="B7130" s="8"/>
      <c r="G7130" s="8"/>
      <c r="M7130" s="8"/>
    </row>
    <row r="7131">
      <c r="B7131" s="8"/>
      <c r="G7131" s="8"/>
      <c r="M7131" s="8"/>
    </row>
    <row r="7132">
      <c r="B7132" s="8"/>
      <c r="G7132" s="8"/>
      <c r="M7132" s="8"/>
    </row>
    <row r="7133">
      <c r="B7133" s="8"/>
      <c r="G7133" s="8"/>
      <c r="M7133" s="8"/>
    </row>
    <row r="7134">
      <c r="B7134" s="8"/>
      <c r="G7134" s="8"/>
      <c r="M7134" s="8"/>
    </row>
    <row r="7135">
      <c r="B7135" s="8"/>
      <c r="G7135" s="8"/>
      <c r="M7135" s="8"/>
    </row>
    <row r="7136">
      <c r="B7136" s="8"/>
      <c r="G7136" s="8"/>
      <c r="M7136" s="8"/>
    </row>
    <row r="7137">
      <c r="B7137" s="8"/>
      <c r="G7137" s="8"/>
      <c r="M7137" s="8"/>
    </row>
    <row r="7138">
      <c r="B7138" s="8"/>
      <c r="G7138" s="8"/>
      <c r="M7138" s="8"/>
    </row>
    <row r="7139">
      <c r="B7139" s="8"/>
      <c r="G7139" s="8"/>
      <c r="M7139" s="8"/>
    </row>
    <row r="7140">
      <c r="B7140" s="8"/>
      <c r="G7140" s="8"/>
      <c r="M7140" s="8"/>
    </row>
    <row r="7141">
      <c r="B7141" s="8"/>
      <c r="G7141" s="8"/>
      <c r="M7141" s="8"/>
    </row>
    <row r="7142">
      <c r="B7142" s="8"/>
      <c r="G7142" s="8"/>
      <c r="M7142" s="8"/>
    </row>
    <row r="7143">
      <c r="B7143" s="8"/>
      <c r="G7143" s="8"/>
      <c r="M7143" s="8"/>
    </row>
    <row r="7144">
      <c r="B7144" s="8"/>
      <c r="G7144" s="8"/>
      <c r="M7144" s="8"/>
    </row>
    <row r="7145">
      <c r="B7145" s="8"/>
      <c r="G7145" s="8"/>
      <c r="M7145" s="8"/>
    </row>
    <row r="7146">
      <c r="B7146" s="8"/>
      <c r="G7146" s="8"/>
      <c r="M7146" s="8"/>
    </row>
    <row r="7147">
      <c r="B7147" s="8"/>
      <c r="G7147" s="8"/>
      <c r="M7147" s="8"/>
    </row>
    <row r="7148">
      <c r="B7148" s="8"/>
      <c r="G7148" s="8"/>
      <c r="M7148" s="8"/>
    </row>
    <row r="7149">
      <c r="B7149" s="8"/>
      <c r="G7149" s="8"/>
      <c r="M7149" s="8"/>
    </row>
    <row r="7150">
      <c r="B7150" s="8"/>
      <c r="G7150" s="8"/>
      <c r="M7150" s="8"/>
    </row>
    <row r="7151">
      <c r="B7151" s="8"/>
      <c r="G7151" s="8"/>
      <c r="M7151" s="8"/>
    </row>
    <row r="7152">
      <c r="B7152" s="8"/>
      <c r="G7152" s="8"/>
      <c r="M7152" s="8"/>
    </row>
    <row r="7153">
      <c r="B7153" s="8"/>
      <c r="G7153" s="8"/>
      <c r="M7153" s="8"/>
    </row>
    <row r="7154">
      <c r="B7154" s="8"/>
      <c r="G7154" s="8"/>
      <c r="M7154" s="8"/>
    </row>
    <row r="7155">
      <c r="B7155" s="8"/>
      <c r="G7155" s="8"/>
      <c r="M7155" s="8"/>
    </row>
    <row r="7156">
      <c r="B7156" s="8"/>
      <c r="G7156" s="8"/>
      <c r="M7156" s="8"/>
    </row>
    <row r="7157">
      <c r="B7157" s="8"/>
      <c r="G7157" s="8"/>
      <c r="M7157" s="8"/>
    </row>
    <row r="7158">
      <c r="B7158" s="8"/>
      <c r="G7158" s="8"/>
      <c r="M7158" s="8"/>
    </row>
    <row r="7159">
      <c r="B7159" s="8"/>
      <c r="G7159" s="8"/>
      <c r="M7159" s="8"/>
    </row>
    <row r="7160">
      <c r="B7160" s="8"/>
      <c r="G7160" s="8"/>
      <c r="M7160" s="8"/>
    </row>
    <row r="7161">
      <c r="B7161" s="8"/>
      <c r="G7161" s="8"/>
      <c r="M7161" s="8"/>
    </row>
    <row r="7162">
      <c r="B7162" s="8"/>
      <c r="G7162" s="8"/>
      <c r="M7162" s="8"/>
    </row>
    <row r="7163">
      <c r="B7163" s="8"/>
      <c r="G7163" s="8"/>
      <c r="M7163" s="8"/>
    </row>
    <row r="7164">
      <c r="B7164" s="8"/>
      <c r="G7164" s="8"/>
      <c r="M7164" s="8"/>
    </row>
    <row r="7165">
      <c r="B7165" s="8"/>
      <c r="G7165" s="8"/>
      <c r="M7165" s="8"/>
    </row>
    <row r="7166">
      <c r="B7166" s="8"/>
      <c r="G7166" s="8"/>
      <c r="M7166" s="8"/>
    </row>
    <row r="7167">
      <c r="B7167" s="8"/>
      <c r="G7167" s="8"/>
      <c r="M7167" s="8"/>
    </row>
    <row r="7168">
      <c r="B7168" s="8"/>
      <c r="G7168" s="8"/>
      <c r="M7168" s="8"/>
    </row>
    <row r="7169">
      <c r="B7169" s="8"/>
      <c r="G7169" s="8"/>
      <c r="M7169" s="8"/>
    </row>
    <row r="7170">
      <c r="B7170" s="8"/>
      <c r="G7170" s="8"/>
      <c r="M7170" s="8"/>
    </row>
    <row r="7171">
      <c r="B7171" s="8"/>
      <c r="G7171" s="8"/>
      <c r="M7171" s="8"/>
    </row>
    <row r="7172">
      <c r="B7172" s="8"/>
      <c r="G7172" s="8"/>
      <c r="M7172" s="8"/>
    </row>
    <row r="7173">
      <c r="B7173" s="8"/>
      <c r="G7173" s="8"/>
      <c r="M7173" s="8"/>
    </row>
    <row r="7174">
      <c r="B7174" s="8"/>
      <c r="G7174" s="8"/>
      <c r="M7174" s="8"/>
    </row>
    <row r="7175">
      <c r="B7175" s="8"/>
      <c r="G7175" s="8"/>
      <c r="M7175" s="8"/>
    </row>
    <row r="7176">
      <c r="B7176" s="8"/>
      <c r="G7176" s="8"/>
      <c r="M7176" s="8"/>
    </row>
    <row r="7177">
      <c r="B7177" s="8"/>
      <c r="G7177" s="8"/>
      <c r="M7177" s="8"/>
    </row>
    <row r="7178">
      <c r="B7178" s="8"/>
      <c r="G7178" s="8"/>
      <c r="M7178" s="8"/>
    </row>
    <row r="7179">
      <c r="B7179" s="8"/>
      <c r="G7179" s="8"/>
      <c r="M7179" s="8"/>
    </row>
    <row r="7180">
      <c r="B7180" s="8"/>
      <c r="G7180" s="8"/>
      <c r="M7180" s="8"/>
    </row>
    <row r="7181">
      <c r="B7181" s="8"/>
      <c r="G7181" s="8"/>
      <c r="M7181" s="8"/>
    </row>
    <row r="7182">
      <c r="B7182" s="8"/>
      <c r="G7182" s="8"/>
      <c r="M7182" s="8"/>
    </row>
    <row r="7183">
      <c r="B7183" s="8"/>
      <c r="G7183" s="8"/>
      <c r="M7183" s="8"/>
    </row>
    <row r="7184">
      <c r="B7184" s="8"/>
      <c r="G7184" s="8"/>
      <c r="M7184" s="8"/>
    </row>
    <row r="7185">
      <c r="B7185" s="8"/>
      <c r="G7185" s="8"/>
      <c r="M7185" s="8"/>
    </row>
    <row r="7186">
      <c r="B7186" s="8"/>
      <c r="G7186" s="8"/>
      <c r="M7186" s="8"/>
    </row>
    <row r="7187">
      <c r="B7187" s="8"/>
      <c r="G7187" s="8"/>
      <c r="M7187" s="8"/>
    </row>
    <row r="7188">
      <c r="B7188" s="8"/>
      <c r="G7188" s="8"/>
      <c r="M7188" s="8"/>
    </row>
    <row r="7189">
      <c r="B7189" s="8"/>
      <c r="G7189" s="8"/>
      <c r="M7189" s="8"/>
    </row>
    <row r="7190">
      <c r="B7190" s="8"/>
      <c r="G7190" s="8"/>
      <c r="M7190" s="8"/>
    </row>
    <row r="7191">
      <c r="B7191" s="8"/>
      <c r="G7191" s="8"/>
      <c r="M7191" s="8"/>
    </row>
    <row r="7192">
      <c r="B7192" s="8"/>
      <c r="G7192" s="8"/>
      <c r="M7192" s="8"/>
    </row>
    <row r="7193">
      <c r="B7193" s="8"/>
      <c r="G7193" s="8"/>
      <c r="M7193" s="8"/>
    </row>
    <row r="7194">
      <c r="B7194" s="8"/>
      <c r="G7194" s="8"/>
      <c r="M7194" s="8"/>
    </row>
    <row r="7195">
      <c r="B7195" s="8"/>
      <c r="G7195" s="8"/>
      <c r="M7195" s="8"/>
    </row>
    <row r="7196">
      <c r="B7196" s="8"/>
      <c r="G7196" s="8"/>
      <c r="M7196" s="8"/>
    </row>
    <row r="7197">
      <c r="B7197" s="8"/>
      <c r="G7197" s="8"/>
      <c r="M7197" s="8"/>
    </row>
    <row r="7198">
      <c r="B7198" s="8"/>
      <c r="G7198" s="8"/>
      <c r="M7198" s="8"/>
    </row>
    <row r="7199">
      <c r="B7199" s="8"/>
      <c r="G7199" s="8"/>
      <c r="M7199" s="8"/>
    </row>
    <row r="7200">
      <c r="B7200" s="8"/>
      <c r="G7200" s="8"/>
      <c r="M7200" s="8"/>
    </row>
    <row r="7201">
      <c r="B7201" s="8"/>
      <c r="G7201" s="8"/>
      <c r="M7201" s="8"/>
    </row>
    <row r="7202">
      <c r="B7202" s="8"/>
      <c r="G7202" s="8"/>
      <c r="M7202" s="8"/>
    </row>
    <row r="7203">
      <c r="B7203" s="8"/>
      <c r="G7203" s="8"/>
      <c r="M7203" s="8"/>
    </row>
    <row r="7204">
      <c r="B7204" s="8"/>
      <c r="G7204" s="8"/>
      <c r="M7204" s="8"/>
    </row>
    <row r="7205">
      <c r="B7205" s="8"/>
      <c r="G7205" s="8"/>
      <c r="M7205" s="8"/>
    </row>
    <row r="7206">
      <c r="B7206" s="8"/>
      <c r="G7206" s="8"/>
      <c r="M7206" s="8"/>
    </row>
    <row r="7207">
      <c r="B7207" s="8"/>
      <c r="G7207" s="8"/>
      <c r="M7207" s="8"/>
    </row>
    <row r="7208">
      <c r="B7208" s="8"/>
      <c r="G7208" s="8"/>
      <c r="M7208" s="8"/>
    </row>
    <row r="7209">
      <c r="B7209" s="8"/>
      <c r="G7209" s="8"/>
      <c r="M7209" s="8"/>
    </row>
    <row r="7210">
      <c r="B7210" s="8"/>
      <c r="G7210" s="8"/>
      <c r="M7210" s="8"/>
    </row>
    <row r="7211">
      <c r="B7211" s="8"/>
      <c r="G7211" s="8"/>
      <c r="M7211" s="8"/>
    </row>
    <row r="7212">
      <c r="B7212" s="8"/>
      <c r="G7212" s="8"/>
      <c r="M7212" s="8"/>
    </row>
    <row r="7213">
      <c r="B7213" s="8"/>
      <c r="G7213" s="8"/>
      <c r="M7213" s="8"/>
    </row>
    <row r="7214">
      <c r="B7214" s="8"/>
      <c r="G7214" s="8"/>
      <c r="M7214" s="8"/>
    </row>
    <row r="7215">
      <c r="B7215" s="8"/>
      <c r="G7215" s="8"/>
      <c r="M7215" s="8"/>
    </row>
    <row r="7216">
      <c r="B7216" s="8"/>
      <c r="G7216" s="8"/>
      <c r="M7216" s="8"/>
    </row>
    <row r="7217">
      <c r="B7217" s="8"/>
      <c r="G7217" s="8"/>
      <c r="M7217" s="8"/>
    </row>
    <row r="7218">
      <c r="B7218" s="8"/>
      <c r="G7218" s="8"/>
      <c r="M7218" s="8"/>
    </row>
    <row r="7219">
      <c r="B7219" s="8"/>
      <c r="G7219" s="8"/>
      <c r="M7219" s="8"/>
    </row>
    <row r="7220">
      <c r="B7220" s="8"/>
      <c r="G7220" s="8"/>
      <c r="M7220" s="8"/>
    </row>
    <row r="7221">
      <c r="B7221" s="8"/>
      <c r="G7221" s="8"/>
      <c r="M7221" s="8"/>
    </row>
    <row r="7222">
      <c r="B7222" s="8"/>
      <c r="G7222" s="8"/>
      <c r="M7222" s="8"/>
    </row>
    <row r="7223">
      <c r="B7223" s="8"/>
      <c r="G7223" s="8"/>
      <c r="M7223" s="8"/>
    </row>
    <row r="7224">
      <c r="B7224" s="8"/>
      <c r="G7224" s="8"/>
      <c r="M7224" s="8"/>
    </row>
    <row r="7225">
      <c r="B7225" s="8"/>
      <c r="G7225" s="8"/>
      <c r="M7225" s="8"/>
    </row>
    <row r="7226">
      <c r="B7226" s="8"/>
      <c r="G7226" s="8"/>
      <c r="M7226" s="8"/>
    </row>
    <row r="7227">
      <c r="B7227" s="8"/>
      <c r="G7227" s="8"/>
      <c r="M7227" s="8"/>
    </row>
    <row r="7228">
      <c r="B7228" s="8"/>
      <c r="G7228" s="8"/>
      <c r="M7228" s="8"/>
    </row>
    <row r="7229">
      <c r="B7229" s="8"/>
      <c r="G7229" s="8"/>
      <c r="M7229" s="8"/>
    </row>
    <row r="7230">
      <c r="B7230" s="8"/>
      <c r="G7230" s="8"/>
      <c r="M7230" s="8"/>
    </row>
    <row r="7231">
      <c r="B7231" s="8"/>
      <c r="G7231" s="8"/>
      <c r="M7231" s="8"/>
    </row>
    <row r="7232">
      <c r="B7232" s="8"/>
      <c r="G7232" s="8"/>
      <c r="M7232" s="8"/>
    </row>
    <row r="7233">
      <c r="B7233" s="8"/>
      <c r="G7233" s="8"/>
      <c r="M7233" s="8"/>
    </row>
    <row r="7234">
      <c r="B7234" s="8"/>
      <c r="G7234" s="8"/>
      <c r="M7234" s="8"/>
    </row>
    <row r="7235">
      <c r="B7235" s="8"/>
      <c r="G7235" s="8"/>
      <c r="M7235" s="8"/>
    </row>
    <row r="7236">
      <c r="B7236" s="8"/>
      <c r="G7236" s="8"/>
      <c r="M7236" s="8"/>
    </row>
    <row r="7237">
      <c r="B7237" s="8"/>
      <c r="G7237" s="8"/>
      <c r="M7237" s="8"/>
    </row>
    <row r="7238">
      <c r="B7238" s="8"/>
      <c r="G7238" s="8"/>
      <c r="M7238" s="8"/>
    </row>
    <row r="7239">
      <c r="B7239" s="8"/>
      <c r="G7239" s="8"/>
      <c r="M7239" s="8"/>
    </row>
    <row r="7240">
      <c r="B7240" s="8"/>
      <c r="G7240" s="8"/>
      <c r="M7240" s="8"/>
    </row>
    <row r="7241">
      <c r="B7241" s="8"/>
      <c r="G7241" s="8"/>
      <c r="M7241" s="8"/>
    </row>
    <row r="7242">
      <c r="B7242" s="8"/>
      <c r="G7242" s="8"/>
      <c r="M7242" s="8"/>
    </row>
    <row r="7243">
      <c r="B7243" s="8"/>
      <c r="G7243" s="8"/>
      <c r="M7243" s="8"/>
    </row>
    <row r="7244">
      <c r="B7244" s="8"/>
      <c r="G7244" s="8"/>
      <c r="M7244" s="8"/>
    </row>
    <row r="7245">
      <c r="B7245" s="8"/>
      <c r="G7245" s="8"/>
      <c r="M7245" s="8"/>
    </row>
    <row r="7246">
      <c r="B7246" s="8"/>
      <c r="G7246" s="8"/>
      <c r="M7246" s="8"/>
    </row>
    <row r="7247">
      <c r="B7247" s="8"/>
      <c r="G7247" s="8"/>
      <c r="M7247" s="8"/>
    </row>
    <row r="7248">
      <c r="B7248" s="8"/>
      <c r="G7248" s="8"/>
      <c r="M7248" s="8"/>
    </row>
    <row r="7249">
      <c r="B7249" s="8"/>
      <c r="G7249" s="8"/>
      <c r="M7249" s="8"/>
    </row>
    <row r="7250">
      <c r="B7250" s="8"/>
      <c r="G7250" s="8"/>
      <c r="M7250" s="8"/>
    </row>
    <row r="7251">
      <c r="B7251" s="8"/>
      <c r="G7251" s="8"/>
      <c r="M7251" s="8"/>
    </row>
    <row r="7252">
      <c r="B7252" s="8"/>
      <c r="G7252" s="8"/>
      <c r="M7252" s="8"/>
    </row>
    <row r="7253">
      <c r="B7253" s="8"/>
      <c r="G7253" s="8"/>
      <c r="M7253" s="8"/>
    </row>
    <row r="7254">
      <c r="B7254" s="8"/>
      <c r="G7254" s="8"/>
      <c r="M7254" s="8"/>
    </row>
    <row r="7255">
      <c r="B7255" s="8"/>
      <c r="G7255" s="8"/>
      <c r="M7255" s="8"/>
    </row>
    <row r="7256">
      <c r="B7256" s="8"/>
      <c r="G7256" s="8"/>
      <c r="M7256" s="8"/>
    </row>
    <row r="7257">
      <c r="B7257" s="8"/>
      <c r="G7257" s="8"/>
      <c r="M7257" s="8"/>
    </row>
    <row r="7258">
      <c r="B7258" s="8"/>
      <c r="G7258" s="8"/>
      <c r="M7258" s="8"/>
    </row>
    <row r="7259">
      <c r="B7259" s="8"/>
      <c r="G7259" s="8"/>
      <c r="M7259" s="8"/>
    </row>
    <row r="7260">
      <c r="B7260" s="8"/>
      <c r="G7260" s="8"/>
      <c r="M7260" s="8"/>
    </row>
    <row r="7261">
      <c r="B7261" s="8"/>
      <c r="G7261" s="8"/>
      <c r="M7261" s="8"/>
    </row>
    <row r="7262">
      <c r="B7262" s="8"/>
      <c r="G7262" s="8"/>
      <c r="M7262" s="8"/>
    </row>
    <row r="7263">
      <c r="B7263" s="8"/>
      <c r="G7263" s="8"/>
      <c r="M7263" s="8"/>
    </row>
    <row r="7264">
      <c r="B7264" s="8"/>
      <c r="G7264" s="8"/>
      <c r="M7264" s="8"/>
    </row>
    <row r="7265">
      <c r="B7265" s="8"/>
      <c r="G7265" s="8"/>
      <c r="M7265" s="8"/>
    </row>
    <row r="7266">
      <c r="B7266" s="8"/>
      <c r="G7266" s="8"/>
      <c r="M7266" s="8"/>
    </row>
    <row r="7267">
      <c r="B7267" s="8"/>
      <c r="G7267" s="8"/>
      <c r="M7267" s="8"/>
    </row>
    <row r="7268">
      <c r="B7268" s="8"/>
      <c r="G7268" s="8"/>
      <c r="M7268" s="8"/>
    </row>
    <row r="7269">
      <c r="B7269" s="8"/>
      <c r="G7269" s="8"/>
      <c r="M7269" s="8"/>
    </row>
    <row r="7270">
      <c r="B7270" s="8"/>
      <c r="G7270" s="8"/>
      <c r="M7270" s="8"/>
    </row>
    <row r="7271">
      <c r="B7271" s="8"/>
      <c r="G7271" s="8"/>
      <c r="M7271" s="8"/>
    </row>
    <row r="7272">
      <c r="B7272" s="8"/>
      <c r="G7272" s="8"/>
      <c r="M7272" s="8"/>
    </row>
    <row r="7273">
      <c r="B7273" s="8"/>
      <c r="G7273" s="8"/>
      <c r="M7273" s="8"/>
    </row>
    <row r="7274">
      <c r="B7274" s="8"/>
      <c r="G7274" s="8"/>
      <c r="M7274" s="8"/>
    </row>
    <row r="7275">
      <c r="B7275" s="8"/>
      <c r="G7275" s="8"/>
      <c r="M7275" s="8"/>
    </row>
    <row r="7276">
      <c r="B7276" s="8"/>
      <c r="G7276" s="8"/>
      <c r="M7276" s="8"/>
    </row>
    <row r="7277">
      <c r="B7277" s="8"/>
      <c r="G7277" s="8"/>
      <c r="M7277" s="8"/>
    </row>
    <row r="7278">
      <c r="B7278" s="8"/>
      <c r="G7278" s="8"/>
      <c r="M7278" s="8"/>
    </row>
    <row r="7279">
      <c r="B7279" s="8"/>
      <c r="G7279" s="8"/>
      <c r="M7279" s="8"/>
    </row>
    <row r="7280">
      <c r="B7280" s="8"/>
      <c r="G7280" s="8"/>
      <c r="M7280" s="8"/>
    </row>
    <row r="7281">
      <c r="B7281" s="8"/>
      <c r="G7281" s="8"/>
      <c r="M7281" s="8"/>
    </row>
    <row r="7282">
      <c r="B7282" s="8"/>
      <c r="G7282" s="8"/>
      <c r="M7282" s="8"/>
    </row>
    <row r="7283">
      <c r="B7283" s="8"/>
      <c r="G7283" s="8"/>
      <c r="M7283" s="8"/>
    </row>
    <row r="7284">
      <c r="B7284" s="8"/>
      <c r="G7284" s="8"/>
      <c r="M7284" s="8"/>
    </row>
    <row r="7285">
      <c r="B7285" s="8"/>
      <c r="G7285" s="8"/>
      <c r="M7285" s="8"/>
    </row>
    <row r="7286">
      <c r="B7286" s="8"/>
      <c r="G7286" s="8"/>
      <c r="M7286" s="8"/>
    </row>
    <row r="7287">
      <c r="B7287" s="8"/>
      <c r="G7287" s="8"/>
      <c r="M7287" s="8"/>
    </row>
    <row r="7288">
      <c r="B7288" s="8"/>
      <c r="G7288" s="8"/>
      <c r="M7288" s="8"/>
    </row>
    <row r="7289">
      <c r="B7289" s="8"/>
      <c r="G7289" s="8"/>
      <c r="M7289" s="8"/>
    </row>
    <row r="7290">
      <c r="B7290" s="8"/>
      <c r="G7290" s="8"/>
      <c r="M7290" s="8"/>
    </row>
    <row r="7291">
      <c r="B7291" s="8"/>
      <c r="G7291" s="8"/>
      <c r="M7291" s="8"/>
    </row>
    <row r="7292">
      <c r="B7292" s="8"/>
      <c r="G7292" s="8"/>
      <c r="M7292" s="8"/>
    </row>
    <row r="7293">
      <c r="B7293" s="8"/>
      <c r="G7293" s="8"/>
      <c r="M7293" s="8"/>
    </row>
    <row r="7294">
      <c r="B7294" s="8"/>
      <c r="G7294" s="8"/>
      <c r="M7294" s="8"/>
    </row>
    <row r="7295">
      <c r="B7295" s="8"/>
      <c r="G7295" s="8"/>
      <c r="M7295" s="8"/>
    </row>
    <row r="7296">
      <c r="B7296" s="8"/>
      <c r="G7296" s="8"/>
      <c r="M7296" s="8"/>
    </row>
    <row r="7297">
      <c r="B7297" s="8"/>
      <c r="G7297" s="8"/>
      <c r="M7297" s="8"/>
    </row>
    <row r="7298">
      <c r="B7298" s="8"/>
      <c r="G7298" s="8"/>
      <c r="M7298" s="8"/>
    </row>
    <row r="7299">
      <c r="B7299" s="8"/>
      <c r="G7299" s="8"/>
      <c r="M7299" s="8"/>
    </row>
    <row r="7300">
      <c r="B7300" s="8"/>
      <c r="G7300" s="8"/>
      <c r="M7300" s="8"/>
    </row>
    <row r="7301">
      <c r="B7301" s="8"/>
      <c r="G7301" s="8"/>
      <c r="M7301" s="8"/>
    </row>
    <row r="7302">
      <c r="B7302" s="8"/>
      <c r="G7302" s="8"/>
      <c r="M7302" s="8"/>
    </row>
    <row r="7303">
      <c r="B7303" s="8"/>
      <c r="G7303" s="8"/>
      <c r="M7303" s="8"/>
    </row>
    <row r="7304">
      <c r="B7304" s="8"/>
      <c r="G7304" s="8"/>
      <c r="M7304" s="8"/>
    </row>
    <row r="7305">
      <c r="B7305" s="8"/>
      <c r="G7305" s="8"/>
      <c r="M7305" s="8"/>
    </row>
    <row r="7306">
      <c r="B7306" s="8"/>
      <c r="G7306" s="8"/>
      <c r="M7306" s="8"/>
    </row>
    <row r="7307">
      <c r="B7307" s="8"/>
      <c r="G7307" s="8"/>
      <c r="M7307" s="8"/>
    </row>
    <row r="7308">
      <c r="B7308" s="8"/>
      <c r="G7308" s="8"/>
      <c r="M7308" s="8"/>
    </row>
    <row r="7309">
      <c r="B7309" s="8"/>
      <c r="G7309" s="8"/>
      <c r="M7309" s="8"/>
    </row>
    <row r="7310">
      <c r="B7310" s="8"/>
      <c r="G7310" s="8"/>
      <c r="M7310" s="8"/>
    </row>
    <row r="7311">
      <c r="B7311" s="8"/>
      <c r="G7311" s="8"/>
      <c r="M7311" s="8"/>
    </row>
    <row r="7312">
      <c r="B7312" s="8"/>
      <c r="G7312" s="8"/>
      <c r="M7312" s="8"/>
    </row>
    <row r="7313">
      <c r="B7313" s="8"/>
      <c r="G7313" s="8"/>
      <c r="M7313" s="8"/>
    </row>
    <row r="7314">
      <c r="B7314" s="8"/>
      <c r="G7314" s="8"/>
      <c r="M7314" s="8"/>
    </row>
    <row r="7315">
      <c r="B7315" s="8"/>
      <c r="G7315" s="8"/>
      <c r="M7315" s="8"/>
    </row>
    <row r="7316">
      <c r="B7316" s="8"/>
      <c r="G7316" s="8"/>
      <c r="M7316" s="8"/>
    </row>
    <row r="7317">
      <c r="B7317" s="8"/>
      <c r="G7317" s="8"/>
      <c r="M7317" s="8"/>
    </row>
    <row r="7318">
      <c r="B7318" s="8"/>
      <c r="G7318" s="8"/>
      <c r="M7318" s="8"/>
    </row>
    <row r="7319">
      <c r="B7319" s="8"/>
      <c r="G7319" s="8"/>
      <c r="M7319" s="8"/>
    </row>
    <row r="7320">
      <c r="B7320" s="8"/>
      <c r="G7320" s="8"/>
      <c r="M7320" s="8"/>
    </row>
    <row r="7321">
      <c r="B7321" s="8"/>
      <c r="G7321" s="8"/>
      <c r="M7321" s="8"/>
    </row>
    <row r="7322">
      <c r="B7322" s="8"/>
      <c r="G7322" s="8"/>
      <c r="M7322" s="8"/>
    </row>
    <row r="7323">
      <c r="B7323" s="8"/>
      <c r="G7323" s="8"/>
      <c r="M7323" s="8"/>
    </row>
    <row r="7324">
      <c r="B7324" s="8"/>
      <c r="G7324" s="8"/>
      <c r="M7324" s="8"/>
    </row>
    <row r="7325">
      <c r="B7325" s="8"/>
      <c r="G7325" s="8"/>
      <c r="M7325" s="8"/>
    </row>
    <row r="7326">
      <c r="B7326" s="8"/>
      <c r="G7326" s="8"/>
      <c r="M7326" s="8"/>
    </row>
    <row r="7327">
      <c r="B7327" s="8"/>
      <c r="G7327" s="8"/>
      <c r="M7327" s="8"/>
    </row>
    <row r="7328">
      <c r="B7328" s="8"/>
      <c r="G7328" s="8"/>
      <c r="M7328" s="8"/>
    </row>
    <row r="7329">
      <c r="B7329" s="8"/>
      <c r="G7329" s="8"/>
      <c r="M7329" s="8"/>
    </row>
    <row r="7330">
      <c r="B7330" s="8"/>
      <c r="G7330" s="8"/>
      <c r="M7330" s="8"/>
    </row>
    <row r="7331">
      <c r="B7331" s="8"/>
      <c r="G7331" s="8"/>
      <c r="M7331" s="8"/>
    </row>
    <row r="7332">
      <c r="B7332" s="8"/>
      <c r="G7332" s="8"/>
      <c r="M7332" s="8"/>
    </row>
    <row r="7333">
      <c r="B7333" s="8"/>
      <c r="G7333" s="8"/>
      <c r="M7333" s="8"/>
    </row>
    <row r="7334">
      <c r="B7334" s="8"/>
      <c r="G7334" s="8"/>
      <c r="M7334" s="8"/>
    </row>
    <row r="7335">
      <c r="B7335" s="8"/>
      <c r="G7335" s="8"/>
      <c r="M7335" s="8"/>
    </row>
    <row r="7336">
      <c r="B7336" s="8"/>
      <c r="G7336" s="8"/>
      <c r="M7336" s="8"/>
    </row>
    <row r="7337">
      <c r="B7337" s="8"/>
      <c r="G7337" s="8"/>
      <c r="M7337" s="8"/>
    </row>
    <row r="7338">
      <c r="B7338" s="8"/>
      <c r="G7338" s="8"/>
      <c r="M7338" s="8"/>
    </row>
    <row r="7339">
      <c r="B7339" s="8"/>
      <c r="G7339" s="8"/>
      <c r="M7339" s="8"/>
    </row>
    <row r="7340">
      <c r="B7340" s="8"/>
      <c r="G7340" s="8"/>
      <c r="M7340" s="8"/>
    </row>
    <row r="7341">
      <c r="B7341" s="8"/>
      <c r="G7341" s="8"/>
      <c r="M7341" s="8"/>
    </row>
    <row r="7342">
      <c r="B7342" s="8"/>
      <c r="G7342" s="8"/>
      <c r="M7342" s="8"/>
    </row>
    <row r="7343">
      <c r="B7343" s="8"/>
      <c r="G7343" s="8"/>
      <c r="M7343" s="8"/>
    </row>
    <row r="7344">
      <c r="B7344" s="8"/>
      <c r="G7344" s="8"/>
      <c r="M7344" s="8"/>
    </row>
    <row r="7345">
      <c r="B7345" s="8"/>
      <c r="G7345" s="8"/>
      <c r="M7345" s="8"/>
    </row>
    <row r="7346">
      <c r="B7346" s="8"/>
      <c r="G7346" s="8"/>
      <c r="M7346" s="8"/>
    </row>
    <row r="7347">
      <c r="B7347" s="8"/>
      <c r="G7347" s="8"/>
      <c r="M7347" s="8"/>
    </row>
    <row r="7348">
      <c r="B7348" s="8"/>
      <c r="G7348" s="8"/>
      <c r="M7348" s="8"/>
    </row>
    <row r="7349">
      <c r="B7349" s="8"/>
      <c r="G7349" s="8"/>
      <c r="M7349" s="8"/>
    </row>
    <row r="7350">
      <c r="B7350" s="8"/>
      <c r="G7350" s="8"/>
      <c r="M7350" s="8"/>
    </row>
    <row r="7351">
      <c r="B7351" s="8"/>
      <c r="G7351" s="8"/>
      <c r="M7351" s="8"/>
    </row>
    <row r="7352">
      <c r="B7352" s="8"/>
      <c r="G7352" s="8"/>
      <c r="M7352" s="8"/>
    </row>
    <row r="7353">
      <c r="B7353" s="8"/>
      <c r="G7353" s="8"/>
      <c r="M7353" s="8"/>
    </row>
    <row r="7354">
      <c r="B7354" s="8"/>
      <c r="G7354" s="8"/>
      <c r="M7354" s="8"/>
    </row>
    <row r="7355">
      <c r="B7355" s="8"/>
      <c r="G7355" s="8"/>
      <c r="M7355" s="8"/>
    </row>
    <row r="7356">
      <c r="B7356" s="8"/>
      <c r="G7356" s="8"/>
      <c r="M7356" s="8"/>
    </row>
    <row r="7357">
      <c r="B7357" s="8"/>
      <c r="G7357" s="8"/>
      <c r="M7357" s="8"/>
    </row>
    <row r="7358">
      <c r="B7358" s="8"/>
      <c r="G7358" s="8"/>
      <c r="M7358" s="8"/>
    </row>
    <row r="7359">
      <c r="B7359" s="8"/>
      <c r="G7359" s="8"/>
      <c r="M7359" s="8"/>
    </row>
    <row r="7360">
      <c r="B7360" s="8"/>
      <c r="G7360" s="8"/>
      <c r="M7360" s="8"/>
    </row>
    <row r="7361">
      <c r="B7361" s="8"/>
      <c r="G7361" s="8"/>
      <c r="M7361" s="8"/>
    </row>
    <row r="7362">
      <c r="B7362" s="8"/>
      <c r="G7362" s="8"/>
      <c r="M7362" s="8"/>
    </row>
    <row r="7363">
      <c r="B7363" s="8"/>
      <c r="G7363" s="8"/>
      <c r="M7363" s="8"/>
    </row>
    <row r="7364">
      <c r="B7364" s="8"/>
      <c r="G7364" s="8"/>
      <c r="M7364" s="8"/>
    </row>
    <row r="7365">
      <c r="B7365" s="8"/>
      <c r="G7365" s="8"/>
      <c r="M7365" s="8"/>
    </row>
    <row r="7366">
      <c r="B7366" s="8"/>
      <c r="G7366" s="8"/>
      <c r="M7366" s="8"/>
    </row>
    <row r="7367">
      <c r="B7367" s="8"/>
      <c r="G7367" s="8"/>
      <c r="M7367" s="8"/>
    </row>
    <row r="7368">
      <c r="B7368" s="8"/>
      <c r="G7368" s="8"/>
      <c r="M7368" s="8"/>
    </row>
    <row r="7369">
      <c r="B7369" s="8"/>
      <c r="G7369" s="8"/>
      <c r="M7369" s="8"/>
    </row>
    <row r="7370">
      <c r="B7370" s="8"/>
      <c r="G7370" s="8"/>
      <c r="M7370" s="8"/>
    </row>
    <row r="7371">
      <c r="B7371" s="8"/>
      <c r="G7371" s="8"/>
      <c r="M7371" s="8"/>
    </row>
    <row r="7372">
      <c r="B7372" s="8"/>
      <c r="G7372" s="8"/>
      <c r="M7372" s="8"/>
    </row>
    <row r="7373">
      <c r="B7373" s="8"/>
      <c r="G7373" s="8"/>
      <c r="M7373" s="8"/>
    </row>
    <row r="7374">
      <c r="B7374" s="8"/>
      <c r="G7374" s="8"/>
      <c r="M7374" s="8"/>
    </row>
    <row r="7375">
      <c r="B7375" s="8"/>
      <c r="G7375" s="8"/>
      <c r="M7375" s="8"/>
    </row>
    <row r="7376">
      <c r="B7376" s="8"/>
      <c r="G7376" s="8"/>
      <c r="M7376" s="8"/>
    </row>
    <row r="7377">
      <c r="B7377" s="8"/>
      <c r="G7377" s="8"/>
      <c r="M7377" s="8"/>
    </row>
    <row r="7378">
      <c r="B7378" s="8"/>
      <c r="G7378" s="8"/>
      <c r="M7378" s="8"/>
    </row>
    <row r="7379">
      <c r="B7379" s="8"/>
      <c r="G7379" s="8"/>
      <c r="M7379" s="8"/>
    </row>
    <row r="7380">
      <c r="B7380" s="8"/>
      <c r="G7380" s="8"/>
      <c r="M7380" s="8"/>
    </row>
    <row r="7381">
      <c r="B7381" s="8"/>
      <c r="G7381" s="8"/>
      <c r="M7381" s="8"/>
    </row>
    <row r="7382">
      <c r="B7382" s="8"/>
      <c r="G7382" s="8"/>
      <c r="M7382" s="8"/>
    </row>
    <row r="7383">
      <c r="B7383" s="8"/>
      <c r="G7383" s="8"/>
      <c r="M7383" s="8"/>
    </row>
    <row r="7384">
      <c r="B7384" s="8"/>
      <c r="G7384" s="8"/>
      <c r="M7384" s="8"/>
    </row>
    <row r="7385">
      <c r="B7385" s="8"/>
      <c r="G7385" s="8"/>
      <c r="M7385" s="8"/>
    </row>
    <row r="7386">
      <c r="B7386" s="8"/>
      <c r="G7386" s="8"/>
      <c r="M7386" s="8"/>
    </row>
    <row r="7387">
      <c r="B7387" s="8"/>
      <c r="G7387" s="8"/>
      <c r="M7387" s="8"/>
    </row>
    <row r="7388">
      <c r="B7388" s="8"/>
      <c r="G7388" s="8"/>
      <c r="M7388" s="8"/>
    </row>
    <row r="7389">
      <c r="B7389" s="8"/>
      <c r="G7389" s="8"/>
      <c r="M7389" s="8"/>
    </row>
    <row r="7390">
      <c r="B7390" s="8"/>
      <c r="G7390" s="8"/>
      <c r="M7390" s="8"/>
    </row>
    <row r="7391">
      <c r="B7391" s="8"/>
      <c r="G7391" s="8"/>
      <c r="M7391" s="8"/>
    </row>
    <row r="7392">
      <c r="B7392" s="8"/>
      <c r="G7392" s="8"/>
      <c r="M7392" s="8"/>
    </row>
    <row r="7393">
      <c r="B7393" s="8"/>
      <c r="G7393" s="8"/>
      <c r="M7393" s="8"/>
    </row>
    <row r="7394">
      <c r="B7394" s="8"/>
      <c r="G7394" s="8"/>
      <c r="M7394" s="8"/>
    </row>
    <row r="7395">
      <c r="B7395" s="8"/>
      <c r="G7395" s="8"/>
      <c r="M7395" s="8"/>
    </row>
    <row r="7396">
      <c r="B7396" s="8"/>
      <c r="G7396" s="8"/>
      <c r="M7396" s="8"/>
    </row>
    <row r="7397">
      <c r="B7397" s="8"/>
      <c r="G7397" s="8"/>
      <c r="M7397" s="8"/>
    </row>
    <row r="7398">
      <c r="B7398" s="8"/>
      <c r="G7398" s="8"/>
      <c r="M7398" s="8"/>
    </row>
    <row r="7399">
      <c r="B7399" s="8"/>
      <c r="G7399" s="8"/>
      <c r="M7399" s="8"/>
    </row>
    <row r="7400">
      <c r="B7400" s="8"/>
      <c r="G7400" s="8"/>
      <c r="M7400" s="8"/>
    </row>
    <row r="7401">
      <c r="B7401" s="8"/>
      <c r="G7401" s="8"/>
      <c r="M7401" s="8"/>
    </row>
    <row r="7402">
      <c r="B7402" s="8"/>
      <c r="G7402" s="8"/>
      <c r="M7402" s="8"/>
    </row>
    <row r="7403">
      <c r="B7403" s="8"/>
      <c r="G7403" s="8"/>
      <c r="M7403" s="8"/>
    </row>
    <row r="7404">
      <c r="B7404" s="8"/>
      <c r="G7404" s="8"/>
      <c r="M7404" s="8"/>
    </row>
    <row r="7405">
      <c r="B7405" s="8"/>
      <c r="G7405" s="8"/>
      <c r="M7405" s="8"/>
    </row>
    <row r="7406">
      <c r="B7406" s="8"/>
      <c r="G7406" s="8"/>
      <c r="M7406" s="8"/>
    </row>
    <row r="7407">
      <c r="B7407" s="8"/>
      <c r="G7407" s="8"/>
      <c r="M7407" s="8"/>
    </row>
    <row r="7408">
      <c r="B7408" s="8"/>
      <c r="G7408" s="8"/>
      <c r="M7408" s="8"/>
    </row>
    <row r="7409">
      <c r="B7409" s="8"/>
      <c r="G7409" s="8"/>
      <c r="M7409" s="8"/>
    </row>
    <row r="7410">
      <c r="B7410" s="8"/>
      <c r="G7410" s="8"/>
      <c r="M7410" s="8"/>
    </row>
    <row r="7411">
      <c r="B7411" s="8"/>
      <c r="G7411" s="8"/>
      <c r="M7411" s="8"/>
    </row>
    <row r="7412">
      <c r="B7412" s="8"/>
      <c r="G7412" s="8"/>
      <c r="M7412" s="8"/>
    </row>
    <row r="7413">
      <c r="B7413" s="8"/>
      <c r="G7413" s="8"/>
      <c r="M7413" s="8"/>
    </row>
    <row r="7414">
      <c r="B7414" s="8"/>
      <c r="G7414" s="8"/>
      <c r="M7414" s="8"/>
    </row>
    <row r="7415">
      <c r="B7415" s="8"/>
      <c r="G7415" s="8"/>
      <c r="M7415" s="8"/>
    </row>
    <row r="7416">
      <c r="B7416" s="8"/>
      <c r="G7416" s="8"/>
      <c r="M7416" s="8"/>
    </row>
    <row r="7417">
      <c r="B7417" s="8"/>
      <c r="G7417" s="8"/>
      <c r="M7417" s="8"/>
    </row>
    <row r="7418">
      <c r="B7418" s="8"/>
      <c r="G7418" s="8"/>
      <c r="M7418" s="8"/>
    </row>
    <row r="7419">
      <c r="B7419" s="8"/>
      <c r="G7419" s="8"/>
      <c r="M7419" s="8"/>
    </row>
    <row r="7420">
      <c r="B7420" s="8"/>
      <c r="G7420" s="8"/>
      <c r="M7420" s="8"/>
    </row>
    <row r="7421">
      <c r="B7421" s="8"/>
      <c r="G7421" s="8"/>
      <c r="M7421" s="8"/>
    </row>
    <row r="7422">
      <c r="B7422" s="8"/>
      <c r="G7422" s="8"/>
      <c r="M7422" s="8"/>
    </row>
    <row r="7423">
      <c r="B7423" s="8"/>
      <c r="G7423" s="8"/>
      <c r="M7423" s="8"/>
    </row>
    <row r="7424">
      <c r="B7424" s="8"/>
      <c r="G7424" s="8"/>
      <c r="M7424" s="8"/>
    </row>
    <row r="7425">
      <c r="B7425" s="8"/>
      <c r="G7425" s="8"/>
      <c r="M7425" s="8"/>
    </row>
    <row r="7426">
      <c r="B7426" s="8"/>
      <c r="G7426" s="8"/>
      <c r="M7426" s="8"/>
    </row>
    <row r="7427">
      <c r="B7427" s="8"/>
      <c r="G7427" s="8"/>
      <c r="M7427" s="8"/>
    </row>
    <row r="7428">
      <c r="B7428" s="8"/>
      <c r="G7428" s="8"/>
      <c r="M7428" s="8"/>
    </row>
    <row r="7429">
      <c r="B7429" s="8"/>
      <c r="G7429" s="8"/>
      <c r="M7429" s="8"/>
    </row>
    <row r="7430">
      <c r="B7430" s="8"/>
      <c r="G7430" s="8"/>
      <c r="M7430" s="8"/>
    </row>
    <row r="7431">
      <c r="B7431" s="8"/>
      <c r="G7431" s="8"/>
      <c r="M7431" s="8"/>
    </row>
    <row r="7432">
      <c r="B7432" s="8"/>
      <c r="G7432" s="8"/>
      <c r="M7432" s="8"/>
    </row>
    <row r="7433">
      <c r="B7433" s="8"/>
      <c r="G7433" s="8"/>
      <c r="M7433" s="8"/>
    </row>
    <row r="7434">
      <c r="B7434" s="8"/>
      <c r="G7434" s="8"/>
      <c r="M7434" s="8"/>
    </row>
    <row r="7435">
      <c r="B7435" s="8"/>
      <c r="G7435" s="8"/>
      <c r="M7435" s="8"/>
    </row>
    <row r="7436">
      <c r="B7436" s="8"/>
      <c r="G7436" s="8"/>
      <c r="M7436" s="8"/>
    </row>
    <row r="7437">
      <c r="B7437" s="8"/>
      <c r="G7437" s="8"/>
      <c r="M7437" s="8"/>
    </row>
    <row r="7438">
      <c r="B7438" s="8"/>
      <c r="G7438" s="8"/>
      <c r="M7438" s="8"/>
    </row>
    <row r="7439">
      <c r="B7439" s="8"/>
      <c r="G7439" s="8"/>
      <c r="M7439" s="8"/>
    </row>
    <row r="7440">
      <c r="B7440" s="8"/>
      <c r="G7440" s="8"/>
      <c r="M7440" s="8"/>
    </row>
    <row r="7441">
      <c r="B7441" s="8"/>
      <c r="G7441" s="8"/>
      <c r="M7441" s="8"/>
    </row>
    <row r="7442">
      <c r="B7442" s="8"/>
      <c r="G7442" s="8"/>
      <c r="M7442" s="8"/>
    </row>
    <row r="7443">
      <c r="B7443" s="8"/>
      <c r="G7443" s="8"/>
      <c r="M7443" s="8"/>
    </row>
    <row r="7444">
      <c r="B7444" s="8"/>
      <c r="G7444" s="8"/>
      <c r="M7444" s="8"/>
    </row>
    <row r="7445">
      <c r="B7445" s="8"/>
      <c r="G7445" s="8"/>
      <c r="M7445" s="8"/>
    </row>
    <row r="7446">
      <c r="B7446" s="8"/>
      <c r="G7446" s="8"/>
      <c r="M7446" s="8"/>
    </row>
    <row r="7447">
      <c r="B7447" s="8"/>
      <c r="G7447" s="8"/>
      <c r="M7447" s="8"/>
    </row>
    <row r="7448">
      <c r="B7448" s="8"/>
      <c r="G7448" s="8"/>
      <c r="M7448" s="8"/>
    </row>
    <row r="7449">
      <c r="B7449" s="8"/>
      <c r="G7449" s="8"/>
      <c r="M7449" s="8"/>
    </row>
    <row r="7450">
      <c r="B7450" s="8"/>
      <c r="G7450" s="8"/>
      <c r="M7450" s="8"/>
    </row>
    <row r="7451">
      <c r="B7451" s="8"/>
      <c r="G7451" s="8"/>
      <c r="M7451" s="8"/>
    </row>
    <row r="7452">
      <c r="B7452" s="8"/>
      <c r="G7452" s="8"/>
      <c r="M7452" s="8"/>
    </row>
    <row r="7453">
      <c r="B7453" s="8"/>
      <c r="G7453" s="8"/>
      <c r="M7453" s="8"/>
    </row>
    <row r="7454">
      <c r="B7454" s="8"/>
      <c r="G7454" s="8"/>
      <c r="M7454" s="8"/>
    </row>
    <row r="7455">
      <c r="B7455" s="8"/>
      <c r="G7455" s="8"/>
      <c r="M7455" s="8"/>
    </row>
    <row r="7456">
      <c r="B7456" s="8"/>
      <c r="G7456" s="8"/>
      <c r="M7456" s="8"/>
    </row>
    <row r="7457">
      <c r="B7457" s="8"/>
      <c r="G7457" s="8"/>
      <c r="M7457" s="8"/>
    </row>
    <row r="7458">
      <c r="B7458" s="8"/>
      <c r="G7458" s="8"/>
      <c r="M7458" s="8"/>
    </row>
    <row r="7459">
      <c r="B7459" s="8"/>
      <c r="G7459" s="8"/>
      <c r="M7459" s="8"/>
    </row>
    <row r="7460">
      <c r="B7460" s="8"/>
      <c r="G7460" s="8"/>
      <c r="M7460" s="8"/>
    </row>
    <row r="7461">
      <c r="B7461" s="8"/>
      <c r="G7461" s="8"/>
      <c r="M7461" s="8"/>
    </row>
    <row r="7462">
      <c r="B7462" s="8"/>
      <c r="G7462" s="8"/>
      <c r="M7462" s="8"/>
    </row>
    <row r="7463">
      <c r="B7463" s="8"/>
      <c r="G7463" s="8"/>
      <c r="M7463" s="8"/>
    </row>
    <row r="7464">
      <c r="B7464" s="8"/>
      <c r="G7464" s="8"/>
      <c r="M7464" s="8"/>
    </row>
    <row r="7465">
      <c r="B7465" s="8"/>
      <c r="G7465" s="8"/>
      <c r="M7465" s="8"/>
    </row>
    <row r="7466">
      <c r="B7466" s="8"/>
      <c r="G7466" s="8"/>
      <c r="M7466" s="8"/>
    </row>
    <row r="7467">
      <c r="B7467" s="8"/>
      <c r="G7467" s="8"/>
      <c r="M7467" s="8"/>
    </row>
    <row r="7468">
      <c r="B7468" s="8"/>
      <c r="G7468" s="8"/>
      <c r="M7468" s="8"/>
    </row>
    <row r="7469">
      <c r="B7469" s="8"/>
      <c r="G7469" s="8"/>
      <c r="M7469" s="8"/>
    </row>
    <row r="7470">
      <c r="B7470" s="8"/>
      <c r="G7470" s="8"/>
      <c r="M7470" s="8"/>
    </row>
    <row r="7471">
      <c r="B7471" s="8"/>
      <c r="G7471" s="8"/>
      <c r="M7471" s="8"/>
    </row>
    <row r="7472">
      <c r="B7472" s="8"/>
      <c r="G7472" s="8"/>
      <c r="M7472" s="8"/>
    </row>
    <row r="7473">
      <c r="B7473" s="8"/>
      <c r="G7473" s="8"/>
      <c r="M7473" s="8"/>
    </row>
    <row r="7474">
      <c r="B7474" s="8"/>
      <c r="G7474" s="8"/>
      <c r="M7474" s="8"/>
    </row>
    <row r="7475">
      <c r="B7475" s="8"/>
      <c r="G7475" s="8"/>
      <c r="M7475" s="8"/>
    </row>
    <row r="7476">
      <c r="B7476" s="8"/>
      <c r="G7476" s="8"/>
      <c r="M7476" s="8"/>
    </row>
    <row r="7477">
      <c r="B7477" s="8"/>
      <c r="G7477" s="8"/>
      <c r="M7477" s="8"/>
    </row>
    <row r="7478">
      <c r="B7478" s="8"/>
      <c r="G7478" s="8"/>
      <c r="M7478" s="8"/>
    </row>
    <row r="7479">
      <c r="B7479" s="8"/>
      <c r="G7479" s="8"/>
      <c r="M7479" s="8"/>
    </row>
    <row r="7480">
      <c r="B7480" s="8"/>
      <c r="G7480" s="8"/>
      <c r="M7480" s="8"/>
    </row>
    <row r="7481">
      <c r="B7481" s="8"/>
      <c r="G7481" s="8"/>
      <c r="M7481" s="8"/>
    </row>
    <row r="7482">
      <c r="B7482" s="8"/>
      <c r="G7482" s="8"/>
      <c r="M7482" s="8"/>
    </row>
    <row r="7483">
      <c r="B7483" s="8"/>
      <c r="G7483" s="8"/>
      <c r="M7483" s="8"/>
    </row>
    <row r="7484">
      <c r="B7484" s="8"/>
      <c r="G7484" s="8"/>
      <c r="M7484" s="8"/>
    </row>
    <row r="7485">
      <c r="B7485" s="8"/>
      <c r="G7485" s="8"/>
      <c r="M7485" s="8"/>
    </row>
    <row r="7486">
      <c r="B7486" s="8"/>
      <c r="G7486" s="8"/>
      <c r="M7486" s="8"/>
    </row>
    <row r="7487">
      <c r="B7487" s="8"/>
      <c r="G7487" s="8"/>
      <c r="M7487" s="8"/>
    </row>
    <row r="7488">
      <c r="B7488" s="8"/>
      <c r="G7488" s="8"/>
      <c r="M7488" s="8"/>
    </row>
    <row r="7489">
      <c r="B7489" s="8"/>
      <c r="G7489" s="8"/>
      <c r="M7489" s="8"/>
    </row>
    <row r="7490">
      <c r="B7490" s="8"/>
      <c r="G7490" s="8"/>
      <c r="M7490" s="8"/>
    </row>
    <row r="7491">
      <c r="B7491" s="8"/>
      <c r="G7491" s="8"/>
      <c r="M7491" s="8"/>
    </row>
    <row r="7492">
      <c r="B7492" s="8"/>
      <c r="G7492" s="8"/>
      <c r="M7492" s="8"/>
    </row>
    <row r="7493">
      <c r="B7493" s="8"/>
      <c r="G7493" s="8"/>
      <c r="M7493" s="8"/>
    </row>
    <row r="7494">
      <c r="B7494" s="8"/>
      <c r="G7494" s="8"/>
      <c r="M7494" s="8"/>
    </row>
    <row r="7495">
      <c r="B7495" s="8"/>
      <c r="G7495" s="8"/>
      <c r="M7495" s="8"/>
    </row>
    <row r="7496">
      <c r="B7496" s="8"/>
      <c r="G7496" s="8"/>
      <c r="M7496" s="8"/>
    </row>
    <row r="7497">
      <c r="B7497" s="8"/>
      <c r="G7497" s="8"/>
      <c r="M7497" s="8"/>
    </row>
    <row r="7498">
      <c r="B7498" s="8"/>
      <c r="G7498" s="8"/>
      <c r="M7498" s="8"/>
    </row>
    <row r="7499">
      <c r="B7499" s="8"/>
      <c r="G7499" s="8"/>
      <c r="M7499" s="8"/>
    </row>
    <row r="7500">
      <c r="B7500" s="8"/>
      <c r="G7500" s="8"/>
      <c r="M7500" s="8"/>
    </row>
    <row r="7501">
      <c r="B7501" s="8"/>
      <c r="G7501" s="8"/>
      <c r="M7501" s="8"/>
    </row>
    <row r="7502">
      <c r="B7502" s="8"/>
      <c r="G7502" s="8"/>
      <c r="M7502" s="8"/>
    </row>
    <row r="7503">
      <c r="B7503" s="8"/>
      <c r="G7503" s="8"/>
      <c r="M7503" s="8"/>
    </row>
    <row r="7504">
      <c r="B7504" s="8"/>
      <c r="G7504" s="8"/>
      <c r="M7504" s="8"/>
    </row>
    <row r="7505">
      <c r="B7505" s="8"/>
      <c r="G7505" s="8"/>
      <c r="M7505" s="8"/>
    </row>
    <row r="7506">
      <c r="B7506" s="8"/>
      <c r="G7506" s="8"/>
      <c r="M7506" s="8"/>
    </row>
    <row r="7507">
      <c r="B7507" s="8"/>
      <c r="G7507" s="8"/>
      <c r="M7507" s="8"/>
    </row>
    <row r="7508">
      <c r="B7508" s="8"/>
      <c r="G7508" s="8"/>
      <c r="M7508" s="8"/>
    </row>
    <row r="7509">
      <c r="B7509" s="8"/>
      <c r="G7509" s="8"/>
      <c r="M7509" s="8"/>
    </row>
    <row r="7510">
      <c r="B7510" s="8"/>
      <c r="G7510" s="8"/>
      <c r="M7510" s="8"/>
    </row>
    <row r="7511">
      <c r="B7511" s="8"/>
      <c r="G7511" s="8"/>
      <c r="M7511" s="8"/>
    </row>
    <row r="7512">
      <c r="B7512" s="8"/>
      <c r="G7512" s="8"/>
      <c r="M7512" s="8"/>
    </row>
    <row r="7513">
      <c r="B7513" s="8"/>
      <c r="G7513" s="8"/>
      <c r="M7513" s="8"/>
    </row>
    <row r="7514">
      <c r="B7514" s="8"/>
      <c r="G7514" s="8"/>
      <c r="M7514" s="8"/>
    </row>
    <row r="7515">
      <c r="B7515" s="8"/>
      <c r="G7515" s="8"/>
      <c r="M7515" s="8"/>
    </row>
    <row r="7516">
      <c r="B7516" s="8"/>
      <c r="G7516" s="8"/>
      <c r="M7516" s="8"/>
    </row>
    <row r="7517">
      <c r="B7517" s="8"/>
      <c r="G7517" s="8"/>
      <c r="M7517" s="8"/>
    </row>
    <row r="7518">
      <c r="B7518" s="8"/>
      <c r="G7518" s="8"/>
      <c r="M7518" s="8"/>
    </row>
    <row r="7519">
      <c r="B7519" s="8"/>
      <c r="G7519" s="8"/>
      <c r="M7519" s="8"/>
    </row>
    <row r="7520">
      <c r="B7520" s="8"/>
      <c r="G7520" s="8"/>
      <c r="M7520" s="8"/>
    </row>
    <row r="7521">
      <c r="B7521" s="8"/>
      <c r="G7521" s="8"/>
      <c r="M7521" s="8"/>
    </row>
    <row r="7522">
      <c r="B7522" s="8"/>
      <c r="G7522" s="8"/>
      <c r="M7522" s="8"/>
    </row>
    <row r="7523">
      <c r="B7523" s="8"/>
      <c r="G7523" s="8"/>
      <c r="M7523" s="8"/>
    </row>
    <row r="7524">
      <c r="B7524" s="8"/>
      <c r="G7524" s="8"/>
      <c r="M7524" s="8"/>
    </row>
    <row r="7525">
      <c r="B7525" s="8"/>
      <c r="G7525" s="8"/>
      <c r="M7525" s="8"/>
    </row>
    <row r="7526">
      <c r="B7526" s="8"/>
      <c r="G7526" s="8"/>
      <c r="M7526" s="8"/>
    </row>
    <row r="7527">
      <c r="B7527" s="8"/>
      <c r="G7527" s="8"/>
      <c r="M7527" s="8"/>
    </row>
    <row r="7528">
      <c r="B7528" s="8"/>
      <c r="G7528" s="8"/>
      <c r="M7528" s="8"/>
    </row>
    <row r="7529">
      <c r="B7529" s="8"/>
      <c r="G7529" s="8"/>
      <c r="M7529" s="8"/>
    </row>
    <row r="7530">
      <c r="B7530" s="8"/>
      <c r="G7530" s="8"/>
      <c r="M7530" s="8"/>
    </row>
    <row r="7531">
      <c r="B7531" s="8"/>
      <c r="G7531" s="8"/>
      <c r="M7531" s="8"/>
    </row>
    <row r="7532">
      <c r="B7532" s="8"/>
      <c r="G7532" s="8"/>
      <c r="M7532" s="8"/>
    </row>
    <row r="7533">
      <c r="B7533" s="8"/>
      <c r="G7533" s="8"/>
      <c r="M7533" s="8"/>
    </row>
    <row r="7534">
      <c r="B7534" s="8"/>
      <c r="G7534" s="8"/>
      <c r="M7534" s="8"/>
    </row>
    <row r="7535">
      <c r="B7535" s="8"/>
      <c r="G7535" s="8"/>
      <c r="M7535" s="8"/>
    </row>
    <row r="7536">
      <c r="B7536" s="8"/>
      <c r="G7536" s="8"/>
      <c r="M7536" s="8"/>
    </row>
    <row r="7537">
      <c r="B7537" s="8"/>
      <c r="G7537" s="8"/>
      <c r="M7537" s="8"/>
    </row>
    <row r="7538">
      <c r="B7538" s="8"/>
      <c r="G7538" s="8"/>
      <c r="M7538" s="8"/>
    </row>
    <row r="7539">
      <c r="B7539" s="8"/>
      <c r="G7539" s="8"/>
      <c r="M7539" s="8"/>
    </row>
    <row r="7540">
      <c r="B7540" s="8"/>
      <c r="G7540" s="8"/>
      <c r="M7540" s="8"/>
    </row>
    <row r="7541">
      <c r="B7541" s="8"/>
      <c r="G7541" s="8"/>
      <c r="M7541" s="8"/>
    </row>
    <row r="7542">
      <c r="B7542" s="8"/>
      <c r="G7542" s="8"/>
      <c r="M7542" s="8"/>
    </row>
    <row r="7543">
      <c r="B7543" s="8"/>
      <c r="G7543" s="8"/>
      <c r="M7543" s="8"/>
    </row>
    <row r="7544">
      <c r="B7544" s="8"/>
      <c r="G7544" s="8"/>
      <c r="M7544" s="8"/>
    </row>
    <row r="7545">
      <c r="B7545" s="8"/>
      <c r="G7545" s="8"/>
      <c r="M7545" s="8"/>
    </row>
    <row r="7546">
      <c r="B7546" s="8"/>
      <c r="G7546" s="8"/>
      <c r="M7546" s="8"/>
    </row>
    <row r="7547">
      <c r="B7547" s="8"/>
      <c r="G7547" s="8"/>
      <c r="M7547" s="8"/>
    </row>
    <row r="7548">
      <c r="B7548" s="8"/>
      <c r="G7548" s="8"/>
      <c r="M7548" s="8"/>
    </row>
    <row r="7549">
      <c r="B7549" s="8"/>
      <c r="G7549" s="8"/>
      <c r="M7549" s="8"/>
    </row>
    <row r="7550">
      <c r="B7550" s="8"/>
      <c r="G7550" s="8"/>
      <c r="M7550" s="8"/>
    </row>
    <row r="7551">
      <c r="B7551" s="8"/>
      <c r="G7551" s="8"/>
      <c r="M7551" s="8"/>
    </row>
    <row r="7552">
      <c r="B7552" s="8"/>
      <c r="G7552" s="8"/>
      <c r="M7552" s="8"/>
    </row>
    <row r="7553">
      <c r="B7553" s="8"/>
      <c r="G7553" s="8"/>
      <c r="M7553" s="8"/>
    </row>
    <row r="7554">
      <c r="B7554" s="8"/>
      <c r="G7554" s="8"/>
      <c r="M7554" s="8"/>
    </row>
    <row r="7555">
      <c r="B7555" s="8"/>
      <c r="G7555" s="8"/>
      <c r="M7555" s="8"/>
    </row>
    <row r="7556">
      <c r="B7556" s="8"/>
      <c r="G7556" s="8"/>
      <c r="M7556" s="8"/>
    </row>
    <row r="7557">
      <c r="B7557" s="8"/>
      <c r="G7557" s="8"/>
      <c r="M7557" s="8"/>
    </row>
    <row r="7558">
      <c r="B7558" s="8"/>
      <c r="G7558" s="8"/>
      <c r="M7558" s="8"/>
    </row>
    <row r="7559">
      <c r="B7559" s="8"/>
      <c r="G7559" s="8"/>
      <c r="M7559" s="8"/>
    </row>
    <row r="7560">
      <c r="B7560" s="8"/>
      <c r="G7560" s="8"/>
      <c r="M7560" s="8"/>
    </row>
    <row r="7561">
      <c r="B7561" s="8"/>
      <c r="G7561" s="8"/>
      <c r="M7561" s="8"/>
    </row>
    <row r="7562">
      <c r="B7562" s="8"/>
      <c r="G7562" s="8"/>
      <c r="M7562" s="8"/>
    </row>
    <row r="7563">
      <c r="B7563" s="8"/>
      <c r="G7563" s="8"/>
      <c r="M7563" s="8"/>
    </row>
    <row r="7564">
      <c r="B7564" s="8"/>
      <c r="G7564" s="8"/>
      <c r="M7564" s="8"/>
    </row>
    <row r="7565">
      <c r="B7565" s="8"/>
      <c r="G7565" s="8"/>
      <c r="M7565" s="8"/>
    </row>
    <row r="7566">
      <c r="B7566" s="8"/>
      <c r="G7566" s="8"/>
      <c r="M7566" s="8"/>
    </row>
    <row r="7567">
      <c r="B7567" s="8"/>
      <c r="G7567" s="8"/>
      <c r="M7567" s="8"/>
    </row>
    <row r="7568">
      <c r="B7568" s="8"/>
      <c r="G7568" s="8"/>
      <c r="M7568" s="8"/>
    </row>
    <row r="7569">
      <c r="B7569" s="8"/>
      <c r="G7569" s="8"/>
      <c r="M7569" s="8"/>
    </row>
    <row r="7570">
      <c r="B7570" s="8"/>
      <c r="G7570" s="8"/>
      <c r="M7570" s="8"/>
    </row>
    <row r="7571">
      <c r="B7571" s="8"/>
      <c r="G7571" s="8"/>
      <c r="M7571" s="8"/>
    </row>
    <row r="7572">
      <c r="B7572" s="8"/>
      <c r="G7572" s="8"/>
      <c r="M7572" s="8"/>
    </row>
    <row r="7573">
      <c r="B7573" s="8"/>
      <c r="G7573" s="8"/>
      <c r="M7573" s="8"/>
    </row>
    <row r="7574">
      <c r="B7574" s="8"/>
      <c r="G7574" s="8"/>
      <c r="M7574" s="8"/>
    </row>
    <row r="7575">
      <c r="B7575" s="8"/>
      <c r="G7575" s="8"/>
      <c r="M7575" s="8"/>
    </row>
    <row r="7576">
      <c r="B7576" s="8"/>
      <c r="G7576" s="8"/>
      <c r="M7576" s="8"/>
    </row>
    <row r="7577">
      <c r="B7577" s="8"/>
      <c r="G7577" s="8"/>
      <c r="M7577" s="8"/>
    </row>
    <row r="7578">
      <c r="B7578" s="8"/>
      <c r="G7578" s="8"/>
      <c r="M7578" s="8"/>
    </row>
    <row r="7579">
      <c r="B7579" s="8"/>
      <c r="G7579" s="8"/>
      <c r="M7579" s="8"/>
    </row>
    <row r="7580">
      <c r="B7580" s="8"/>
      <c r="G7580" s="8"/>
      <c r="M7580" s="8"/>
    </row>
    <row r="7581">
      <c r="B7581" s="8"/>
      <c r="G7581" s="8"/>
      <c r="M7581" s="8"/>
    </row>
    <row r="7582">
      <c r="B7582" s="8"/>
      <c r="G7582" s="8"/>
      <c r="M7582" s="8"/>
    </row>
    <row r="7583">
      <c r="B7583" s="8"/>
      <c r="G7583" s="8"/>
      <c r="M7583" s="8"/>
    </row>
    <row r="7584">
      <c r="B7584" s="8"/>
      <c r="G7584" s="8"/>
      <c r="M7584" s="8"/>
    </row>
    <row r="7585">
      <c r="B7585" s="8"/>
      <c r="G7585" s="8"/>
      <c r="M7585" s="8"/>
    </row>
    <row r="7586">
      <c r="B7586" s="8"/>
      <c r="G7586" s="8"/>
      <c r="M7586" s="8"/>
    </row>
    <row r="7587">
      <c r="B7587" s="8"/>
      <c r="G7587" s="8"/>
      <c r="M7587" s="8"/>
    </row>
    <row r="7588">
      <c r="B7588" s="8"/>
      <c r="G7588" s="8"/>
      <c r="M7588" s="8"/>
    </row>
    <row r="7589">
      <c r="B7589" s="8"/>
      <c r="G7589" s="8"/>
      <c r="M7589" s="8"/>
    </row>
    <row r="7590">
      <c r="B7590" s="8"/>
      <c r="G7590" s="8"/>
      <c r="M7590" s="8"/>
    </row>
    <row r="7591">
      <c r="B7591" s="8"/>
      <c r="G7591" s="8"/>
      <c r="M7591" s="8"/>
    </row>
    <row r="7592">
      <c r="B7592" s="8"/>
      <c r="G7592" s="8"/>
      <c r="M7592" s="8"/>
    </row>
    <row r="7593">
      <c r="B7593" s="8"/>
      <c r="G7593" s="8"/>
      <c r="M7593" s="8"/>
    </row>
    <row r="7594">
      <c r="B7594" s="8"/>
      <c r="G7594" s="8"/>
      <c r="M7594" s="8"/>
    </row>
    <row r="7595">
      <c r="B7595" s="8"/>
      <c r="G7595" s="8"/>
      <c r="M7595" s="8"/>
    </row>
    <row r="7596">
      <c r="B7596" s="8"/>
      <c r="G7596" s="8"/>
      <c r="M7596" s="8"/>
    </row>
    <row r="7597">
      <c r="B7597" s="8"/>
      <c r="G7597" s="8"/>
      <c r="M7597" s="8"/>
    </row>
    <row r="7598">
      <c r="B7598" s="8"/>
      <c r="G7598" s="8"/>
      <c r="M7598" s="8"/>
    </row>
    <row r="7599">
      <c r="B7599" s="8"/>
      <c r="G7599" s="8"/>
      <c r="M7599" s="8"/>
    </row>
    <row r="7600">
      <c r="B7600" s="8"/>
      <c r="G7600" s="8"/>
      <c r="M7600" s="8"/>
    </row>
    <row r="7601">
      <c r="B7601" s="8"/>
      <c r="G7601" s="8"/>
      <c r="M7601" s="8"/>
    </row>
    <row r="7602">
      <c r="B7602" s="8"/>
      <c r="G7602" s="8"/>
      <c r="M7602" s="8"/>
    </row>
    <row r="7603">
      <c r="B7603" s="8"/>
      <c r="G7603" s="8"/>
      <c r="M7603" s="8"/>
    </row>
    <row r="7604">
      <c r="B7604" s="8"/>
      <c r="G7604" s="8"/>
      <c r="M7604" s="8"/>
    </row>
    <row r="7605">
      <c r="B7605" s="8"/>
      <c r="G7605" s="8"/>
      <c r="M7605" s="8"/>
    </row>
    <row r="7606">
      <c r="B7606" s="8"/>
      <c r="G7606" s="8"/>
      <c r="M7606" s="8"/>
    </row>
    <row r="7607">
      <c r="B7607" s="8"/>
      <c r="G7607" s="8"/>
      <c r="M7607" s="8"/>
    </row>
    <row r="7608">
      <c r="B7608" s="8"/>
      <c r="G7608" s="8"/>
      <c r="M7608" s="8"/>
    </row>
    <row r="7609">
      <c r="B7609" s="8"/>
      <c r="G7609" s="8"/>
      <c r="M7609" s="8"/>
    </row>
    <row r="7610">
      <c r="B7610" s="8"/>
      <c r="G7610" s="8"/>
      <c r="M7610" s="8"/>
    </row>
    <row r="7611">
      <c r="B7611" s="8"/>
      <c r="G7611" s="8"/>
      <c r="M7611" s="8"/>
    </row>
    <row r="7612">
      <c r="B7612" s="8"/>
      <c r="G7612" s="8"/>
      <c r="M7612" s="8"/>
    </row>
    <row r="7613">
      <c r="B7613" s="8"/>
      <c r="G7613" s="8"/>
      <c r="M7613" s="8"/>
    </row>
    <row r="7614">
      <c r="B7614" s="8"/>
      <c r="G7614" s="8"/>
      <c r="M7614" s="8"/>
    </row>
    <row r="7615">
      <c r="B7615" s="8"/>
      <c r="G7615" s="8"/>
      <c r="M7615" s="8"/>
    </row>
    <row r="7616">
      <c r="B7616" s="8"/>
      <c r="G7616" s="8"/>
      <c r="M7616" s="8"/>
    </row>
    <row r="7617">
      <c r="B7617" s="8"/>
      <c r="G7617" s="8"/>
      <c r="M7617" s="8"/>
    </row>
    <row r="7618">
      <c r="B7618" s="8"/>
      <c r="G7618" s="8"/>
      <c r="M7618" s="8"/>
    </row>
    <row r="7619">
      <c r="B7619" s="8"/>
      <c r="G7619" s="8"/>
      <c r="M7619" s="8"/>
    </row>
    <row r="7620">
      <c r="B7620" s="8"/>
      <c r="G7620" s="8"/>
      <c r="M7620" s="8"/>
    </row>
    <row r="7621">
      <c r="B7621" s="8"/>
      <c r="G7621" s="8"/>
      <c r="M7621" s="8"/>
    </row>
    <row r="7622">
      <c r="B7622" s="8"/>
      <c r="G7622" s="8"/>
      <c r="M7622" s="8"/>
    </row>
    <row r="7623">
      <c r="B7623" s="8"/>
      <c r="G7623" s="8"/>
      <c r="M7623" s="8"/>
    </row>
    <row r="7624">
      <c r="B7624" s="8"/>
      <c r="G7624" s="8"/>
      <c r="M7624" s="8"/>
    </row>
    <row r="7625">
      <c r="B7625" s="8"/>
      <c r="G7625" s="8"/>
      <c r="M7625" s="8"/>
    </row>
    <row r="7626">
      <c r="B7626" s="8"/>
      <c r="G7626" s="8"/>
      <c r="M7626" s="8"/>
    </row>
    <row r="7627">
      <c r="B7627" s="8"/>
      <c r="G7627" s="8"/>
      <c r="M7627" s="8"/>
    </row>
    <row r="7628">
      <c r="B7628" s="8"/>
      <c r="G7628" s="8"/>
      <c r="M7628" s="8"/>
    </row>
    <row r="7629">
      <c r="B7629" s="8"/>
      <c r="G7629" s="8"/>
      <c r="M7629" s="8"/>
    </row>
    <row r="7630">
      <c r="B7630" s="8"/>
      <c r="G7630" s="8"/>
      <c r="M7630" s="8"/>
    </row>
    <row r="7631">
      <c r="B7631" s="8"/>
      <c r="G7631" s="8"/>
      <c r="M7631" s="8"/>
    </row>
    <row r="7632">
      <c r="B7632" s="8"/>
      <c r="G7632" s="8"/>
      <c r="M7632" s="8"/>
    </row>
    <row r="7633">
      <c r="B7633" s="8"/>
      <c r="G7633" s="8"/>
      <c r="M7633" s="8"/>
    </row>
    <row r="7634">
      <c r="B7634" s="8"/>
      <c r="G7634" s="8"/>
      <c r="M7634" s="8"/>
    </row>
    <row r="7635">
      <c r="B7635" s="8"/>
      <c r="G7635" s="8"/>
      <c r="M7635" s="8"/>
    </row>
    <row r="7636">
      <c r="B7636" s="8"/>
      <c r="G7636" s="8"/>
      <c r="M7636" s="8"/>
    </row>
    <row r="7637">
      <c r="B7637" s="8"/>
      <c r="G7637" s="8"/>
      <c r="M7637" s="8"/>
    </row>
    <row r="7638">
      <c r="B7638" s="8"/>
      <c r="G7638" s="8"/>
      <c r="M7638" s="8"/>
    </row>
    <row r="7639">
      <c r="B7639" s="8"/>
      <c r="G7639" s="8"/>
      <c r="M7639" s="8"/>
    </row>
    <row r="7640">
      <c r="B7640" s="8"/>
      <c r="G7640" s="8"/>
      <c r="M7640" s="8"/>
    </row>
    <row r="7641">
      <c r="B7641" s="8"/>
      <c r="G7641" s="8"/>
      <c r="M7641" s="8"/>
    </row>
    <row r="7642">
      <c r="B7642" s="8"/>
      <c r="G7642" s="8"/>
      <c r="M7642" s="8"/>
    </row>
    <row r="7643">
      <c r="B7643" s="8"/>
      <c r="G7643" s="8"/>
      <c r="M7643" s="8"/>
    </row>
    <row r="7644">
      <c r="B7644" s="8"/>
      <c r="G7644" s="8"/>
      <c r="M7644" s="8"/>
    </row>
    <row r="7645">
      <c r="B7645" s="8"/>
      <c r="G7645" s="8"/>
      <c r="M7645" s="8"/>
    </row>
    <row r="7646">
      <c r="B7646" s="8"/>
      <c r="G7646" s="8"/>
      <c r="M7646" s="8"/>
    </row>
    <row r="7647">
      <c r="B7647" s="8"/>
      <c r="G7647" s="8"/>
      <c r="M7647" s="8"/>
    </row>
    <row r="7648">
      <c r="B7648" s="8"/>
      <c r="G7648" s="8"/>
      <c r="M7648" s="8"/>
    </row>
    <row r="7649">
      <c r="B7649" s="8"/>
      <c r="G7649" s="8"/>
      <c r="M7649" s="8"/>
    </row>
    <row r="7650">
      <c r="B7650" s="8"/>
      <c r="G7650" s="8"/>
      <c r="M7650" s="8"/>
    </row>
    <row r="7651">
      <c r="B7651" s="8"/>
      <c r="G7651" s="8"/>
      <c r="M7651" s="8"/>
    </row>
    <row r="7652">
      <c r="B7652" s="8"/>
      <c r="G7652" s="8"/>
      <c r="M7652" s="8"/>
    </row>
    <row r="7653">
      <c r="B7653" s="8"/>
      <c r="G7653" s="8"/>
      <c r="M7653" s="8"/>
    </row>
    <row r="7654">
      <c r="B7654" s="8"/>
      <c r="G7654" s="8"/>
      <c r="M7654" s="8"/>
    </row>
    <row r="7655">
      <c r="B7655" s="8"/>
      <c r="G7655" s="8"/>
      <c r="M7655" s="8"/>
    </row>
    <row r="7656">
      <c r="B7656" s="8"/>
      <c r="G7656" s="8"/>
      <c r="M7656" s="8"/>
    </row>
    <row r="7657">
      <c r="B7657" s="8"/>
      <c r="G7657" s="8"/>
      <c r="M7657" s="8"/>
    </row>
    <row r="7658">
      <c r="B7658" s="8"/>
      <c r="G7658" s="8"/>
      <c r="M7658" s="8"/>
    </row>
    <row r="7659">
      <c r="B7659" s="8"/>
      <c r="G7659" s="8"/>
      <c r="M7659" s="8"/>
    </row>
    <row r="7660">
      <c r="B7660" s="8"/>
      <c r="G7660" s="8"/>
      <c r="M7660" s="8"/>
    </row>
    <row r="7661">
      <c r="B7661" s="8"/>
      <c r="G7661" s="8"/>
      <c r="M7661" s="8"/>
    </row>
    <row r="7662">
      <c r="B7662" s="8"/>
      <c r="G7662" s="8"/>
      <c r="M7662" s="8"/>
    </row>
    <row r="7663">
      <c r="B7663" s="8"/>
      <c r="G7663" s="8"/>
      <c r="M7663" s="8"/>
    </row>
    <row r="7664">
      <c r="B7664" s="8"/>
      <c r="G7664" s="8"/>
      <c r="M7664" s="8"/>
    </row>
    <row r="7665">
      <c r="B7665" s="8"/>
      <c r="G7665" s="8"/>
      <c r="M7665" s="8"/>
    </row>
    <row r="7666">
      <c r="B7666" s="8"/>
      <c r="G7666" s="8"/>
      <c r="M7666" s="8"/>
    </row>
    <row r="7667">
      <c r="B7667" s="8"/>
      <c r="G7667" s="8"/>
      <c r="M7667" s="8"/>
    </row>
    <row r="7668">
      <c r="B7668" s="8"/>
      <c r="G7668" s="8"/>
      <c r="M7668" s="8"/>
    </row>
    <row r="7669">
      <c r="B7669" s="8"/>
      <c r="G7669" s="8"/>
      <c r="M7669" s="8"/>
    </row>
    <row r="7670">
      <c r="B7670" s="8"/>
      <c r="G7670" s="8"/>
      <c r="M7670" s="8"/>
    </row>
    <row r="7671">
      <c r="B7671" s="8"/>
      <c r="G7671" s="8"/>
      <c r="M7671" s="8"/>
    </row>
    <row r="7672">
      <c r="B7672" s="8"/>
      <c r="G7672" s="8"/>
      <c r="M7672" s="8"/>
    </row>
    <row r="7673">
      <c r="B7673" s="8"/>
      <c r="G7673" s="8"/>
      <c r="M7673" s="8"/>
    </row>
    <row r="7674">
      <c r="B7674" s="8"/>
      <c r="G7674" s="8"/>
      <c r="M7674" s="8"/>
    </row>
    <row r="7675">
      <c r="B7675" s="8"/>
      <c r="G7675" s="8"/>
      <c r="M7675" s="8"/>
    </row>
    <row r="7676">
      <c r="B7676" s="8"/>
      <c r="G7676" s="8"/>
      <c r="M7676" s="8"/>
    </row>
    <row r="7677">
      <c r="B7677" s="8"/>
      <c r="G7677" s="8"/>
      <c r="M7677" s="8"/>
    </row>
    <row r="7678">
      <c r="B7678" s="8"/>
      <c r="G7678" s="8"/>
      <c r="M7678" s="8"/>
    </row>
    <row r="7679">
      <c r="B7679" s="8"/>
      <c r="G7679" s="8"/>
      <c r="M7679" s="8"/>
    </row>
    <row r="7680">
      <c r="B7680" s="8"/>
      <c r="G7680" s="8"/>
      <c r="M7680" s="8"/>
    </row>
    <row r="7681">
      <c r="B7681" s="8"/>
      <c r="G7681" s="8"/>
      <c r="M7681" s="8"/>
    </row>
    <row r="7682">
      <c r="B7682" s="8"/>
      <c r="G7682" s="8"/>
      <c r="M7682" s="8"/>
    </row>
    <row r="7683">
      <c r="B7683" s="8"/>
      <c r="G7683" s="8"/>
      <c r="M7683" s="8"/>
    </row>
    <row r="7684">
      <c r="B7684" s="8"/>
      <c r="G7684" s="8"/>
      <c r="M7684" s="8"/>
    </row>
    <row r="7685">
      <c r="B7685" s="8"/>
      <c r="G7685" s="8"/>
      <c r="M7685" s="8"/>
    </row>
    <row r="7686">
      <c r="B7686" s="8"/>
      <c r="G7686" s="8"/>
      <c r="M7686" s="8"/>
    </row>
    <row r="7687">
      <c r="B7687" s="8"/>
      <c r="G7687" s="8"/>
      <c r="M7687" s="8"/>
    </row>
    <row r="7688">
      <c r="B7688" s="8"/>
      <c r="G7688" s="8"/>
      <c r="M7688" s="8"/>
    </row>
    <row r="7689">
      <c r="B7689" s="8"/>
      <c r="G7689" s="8"/>
      <c r="M7689" s="8"/>
    </row>
    <row r="7690">
      <c r="B7690" s="8"/>
      <c r="G7690" s="8"/>
      <c r="M7690" s="8"/>
    </row>
    <row r="7691">
      <c r="B7691" s="8"/>
      <c r="G7691" s="8"/>
      <c r="M7691" s="8"/>
    </row>
    <row r="7692">
      <c r="B7692" s="8"/>
      <c r="G7692" s="8"/>
      <c r="M7692" s="8"/>
    </row>
    <row r="7693">
      <c r="B7693" s="8"/>
      <c r="G7693" s="8"/>
      <c r="M7693" s="8"/>
    </row>
    <row r="7694">
      <c r="B7694" s="8"/>
      <c r="G7694" s="8"/>
      <c r="M7694" s="8"/>
    </row>
    <row r="7695">
      <c r="B7695" s="8"/>
      <c r="G7695" s="8"/>
      <c r="M7695" s="8"/>
    </row>
    <row r="7696">
      <c r="B7696" s="8"/>
      <c r="G7696" s="8"/>
      <c r="M7696" s="8"/>
    </row>
    <row r="7697">
      <c r="B7697" s="8"/>
      <c r="G7697" s="8"/>
      <c r="M7697" s="8"/>
    </row>
    <row r="7698">
      <c r="B7698" s="8"/>
      <c r="G7698" s="8"/>
      <c r="M7698" s="8"/>
    </row>
    <row r="7699">
      <c r="B7699" s="8"/>
      <c r="G7699" s="8"/>
      <c r="M7699" s="8"/>
    </row>
    <row r="7700">
      <c r="B7700" s="8"/>
      <c r="G7700" s="8"/>
      <c r="M7700" s="8"/>
    </row>
    <row r="7701">
      <c r="B7701" s="8"/>
      <c r="G7701" s="8"/>
      <c r="M7701" s="8"/>
    </row>
    <row r="7702">
      <c r="B7702" s="8"/>
      <c r="G7702" s="8"/>
      <c r="M7702" s="8"/>
    </row>
    <row r="7703">
      <c r="B7703" s="8"/>
      <c r="G7703" s="8"/>
      <c r="M7703" s="8"/>
    </row>
    <row r="7704">
      <c r="B7704" s="8"/>
      <c r="G7704" s="8"/>
      <c r="M7704" s="8"/>
    </row>
    <row r="7705">
      <c r="B7705" s="8"/>
      <c r="G7705" s="8"/>
      <c r="M7705" s="8"/>
    </row>
    <row r="7706">
      <c r="B7706" s="8"/>
      <c r="G7706" s="8"/>
      <c r="M7706" s="8"/>
    </row>
    <row r="7707">
      <c r="B7707" s="8"/>
      <c r="G7707" s="8"/>
      <c r="M7707" s="8"/>
    </row>
    <row r="7708">
      <c r="B7708" s="8"/>
      <c r="G7708" s="8"/>
      <c r="M7708" s="8"/>
    </row>
    <row r="7709">
      <c r="B7709" s="8"/>
      <c r="G7709" s="8"/>
      <c r="M7709" s="8"/>
    </row>
    <row r="7710">
      <c r="B7710" s="8"/>
      <c r="G7710" s="8"/>
      <c r="M7710" s="8"/>
    </row>
    <row r="7711">
      <c r="B7711" s="8"/>
      <c r="G7711" s="8"/>
      <c r="M7711" s="8"/>
    </row>
    <row r="7712">
      <c r="B7712" s="8"/>
      <c r="G7712" s="8"/>
      <c r="M7712" s="8"/>
    </row>
    <row r="7713">
      <c r="B7713" s="8"/>
      <c r="G7713" s="8"/>
      <c r="M7713" s="8"/>
    </row>
    <row r="7714">
      <c r="B7714" s="8"/>
      <c r="G7714" s="8"/>
      <c r="M7714" s="8"/>
    </row>
    <row r="7715">
      <c r="B7715" s="8"/>
      <c r="G7715" s="8"/>
      <c r="M7715" s="8"/>
    </row>
    <row r="7716">
      <c r="B7716" s="8"/>
      <c r="G7716" s="8"/>
      <c r="M7716" s="8"/>
    </row>
    <row r="7717">
      <c r="B7717" s="8"/>
      <c r="G7717" s="8"/>
      <c r="M7717" s="8"/>
    </row>
    <row r="7718">
      <c r="B7718" s="8"/>
      <c r="G7718" s="8"/>
      <c r="M7718" s="8"/>
    </row>
    <row r="7719">
      <c r="B7719" s="8"/>
      <c r="G7719" s="8"/>
      <c r="M7719" s="8"/>
    </row>
    <row r="7720">
      <c r="B7720" s="8"/>
      <c r="G7720" s="8"/>
      <c r="M7720" s="8"/>
    </row>
    <row r="7721">
      <c r="B7721" s="8"/>
      <c r="G7721" s="8"/>
      <c r="M7721" s="8"/>
    </row>
    <row r="7722">
      <c r="B7722" s="8"/>
      <c r="G7722" s="8"/>
      <c r="M7722" s="8"/>
    </row>
    <row r="7723">
      <c r="B7723" s="8"/>
      <c r="G7723" s="8"/>
      <c r="M7723" s="8"/>
    </row>
    <row r="7724">
      <c r="B7724" s="8"/>
      <c r="G7724" s="8"/>
      <c r="M7724" s="8"/>
    </row>
    <row r="7725">
      <c r="B7725" s="8"/>
      <c r="G7725" s="8"/>
      <c r="M7725" s="8"/>
    </row>
    <row r="7726">
      <c r="B7726" s="8"/>
      <c r="G7726" s="8"/>
      <c r="M7726" s="8"/>
    </row>
    <row r="7727">
      <c r="B7727" s="8"/>
      <c r="G7727" s="8"/>
      <c r="M7727" s="8"/>
    </row>
    <row r="7728">
      <c r="B7728" s="8"/>
      <c r="G7728" s="8"/>
      <c r="M7728" s="8"/>
    </row>
    <row r="7729">
      <c r="B7729" s="8"/>
      <c r="G7729" s="8"/>
      <c r="M7729" s="8"/>
    </row>
    <row r="7730">
      <c r="B7730" s="8"/>
      <c r="G7730" s="8"/>
      <c r="M7730" s="8"/>
    </row>
    <row r="7731">
      <c r="B7731" s="8"/>
      <c r="G7731" s="8"/>
      <c r="M7731" s="8"/>
    </row>
    <row r="7732">
      <c r="B7732" s="8"/>
      <c r="G7732" s="8"/>
      <c r="M7732" s="8"/>
    </row>
    <row r="7733">
      <c r="B7733" s="8"/>
      <c r="G7733" s="8"/>
      <c r="M7733" s="8"/>
    </row>
    <row r="7734">
      <c r="B7734" s="8"/>
      <c r="G7734" s="8"/>
      <c r="M7734" s="8"/>
    </row>
    <row r="7735">
      <c r="B7735" s="8"/>
      <c r="G7735" s="8"/>
      <c r="M7735" s="8"/>
    </row>
    <row r="7736">
      <c r="B7736" s="8"/>
      <c r="G7736" s="8"/>
      <c r="M7736" s="8"/>
    </row>
    <row r="7737">
      <c r="B7737" s="8"/>
      <c r="G7737" s="8"/>
      <c r="M7737" s="8"/>
    </row>
    <row r="7738">
      <c r="B7738" s="8"/>
      <c r="G7738" s="8"/>
      <c r="M7738" s="8"/>
    </row>
    <row r="7739">
      <c r="B7739" s="8"/>
      <c r="G7739" s="8"/>
      <c r="M7739" s="8"/>
    </row>
    <row r="7740">
      <c r="B7740" s="8"/>
      <c r="G7740" s="8"/>
      <c r="M7740" s="8"/>
    </row>
    <row r="7741">
      <c r="B7741" s="8"/>
      <c r="G7741" s="8"/>
      <c r="M7741" s="8"/>
    </row>
    <row r="7742">
      <c r="B7742" s="8"/>
      <c r="G7742" s="8"/>
      <c r="M7742" s="8"/>
    </row>
    <row r="7743">
      <c r="B7743" s="8"/>
      <c r="G7743" s="8"/>
      <c r="M7743" s="8"/>
    </row>
    <row r="7744">
      <c r="B7744" s="8"/>
      <c r="G7744" s="8"/>
      <c r="M7744" s="8"/>
    </row>
    <row r="7745">
      <c r="B7745" s="8"/>
      <c r="G7745" s="8"/>
      <c r="M7745" s="8"/>
    </row>
    <row r="7746">
      <c r="B7746" s="8"/>
      <c r="G7746" s="8"/>
      <c r="M7746" s="8"/>
    </row>
    <row r="7747">
      <c r="B7747" s="8"/>
      <c r="G7747" s="8"/>
      <c r="M7747" s="8"/>
    </row>
    <row r="7748">
      <c r="B7748" s="8"/>
      <c r="G7748" s="8"/>
      <c r="M7748" s="8"/>
    </row>
    <row r="7749">
      <c r="B7749" s="8"/>
      <c r="G7749" s="8"/>
      <c r="M7749" s="8"/>
    </row>
    <row r="7750">
      <c r="B7750" s="8"/>
      <c r="G7750" s="8"/>
      <c r="M7750" s="8"/>
    </row>
    <row r="7751">
      <c r="B7751" s="8"/>
      <c r="G7751" s="8"/>
      <c r="M7751" s="8"/>
    </row>
    <row r="7752">
      <c r="B7752" s="8"/>
      <c r="G7752" s="8"/>
      <c r="M7752" s="8"/>
    </row>
    <row r="7753">
      <c r="B7753" s="8"/>
      <c r="G7753" s="8"/>
      <c r="M7753" s="8"/>
    </row>
    <row r="7754">
      <c r="B7754" s="8"/>
      <c r="G7754" s="8"/>
      <c r="M7754" s="8"/>
    </row>
    <row r="7755">
      <c r="B7755" s="8"/>
      <c r="G7755" s="8"/>
      <c r="M7755" s="8"/>
    </row>
    <row r="7756">
      <c r="B7756" s="8"/>
      <c r="G7756" s="8"/>
      <c r="M7756" s="8"/>
    </row>
    <row r="7757">
      <c r="B7757" s="8"/>
      <c r="G7757" s="8"/>
      <c r="M7757" s="8"/>
    </row>
    <row r="7758">
      <c r="B7758" s="8"/>
      <c r="G7758" s="8"/>
      <c r="M7758" s="8"/>
    </row>
    <row r="7759">
      <c r="B7759" s="8"/>
      <c r="G7759" s="8"/>
      <c r="M7759" s="8"/>
    </row>
    <row r="7760">
      <c r="B7760" s="8"/>
      <c r="G7760" s="8"/>
      <c r="M7760" s="8"/>
    </row>
    <row r="7761">
      <c r="B7761" s="8"/>
      <c r="G7761" s="8"/>
      <c r="M7761" s="8"/>
    </row>
    <row r="7762">
      <c r="B7762" s="8"/>
      <c r="G7762" s="8"/>
      <c r="M7762" s="8"/>
    </row>
    <row r="7763">
      <c r="B7763" s="8"/>
      <c r="G7763" s="8"/>
      <c r="M7763" s="8"/>
    </row>
    <row r="7764">
      <c r="B7764" s="8"/>
      <c r="G7764" s="8"/>
      <c r="M7764" s="8"/>
    </row>
    <row r="7765">
      <c r="B7765" s="8"/>
      <c r="G7765" s="8"/>
      <c r="M7765" s="8"/>
    </row>
    <row r="7766">
      <c r="B7766" s="8"/>
      <c r="G7766" s="8"/>
      <c r="M7766" s="8"/>
    </row>
    <row r="7767">
      <c r="B7767" s="8"/>
      <c r="G7767" s="8"/>
      <c r="M7767" s="8"/>
    </row>
    <row r="7768">
      <c r="B7768" s="8"/>
      <c r="G7768" s="8"/>
      <c r="M7768" s="8"/>
    </row>
    <row r="7769">
      <c r="B7769" s="8"/>
      <c r="G7769" s="8"/>
      <c r="M7769" s="8"/>
    </row>
    <row r="7770">
      <c r="B7770" s="8"/>
      <c r="G7770" s="8"/>
      <c r="M7770" s="8"/>
    </row>
    <row r="7771">
      <c r="B7771" s="8"/>
      <c r="G7771" s="8"/>
      <c r="M7771" s="8"/>
    </row>
    <row r="7772">
      <c r="B7772" s="8"/>
      <c r="G7772" s="8"/>
      <c r="M7772" s="8"/>
    </row>
    <row r="7773">
      <c r="B7773" s="8"/>
      <c r="G7773" s="8"/>
      <c r="M7773" s="8"/>
    </row>
    <row r="7774">
      <c r="B7774" s="8"/>
      <c r="G7774" s="8"/>
      <c r="M7774" s="8"/>
    </row>
    <row r="7775">
      <c r="B7775" s="8"/>
      <c r="G7775" s="8"/>
      <c r="M7775" s="8"/>
    </row>
    <row r="7776">
      <c r="B7776" s="8"/>
      <c r="G7776" s="8"/>
      <c r="M7776" s="8"/>
    </row>
    <row r="7777">
      <c r="B7777" s="8"/>
      <c r="G7777" s="8"/>
      <c r="M7777" s="8"/>
    </row>
    <row r="7778">
      <c r="B7778" s="8"/>
      <c r="G7778" s="8"/>
      <c r="M7778" s="8"/>
    </row>
    <row r="7779">
      <c r="B7779" s="8"/>
      <c r="G7779" s="8"/>
      <c r="M7779" s="8"/>
    </row>
    <row r="7780">
      <c r="B7780" s="8"/>
      <c r="G7780" s="8"/>
      <c r="M7780" s="8"/>
    </row>
    <row r="7781">
      <c r="B7781" s="8"/>
      <c r="G7781" s="8"/>
      <c r="M7781" s="8"/>
    </row>
    <row r="7782">
      <c r="B7782" s="8"/>
      <c r="G7782" s="8"/>
      <c r="M7782" s="8"/>
    </row>
    <row r="7783">
      <c r="B7783" s="8"/>
      <c r="G7783" s="8"/>
      <c r="M7783" s="8"/>
    </row>
    <row r="7784">
      <c r="B7784" s="8"/>
      <c r="G7784" s="8"/>
      <c r="M7784" s="8"/>
    </row>
    <row r="7785">
      <c r="B7785" s="8"/>
      <c r="G7785" s="8"/>
      <c r="M7785" s="8"/>
    </row>
    <row r="7786">
      <c r="B7786" s="8"/>
      <c r="G7786" s="8"/>
      <c r="M7786" s="8"/>
    </row>
    <row r="7787">
      <c r="B7787" s="8"/>
      <c r="G7787" s="8"/>
      <c r="M7787" s="8"/>
    </row>
    <row r="7788">
      <c r="B7788" s="8"/>
      <c r="G7788" s="8"/>
      <c r="M7788" s="8"/>
    </row>
    <row r="7789">
      <c r="B7789" s="8"/>
      <c r="G7789" s="8"/>
      <c r="M7789" s="8"/>
    </row>
    <row r="7790">
      <c r="B7790" s="8"/>
      <c r="G7790" s="8"/>
      <c r="M7790" s="8"/>
    </row>
    <row r="7791">
      <c r="B7791" s="8"/>
      <c r="G7791" s="8"/>
      <c r="M7791" s="8"/>
    </row>
    <row r="7792">
      <c r="B7792" s="8"/>
      <c r="G7792" s="8"/>
      <c r="M7792" s="8"/>
    </row>
    <row r="7793">
      <c r="B7793" s="8"/>
      <c r="G7793" s="8"/>
      <c r="M7793" s="8"/>
    </row>
    <row r="7794">
      <c r="B7794" s="8"/>
      <c r="G7794" s="8"/>
      <c r="M7794" s="8"/>
    </row>
    <row r="7795">
      <c r="B7795" s="8"/>
      <c r="G7795" s="8"/>
      <c r="M7795" s="8"/>
    </row>
    <row r="7796">
      <c r="B7796" s="8"/>
      <c r="G7796" s="8"/>
      <c r="M7796" s="8"/>
    </row>
    <row r="7797">
      <c r="B7797" s="8"/>
      <c r="G7797" s="8"/>
      <c r="M7797" s="8"/>
    </row>
    <row r="7798">
      <c r="B7798" s="8"/>
      <c r="G7798" s="8"/>
      <c r="M7798" s="8"/>
    </row>
    <row r="7799">
      <c r="B7799" s="8"/>
      <c r="G7799" s="8"/>
      <c r="M7799" s="8"/>
    </row>
    <row r="7800">
      <c r="B7800" s="8"/>
      <c r="G7800" s="8"/>
      <c r="M7800" s="8"/>
    </row>
    <row r="7801">
      <c r="B7801" s="8"/>
      <c r="G7801" s="8"/>
      <c r="M7801" s="8"/>
    </row>
    <row r="7802">
      <c r="B7802" s="8"/>
      <c r="G7802" s="8"/>
      <c r="M7802" s="8"/>
    </row>
    <row r="7803">
      <c r="B7803" s="8"/>
      <c r="G7803" s="8"/>
      <c r="M7803" s="8"/>
    </row>
    <row r="7804">
      <c r="B7804" s="8"/>
      <c r="G7804" s="8"/>
      <c r="M7804" s="8"/>
    </row>
    <row r="7805">
      <c r="B7805" s="8"/>
      <c r="G7805" s="8"/>
      <c r="M7805" s="8"/>
    </row>
    <row r="7806">
      <c r="B7806" s="8"/>
      <c r="G7806" s="8"/>
      <c r="M7806" s="8"/>
    </row>
    <row r="7807">
      <c r="B7807" s="8"/>
      <c r="G7807" s="8"/>
      <c r="M7807" s="8"/>
    </row>
    <row r="7808">
      <c r="B7808" s="8"/>
      <c r="G7808" s="8"/>
      <c r="M7808" s="8"/>
    </row>
    <row r="7809">
      <c r="B7809" s="8"/>
      <c r="G7809" s="8"/>
      <c r="M7809" s="8"/>
    </row>
    <row r="7810">
      <c r="B7810" s="8"/>
      <c r="G7810" s="8"/>
      <c r="M7810" s="8"/>
    </row>
    <row r="7811">
      <c r="B7811" s="8"/>
      <c r="G7811" s="8"/>
      <c r="M7811" s="8"/>
    </row>
    <row r="7812">
      <c r="B7812" s="8"/>
      <c r="G7812" s="8"/>
      <c r="M7812" s="8"/>
    </row>
    <row r="7813">
      <c r="B7813" s="8"/>
      <c r="G7813" s="8"/>
      <c r="M7813" s="8"/>
    </row>
    <row r="7814">
      <c r="B7814" s="8"/>
      <c r="G7814" s="8"/>
      <c r="M7814" s="8"/>
    </row>
    <row r="7815">
      <c r="B7815" s="8"/>
      <c r="G7815" s="8"/>
      <c r="M7815" s="8"/>
    </row>
    <row r="7816">
      <c r="B7816" s="8"/>
      <c r="G7816" s="8"/>
      <c r="M7816" s="8"/>
    </row>
    <row r="7817">
      <c r="B7817" s="8"/>
      <c r="G7817" s="8"/>
      <c r="M7817" s="8"/>
    </row>
    <row r="7818">
      <c r="B7818" s="8"/>
      <c r="G7818" s="8"/>
      <c r="M7818" s="8"/>
    </row>
    <row r="7819">
      <c r="B7819" s="8"/>
      <c r="G7819" s="8"/>
      <c r="M7819" s="8"/>
    </row>
    <row r="7820">
      <c r="B7820" s="8"/>
      <c r="G7820" s="8"/>
      <c r="M7820" s="8"/>
    </row>
    <row r="7821">
      <c r="B7821" s="8"/>
      <c r="G7821" s="8"/>
      <c r="M7821" s="8"/>
    </row>
    <row r="7822">
      <c r="B7822" s="8"/>
      <c r="G7822" s="8"/>
      <c r="M7822" s="8"/>
    </row>
    <row r="7823">
      <c r="B7823" s="8"/>
      <c r="G7823" s="8"/>
      <c r="M7823" s="8"/>
    </row>
    <row r="7824">
      <c r="B7824" s="8"/>
      <c r="G7824" s="8"/>
      <c r="M7824" s="8"/>
    </row>
    <row r="7825">
      <c r="B7825" s="8"/>
      <c r="G7825" s="8"/>
      <c r="M7825" s="8"/>
    </row>
    <row r="7826">
      <c r="B7826" s="8"/>
      <c r="G7826" s="8"/>
      <c r="M7826" s="8"/>
    </row>
    <row r="7827">
      <c r="B7827" s="8"/>
      <c r="G7827" s="8"/>
      <c r="M7827" s="8"/>
    </row>
    <row r="7828">
      <c r="B7828" s="8"/>
      <c r="G7828" s="8"/>
      <c r="M7828" s="8"/>
    </row>
    <row r="7829">
      <c r="B7829" s="8"/>
      <c r="G7829" s="8"/>
      <c r="M7829" s="8"/>
    </row>
    <row r="7830">
      <c r="B7830" s="8"/>
      <c r="G7830" s="8"/>
      <c r="M7830" s="8"/>
    </row>
    <row r="7831">
      <c r="B7831" s="8"/>
      <c r="G7831" s="8"/>
      <c r="M7831" s="8"/>
    </row>
    <row r="7832">
      <c r="B7832" s="8"/>
      <c r="G7832" s="8"/>
      <c r="M7832" s="8"/>
    </row>
    <row r="7833">
      <c r="B7833" s="8"/>
      <c r="G7833" s="8"/>
      <c r="M7833" s="8"/>
    </row>
    <row r="7834">
      <c r="B7834" s="8"/>
      <c r="G7834" s="8"/>
      <c r="M7834" s="8"/>
    </row>
    <row r="7835">
      <c r="B7835" s="8"/>
      <c r="G7835" s="8"/>
      <c r="M7835" s="8"/>
    </row>
    <row r="7836">
      <c r="B7836" s="8"/>
      <c r="G7836" s="8"/>
      <c r="M7836" s="8"/>
    </row>
    <row r="7837">
      <c r="B7837" s="8"/>
      <c r="G7837" s="8"/>
      <c r="M7837" s="8"/>
    </row>
    <row r="7838">
      <c r="B7838" s="8"/>
      <c r="G7838" s="8"/>
      <c r="M7838" s="8"/>
    </row>
    <row r="7839">
      <c r="B7839" s="8"/>
      <c r="G7839" s="8"/>
      <c r="M7839" s="8"/>
    </row>
    <row r="7840">
      <c r="B7840" s="8"/>
      <c r="G7840" s="8"/>
      <c r="M7840" s="8"/>
    </row>
    <row r="7841">
      <c r="B7841" s="8"/>
      <c r="G7841" s="8"/>
      <c r="M7841" s="8"/>
    </row>
    <row r="7842">
      <c r="B7842" s="8"/>
      <c r="G7842" s="8"/>
      <c r="M7842" s="8"/>
    </row>
    <row r="7843">
      <c r="B7843" s="8"/>
      <c r="G7843" s="8"/>
      <c r="M7843" s="8"/>
    </row>
    <row r="7844">
      <c r="B7844" s="8"/>
      <c r="G7844" s="8"/>
      <c r="M7844" s="8"/>
    </row>
    <row r="7845">
      <c r="B7845" s="8"/>
      <c r="G7845" s="8"/>
      <c r="M7845" s="8"/>
    </row>
    <row r="7846">
      <c r="B7846" s="8"/>
      <c r="G7846" s="8"/>
      <c r="M7846" s="8"/>
    </row>
    <row r="7847">
      <c r="B7847" s="8"/>
      <c r="G7847" s="8"/>
      <c r="M7847" s="8"/>
    </row>
    <row r="7848">
      <c r="B7848" s="8"/>
      <c r="G7848" s="8"/>
      <c r="M7848" s="8"/>
    </row>
    <row r="7849">
      <c r="B7849" s="8"/>
      <c r="G7849" s="8"/>
      <c r="M7849" s="8"/>
    </row>
    <row r="7850">
      <c r="B7850" s="8"/>
      <c r="G7850" s="8"/>
      <c r="M7850" s="8"/>
    </row>
    <row r="7851">
      <c r="B7851" s="8"/>
      <c r="G7851" s="8"/>
      <c r="M7851" s="8"/>
    </row>
    <row r="7852">
      <c r="B7852" s="8"/>
      <c r="G7852" s="8"/>
      <c r="M7852" s="8"/>
    </row>
    <row r="7853">
      <c r="B7853" s="8"/>
      <c r="G7853" s="8"/>
      <c r="M7853" s="8"/>
    </row>
    <row r="7854">
      <c r="B7854" s="8"/>
      <c r="G7854" s="8"/>
      <c r="M7854" s="8"/>
    </row>
    <row r="7855">
      <c r="B7855" s="8"/>
      <c r="G7855" s="8"/>
      <c r="M7855" s="8"/>
    </row>
    <row r="7856">
      <c r="B7856" s="8"/>
      <c r="G7856" s="8"/>
      <c r="M7856" s="8"/>
    </row>
    <row r="7857">
      <c r="B7857" s="8"/>
      <c r="G7857" s="8"/>
      <c r="M7857" s="8"/>
    </row>
    <row r="7858">
      <c r="B7858" s="8"/>
      <c r="G7858" s="8"/>
      <c r="M7858" s="8"/>
    </row>
    <row r="7859">
      <c r="B7859" s="8"/>
      <c r="G7859" s="8"/>
      <c r="M7859" s="8"/>
    </row>
    <row r="7860">
      <c r="B7860" s="8"/>
      <c r="G7860" s="8"/>
      <c r="M7860" s="8"/>
    </row>
    <row r="7861">
      <c r="B7861" s="8"/>
      <c r="G7861" s="8"/>
      <c r="M7861" s="8"/>
    </row>
    <row r="7862">
      <c r="B7862" s="8"/>
      <c r="G7862" s="8"/>
      <c r="M7862" s="8"/>
    </row>
    <row r="7863">
      <c r="B7863" s="8"/>
      <c r="G7863" s="8"/>
      <c r="M7863" s="8"/>
    </row>
    <row r="7864">
      <c r="B7864" s="8"/>
      <c r="G7864" s="8"/>
      <c r="M7864" s="8"/>
    </row>
    <row r="7865">
      <c r="B7865" s="8"/>
      <c r="G7865" s="8"/>
      <c r="M7865" s="8"/>
    </row>
    <row r="7866">
      <c r="B7866" s="8"/>
      <c r="G7866" s="8"/>
      <c r="M7866" s="8"/>
    </row>
    <row r="7867">
      <c r="B7867" s="8"/>
      <c r="G7867" s="8"/>
      <c r="M7867" s="8"/>
    </row>
    <row r="7868">
      <c r="B7868" s="8"/>
      <c r="G7868" s="8"/>
      <c r="M7868" s="8"/>
    </row>
    <row r="7869">
      <c r="B7869" s="8"/>
      <c r="G7869" s="8"/>
      <c r="M7869" s="8"/>
    </row>
    <row r="7870">
      <c r="B7870" s="8"/>
      <c r="G7870" s="8"/>
      <c r="M7870" s="8"/>
    </row>
    <row r="7871">
      <c r="B7871" s="8"/>
      <c r="G7871" s="8"/>
      <c r="M7871" s="8"/>
    </row>
    <row r="7872">
      <c r="B7872" s="8"/>
      <c r="G7872" s="8"/>
      <c r="M7872" s="8"/>
    </row>
    <row r="7873">
      <c r="B7873" s="8"/>
      <c r="G7873" s="8"/>
      <c r="M7873" s="8"/>
    </row>
    <row r="7874">
      <c r="B7874" s="8"/>
      <c r="G7874" s="8"/>
      <c r="M7874" s="8"/>
    </row>
    <row r="7875">
      <c r="B7875" s="8"/>
      <c r="G7875" s="8"/>
      <c r="M7875" s="8"/>
    </row>
    <row r="7876">
      <c r="B7876" s="8"/>
      <c r="G7876" s="8"/>
      <c r="M7876" s="8"/>
    </row>
    <row r="7877">
      <c r="B7877" s="8"/>
      <c r="G7877" s="8"/>
      <c r="M7877" s="8"/>
    </row>
    <row r="7878">
      <c r="B7878" s="8"/>
      <c r="G7878" s="8"/>
      <c r="M7878" s="8"/>
    </row>
    <row r="7879">
      <c r="B7879" s="8"/>
      <c r="G7879" s="8"/>
      <c r="M7879" s="8"/>
    </row>
    <row r="7880">
      <c r="B7880" s="8"/>
      <c r="G7880" s="8"/>
      <c r="M7880" s="8"/>
    </row>
    <row r="7881">
      <c r="B7881" s="8"/>
      <c r="G7881" s="8"/>
      <c r="M7881" s="8"/>
    </row>
    <row r="7882">
      <c r="B7882" s="8"/>
      <c r="G7882" s="8"/>
      <c r="M7882" s="8"/>
    </row>
    <row r="7883">
      <c r="B7883" s="8"/>
      <c r="G7883" s="8"/>
      <c r="M7883" s="8"/>
    </row>
    <row r="7884">
      <c r="B7884" s="8"/>
      <c r="G7884" s="8"/>
      <c r="M7884" s="8"/>
    </row>
    <row r="7885">
      <c r="B7885" s="8"/>
      <c r="G7885" s="8"/>
      <c r="M7885" s="8"/>
    </row>
    <row r="7886">
      <c r="B7886" s="8"/>
      <c r="G7886" s="8"/>
      <c r="M7886" s="8"/>
    </row>
    <row r="7887">
      <c r="B7887" s="8"/>
      <c r="G7887" s="8"/>
      <c r="M7887" s="8"/>
    </row>
    <row r="7888">
      <c r="B7888" s="8"/>
      <c r="G7888" s="8"/>
      <c r="M7888" s="8"/>
    </row>
    <row r="7889">
      <c r="B7889" s="8"/>
      <c r="G7889" s="8"/>
      <c r="M7889" s="8"/>
    </row>
    <row r="7890">
      <c r="B7890" s="8"/>
      <c r="G7890" s="8"/>
      <c r="M7890" s="8"/>
    </row>
    <row r="7891">
      <c r="B7891" s="8"/>
      <c r="G7891" s="8"/>
      <c r="M7891" s="8"/>
    </row>
    <row r="7892">
      <c r="B7892" s="8"/>
      <c r="G7892" s="8"/>
      <c r="M7892" s="8"/>
    </row>
    <row r="7893">
      <c r="B7893" s="8"/>
      <c r="G7893" s="8"/>
      <c r="M7893" s="8"/>
    </row>
    <row r="7894">
      <c r="B7894" s="8"/>
      <c r="G7894" s="8"/>
      <c r="M7894" s="8"/>
    </row>
    <row r="7895">
      <c r="B7895" s="8"/>
      <c r="G7895" s="8"/>
      <c r="M7895" s="8"/>
    </row>
    <row r="7896">
      <c r="B7896" s="8"/>
      <c r="G7896" s="8"/>
      <c r="M7896" s="8"/>
    </row>
    <row r="7897">
      <c r="B7897" s="8"/>
      <c r="G7897" s="8"/>
      <c r="M7897" s="8"/>
    </row>
    <row r="7898">
      <c r="B7898" s="8"/>
      <c r="G7898" s="8"/>
      <c r="M7898" s="8"/>
    </row>
    <row r="7899">
      <c r="B7899" s="8"/>
      <c r="G7899" s="8"/>
      <c r="M7899" s="8"/>
    </row>
    <row r="7900">
      <c r="B7900" s="8"/>
      <c r="G7900" s="8"/>
      <c r="M7900" s="8"/>
    </row>
    <row r="7901">
      <c r="B7901" s="8"/>
      <c r="G7901" s="8"/>
      <c r="M7901" s="8"/>
    </row>
    <row r="7902">
      <c r="B7902" s="8"/>
      <c r="G7902" s="8"/>
      <c r="M7902" s="8"/>
    </row>
    <row r="7903">
      <c r="B7903" s="8"/>
      <c r="G7903" s="8"/>
      <c r="M7903" s="8"/>
    </row>
    <row r="7904">
      <c r="B7904" s="8"/>
      <c r="G7904" s="8"/>
      <c r="M7904" s="8"/>
    </row>
    <row r="7905">
      <c r="B7905" s="8"/>
      <c r="G7905" s="8"/>
      <c r="M7905" s="8"/>
    </row>
    <row r="7906">
      <c r="B7906" s="8"/>
      <c r="G7906" s="8"/>
      <c r="M7906" s="8"/>
    </row>
    <row r="7907">
      <c r="B7907" s="8"/>
      <c r="G7907" s="8"/>
      <c r="M7907" s="8"/>
    </row>
    <row r="7908">
      <c r="B7908" s="8"/>
      <c r="G7908" s="8"/>
      <c r="M7908" s="8"/>
    </row>
    <row r="7909">
      <c r="B7909" s="8"/>
      <c r="G7909" s="8"/>
      <c r="M7909" s="8"/>
    </row>
    <row r="7910">
      <c r="B7910" s="8"/>
      <c r="G7910" s="8"/>
      <c r="M7910" s="8"/>
    </row>
    <row r="7911">
      <c r="B7911" s="8"/>
      <c r="G7911" s="8"/>
      <c r="M7911" s="8"/>
    </row>
    <row r="7912">
      <c r="B7912" s="8"/>
      <c r="G7912" s="8"/>
      <c r="M7912" s="8"/>
    </row>
    <row r="7913">
      <c r="B7913" s="8"/>
      <c r="G7913" s="8"/>
      <c r="M7913" s="8"/>
    </row>
    <row r="7914">
      <c r="B7914" s="8"/>
      <c r="G7914" s="8"/>
      <c r="M7914" s="8"/>
    </row>
    <row r="7915">
      <c r="B7915" s="8"/>
      <c r="G7915" s="8"/>
      <c r="M7915" s="8"/>
    </row>
    <row r="7916">
      <c r="B7916" s="8"/>
      <c r="G7916" s="8"/>
      <c r="M7916" s="8"/>
    </row>
    <row r="7917">
      <c r="B7917" s="8"/>
      <c r="G7917" s="8"/>
      <c r="M7917" s="8"/>
    </row>
    <row r="7918">
      <c r="B7918" s="8"/>
      <c r="G7918" s="8"/>
      <c r="M7918" s="8"/>
    </row>
    <row r="7919">
      <c r="B7919" s="8"/>
      <c r="G7919" s="8"/>
      <c r="M7919" s="8"/>
    </row>
    <row r="7920">
      <c r="B7920" s="8"/>
      <c r="G7920" s="8"/>
      <c r="M7920" s="8"/>
    </row>
    <row r="7921">
      <c r="B7921" s="8"/>
      <c r="G7921" s="8"/>
      <c r="M7921" s="8"/>
    </row>
    <row r="7922">
      <c r="B7922" s="8"/>
      <c r="G7922" s="8"/>
      <c r="M7922" s="8"/>
    </row>
    <row r="7923">
      <c r="B7923" s="8"/>
      <c r="G7923" s="8"/>
      <c r="M7923" s="8"/>
    </row>
    <row r="7924">
      <c r="B7924" s="8"/>
      <c r="G7924" s="8"/>
      <c r="M7924" s="8"/>
    </row>
    <row r="7925">
      <c r="B7925" s="8"/>
      <c r="G7925" s="8"/>
      <c r="M7925" s="8"/>
    </row>
    <row r="7926">
      <c r="B7926" s="8"/>
      <c r="G7926" s="8"/>
      <c r="M7926" s="8"/>
    </row>
    <row r="7927">
      <c r="B7927" s="8"/>
      <c r="G7927" s="8"/>
      <c r="M7927" s="8"/>
    </row>
    <row r="7928">
      <c r="B7928" s="8"/>
      <c r="G7928" s="8"/>
      <c r="M7928" s="8"/>
    </row>
    <row r="7929">
      <c r="B7929" s="8"/>
      <c r="G7929" s="8"/>
      <c r="M7929" s="8"/>
    </row>
    <row r="7930">
      <c r="B7930" s="8"/>
      <c r="G7930" s="8"/>
      <c r="M7930" s="8"/>
    </row>
    <row r="7931">
      <c r="B7931" s="8"/>
      <c r="G7931" s="8"/>
      <c r="M7931" s="8"/>
    </row>
    <row r="7932">
      <c r="B7932" s="8"/>
      <c r="G7932" s="8"/>
      <c r="M7932" s="8"/>
    </row>
    <row r="7933">
      <c r="B7933" s="8"/>
      <c r="G7933" s="8"/>
      <c r="M7933" s="8"/>
    </row>
    <row r="7934">
      <c r="B7934" s="8"/>
      <c r="G7934" s="8"/>
      <c r="M7934" s="8"/>
    </row>
    <row r="7935">
      <c r="B7935" s="8"/>
      <c r="G7935" s="8"/>
      <c r="M7935" s="8"/>
    </row>
    <row r="7936">
      <c r="B7936" s="8"/>
      <c r="G7936" s="8"/>
      <c r="M7936" s="8"/>
    </row>
    <row r="7937">
      <c r="B7937" s="8"/>
      <c r="G7937" s="8"/>
      <c r="M7937" s="8"/>
    </row>
    <row r="7938">
      <c r="B7938" s="8"/>
      <c r="G7938" s="8"/>
      <c r="M7938" s="8"/>
    </row>
    <row r="7939">
      <c r="B7939" s="8"/>
      <c r="G7939" s="8"/>
      <c r="M7939" s="8"/>
    </row>
    <row r="7940">
      <c r="B7940" s="8"/>
      <c r="G7940" s="8"/>
      <c r="M7940" s="8"/>
    </row>
    <row r="7941">
      <c r="B7941" s="8"/>
      <c r="G7941" s="8"/>
      <c r="M7941" s="8"/>
    </row>
    <row r="7942">
      <c r="B7942" s="8"/>
      <c r="G7942" s="8"/>
      <c r="M7942" s="8"/>
    </row>
    <row r="7943">
      <c r="B7943" s="8"/>
      <c r="G7943" s="8"/>
      <c r="M7943" s="8"/>
    </row>
    <row r="7944">
      <c r="B7944" s="8"/>
      <c r="G7944" s="8"/>
      <c r="M7944" s="8"/>
    </row>
    <row r="7945">
      <c r="B7945" s="8"/>
      <c r="G7945" s="8"/>
      <c r="M7945" s="8"/>
    </row>
    <row r="7946">
      <c r="B7946" s="8"/>
      <c r="G7946" s="8"/>
      <c r="M7946" s="8"/>
    </row>
    <row r="7947">
      <c r="B7947" s="8"/>
      <c r="G7947" s="8"/>
      <c r="M7947" s="8"/>
    </row>
    <row r="7948">
      <c r="B7948" s="8"/>
      <c r="G7948" s="8"/>
      <c r="M7948" s="8"/>
    </row>
    <row r="7949">
      <c r="B7949" s="8"/>
      <c r="G7949" s="8"/>
      <c r="M7949" s="8"/>
    </row>
    <row r="7950">
      <c r="B7950" s="8"/>
      <c r="G7950" s="8"/>
      <c r="M7950" s="8"/>
    </row>
    <row r="7951">
      <c r="B7951" s="8"/>
      <c r="G7951" s="8"/>
      <c r="M7951" s="8"/>
    </row>
    <row r="7952">
      <c r="B7952" s="8"/>
      <c r="G7952" s="8"/>
      <c r="M7952" s="8"/>
    </row>
    <row r="7953">
      <c r="B7953" s="8"/>
      <c r="G7953" s="8"/>
      <c r="M7953" s="8"/>
    </row>
    <row r="7954">
      <c r="B7954" s="8"/>
      <c r="G7954" s="8"/>
      <c r="M7954" s="8"/>
    </row>
    <row r="7955">
      <c r="B7955" s="8"/>
      <c r="G7955" s="8"/>
      <c r="M7955" s="8"/>
    </row>
    <row r="7956">
      <c r="B7956" s="8"/>
      <c r="G7956" s="8"/>
      <c r="M7956" s="8"/>
    </row>
    <row r="7957">
      <c r="B7957" s="8"/>
      <c r="G7957" s="8"/>
      <c r="M7957" s="8"/>
    </row>
    <row r="7958">
      <c r="B7958" s="8"/>
      <c r="G7958" s="8"/>
      <c r="M7958" s="8"/>
    </row>
    <row r="7959">
      <c r="B7959" s="8"/>
      <c r="G7959" s="8"/>
      <c r="M7959" s="8"/>
    </row>
    <row r="7960">
      <c r="B7960" s="8"/>
      <c r="G7960" s="8"/>
      <c r="M7960" s="8"/>
    </row>
    <row r="7961">
      <c r="B7961" s="8"/>
      <c r="G7961" s="8"/>
      <c r="M7961" s="8"/>
    </row>
    <row r="7962">
      <c r="B7962" s="8"/>
      <c r="G7962" s="8"/>
      <c r="M7962" s="8"/>
    </row>
    <row r="7963">
      <c r="B7963" s="8"/>
      <c r="G7963" s="8"/>
      <c r="M7963" s="8"/>
    </row>
    <row r="7964">
      <c r="B7964" s="8"/>
      <c r="G7964" s="8"/>
      <c r="M7964" s="8"/>
    </row>
    <row r="7965">
      <c r="B7965" s="8"/>
      <c r="G7965" s="8"/>
      <c r="M7965" s="8"/>
    </row>
    <row r="7966">
      <c r="B7966" s="8"/>
      <c r="G7966" s="8"/>
      <c r="M7966" s="8"/>
    </row>
    <row r="7967">
      <c r="B7967" s="8"/>
      <c r="G7967" s="8"/>
      <c r="M7967" s="8"/>
    </row>
    <row r="7968">
      <c r="B7968" s="8"/>
      <c r="G7968" s="8"/>
      <c r="M7968" s="8"/>
    </row>
    <row r="7969">
      <c r="B7969" s="8"/>
      <c r="G7969" s="8"/>
      <c r="M7969" s="8"/>
    </row>
    <row r="7970">
      <c r="B7970" s="8"/>
      <c r="G7970" s="8"/>
      <c r="M7970" s="8"/>
    </row>
    <row r="7971">
      <c r="B7971" s="8"/>
      <c r="G7971" s="8"/>
      <c r="M7971" s="8"/>
    </row>
    <row r="7972">
      <c r="B7972" s="8"/>
      <c r="G7972" s="8"/>
      <c r="M7972" s="8"/>
    </row>
    <row r="7973">
      <c r="B7973" s="8"/>
      <c r="G7973" s="8"/>
      <c r="M7973" s="8"/>
    </row>
    <row r="7974">
      <c r="B7974" s="8"/>
      <c r="G7974" s="8"/>
      <c r="M7974" s="8"/>
    </row>
    <row r="7975">
      <c r="B7975" s="8"/>
      <c r="G7975" s="8"/>
      <c r="M7975" s="8"/>
    </row>
    <row r="7976">
      <c r="B7976" s="8"/>
      <c r="G7976" s="8"/>
      <c r="M7976" s="8"/>
    </row>
    <row r="7977">
      <c r="B7977" s="8"/>
      <c r="G7977" s="8"/>
      <c r="M7977" s="8"/>
    </row>
    <row r="7978">
      <c r="B7978" s="8"/>
      <c r="G7978" s="8"/>
      <c r="M7978" s="8"/>
    </row>
    <row r="7979">
      <c r="B7979" s="8"/>
      <c r="G7979" s="8"/>
      <c r="M7979" s="8"/>
    </row>
    <row r="7980">
      <c r="B7980" s="8"/>
      <c r="G7980" s="8"/>
      <c r="M7980" s="8"/>
    </row>
    <row r="7981">
      <c r="B7981" s="8"/>
      <c r="G7981" s="8"/>
      <c r="M7981" s="8"/>
    </row>
    <row r="7982">
      <c r="B7982" s="8"/>
      <c r="G7982" s="8"/>
      <c r="M7982" s="8"/>
    </row>
    <row r="7983">
      <c r="B7983" s="8"/>
      <c r="G7983" s="8"/>
      <c r="M7983" s="8"/>
    </row>
    <row r="7984">
      <c r="B7984" s="8"/>
      <c r="G7984" s="8"/>
      <c r="M7984" s="8"/>
    </row>
    <row r="7985">
      <c r="B7985" s="8"/>
      <c r="G7985" s="8"/>
      <c r="M7985" s="8"/>
    </row>
    <row r="7986">
      <c r="B7986" s="8"/>
      <c r="G7986" s="8"/>
      <c r="M7986" s="8"/>
    </row>
    <row r="7987">
      <c r="B7987" s="8"/>
      <c r="G7987" s="8"/>
      <c r="M7987" s="8"/>
    </row>
    <row r="7988">
      <c r="B7988" s="8"/>
      <c r="G7988" s="8"/>
      <c r="M7988" s="8"/>
    </row>
    <row r="7989">
      <c r="B7989" s="8"/>
      <c r="G7989" s="8"/>
      <c r="M7989" s="8"/>
    </row>
    <row r="7990">
      <c r="B7990" s="8"/>
      <c r="G7990" s="8"/>
      <c r="M7990" s="8"/>
    </row>
    <row r="7991">
      <c r="B7991" s="8"/>
      <c r="G7991" s="8"/>
      <c r="M7991" s="8"/>
    </row>
    <row r="7992">
      <c r="B7992" s="8"/>
      <c r="G7992" s="8"/>
      <c r="M7992" s="8"/>
    </row>
    <row r="7993">
      <c r="B7993" s="8"/>
      <c r="G7993" s="8"/>
      <c r="M7993" s="8"/>
    </row>
    <row r="7994">
      <c r="B7994" s="8"/>
      <c r="G7994" s="8"/>
      <c r="M7994" s="8"/>
    </row>
    <row r="7995">
      <c r="B7995" s="8"/>
      <c r="G7995" s="8"/>
      <c r="M7995" s="8"/>
    </row>
    <row r="7996">
      <c r="B7996" s="8"/>
      <c r="G7996" s="8"/>
      <c r="M7996" s="8"/>
    </row>
    <row r="7997">
      <c r="B7997" s="8"/>
      <c r="G7997" s="8"/>
      <c r="M7997" s="8"/>
    </row>
    <row r="7998">
      <c r="B7998" s="8"/>
      <c r="G7998" s="8"/>
      <c r="M7998" s="8"/>
    </row>
    <row r="7999">
      <c r="B7999" s="8"/>
      <c r="G7999" s="8"/>
      <c r="M7999" s="8"/>
    </row>
    <row r="8000">
      <c r="B8000" s="8"/>
      <c r="G8000" s="8"/>
      <c r="M8000" s="8"/>
    </row>
    <row r="8001">
      <c r="B8001" s="8"/>
      <c r="G8001" s="8"/>
      <c r="M8001" s="8"/>
    </row>
    <row r="8002">
      <c r="B8002" s="8"/>
      <c r="G8002" s="8"/>
      <c r="M8002" s="8"/>
    </row>
    <row r="8003">
      <c r="B8003" s="8"/>
      <c r="G8003" s="8"/>
      <c r="M8003" s="8"/>
    </row>
    <row r="8004">
      <c r="B8004" s="8"/>
      <c r="G8004" s="8"/>
      <c r="M8004" s="8"/>
    </row>
    <row r="8005">
      <c r="B8005" s="8"/>
      <c r="G8005" s="8"/>
      <c r="M8005" s="8"/>
    </row>
    <row r="8006">
      <c r="B8006" s="8"/>
      <c r="G8006" s="8"/>
      <c r="M8006" s="8"/>
    </row>
    <row r="8007">
      <c r="B8007" s="8"/>
      <c r="G8007" s="8"/>
      <c r="M8007" s="8"/>
    </row>
    <row r="8008">
      <c r="B8008" s="8"/>
      <c r="G8008" s="8"/>
      <c r="M8008" s="8"/>
    </row>
    <row r="8009">
      <c r="B8009" s="8"/>
      <c r="G8009" s="8"/>
      <c r="M8009" s="8"/>
    </row>
    <row r="8010">
      <c r="B8010" s="8"/>
      <c r="G8010" s="8"/>
      <c r="M8010" s="8"/>
    </row>
    <row r="8011">
      <c r="B8011" s="8"/>
      <c r="G8011" s="8"/>
      <c r="M8011" s="8"/>
    </row>
    <row r="8012">
      <c r="B8012" s="8"/>
      <c r="G8012" s="8"/>
      <c r="M8012" s="8"/>
    </row>
    <row r="8013">
      <c r="B8013" s="8"/>
      <c r="G8013" s="8"/>
      <c r="M8013" s="8"/>
    </row>
    <row r="8014">
      <c r="B8014" s="8"/>
      <c r="G8014" s="8"/>
      <c r="M8014" s="8"/>
    </row>
    <row r="8015">
      <c r="B8015" s="8"/>
      <c r="G8015" s="8"/>
      <c r="M8015" s="8"/>
    </row>
    <row r="8016">
      <c r="B8016" s="8"/>
      <c r="G8016" s="8"/>
      <c r="M8016" s="8"/>
    </row>
    <row r="8017">
      <c r="B8017" s="8"/>
      <c r="G8017" s="8"/>
      <c r="M8017" s="8"/>
    </row>
    <row r="8018">
      <c r="B8018" s="8"/>
      <c r="G8018" s="8"/>
      <c r="M8018" s="8"/>
    </row>
    <row r="8019">
      <c r="B8019" s="8"/>
      <c r="G8019" s="8"/>
      <c r="M8019" s="8"/>
    </row>
    <row r="8020">
      <c r="B8020" s="8"/>
      <c r="G8020" s="8"/>
      <c r="M8020" s="8"/>
    </row>
    <row r="8021">
      <c r="B8021" s="8"/>
      <c r="G8021" s="8"/>
      <c r="M8021" s="8"/>
    </row>
    <row r="8022">
      <c r="B8022" s="8"/>
      <c r="G8022" s="8"/>
      <c r="M8022" s="8"/>
    </row>
    <row r="8023">
      <c r="B8023" s="8"/>
      <c r="G8023" s="8"/>
      <c r="M8023" s="8"/>
    </row>
    <row r="8024">
      <c r="B8024" s="8"/>
      <c r="G8024" s="8"/>
      <c r="M8024" s="8"/>
    </row>
    <row r="8025">
      <c r="B8025" s="8"/>
      <c r="G8025" s="8"/>
      <c r="M8025" s="8"/>
    </row>
    <row r="8026">
      <c r="B8026" s="8"/>
      <c r="G8026" s="8"/>
      <c r="M8026" s="8"/>
    </row>
    <row r="8027">
      <c r="B8027" s="8"/>
      <c r="G8027" s="8"/>
      <c r="M8027" s="8"/>
    </row>
    <row r="8028">
      <c r="B8028" s="8"/>
      <c r="G8028" s="8"/>
      <c r="M8028" s="8"/>
    </row>
    <row r="8029">
      <c r="B8029" s="8"/>
      <c r="G8029" s="8"/>
      <c r="M8029" s="8"/>
    </row>
    <row r="8030">
      <c r="B8030" s="8"/>
      <c r="G8030" s="8"/>
      <c r="M8030" s="8"/>
    </row>
    <row r="8031">
      <c r="B8031" s="8"/>
      <c r="G8031" s="8"/>
      <c r="M8031" s="8"/>
    </row>
    <row r="8032">
      <c r="B8032" s="8"/>
      <c r="G8032" s="8"/>
      <c r="M8032" s="8"/>
    </row>
    <row r="8033">
      <c r="B8033" s="8"/>
      <c r="G8033" s="8"/>
      <c r="M8033" s="8"/>
    </row>
    <row r="8034">
      <c r="B8034" s="8"/>
      <c r="G8034" s="8"/>
      <c r="M8034" s="8"/>
    </row>
    <row r="8035">
      <c r="B8035" s="8"/>
      <c r="G8035" s="8"/>
      <c r="M8035" s="8"/>
    </row>
    <row r="8036">
      <c r="B8036" s="8"/>
      <c r="G8036" s="8"/>
      <c r="M8036" s="8"/>
    </row>
    <row r="8037">
      <c r="B8037" s="8"/>
      <c r="G8037" s="8"/>
      <c r="M8037" s="8"/>
    </row>
    <row r="8038">
      <c r="B8038" s="8"/>
      <c r="G8038" s="8"/>
      <c r="M8038" s="8"/>
    </row>
    <row r="8039">
      <c r="B8039" s="8"/>
      <c r="G8039" s="8"/>
      <c r="M8039" s="8"/>
    </row>
    <row r="8040">
      <c r="B8040" s="8"/>
      <c r="G8040" s="8"/>
      <c r="M8040" s="8"/>
    </row>
    <row r="8041">
      <c r="B8041" s="8"/>
      <c r="G8041" s="8"/>
      <c r="M8041" s="8"/>
    </row>
    <row r="8042">
      <c r="B8042" s="8"/>
      <c r="G8042" s="8"/>
      <c r="M8042" s="8"/>
    </row>
    <row r="8043">
      <c r="B8043" s="8"/>
      <c r="G8043" s="8"/>
      <c r="M8043" s="8"/>
    </row>
    <row r="8044">
      <c r="B8044" s="8"/>
      <c r="G8044" s="8"/>
      <c r="M8044" s="8"/>
    </row>
    <row r="8045">
      <c r="B8045" s="8"/>
      <c r="G8045" s="8"/>
      <c r="M8045" s="8"/>
    </row>
    <row r="8046">
      <c r="B8046" s="8"/>
      <c r="G8046" s="8"/>
      <c r="M8046" s="8"/>
    </row>
    <row r="8047">
      <c r="B8047" s="8"/>
      <c r="G8047" s="8"/>
      <c r="M8047" s="8"/>
    </row>
    <row r="8048">
      <c r="B8048" s="8"/>
      <c r="G8048" s="8"/>
      <c r="M8048" s="8"/>
    </row>
    <row r="8049">
      <c r="B8049" s="8"/>
      <c r="G8049" s="8"/>
      <c r="M8049" s="8"/>
    </row>
    <row r="8050">
      <c r="B8050" s="8"/>
      <c r="G8050" s="8"/>
      <c r="M8050" s="8"/>
    </row>
    <row r="8051">
      <c r="B8051" s="8"/>
      <c r="G8051" s="8"/>
      <c r="M8051" s="8"/>
    </row>
    <row r="8052">
      <c r="B8052" s="8"/>
      <c r="G8052" s="8"/>
      <c r="M8052" s="8"/>
    </row>
    <row r="8053">
      <c r="B8053" s="8"/>
      <c r="G8053" s="8"/>
      <c r="M8053" s="8"/>
    </row>
    <row r="8054">
      <c r="B8054" s="8"/>
      <c r="G8054" s="8"/>
      <c r="M8054" s="8"/>
    </row>
    <row r="8055">
      <c r="B8055" s="8"/>
      <c r="G8055" s="8"/>
      <c r="M8055" s="8"/>
    </row>
    <row r="8056">
      <c r="B8056" s="8"/>
      <c r="G8056" s="8"/>
      <c r="M8056" s="8"/>
    </row>
    <row r="8057">
      <c r="B8057" s="8"/>
      <c r="G8057" s="8"/>
      <c r="M8057" s="8"/>
    </row>
    <row r="8058">
      <c r="B8058" s="8"/>
      <c r="G8058" s="8"/>
      <c r="M8058" s="8"/>
    </row>
    <row r="8059">
      <c r="B8059" s="8"/>
      <c r="G8059" s="8"/>
      <c r="M8059" s="8"/>
    </row>
    <row r="8060">
      <c r="B8060" s="8"/>
      <c r="G8060" s="8"/>
      <c r="M8060" s="8"/>
    </row>
    <row r="8061">
      <c r="B8061" s="8"/>
      <c r="G8061" s="8"/>
      <c r="M8061" s="8"/>
    </row>
    <row r="8062">
      <c r="B8062" s="8"/>
      <c r="G8062" s="8"/>
      <c r="M8062" s="8"/>
    </row>
    <row r="8063">
      <c r="B8063" s="8"/>
      <c r="G8063" s="8"/>
      <c r="M8063" s="8"/>
    </row>
    <row r="8064">
      <c r="B8064" s="8"/>
      <c r="G8064" s="8"/>
      <c r="M8064" s="8"/>
    </row>
    <row r="8065">
      <c r="B8065" s="8"/>
      <c r="G8065" s="8"/>
      <c r="M8065" s="8"/>
    </row>
    <row r="8066">
      <c r="B8066" s="8"/>
      <c r="G8066" s="8"/>
      <c r="M8066" s="8"/>
    </row>
    <row r="8067">
      <c r="B8067" s="8"/>
      <c r="G8067" s="8"/>
      <c r="M8067" s="8"/>
    </row>
    <row r="8068">
      <c r="B8068" s="8"/>
      <c r="G8068" s="8"/>
      <c r="M8068" s="8"/>
    </row>
    <row r="8069">
      <c r="B8069" s="8"/>
      <c r="G8069" s="8"/>
      <c r="M8069" s="8"/>
    </row>
    <row r="8070">
      <c r="B8070" s="8"/>
      <c r="G8070" s="8"/>
      <c r="M8070" s="8"/>
    </row>
    <row r="8071">
      <c r="B8071" s="8"/>
      <c r="G8071" s="8"/>
      <c r="M8071" s="8"/>
    </row>
    <row r="8072">
      <c r="B8072" s="8"/>
      <c r="G8072" s="8"/>
      <c r="M8072" s="8"/>
    </row>
    <row r="8073">
      <c r="B8073" s="8"/>
      <c r="G8073" s="8"/>
      <c r="M8073" s="8"/>
    </row>
    <row r="8074">
      <c r="B8074" s="8"/>
      <c r="G8074" s="8"/>
      <c r="M8074" s="8"/>
    </row>
    <row r="8075">
      <c r="B8075" s="8"/>
      <c r="G8075" s="8"/>
      <c r="M8075" s="8"/>
    </row>
    <row r="8076">
      <c r="B8076" s="8"/>
      <c r="G8076" s="8"/>
      <c r="M8076" s="8"/>
    </row>
    <row r="8077">
      <c r="B8077" s="8"/>
      <c r="G8077" s="8"/>
      <c r="M8077" s="8"/>
    </row>
    <row r="8078">
      <c r="B8078" s="8"/>
      <c r="G8078" s="8"/>
      <c r="M8078" s="8"/>
    </row>
    <row r="8079">
      <c r="B8079" s="8"/>
      <c r="G8079" s="8"/>
      <c r="M8079" s="8"/>
    </row>
    <row r="8080">
      <c r="B8080" s="8"/>
      <c r="G8080" s="8"/>
      <c r="M8080" s="8"/>
    </row>
    <row r="8081">
      <c r="B8081" s="8"/>
      <c r="G8081" s="8"/>
      <c r="M8081" s="8"/>
    </row>
    <row r="8082">
      <c r="B8082" s="8"/>
      <c r="G8082" s="8"/>
      <c r="M8082" s="8"/>
    </row>
    <row r="8083">
      <c r="B8083" s="8"/>
      <c r="G8083" s="8"/>
      <c r="M8083" s="8"/>
    </row>
    <row r="8084">
      <c r="B8084" s="8"/>
      <c r="G8084" s="8"/>
      <c r="M8084" s="8"/>
    </row>
    <row r="8085">
      <c r="B8085" s="8"/>
      <c r="G8085" s="8"/>
      <c r="M8085" s="8"/>
    </row>
    <row r="8086">
      <c r="B8086" s="8"/>
      <c r="G8086" s="8"/>
      <c r="M8086" s="8"/>
    </row>
    <row r="8087">
      <c r="B8087" s="8"/>
      <c r="G8087" s="8"/>
      <c r="M8087" s="8"/>
    </row>
    <row r="8088">
      <c r="B8088" s="8"/>
      <c r="G8088" s="8"/>
      <c r="M8088" s="8"/>
    </row>
    <row r="8089">
      <c r="B8089" s="8"/>
      <c r="G8089" s="8"/>
      <c r="M8089" s="8"/>
    </row>
    <row r="8090">
      <c r="B8090" s="8"/>
      <c r="G8090" s="8"/>
      <c r="M8090" s="8"/>
    </row>
    <row r="8091">
      <c r="B8091" s="8"/>
      <c r="G8091" s="8"/>
      <c r="M8091" s="8"/>
    </row>
    <row r="8092">
      <c r="B8092" s="8"/>
      <c r="G8092" s="8"/>
      <c r="M8092" s="8"/>
    </row>
    <row r="8093">
      <c r="B8093" s="8"/>
      <c r="G8093" s="8"/>
      <c r="M8093" s="8"/>
    </row>
    <row r="8094">
      <c r="B8094" s="8"/>
      <c r="G8094" s="8"/>
      <c r="M8094" s="8"/>
    </row>
    <row r="8095">
      <c r="B8095" s="8"/>
      <c r="G8095" s="8"/>
      <c r="M8095" s="8"/>
    </row>
    <row r="8096">
      <c r="B8096" s="8"/>
      <c r="G8096" s="8"/>
      <c r="M8096" s="8"/>
    </row>
    <row r="8097">
      <c r="B8097" s="8"/>
      <c r="G8097" s="8"/>
      <c r="M8097" s="8"/>
    </row>
    <row r="8098">
      <c r="B8098" s="8"/>
      <c r="G8098" s="8"/>
      <c r="M8098" s="8"/>
    </row>
    <row r="8099">
      <c r="B8099" s="8"/>
      <c r="G8099" s="8"/>
      <c r="M8099" s="8"/>
    </row>
    <row r="8100">
      <c r="B8100" s="8"/>
      <c r="G8100" s="8"/>
      <c r="M8100" s="8"/>
    </row>
    <row r="8101">
      <c r="B8101" s="8"/>
      <c r="G8101" s="8"/>
      <c r="M8101" s="8"/>
    </row>
    <row r="8102">
      <c r="B8102" s="8"/>
      <c r="G8102" s="8"/>
      <c r="M8102" s="8"/>
    </row>
    <row r="8103">
      <c r="B8103" s="8"/>
      <c r="G8103" s="8"/>
      <c r="M8103" s="8"/>
    </row>
    <row r="8104">
      <c r="B8104" s="8"/>
      <c r="G8104" s="8"/>
      <c r="M8104" s="8"/>
    </row>
    <row r="8105">
      <c r="B8105" s="8"/>
      <c r="G8105" s="8"/>
      <c r="M8105" s="8"/>
    </row>
    <row r="8106">
      <c r="B8106" s="8"/>
      <c r="G8106" s="8"/>
      <c r="M8106" s="8"/>
    </row>
    <row r="8107">
      <c r="B8107" s="8"/>
      <c r="G8107" s="8"/>
      <c r="M8107" s="8"/>
    </row>
    <row r="8108">
      <c r="B8108" s="8"/>
      <c r="G8108" s="8"/>
      <c r="M8108" s="8"/>
    </row>
    <row r="8109">
      <c r="B8109" s="8"/>
      <c r="G8109" s="8"/>
      <c r="M8109" s="8"/>
    </row>
    <row r="8110">
      <c r="B8110" s="8"/>
      <c r="G8110" s="8"/>
      <c r="M8110" s="8"/>
    </row>
    <row r="8111">
      <c r="B8111" s="8"/>
      <c r="G8111" s="8"/>
      <c r="M8111" s="8"/>
    </row>
    <row r="8112">
      <c r="B8112" s="8"/>
      <c r="G8112" s="8"/>
      <c r="M8112" s="8"/>
    </row>
    <row r="8113">
      <c r="B8113" s="8"/>
      <c r="G8113" s="8"/>
      <c r="M8113" s="8"/>
    </row>
    <row r="8114">
      <c r="B8114" s="8"/>
      <c r="G8114" s="8"/>
      <c r="M8114" s="8"/>
    </row>
    <row r="8115">
      <c r="B8115" s="8"/>
      <c r="G8115" s="8"/>
      <c r="M8115" s="8"/>
    </row>
    <row r="8116">
      <c r="B8116" s="8"/>
      <c r="G8116" s="8"/>
      <c r="M8116" s="8"/>
    </row>
    <row r="8117">
      <c r="B8117" s="8"/>
      <c r="G8117" s="8"/>
      <c r="M8117" s="8"/>
    </row>
    <row r="8118">
      <c r="B8118" s="8"/>
      <c r="G8118" s="8"/>
      <c r="M8118" s="8"/>
    </row>
    <row r="8119">
      <c r="B8119" s="8"/>
      <c r="G8119" s="8"/>
      <c r="M8119" s="8"/>
    </row>
    <row r="8120">
      <c r="B8120" s="8"/>
      <c r="G8120" s="8"/>
      <c r="M8120" s="8"/>
    </row>
    <row r="8121">
      <c r="B8121" s="8"/>
      <c r="G8121" s="8"/>
      <c r="M8121" s="8"/>
    </row>
    <row r="8122">
      <c r="B8122" s="8"/>
      <c r="G8122" s="8"/>
      <c r="M8122" s="8"/>
    </row>
    <row r="8123">
      <c r="B8123" s="8"/>
      <c r="G8123" s="8"/>
      <c r="M8123" s="8"/>
    </row>
    <row r="8124">
      <c r="B8124" s="8"/>
      <c r="G8124" s="8"/>
      <c r="M8124" s="8"/>
    </row>
    <row r="8125">
      <c r="B8125" s="8"/>
      <c r="G8125" s="8"/>
      <c r="M8125" s="8"/>
    </row>
    <row r="8126">
      <c r="B8126" s="8"/>
      <c r="G8126" s="8"/>
      <c r="M8126" s="8"/>
    </row>
    <row r="8127">
      <c r="B8127" s="8"/>
      <c r="G8127" s="8"/>
      <c r="M8127" s="8"/>
    </row>
    <row r="8128">
      <c r="B8128" s="8"/>
      <c r="G8128" s="8"/>
      <c r="M8128" s="8"/>
    </row>
    <row r="8129">
      <c r="B8129" s="8"/>
      <c r="G8129" s="8"/>
      <c r="M8129" s="8"/>
    </row>
    <row r="8130">
      <c r="B8130" s="8"/>
      <c r="G8130" s="8"/>
      <c r="M8130" s="8"/>
    </row>
    <row r="8131">
      <c r="B8131" s="8"/>
      <c r="G8131" s="8"/>
      <c r="M8131" s="8"/>
    </row>
    <row r="8132">
      <c r="B8132" s="8"/>
      <c r="G8132" s="8"/>
      <c r="M8132" s="8"/>
    </row>
    <row r="8133">
      <c r="B8133" s="8"/>
      <c r="G8133" s="8"/>
      <c r="M8133" s="8"/>
    </row>
    <row r="8134">
      <c r="B8134" s="8"/>
      <c r="G8134" s="8"/>
      <c r="M8134" s="8"/>
    </row>
    <row r="8135">
      <c r="B8135" s="8"/>
      <c r="G8135" s="8"/>
      <c r="M8135" s="8"/>
    </row>
    <row r="8136">
      <c r="B8136" s="8"/>
      <c r="G8136" s="8"/>
      <c r="M8136" s="8"/>
    </row>
    <row r="8137">
      <c r="B8137" s="8"/>
      <c r="G8137" s="8"/>
      <c r="M8137" s="8"/>
    </row>
    <row r="8138">
      <c r="B8138" s="8"/>
      <c r="G8138" s="8"/>
      <c r="M8138" s="8"/>
    </row>
    <row r="8139">
      <c r="B8139" s="8"/>
      <c r="G8139" s="8"/>
      <c r="M8139" s="8"/>
    </row>
    <row r="8140">
      <c r="B8140" s="8"/>
      <c r="G8140" s="8"/>
      <c r="M8140" s="8"/>
    </row>
    <row r="8141">
      <c r="B8141" s="8"/>
      <c r="G8141" s="8"/>
      <c r="M8141" s="8"/>
    </row>
    <row r="8142">
      <c r="B8142" s="8"/>
      <c r="G8142" s="8"/>
      <c r="M8142" s="8"/>
    </row>
    <row r="8143">
      <c r="B8143" s="8"/>
      <c r="G8143" s="8"/>
      <c r="M8143" s="8"/>
    </row>
    <row r="8144">
      <c r="B8144" s="8"/>
      <c r="G8144" s="8"/>
      <c r="M8144" s="8"/>
    </row>
    <row r="8145">
      <c r="B8145" s="8"/>
      <c r="G8145" s="8"/>
      <c r="M8145" s="8"/>
    </row>
    <row r="8146">
      <c r="B8146" s="8"/>
      <c r="G8146" s="8"/>
      <c r="M8146" s="8"/>
    </row>
    <row r="8147">
      <c r="B8147" s="8"/>
      <c r="G8147" s="8"/>
      <c r="M8147" s="8"/>
    </row>
    <row r="8148">
      <c r="B8148" s="8"/>
      <c r="G8148" s="8"/>
      <c r="M8148" s="8"/>
    </row>
    <row r="8149">
      <c r="B8149" s="8"/>
      <c r="G8149" s="8"/>
      <c r="M8149" s="8"/>
    </row>
    <row r="8150">
      <c r="B8150" s="8"/>
      <c r="G8150" s="8"/>
      <c r="M8150" s="8"/>
    </row>
    <row r="8151">
      <c r="B8151" s="8"/>
      <c r="G8151" s="8"/>
      <c r="M8151" s="8"/>
    </row>
    <row r="8152">
      <c r="B8152" s="8"/>
      <c r="G8152" s="8"/>
      <c r="M8152" s="8"/>
    </row>
    <row r="8153">
      <c r="B8153" s="8"/>
      <c r="G8153" s="8"/>
      <c r="M8153" s="8"/>
    </row>
    <row r="8154">
      <c r="B8154" s="8"/>
      <c r="G8154" s="8"/>
      <c r="M8154" s="8"/>
    </row>
    <row r="8155">
      <c r="B8155" s="8"/>
      <c r="G8155" s="8"/>
      <c r="M8155" s="8"/>
    </row>
    <row r="8156">
      <c r="B8156" s="8"/>
      <c r="G8156" s="8"/>
      <c r="M8156" s="8"/>
    </row>
    <row r="8157">
      <c r="B8157" s="8"/>
      <c r="G8157" s="8"/>
      <c r="M8157" s="8"/>
    </row>
    <row r="8158">
      <c r="B8158" s="8"/>
      <c r="G8158" s="8"/>
      <c r="M8158" s="8"/>
    </row>
    <row r="8159">
      <c r="B8159" s="8"/>
      <c r="G8159" s="8"/>
      <c r="M8159" s="8"/>
    </row>
    <row r="8160">
      <c r="B8160" s="8"/>
      <c r="G8160" s="8"/>
      <c r="M8160" s="8"/>
    </row>
    <row r="8161">
      <c r="B8161" s="8"/>
      <c r="G8161" s="8"/>
      <c r="M8161" s="8"/>
    </row>
    <row r="8162">
      <c r="B8162" s="8"/>
      <c r="G8162" s="8"/>
      <c r="M8162" s="8"/>
    </row>
    <row r="8163">
      <c r="B8163" s="8"/>
      <c r="G8163" s="8"/>
      <c r="M8163" s="8"/>
    </row>
    <row r="8164">
      <c r="B8164" s="8"/>
      <c r="G8164" s="8"/>
      <c r="M8164" s="8"/>
    </row>
    <row r="8165">
      <c r="B8165" s="8"/>
      <c r="G8165" s="8"/>
      <c r="M8165" s="8"/>
    </row>
    <row r="8166">
      <c r="B8166" s="8"/>
      <c r="G8166" s="8"/>
      <c r="M8166" s="8"/>
    </row>
    <row r="8167">
      <c r="B8167" s="8"/>
      <c r="G8167" s="8"/>
      <c r="M8167" s="8"/>
    </row>
    <row r="8168">
      <c r="B8168" s="8"/>
      <c r="G8168" s="8"/>
      <c r="M8168" s="8"/>
    </row>
    <row r="8169">
      <c r="B8169" s="8"/>
      <c r="G8169" s="8"/>
      <c r="M8169" s="8"/>
    </row>
    <row r="8170">
      <c r="B8170" s="8"/>
      <c r="G8170" s="8"/>
      <c r="M8170" s="8"/>
    </row>
    <row r="8171">
      <c r="B8171" s="8"/>
      <c r="G8171" s="8"/>
      <c r="M8171" s="8"/>
    </row>
    <row r="8172">
      <c r="B8172" s="8"/>
      <c r="G8172" s="8"/>
      <c r="M8172" s="8"/>
    </row>
    <row r="8173">
      <c r="B8173" s="8"/>
      <c r="G8173" s="8"/>
      <c r="M8173" s="8"/>
    </row>
    <row r="8174">
      <c r="B8174" s="8"/>
      <c r="G8174" s="8"/>
      <c r="M8174" s="8"/>
    </row>
    <row r="8175">
      <c r="B8175" s="8"/>
      <c r="G8175" s="8"/>
      <c r="M8175" s="8"/>
    </row>
    <row r="8176">
      <c r="B8176" s="8"/>
      <c r="G8176" s="8"/>
      <c r="M8176" s="8"/>
    </row>
    <row r="8177">
      <c r="B8177" s="8"/>
      <c r="G8177" s="8"/>
      <c r="M8177" s="8"/>
    </row>
    <row r="8178">
      <c r="B8178" s="8"/>
      <c r="G8178" s="8"/>
      <c r="M8178" s="8"/>
    </row>
    <row r="8179">
      <c r="B8179" s="8"/>
      <c r="G8179" s="8"/>
      <c r="M8179" s="8"/>
    </row>
    <row r="8180">
      <c r="B8180" s="8"/>
      <c r="G8180" s="8"/>
      <c r="M8180" s="8"/>
    </row>
    <row r="8181">
      <c r="B8181" s="8"/>
      <c r="G8181" s="8"/>
      <c r="M8181" s="8"/>
    </row>
    <row r="8182">
      <c r="B8182" s="8"/>
      <c r="G8182" s="8"/>
      <c r="M8182" s="8"/>
    </row>
    <row r="8183">
      <c r="B8183" s="8"/>
      <c r="G8183" s="8"/>
      <c r="M8183" s="8"/>
    </row>
    <row r="8184">
      <c r="B8184" s="8"/>
      <c r="G8184" s="8"/>
      <c r="M8184" s="8"/>
    </row>
    <row r="8185">
      <c r="B8185" s="8"/>
      <c r="G8185" s="8"/>
      <c r="M8185" s="8"/>
    </row>
    <row r="8186">
      <c r="B8186" s="8"/>
      <c r="G8186" s="8"/>
      <c r="M8186" s="8"/>
    </row>
    <row r="8187">
      <c r="B8187" s="8"/>
      <c r="G8187" s="8"/>
      <c r="M8187" s="8"/>
    </row>
    <row r="8188">
      <c r="B8188" s="8"/>
      <c r="G8188" s="8"/>
      <c r="M8188" s="8"/>
    </row>
    <row r="8189">
      <c r="B8189" s="8"/>
      <c r="G8189" s="8"/>
      <c r="M8189" s="8"/>
    </row>
    <row r="8190">
      <c r="B8190" s="8"/>
      <c r="G8190" s="8"/>
      <c r="M8190" s="8"/>
    </row>
    <row r="8191">
      <c r="B8191" s="8"/>
      <c r="G8191" s="8"/>
      <c r="M8191" s="8"/>
    </row>
    <row r="8192">
      <c r="B8192" s="8"/>
      <c r="G8192" s="8"/>
      <c r="M8192" s="8"/>
    </row>
    <row r="8193">
      <c r="B8193" s="8"/>
      <c r="G8193" s="8"/>
      <c r="M8193" s="8"/>
    </row>
    <row r="8194">
      <c r="B8194" s="8"/>
      <c r="G8194" s="8"/>
      <c r="M8194" s="8"/>
    </row>
    <row r="8195">
      <c r="B8195" s="8"/>
      <c r="G8195" s="8"/>
      <c r="M8195" s="8"/>
    </row>
    <row r="8196">
      <c r="B8196" s="8"/>
      <c r="G8196" s="8"/>
      <c r="M8196" s="8"/>
    </row>
    <row r="8197">
      <c r="B8197" s="8"/>
      <c r="G8197" s="8"/>
      <c r="M8197" s="8"/>
    </row>
    <row r="8198">
      <c r="B8198" s="8"/>
      <c r="G8198" s="8"/>
      <c r="M8198" s="8"/>
    </row>
    <row r="8199">
      <c r="B8199" s="8"/>
      <c r="G8199" s="8"/>
      <c r="M8199" s="8"/>
    </row>
    <row r="8200">
      <c r="B8200" s="8"/>
      <c r="G8200" s="8"/>
      <c r="M8200" s="8"/>
    </row>
    <row r="8201">
      <c r="B8201" s="8"/>
      <c r="G8201" s="8"/>
      <c r="M8201" s="8"/>
    </row>
    <row r="8202">
      <c r="B8202" s="8"/>
      <c r="G8202" s="8"/>
      <c r="M8202" s="8"/>
    </row>
    <row r="8203">
      <c r="B8203" s="8"/>
      <c r="G8203" s="8"/>
      <c r="M8203" s="8"/>
    </row>
    <row r="8204">
      <c r="B8204" s="8"/>
      <c r="G8204" s="8"/>
      <c r="M8204" s="8"/>
    </row>
    <row r="8205">
      <c r="B8205" s="8"/>
      <c r="G8205" s="8"/>
      <c r="M8205" s="8"/>
    </row>
    <row r="8206">
      <c r="B8206" s="8"/>
      <c r="G8206" s="8"/>
      <c r="M8206" s="8"/>
    </row>
    <row r="8207">
      <c r="B8207" s="8"/>
      <c r="G8207" s="8"/>
      <c r="M8207" s="8"/>
    </row>
    <row r="8208">
      <c r="B8208" s="8"/>
      <c r="G8208" s="8"/>
      <c r="M8208" s="8"/>
    </row>
    <row r="8209">
      <c r="B8209" s="8"/>
      <c r="G8209" s="8"/>
      <c r="M8209" s="8"/>
    </row>
    <row r="8210">
      <c r="B8210" s="8"/>
      <c r="G8210" s="8"/>
      <c r="M8210" s="8"/>
    </row>
    <row r="8211">
      <c r="B8211" s="8"/>
      <c r="G8211" s="8"/>
      <c r="M8211" s="8"/>
    </row>
    <row r="8212">
      <c r="B8212" s="8"/>
      <c r="G8212" s="8"/>
      <c r="M8212" s="8"/>
    </row>
    <row r="8213">
      <c r="B8213" s="8"/>
      <c r="G8213" s="8"/>
      <c r="M8213" s="8"/>
    </row>
    <row r="8214">
      <c r="B8214" s="8"/>
      <c r="G8214" s="8"/>
      <c r="M8214" s="8"/>
    </row>
    <row r="8215">
      <c r="B8215" s="8"/>
      <c r="G8215" s="8"/>
      <c r="M8215" s="8"/>
    </row>
    <row r="8216">
      <c r="B8216" s="8"/>
      <c r="G8216" s="8"/>
      <c r="M8216" s="8"/>
    </row>
    <row r="8217">
      <c r="B8217" s="8"/>
      <c r="G8217" s="8"/>
      <c r="M8217" s="8"/>
    </row>
    <row r="8218">
      <c r="B8218" s="8"/>
      <c r="G8218" s="8"/>
      <c r="M8218" s="8"/>
    </row>
    <row r="8219">
      <c r="B8219" s="8"/>
      <c r="G8219" s="8"/>
      <c r="M8219" s="8"/>
    </row>
    <row r="8220">
      <c r="B8220" s="8"/>
      <c r="G8220" s="8"/>
      <c r="M8220" s="8"/>
    </row>
    <row r="8221">
      <c r="B8221" s="8"/>
      <c r="G8221" s="8"/>
      <c r="M8221" s="8"/>
    </row>
    <row r="8222">
      <c r="B8222" s="8"/>
      <c r="G8222" s="8"/>
      <c r="M8222" s="8"/>
    </row>
    <row r="8223">
      <c r="B8223" s="8"/>
      <c r="G8223" s="8"/>
      <c r="M8223" s="8"/>
    </row>
    <row r="8224">
      <c r="B8224" s="8"/>
      <c r="G8224" s="8"/>
      <c r="M8224" s="8"/>
    </row>
    <row r="8225">
      <c r="B8225" s="8"/>
      <c r="G8225" s="8"/>
      <c r="M8225" s="8"/>
    </row>
    <row r="8226">
      <c r="B8226" s="8"/>
      <c r="G8226" s="8"/>
      <c r="M8226" s="8"/>
    </row>
    <row r="8227">
      <c r="B8227" s="8"/>
      <c r="G8227" s="8"/>
      <c r="M8227" s="8"/>
    </row>
    <row r="8228">
      <c r="B8228" s="8"/>
      <c r="G8228" s="8"/>
      <c r="M8228" s="8"/>
    </row>
    <row r="8229">
      <c r="B8229" s="8"/>
      <c r="G8229" s="8"/>
      <c r="M8229" s="8"/>
    </row>
    <row r="8230">
      <c r="B8230" s="8"/>
      <c r="G8230" s="8"/>
      <c r="M8230" s="8"/>
    </row>
    <row r="8231">
      <c r="B8231" s="8"/>
      <c r="G8231" s="8"/>
      <c r="M8231" s="8"/>
    </row>
    <row r="8232">
      <c r="B8232" s="8"/>
      <c r="G8232" s="8"/>
      <c r="M8232" s="8"/>
    </row>
    <row r="8233">
      <c r="B8233" s="8"/>
      <c r="G8233" s="8"/>
      <c r="M8233" s="8"/>
    </row>
    <row r="8234">
      <c r="B8234" s="8"/>
      <c r="G8234" s="8"/>
      <c r="M8234" s="8"/>
    </row>
    <row r="8235">
      <c r="B8235" s="8"/>
      <c r="G8235" s="8"/>
      <c r="M8235" s="8"/>
    </row>
    <row r="8236">
      <c r="B8236" s="8"/>
      <c r="G8236" s="8"/>
      <c r="M8236" s="8"/>
    </row>
    <row r="8237">
      <c r="B8237" s="8"/>
      <c r="G8237" s="8"/>
      <c r="M8237" s="8"/>
    </row>
    <row r="8238">
      <c r="B8238" s="8"/>
      <c r="G8238" s="8"/>
      <c r="M8238" s="8"/>
    </row>
    <row r="8239">
      <c r="B8239" s="8"/>
      <c r="G8239" s="8"/>
      <c r="M8239" s="8"/>
    </row>
    <row r="8240">
      <c r="B8240" s="8"/>
      <c r="G8240" s="8"/>
      <c r="M8240" s="8"/>
    </row>
    <row r="8241">
      <c r="B8241" s="8"/>
      <c r="G8241" s="8"/>
      <c r="M8241" s="8"/>
    </row>
    <row r="8242">
      <c r="B8242" s="8"/>
      <c r="G8242" s="8"/>
      <c r="M8242" s="8"/>
    </row>
    <row r="8243">
      <c r="B8243" s="8"/>
      <c r="G8243" s="8"/>
      <c r="M8243" s="8"/>
    </row>
    <row r="8244">
      <c r="B8244" s="8"/>
      <c r="G8244" s="8"/>
      <c r="M8244" s="8"/>
    </row>
    <row r="8245">
      <c r="B8245" s="8"/>
      <c r="G8245" s="8"/>
      <c r="M8245" s="8"/>
    </row>
    <row r="8246">
      <c r="B8246" s="8"/>
      <c r="G8246" s="8"/>
      <c r="M8246" s="8"/>
    </row>
    <row r="8247">
      <c r="B8247" s="8"/>
      <c r="G8247" s="8"/>
      <c r="M8247" s="8"/>
    </row>
    <row r="8248">
      <c r="B8248" s="8"/>
      <c r="G8248" s="8"/>
      <c r="M8248" s="8"/>
    </row>
    <row r="8249">
      <c r="B8249" s="8"/>
      <c r="G8249" s="8"/>
      <c r="M8249" s="8"/>
    </row>
    <row r="8250">
      <c r="B8250" s="8"/>
      <c r="G8250" s="8"/>
      <c r="M8250" s="8"/>
    </row>
    <row r="8251">
      <c r="B8251" s="8"/>
      <c r="G8251" s="8"/>
      <c r="M8251" s="8"/>
    </row>
    <row r="8252">
      <c r="B8252" s="8"/>
      <c r="G8252" s="8"/>
      <c r="M8252" s="8"/>
    </row>
    <row r="8253">
      <c r="B8253" s="8"/>
      <c r="G8253" s="8"/>
      <c r="M8253" s="8"/>
    </row>
    <row r="8254">
      <c r="B8254" s="8"/>
      <c r="G8254" s="8"/>
      <c r="M8254" s="8"/>
    </row>
    <row r="8255">
      <c r="B8255" s="8"/>
      <c r="G8255" s="8"/>
      <c r="M8255" s="8"/>
    </row>
    <row r="8256">
      <c r="B8256" s="8"/>
      <c r="G8256" s="8"/>
      <c r="M8256" s="8"/>
    </row>
    <row r="8257">
      <c r="B8257" s="8"/>
      <c r="G8257" s="8"/>
      <c r="M8257" s="8"/>
    </row>
    <row r="8258">
      <c r="B8258" s="8"/>
      <c r="G8258" s="8"/>
      <c r="M8258" s="8"/>
    </row>
    <row r="8259">
      <c r="B8259" s="8"/>
      <c r="G8259" s="8"/>
      <c r="M8259" s="8"/>
    </row>
    <row r="8260">
      <c r="B8260" s="8"/>
      <c r="G8260" s="8"/>
      <c r="M8260" s="8"/>
    </row>
    <row r="8261">
      <c r="B8261" s="8"/>
      <c r="G8261" s="8"/>
      <c r="M8261" s="8"/>
    </row>
    <row r="8262">
      <c r="B8262" s="8"/>
      <c r="G8262" s="8"/>
      <c r="M8262" s="8"/>
    </row>
    <row r="8263">
      <c r="B8263" s="8"/>
      <c r="G8263" s="8"/>
      <c r="M8263" s="8"/>
    </row>
    <row r="8264">
      <c r="B8264" s="8"/>
      <c r="G8264" s="8"/>
      <c r="M8264" s="8"/>
    </row>
    <row r="8265">
      <c r="B8265" s="8"/>
      <c r="G8265" s="8"/>
      <c r="M8265" s="8"/>
    </row>
    <row r="8266">
      <c r="B8266" s="8"/>
      <c r="G8266" s="8"/>
      <c r="M8266" s="8"/>
    </row>
    <row r="8267">
      <c r="B8267" s="8"/>
      <c r="G8267" s="8"/>
      <c r="M8267" s="8"/>
    </row>
    <row r="8268">
      <c r="B8268" s="8"/>
      <c r="G8268" s="8"/>
      <c r="M8268" s="8"/>
    </row>
    <row r="8269">
      <c r="B8269" s="8"/>
      <c r="G8269" s="8"/>
      <c r="M8269" s="8"/>
    </row>
    <row r="8270">
      <c r="B8270" s="8"/>
      <c r="G8270" s="8"/>
      <c r="M8270" s="8"/>
    </row>
    <row r="8271">
      <c r="B8271" s="8"/>
      <c r="G8271" s="8"/>
      <c r="M8271" s="8"/>
    </row>
    <row r="8272">
      <c r="B8272" s="8"/>
      <c r="G8272" s="8"/>
      <c r="M8272" s="8"/>
    </row>
    <row r="8273">
      <c r="B8273" s="8"/>
      <c r="G8273" s="8"/>
      <c r="M8273" s="8"/>
    </row>
    <row r="8274">
      <c r="B8274" s="8"/>
      <c r="G8274" s="8"/>
      <c r="M8274" s="8"/>
    </row>
    <row r="8275">
      <c r="B8275" s="8"/>
      <c r="G8275" s="8"/>
      <c r="M8275" s="8"/>
    </row>
    <row r="8276">
      <c r="B8276" s="8"/>
      <c r="G8276" s="8"/>
      <c r="M8276" s="8"/>
    </row>
    <row r="8277">
      <c r="B8277" s="8"/>
      <c r="G8277" s="8"/>
      <c r="M8277" s="8"/>
    </row>
    <row r="8278">
      <c r="B8278" s="8"/>
      <c r="G8278" s="8"/>
      <c r="M8278" s="8"/>
    </row>
    <row r="8279">
      <c r="B8279" s="8"/>
      <c r="G8279" s="8"/>
      <c r="M8279" s="8"/>
    </row>
    <row r="8280">
      <c r="B8280" s="8"/>
      <c r="G8280" s="8"/>
      <c r="M8280" s="8"/>
    </row>
    <row r="8281">
      <c r="B8281" s="8"/>
      <c r="G8281" s="8"/>
      <c r="M8281" s="8"/>
    </row>
    <row r="8282">
      <c r="B8282" s="8"/>
      <c r="G8282" s="8"/>
      <c r="M8282" s="8"/>
    </row>
    <row r="8283">
      <c r="B8283" s="8"/>
      <c r="G8283" s="8"/>
      <c r="M8283" s="8"/>
    </row>
    <row r="8284">
      <c r="B8284" s="8"/>
      <c r="G8284" s="8"/>
      <c r="M8284" s="8"/>
    </row>
    <row r="8285">
      <c r="B8285" s="8"/>
      <c r="G8285" s="8"/>
      <c r="M8285" s="8"/>
    </row>
    <row r="8286">
      <c r="B8286" s="8"/>
      <c r="G8286" s="8"/>
      <c r="M8286" s="8"/>
    </row>
    <row r="8287">
      <c r="B8287" s="8"/>
      <c r="G8287" s="8"/>
      <c r="M8287" s="8"/>
    </row>
    <row r="8288">
      <c r="B8288" s="8"/>
      <c r="G8288" s="8"/>
      <c r="M8288" s="8"/>
    </row>
    <row r="8289">
      <c r="B8289" s="8"/>
      <c r="G8289" s="8"/>
      <c r="M8289" s="8"/>
    </row>
    <row r="8290">
      <c r="B8290" s="8"/>
      <c r="G8290" s="8"/>
      <c r="M8290" s="8"/>
    </row>
    <row r="8291">
      <c r="B8291" s="8"/>
      <c r="G8291" s="8"/>
      <c r="M8291" s="8"/>
    </row>
    <row r="8292">
      <c r="B8292" s="8"/>
      <c r="G8292" s="8"/>
      <c r="M8292" s="8"/>
    </row>
    <row r="8293">
      <c r="B8293" s="8"/>
      <c r="G8293" s="8"/>
      <c r="M8293" s="8"/>
    </row>
    <row r="8294">
      <c r="B8294" s="8"/>
      <c r="G8294" s="8"/>
      <c r="M8294" s="8"/>
    </row>
    <row r="8295">
      <c r="B8295" s="8"/>
      <c r="G8295" s="8"/>
      <c r="M8295" s="8"/>
    </row>
    <row r="8296">
      <c r="B8296" s="8"/>
      <c r="G8296" s="8"/>
      <c r="M8296" s="8"/>
    </row>
    <row r="8297">
      <c r="B8297" s="8"/>
      <c r="G8297" s="8"/>
      <c r="M8297" s="8"/>
    </row>
    <row r="8298">
      <c r="B8298" s="8"/>
      <c r="G8298" s="8"/>
      <c r="M8298" s="8"/>
    </row>
    <row r="8299">
      <c r="B8299" s="8"/>
      <c r="G8299" s="8"/>
      <c r="M8299" s="8"/>
    </row>
    <row r="8300">
      <c r="B8300" s="8"/>
      <c r="G8300" s="8"/>
      <c r="M8300" s="8"/>
    </row>
    <row r="8301">
      <c r="B8301" s="8"/>
      <c r="G8301" s="8"/>
      <c r="M8301" s="8"/>
    </row>
    <row r="8302">
      <c r="B8302" s="8"/>
      <c r="G8302" s="8"/>
      <c r="M8302" s="8"/>
    </row>
    <row r="8303">
      <c r="B8303" s="8"/>
      <c r="G8303" s="8"/>
      <c r="M8303" s="8"/>
    </row>
    <row r="8304">
      <c r="B8304" s="8"/>
      <c r="G8304" s="8"/>
      <c r="M8304" s="8"/>
    </row>
    <row r="8305">
      <c r="B8305" s="8"/>
      <c r="G8305" s="8"/>
      <c r="M8305" s="8"/>
    </row>
    <row r="8306">
      <c r="B8306" s="8"/>
      <c r="G8306" s="8"/>
      <c r="M8306" s="8"/>
    </row>
    <row r="8307">
      <c r="B8307" s="8"/>
      <c r="G8307" s="8"/>
      <c r="M8307" s="8"/>
    </row>
    <row r="8308">
      <c r="B8308" s="8"/>
      <c r="G8308" s="8"/>
      <c r="M8308" s="8"/>
    </row>
    <row r="8309">
      <c r="B8309" s="8"/>
      <c r="G8309" s="8"/>
      <c r="M8309" s="8"/>
    </row>
    <row r="8310">
      <c r="B8310" s="8"/>
      <c r="G8310" s="8"/>
      <c r="M8310" s="8"/>
    </row>
    <row r="8311">
      <c r="B8311" s="8"/>
      <c r="G8311" s="8"/>
      <c r="M8311" s="8"/>
    </row>
    <row r="8312">
      <c r="B8312" s="8"/>
      <c r="G8312" s="8"/>
      <c r="M8312" s="8"/>
    </row>
    <row r="8313">
      <c r="B8313" s="8"/>
      <c r="G8313" s="8"/>
      <c r="M8313" s="8"/>
    </row>
    <row r="8314">
      <c r="B8314" s="8"/>
      <c r="G8314" s="8"/>
      <c r="M8314" s="8"/>
    </row>
    <row r="8315">
      <c r="B8315" s="8"/>
      <c r="G8315" s="8"/>
      <c r="M8315" s="8"/>
    </row>
    <row r="8316">
      <c r="B8316" s="8"/>
      <c r="G8316" s="8"/>
      <c r="M8316" s="8"/>
    </row>
    <row r="8317">
      <c r="B8317" s="8"/>
      <c r="G8317" s="8"/>
      <c r="M8317" s="8"/>
    </row>
    <row r="8318">
      <c r="B8318" s="8"/>
      <c r="G8318" s="8"/>
      <c r="M8318" s="8"/>
    </row>
    <row r="8319">
      <c r="B8319" s="8"/>
      <c r="G8319" s="8"/>
      <c r="M8319" s="8"/>
    </row>
    <row r="8320">
      <c r="B8320" s="8"/>
      <c r="G8320" s="8"/>
      <c r="M8320" s="8"/>
    </row>
    <row r="8321">
      <c r="B8321" s="8"/>
      <c r="G8321" s="8"/>
      <c r="M8321" s="8"/>
    </row>
    <row r="8322">
      <c r="B8322" s="8"/>
      <c r="G8322" s="8"/>
      <c r="M8322" s="8"/>
    </row>
    <row r="8323">
      <c r="B8323" s="8"/>
      <c r="G8323" s="8"/>
      <c r="M8323" s="8"/>
    </row>
    <row r="8324">
      <c r="B8324" s="8"/>
      <c r="G8324" s="8"/>
      <c r="M8324" s="8"/>
    </row>
    <row r="8325">
      <c r="B8325" s="8"/>
      <c r="G8325" s="8"/>
      <c r="M8325" s="8"/>
    </row>
    <row r="8326">
      <c r="B8326" s="8"/>
      <c r="G8326" s="8"/>
      <c r="M8326" s="8"/>
    </row>
    <row r="8327">
      <c r="B8327" s="8"/>
      <c r="G8327" s="8"/>
      <c r="M8327" s="8"/>
    </row>
    <row r="8328">
      <c r="B8328" s="8"/>
      <c r="G8328" s="8"/>
      <c r="M8328" s="8"/>
    </row>
    <row r="8329">
      <c r="B8329" s="8"/>
      <c r="G8329" s="8"/>
      <c r="M8329" s="8"/>
    </row>
    <row r="8330">
      <c r="B8330" s="8"/>
      <c r="G8330" s="8"/>
      <c r="M8330" s="8"/>
    </row>
    <row r="8331">
      <c r="B8331" s="8"/>
      <c r="G8331" s="8"/>
      <c r="M8331" s="8"/>
    </row>
    <row r="8332">
      <c r="B8332" s="8"/>
      <c r="G8332" s="8"/>
      <c r="M8332" s="8"/>
    </row>
    <row r="8333">
      <c r="B8333" s="8"/>
      <c r="G8333" s="8"/>
      <c r="M8333" s="8"/>
    </row>
    <row r="8334">
      <c r="B8334" s="8"/>
      <c r="G8334" s="8"/>
      <c r="M8334" s="8"/>
    </row>
    <row r="8335">
      <c r="B8335" s="8"/>
      <c r="G8335" s="8"/>
      <c r="M8335" s="8"/>
    </row>
    <row r="8336">
      <c r="B8336" s="8"/>
      <c r="G8336" s="8"/>
      <c r="M8336" s="8"/>
    </row>
    <row r="8337">
      <c r="B8337" s="8"/>
      <c r="G8337" s="8"/>
      <c r="M8337" s="8"/>
    </row>
    <row r="8338">
      <c r="B8338" s="8"/>
      <c r="G8338" s="8"/>
      <c r="M8338" s="8"/>
    </row>
    <row r="8339">
      <c r="B8339" s="8"/>
      <c r="G8339" s="8"/>
      <c r="M8339" s="8"/>
    </row>
    <row r="8340">
      <c r="B8340" s="8"/>
      <c r="G8340" s="8"/>
      <c r="M8340" s="8"/>
    </row>
    <row r="8341">
      <c r="B8341" s="8"/>
      <c r="G8341" s="8"/>
      <c r="M8341" s="8"/>
    </row>
    <row r="8342">
      <c r="B8342" s="8"/>
      <c r="G8342" s="8"/>
      <c r="M8342" s="8"/>
    </row>
    <row r="8343">
      <c r="B8343" s="8"/>
      <c r="G8343" s="8"/>
      <c r="M8343" s="8"/>
    </row>
    <row r="8344">
      <c r="B8344" s="8"/>
      <c r="G8344" s="8"/>
      <c r="M8344" s="8"/>
    </row>
    <row r="8345">
      <c r="B8345" s="8"/>
      <c r="G8345" s="8"/>
      <c r="M8345" s="8"/>
    </row>
    <row r="8346">
      <c r="B8346" s="8"/>
      <c r="G8346" s="8"/>
      <c r="M8346" s="8"/>
    </row>
    <row r="8347">
      <c r="B8347" s="8"/>
      <c r="G8347" s="8"/>
      <c r="M8347" s="8"/>
    </row>
    <row r="8348">
      <c r="B8348" s="8"/>
      <c r="G8348" s="8"/>
      <c r="M8348" s="8"/>
    </row>
    <row r="8349">
      <c r="B8349" s="8"/>
      <c r="G8349" s="8"/>
      <c r="M8349" s="8"/>
    </row>
    <row r="8350">
      <c r="B8350" s="8"/>
      <c r="G8350" s="8"/>
      <c r="M8350" s="8"/>
    </row>
    <row r="8351">
      <c r="B8351" s="8"/>
      <c r="G8351" s="8"/>
      <c r="M8351" s="8"/>
    </row>
    <row r="8352">
      <c r="B8352" s="8"/>
      <c r="G8352" s="8"/>
      <c r="M8352" s="8"/>
    </row>
    <row r="8353">
      <c r="B8353" s="8"/>
      <c r="G8353" s="8"/>
      <c r="M8353" s="8"/>
    </row>
    <row r="8354">
      <c r="B8354" s="8"/>
      <c r="G8354" s="8"/>
      <c r="M8354" s="8"/>
    </row>
    <row r="8355">
      <c r="B8355" s="8"/>
      <c r="G8355" s="8"/>
      <c r="M8355" s="8"/>
    </row>
    <row r="8356">
      <c r="B8356" s="8"/>
      <c r="G8356" s="8"/>
      <c r="M8356" s="8"/>
    </row>
    <row r="8357">
      <c r="B8357" s="8"/>
      <c r="G8357" s="8"/>
      <c r="M8357" s="8"/>
    </row>
    <row r="8358">
      <c r="B8358" s="8"/>
      <c r="G8358" s="8"/>
      <c r="M8358" s="8"/>
    </row>
    <row r="8359">
      <c r="B8359" s="8"/>
      <c r="G8359" s="8"/>
      <c r="M8359" s="8"/>
    </row>
    <row r="8360">
      <c r="B8360" s="8"/>
      <c r="G8360" s="8"/>
      <c r="M8360" s="8"/>
    </row>
    <row r="8361">
      <c r="B8361" s="8"/>
      <c r="G8361" s="8"/>
      <c r="M8361" s="8"/>
    </row>
    <row r="8362">
      <c r="B8362" s="8"/>
      <c r="G8362" s="8"/>
      <c r="M8362" s="8"/>
    </row>
    <row r="8363">
      <c r="B8363" s="8"/>
      <c r="G8363" s="8"/>
      <c r="M8363" s="8"/>
    </row>
    <row r="8364">
      <c r="B8364" s="8"/>
      <c r="G8364" s="8"/>
      <c r="M8364" s="8"/>
    </row>
    <row r="8365">
      <c r="B8365" s="8"/>
      <c r="G8365" s="8"/>
      <c r="M8365" s="8"/>
    </row>
    <row r="8366">
      <c r="B8366" s="8"/>
      <c r="G8366" s="8"/>
      <c r="M8366" s="8"/>
    </row>
    <row r="8367">
      <c r="B8367" s="8"/>
      <c r="G8367" s="8"/>
      <c r="M8367" s="8"/>
    </row>
    <row r="8368">
      <c r="B8368" s="8"/>
      <c r="G8368" s="8"/>
      <c r="M8368" s="8"/>
    </row>
    <row r="8369">
      <c r="B8369" s="8"/>
      <c r="G8369" s="8"/>
      <c r="M8369" s="8"/>
    </row>
    <row r="8370">
      <c r="B8370" s="8"/>
      <c r="G8370" s="8"/>
      <c r="M8370" s="8"/>
    </row>
    <row r="8371">
      <c r="B8371" s="8"/>
      <c r="G8371" s="8"/>
      <c r="M8371" s="8"/>
    </row>
    <row r="8372">
      <c r="B8372" s="8"/>
      <c r="G8372" s="8"/>
      <c r="M8372" s="8"/>
    </row>
    <row r="8373">
      <c r="B8373" s="8"/>
      <c r="G8373" s="8"/>
      <c r="M8373" s="8"/>
    </row>
    <row r="8374">
      <c r="B8374" s="8"/>
      <c r="G8374" s="8"/>
      <c r="M8374" s="8"/>
    </row>
    <row r="8375">
      <c r="B8375" s="8"/>
      <c r="G8375" s="8"/>
      <c r="M8375" s="8"/>
    </row>
    <row r="8376">
      <c r="B8376" s="8"/>
      <c r="G8376" s="8"/>
      <c r="M8376" s="8"/>
    </row>
    <row r="8377">
      <c r="B8377" s="8"/>
      <c r="G8377" s="8"/>
      <c r="M8377" s="8"/>
    </row>
    <row r="8378">
      <c r="B8378" s="8"/>
      <c r="G8378" s="8"/>
      <c r="M8378" s="8"/>
    </row>
    <row r="8379">
      <c r="B8379" s="8"/>
      <c r="G8379" s="8"/>
      <c r="M8379" s="8"/>
    </row>
    <row r="8380">
      <c r="B8380" s="8"/>
      <c r="G8380" s="8"/>
      <c r="M8380" s="8"/>
    </row>
    <row r="8381">
      <c r="B8381" s="8"/>
      <c r="G8381" s="8"/>
      <c r="M8381" s="8"/>
    </row>
    <row r="8382">
      <c r="B8382" s="8"/>
      <c r="G8382" s="8"/>
      <c r="M8382" s="8"/>
    </row>
    <row r="8383">
      <c r="B8383" s="8"/>
      <c r="G8383" s="8"/>
      <c r="M8383" s="8"/>
    </row>
    <row r="8384">
      <c r="B8384" s="8"/>
      <c r="G8384" s="8"/>
      <c r="M8384" s="8"/>
    </row>
    <row r="8385">
      <c r="B8385" s="8"/>
      <c r="G8385" s="8"/>
      <c r="M8385" s="8"/>
    </row>
    <row r="8386">
      <c r="B8386" s="8"/>
      <c r="G8386" s="8"/>
      <c r="M8386" s="8"/>
    </row>
    <row r="8387">
      <c r="B8387" s="8"/>
      <c r="G8387" s="8"/>
      <c r="M8387" s="8"/>
    </row>
    <row r="8388">
      <c r="B8388" s="8"/>
      <c r="G8388" s="8"/>
      <c r="M8388" s="8"/>
    </row>
    <row r="8389">
      <c r="B8389" s="8"/>
      <c r="G8389" s="8"/>
      <c r="M8389" s="8"/>
    </row>
    <row r="8390">
      <c r="B8390" s="8"/>
      <c r="G8390" s="8"/>
      <c r="M8390" s="8"/>
    </row>
    <row r="8391">
      <c r="B8391" s="8"/>
      <c r="G8391" s="8"/>
      <c r="M8391" s="8"/>
    </row>
    <row r="8392">
      <c r="B8392" s="8"/>
      <c r="G8392" s="8"/>
      <c r="M8392" s="8"/>
    </row>
    <row r="8393">
      <c r="B8393" s="8"/>
      <c r="G8393" s="8"/>
      <c r="M8393" s="8"/>
    </row>
    <row r="8394">
      <c r="B8394" s="8"/>
      <c r="G8394" s="8"/>
      <c r="M8394" s="8"/>
    </row>
    <row r="8395">
      <c r="B8395" s="8"/>
      <c r="G8395" s="8"/>
      <c r="M8395" s="8"/>
    </row>
    <row r="8396">
      <c r="B8396" s="8"/>
      <c r="G8396" s="8"/>
      <c r="M8396" s="8"/>
    </row>
    <row r="8397">
      <c r="B8397" s="8"/>
      <c r="G8397" s="8"/>
      <c r="M8397" s="8"/>
    </row>
    <row r="8398">
      <c r="B8398" s="8"/>
      <c r="G8398" s="8"/>
      <c r="M8398" s="8"/>
    </row>
    <row r="8399">
      <c r="B8399" s="8"/>
      <c r="G8399" s="8"/>
      <c r="M8399" s="8"/>
    </row>
    <row r="8400">
      <c r="B8400" s="8"/>
      <c r="G8400" s="8"/>
      <c r="M8400" s="8"/>
    </row>
    <row r="8401">
      <c r="B8401" s="8"/>
      <c r="G8401" s="8"/>
      <c r="M8401" s="8"/>
    </row>
    <row r="8402">
      <c r="B8402" s="8"/>
      <c r="G8402" s="8"/>
      <c r="M8402" s="8"/>
    </row>
    <row r="8403">
      <c r="B8403" s="8"/>
      <c r="G8403" s="8"/>
      <c r="M8403" s="8"/>
    </row>
    <row r="8404">
      <c r="B8404" s="8"/>
      <c r="G8404" s="8"/>
      <c r="M8404" s="8"/>
    </row>
    <row r="8405">
      <c r="B8405" s="8"/>
      <c r="G8405" s="8"/>
      <c r="M8405" s="8"/>
    </row>
    <row r="8406">
      <c r="B8406" s="8"/>
      <c r="G8406" s="8"/>
      <c r="M8406" s="8"/>
    </row>
    <row r="8407">
      <c r="B8407" s="8"/>
      <c r="G8407" s="8"/>
      <c r="M8407" s="8"/>
    </row>
    <row r="8408">
      <c r="B8408" s="8"/>
      <c r="G8408" s="8"/>
      <c r="M8408" s="8"/>
    </row>
    <row r="8409">
      <c r="B8409" s="8"/>
      <c r="G8409" s="8"/>
      <c r="M8409" s="8"/>
    </row>
    <row r="8410">
      <c r="B8410" s="8"/>
      <c r="G8410" s="8"/>
      <c r="M8410" s="8"/>
    </row>
    <row r="8411">
      <c r="B8411" s="8"/>
      <c r="G8411" s="8"/>
      <c r="M8411" s="8"/>
    </row>
    <row r="8412">
      <c r="B8412" s="8"/>
      <c r="G8412" s="8"/>
      <c r="M8412" s="8"/>
    </row>
    <row r="8413">
      <c r="B8413" s="8"/>
      <c r="G8413" s="8"/>
      <c r="M8413" s="8"/>
    </row>
    <row r="8414">
      <c r="B8414" s="8"/>
      <c r="G8414" s="8"/>
      <c r="M8414" s="8"/>
    </row>
    <row r="8415">
      <c r="B8415" s="8"/>
      <c r="G8415" s="8"/>
      <c r="M8415" s="8"/>
    </row>
    <row r="8416">
      <c r="B8416" s="8"/>
      <c r="G8416" s="8"/>
      <c r="M8416" s="8"/>
    </row>
    <row r="8417">
      <c r="B8417" s="8"/>
      <c r="G8417" s="8"/>
      <c r="M8417" s="8"/>
    </row>
    <row r="8418">
      <c r="B8418" s="8"/>
      <c r="G8418" s="8"/>
      <c r="M8418" s="8"/>
    </row>
    <row r="8419">
      <c r="B8419" s="8"/>
      <c r="G8419" s="8"/>
      <c r="M8419" s="8"/>
    </row>
    <row r="8420">
      <c r="B8420" s="8"/>
      <c r="G8420" s="8"/>
      <c r="M8420" s="8"/>
    </row>
    <row r="8421">
      <c r="B8421" s="8"/>
      <c r="G8421" s="8"/>
      <c r="M8421" s="8"/>
    </row>
    <row r="8422">
      <c r="B8422" s="8"/>
      <c r="G8422" s="8"/>
      <c r="M8422" s="8"/>
    </row>
    <row r="8423">
      <c r="B8423" s="8"/>
      <c r="G8423" s="8"/>
      <c r="M8423" s="8"/>
    </row>
    <row r="8424">
      <c r="B8424" s="8"/>
      <c r="G8424" s="8"/>
      <c r="M8424" s="8"/>
    </row>
    <row r="8425">
      <c r="B8425" s="8"/>
      <c r="G8425" s="8"/>
      <c r="M8425" s="8"/>
    </row>
    <row r="8426">
      <c r="B8426" s="8"/>
      <c r="G8426" s="8"/>
      <c r="M8426" s="8"/>
    </row>
    <row r="8427">
      <c r="B8427" s="8"/>
      <c r="G8427" s="8"/>
      <c r="M8427" s="8"/>
    </row>
    <row r="8428">
      <c r="B8428" s="8"/>
      <c r="G8428" s="8"/>
      <c r="M8428" s="8"/>
    </row>
    <row r="8429">
      <c r="B8429" s="8"/>
      <c r="G8429" s="8"/>
      <c r="M8429" s="8"/>
    </row>
    <row r="8430">
      <c r="B8430" s="8"/>
      <c r="G8430" s="8"/>
      <c r="M8430" s="8"/>
    </row>
    <row r="8431">
      <c r="B8431" s="8"/>
      <c r="G8431" s="8"/>
      <c r="M8431" s="8"/>
    </row>
    <row r="8432">
      <c r="B8432" s="8"/>
      <c r="G8432" s="8"/>
      <c r="M8432" s="8"/>
    </row>
    <row r="8433">
      <c r="B8433" s="8"/>
      <c r="G8433" s="8"/>
      <c r="M8433" s="8"/>
    </row>
    <row r="8434">
      <c r="B8434" s="8"/>
      <c r="G8434" s="8"/>
      <c r="M8434" s="8"/>
    </row>
    <row r="8435">
      <c r="B8435" s="8"/>
      <c r="G8435" s="8"/>
      <c r="M8435" s="8"/>
    </row>
    <row r="8436">
      <c r="B8436" s="8"/>
      <c r="G8436" s="8"/>
      <c r="M8436" s="8"/>
    </row>
    <row r="8437">
      <c r="B8437" s="8"/>
      <c r="G8437" s="8"/>
      <c r="M8437" s="8"/>
    </row>
    <row r="8438">
      <c r="B8438" s="8"/>
      <c r="G8438" s="8"/>
      <c r="M8438" s="8"/>
    </row>
    <row r="8439">
      <c r="B8439" s="8"/>
      <c r="G8439" s="8"/>
      <c r="M8439" s="8"/>
    </row>
    <row r="8440">
      <c r="B8440" s="8"/>
      <c r="G8440" s="8"/>
      <c r="M8440" s="8"/>
    </row>
    <row r="8441">
      <c r="B8441" s="8"/>
      <c r="G8441" s="8"/>
      <c r="M8441" s="8"/>
    </row>
    <row r="8442">
      <c r="B8442" s="8"/>
      <c r="G8442" s="8"/>
      <c r="M8442" s="8"/>
    </row>
    <row r="8443">
      <c r="B8443" s="8"/>
      <c r="G8443" s="8"/>
      <c r="M8443" s="8"/>
    </row>
    <row r="8444">
      <c r="B8444" s="8"/>
      <c r="G8444" s="8"/>
      <c r="M8444" s="8"/>
    </row>
    <row r="8445">
      <c r="B8445" s="8"/>
      <c r="G8445" s="8"/>
      <c r="M8445" s="8"/>
    </row>
    <row r="8446">
      <c r="B8446" s="8"/>
      <c r="G8446" s="8"/>
      <c r="M8446" s="8"/>
    </row>
    <row r="8447">
      <c r="B8447" s="8"/>
      <c r="G8447" s="8"/>
      <c r="M8447" s="8"/>
    </row>
    <row r="8448">
      <c r="B8448" s="8"/>
      <c r="G8448" s="8"/>
      <c r="M8448" s="8"/>
    </row>
    <row r="8449">
      <c r="B8449" s="8"/>
      <c r="G8449" s="8"/>
      <c r="M8449" s="8"/>
    </row>
    <row r="8450">
      <c r="B8450" s="8"/>
      <c r="G8450" s="8"/>
      <c r="M8450" s="8"/>
    </row>
    <row r="8451">
      <c r="B8451" s="8"/>
      <c r="G8451" s="8"/>
      <c r="M8451" s="8"/>
    </row>
    <row r="8452">
      <c r="B8452" s="8"/>
      <c r="G8452" s="8"/>
      <c r="M8452" s="8"/>
    </row>
    <row r="8453">
      <c r="B8453" s="8"/>
      <c r="G8453" s="8"/>
      <c r="M8453" s="8"/>
    </row>
    <row r="8454">
      <c r="B8454" s="8"/>
      <c r="G8454" s="8"/>
      <c r="M8454" s="8"/>
    </row>
    <row r="8455">
      <c r="B8455" s="8"/>
      <c r="G8455" s="8"/>
      <c r="M8455" s="8"/>
    </row>
    <row r="8456">
      <c r="B8456" s="8"/>
      <c r="G8456" s="8"/>
      <c r="M8456" s="8"/>
    </row>
    <row r="8457">
      <c r="B8457" s="8"/>
      <c r="G8457" s="8"/>
      <c r="M8457" s="8"/>
    </row>
    <row r="8458">
      <c r="B8458" s="8"/>
      <c r="G8458" s="8"/>
      <c r="M8458" s="8"/>
    </row>
    <row r="8459">
      <c r="B8459" s="8"/>
      <c r="G8459" s="8"/>
      <c r="M8459" s="8"/>
    </row>
    <row r="8460">
      <c r="B8460" s="8"/>
      <c r="G8460" s="8"/>
      <c r="M8460" s="8"/>
    </row>
    <row r="8461">
      <c r="B8461" s="8"/>
      <c r="G8461" s="8"/>
      <c r="M8461" s="8"/>
    </row>
    <row r="8462">
      <c r="B8462" s="8"/>
      <c r="G8462" s="8"/>
      <c r="M8462" s="8"/>
    </row>
    <row r="8463">
      <c r="B8463" s="8"/>
      <c r="G8463" s="8"/>
      <c r="M8463" s="8"/>
    </row>
    <row r="8464">
      <c r="B8464" s="8"/>
      <c r="G8464" s="8"/>
      <c r="M8464" s="8"/>
    </row>
    <row r="8465">
      <c r="B8465" s="8"/>
      <c r="G8465" s="8"/>
      <c r="M8465" s="8"/>
    </row>
    <row r="8466">
      <c r="B8466" s="8"/>
      <c r="G8466" s="8"/>
      <c r="M8466" s="8"/>
    </row>
    <row r="8467">
      <c r="B8467" s="8"/>
      <c r="G8467" s="8"/>
      <c r="M8467" s="8"/>
    </row>
    <row r="8468">
      <c r="B8468" s="8"/>
      <c r="G8468" s="8"/>
      <c r="M8468" s="8"/>
    </row>
    <row r="8469">
      <c r="B8469" s="8"/>
      <c r="G8469" s="8"/>
      <c r="M8469" s="8"/>
    </row>
    <row r="8470">
      <c r="B8470" s="8"/>
      <c r="G8470" s="8"/>
      <c r="M8470" s="8"/>
    </row>
    <row r="8471">
      <c r="B8471" s="8"/>
      <c r="G8471" s="8"/>
      <c r="M8471" s="8"/>
    </row>
    <row r="8472">
      <c r="B8472" s="8"/>
      <c r="G8472" s="8"/>
      <c r="M8472" s="8"/>
    </row>
    <row r="8473">
      <c r="B8473" s="8"/>
      <c r="G8473" s="8"/>
      <c r="M8473" s="8"/>
    </row>
    <row r="8474">
      <c r="B8474" s="8"/>
      <c r="G8474" s="8"/>
      <c r="M8474" s="8"/>
    </row>
    <row r="8475">
      <c r="B8475" s="8"/>
      <c r="G8475" s="8"/>
      <c r="M8475" s="8"/>
    </row>
    <row r="8476">
      <c r="B8476" s="8"/>
      <c r="G8476" s="8"/>
      <c r="M8476" s="8"/>
    </row>
    <row r="8477">
      <c r="B8477" s="8"/>
      <c r="G8477" s="8"/>
      <c r="M8477" s="8"/>
    </row>
    <row r="8478">
      <c r="B8478" s="8"/>
      <c r="G8478" s="8"/>
      <c r="M8478" s="8"/>
    </row>
    <row r="8479">
      <c r="B8479" s="8"/>
      <c r="G8479" s="8"/>
      <c r="M8479" s="8"/>
    </row>
    <row r="8480">
      <c r="B8480" s="8"/>
      <c r="G8480" s="8"/>
      <c r="M8480" s="8"/>
    </row>
    <row r="8481">
      <c r="B8481" s="8"/>
      <c r="G8481" s="8"/>
      <c r="M8481" s="8"/>
    </row>
    <row r="8482">
      <c r="B8482" s="8"/>
      <c r="G8482" s="8"/>
      <c r="M8482" s="8"/>
    </row>
    <row r="8483">
      <c r="B8483" s="8"/>
      <c r="G8483" s="8"/>
      <c r="M8483" s="8"/>
    </row>
    <row r="8484">
      <c r="B8484" s="8"/>
      <c r="G8484" s="8"/>
      <c r="M8484" s="8"/>
    </row>
    <row r="8485">
      <c r="B8485" s="8"/>
      <c r="G8485" s="8"/>
      <c r="M8485" s="8"/>
    </row>
    <row r="8486">
      <c r="B8486" s="8"/>
      <c r="G8486" s="8"/>
      <c r="M8486" s="8"/>
    </row>
    <row r="8487">
      <c r="B8487" s="8"/>
      <c r="G8487" s="8"/>
      <c r="M8487" s="8"/>
    </row>
    <row r="8488">
      <c r="B8488" s="8"/>
      <c r="G8488" s="8"/>
      <c r="M8488" s="8"/>
    </row>
    <row r="8489">
      <c r="B8489" s="8"/>
      <c r="G8489" s="8"/>
      <c r="M8489" s="8"/>
    </row>
    <row r="8490">
      <c r="B8490" s="8"/>
      <c r="G8490" s="8"/>
      <c r="M8490" s="8"/>
    </row>
    <row r="8491">
      <c r="B8491" s="8"/>
      <c r="G8491" s="8"/>
      <c r="M8491" s="8"/>
    </row>
    <row r="8492">
      <c r="B8492" s="8"/>
      <c r="G8492" s="8"/>
      <c r="M8492" s="8"/>
    </row>
    <row r="8493">
      <c r="B8493" s="8"/>
      <c r="G8493" s="8"/>
      <c r="M8493" s="8"/>
    </row>
    <row r="8494">
      <c r="B8494" s="8"/>
      <c r="G8494" s="8"/>
      <c r="M8494" s="8"/>
    </row>
    <row r="8495">
      <c r="B8495" s="8"/>
      <c r="G8495" s="8"/>
      <c r="M8495" s="8"/>
    </row>
    <row r="8496">
      <c r="B8496" s="8"/>
      <c r="G8496" s="8"/>
      <c r="M8496" s="8"/>
    </row>
    <row r="8497">
      <c r="B8497" s="8"/>
      <c r="G8497" s="8"/>
      <c r="M8497" s="8"/>
    </row>
    <row r="8498">
      <c r="B8498" s="8"/>
      <c r="G8498" s="8"/>
      <c r="M8498" s="8"/>
    </row>
    <row r="8499">
      <c r="B8499" s="8"/>
      <c r="G8499" s="8"/>
      <c r="M8499" s="8"/>
    </row>
    <row r="8500">
      <c r="B8500" s="8"/>
      <c r="G8500" s="8"/>
      <c r="M8500" s="8"/>
    </row>
    <row r="8501">
      <c r="B8501" s="8"/>
      <c r="G8501" s="8"/>
      <c r="M8501" s="8"/>
    </row>
    <row r="8502">
      <c r="B8502" s="8"/>
      <c r="G8502" s="8"/>
      <c r="M8502" s="8"/>
    </row>
    <row r="8503">
      <c r="B8503" s="8"/>
      <c r="G8503" s="8"/>
      <c r="M8503" s="8"/>
    </row>
    <row r="8504">
      <c r="B8504" s="8"/>
      <c r="G8504" s="8"/>
      <c r="M8504" s="8"/>
    </row>
    <row r="8505">
      <c r="B8505" s="8"/>
      <c r="G8505" s="8"/>
      <c r="M8505" s="8"/>
    </row>
    <row r="8506">
      <c r="B8506" s="8"/>
      <c r="G8506" s="8"/>
      <c r="M8506" s="8"/>
    </row>
    <row r="8507">
      <c r="B8507" s="8"/>
      <c r="G8507" s="8"/>
      <c r="M8507" s="8"/>
    </row>
    <row r="8508">
      <c r="B8508" s="8"/>
      <c r="G8508" s="8"/>
      <c r="M8508" s="8"/>
    </row>
    <row r="8509">
      <c r="B8509" s="8"/>
      <c r="G8509" s="8"/>
      <c r="M8509" s="8"/>
    </row>
    <row r="8510">
      <c r="B8510" s="8"/>
      <c r="G8510" s="8"/>
      <c r="M8510" s="8"/>
    </row>
    <row r="8511">
      <c r="B8511" s="8"/>
      <c r="G8511" s="8"/>
      <c r="M8511" s="8"/>
    </row>
    <row r="8512">
      <c r="B8512" s="8"/>
      <c r="G8512" s="8"/>
      <c r="M8512" s="8"/>
    </row>
    <row r="8513">
      <c r="B8513" s="8"/>
      <c r="G8513" s="8"/>
      <c r="M8513" s="8"/>
    </row>
    <row r="8514">
      <c r="B8514" s="8"/>
      <c r="G8514" s="8"/>
      <c r="M8514" s="8"/>
    </row>
    <row r="8515">
      <c r="B8515" s="8"/>
      <c r="G8515" s="8"/>
      <c r="M8515" s="8"/>
    </row>
    <row r="8516">
      <c r="B8516" s="8"/>
      <c r="G8516" s="8"/>
      <c r="M8516" s="8"/>
    </row>
    <row r="8517">
      <c r="B8517" s="8"/>
      <c r="G8517" s="8"/>
      <c r="M8517" s="8"/>
    </row>
    <row r="8518">
      <c r="B8518" s="8"/>
      <c r="G8518" s="8"/>
      <c r="M8518" s="8"/>
    </row>
    <row r="8519">
      <c r="B8519" s="8"/>
      <c r="G8519" s="8"/>
      <c r="M8519" s="8"/>
    </row>
    <row r="8520">
      <c r="B8520" s="8"/>
      <c r="G8520" s="8"/>
      <c r="M8520" s="8"/>
    </row>
    <row r="8521">
      <c r="B8521" s="8"/>
      <c r="G8521" s="8"/>
      <c r="M8521" s="8"/>
    </row>
    <row r="8522">
      <c r="B8522" s="8"/>
      <c r="G8522" s="8"/>
      <c r="M8522" s="8"/>
    </row>
    <row r="8523">
      <c r="B8523" s="8"/>
      <c r="G8523" s="8"/>
      <c r="M8523" s="8"/>
    </row>
    <row r="8524">
      <c r="B8524" s="8"/>
      <c r="G8524" s="8"/>
      <c r="M8524" s="8"/>
    </row>
    <row r="8525">
      <c r="B8525" s="8"/>
      <c r="G8525" s="8"/>
      <c r="M8525" s="8"/>
    </row>
    <row r="8526">
      <c r="B8526" s="8"/>
      <c r="G8526" s="8"/>
      <c r="M8526" s="8"/>
    </row>
    <row r="8527">
      <c r="B8527" s="8"/>
      <c r="G8527" s="8"/>
      <c r="M8527" s="8"/>
    </row>
    <row r="8528">
      <c r="B8528" s="8"/>
      <c r="G8528" s="8"/>
      <c r="M8528" s="8"/>
    </row>
    <row r="8529">
      <c r="B8529" s="8"/>
      <c r="G8529" s="8"/>
      <c r="M8529" s="8"/>
    </row>
    <row r="8530">
      <c r="B8530" s="8"/>
      <c r="G8530" s="8"/>
      <c r="M8530" s="8"/>
    </row>
    <row r="8531">
      <c r="B8531" s="8"/>
      <c r="G8531" s="8"/>
      <c r="M8531" s="8"/>
    </row>
    <row r="8532">
      <c r="B8532" s="8"/>
      <c r="G8532" s="8"/>
      <c r="M8532" s="8"/>
    </row>
    <row r="8533">
      <c r="B8533" s="8"/>
      <c r="G8533" s="8"/>
      <c r="M8533" s="8"/>
    </row>
    <row r="8534">
      <c r="B8534" s="8"/>
      <c r="G8534" s="8"/>
      <c r="M8534" s="8"/>
    </row>
    <row r="8535">
      <c r="B8535" s="8"/>
      <c r="G8535" s="8"/>
      <c r="M8535" s="8"/>
    </row>
    <row r="8536">
      <c r="B8536" s="8"/>
      <c r="G8536" s="8"/>
      <c r="M8536" s="8"/>
    </row>
    <row r="8537">
      <c r="B8537" s="8"/>
      <c r="G8537" s="8"/>
      <c r="M8537" s="8"/>
    </row>
    <row r="8538">
      <c r="B8538" s="8"/>
      <c r="G8538" s="8"/>
      <c r="M8538" s="8"/>
    </row>
    <row r="8539">
      <c r="B8539" s="8"/>
      <c r="G8539" s="8"/>
      <c r="M8539" s="8"/>
    </row>
    <row r="8540">
      <c r="B8540" s="8"/>
      <c r="G8540" s="8"/>
      <c r="M8540" s="8"/>
    </row>
    <row r="8541">
      <c r="B8541" s="8"/>
      <c r="G8541" s="8"/>
      <c r="M8541" s="8"/>
    </row>
    <row r="8542">
      <c r="B8542" s="8"/>
      <c r="G8542" s="8"/>
      <c r="M8542" s="8"/>
    </row>
    <row r="8543">
      <c r="B8543" s="8"/>
      <c r="G8543" s="8"/>
      <c r="M8543" s="8"/>
    </row>
    <row r="8544">
      <c r="B8544" s="8"/>
      <c r="G8544" s="8"/>
      <c r="M8544" s="8"/>
    </row>
    <row r="8545">
      <c r="B8545" s="8"/>
      <c r="G8545" s="8"/>
      <c r="M8545" s="8"/>
    </row>
    <row r="8546">
      <c r="B8546" s="8"/>
      <c r="G8546" s="8"/>
      <c r="M8546" s="8"/>
    </row>
    <row r="8547">
      <c r="B8547" s="8"/>
      <c r="G8547" s="8"/>
      <c r="M8547" s="8"/>
    </row>
    <row r="8548">
      <c r="B8548" s="8"/>
      <c r="G8548" s="8"/>
      <c r="M8548" s="8"/>
    </row>
    <row r="8549">
      <c r="B8549" s="8"/>
      <c r="G8549" s="8"/>
      <c r="M8549" s="8"/>
    </row>
    <row r="8550">
      <c r="B8550" s="8"/>
      <c r="G8550" s="8"/>
      <c r="M8550" s="8"/>
    </row>
    <row r="8551">
      <c r="B8551" s="8"/>
      <c r="G8551" s="8"/>
      <c r="M8551" s="8"/>
    </row>
    <row r="8552">
      <c r="B8552" s="8"/>
      <c r="G8552" s="8"/>
      <c r="M8552" s="8"/>
    </row>
    <row r="8553">
      <c r="B8553" s="8"/>
      <c r="G8553" s="8"/>
      <c r="M8553" s="8"/>
    </row>
    <row r="8554">
      <c r="B8554" s="8"/>
      <c r="G8554" s="8"/>
      <c r="M8554" s="8"/>
    </row>
    <row r="8555">
      <c r="B8555" s="8"/>
      <c r="G8555" s="8"/>
      <c r="M8555" s="8"/>
    </row>
    <row r="8556">
      <c r="B8556" s="8"/>
      <c r="G8556" s="8"/>
      <c r="M8556" s="8"/>
    </row>
    <row r="8557">
      <c r="B8557" s="8"/>
      <c r="G8557" s="8"/>
      <c r="M8557" s="8"/>
    </row>
    <row r="8558">
      <c r="B8558" s="8"/>
      <c r="G8558" s="8"/>
      <c r="M8558" s="8"/>
    </row>
    <row r="8559">
      <c r="B8559" s="8"/>
      <c r="G8559" s="8"/>
      <c r="M8559" s="8"/>
    </row>
    <row r="8560">
      <c r="B8560" s="8"/>
      <c r="G8560" s="8"/>
      <c r="M8560" s="8"/>
    </row>
    <row r="8561">
      <c r="B8561" s="8"/>
      <c r="G8561" s="8"/>
      <c r="M8561" s="8"/>
    </row>
    <row r="8562">
      <c r="B8562" s="8"/>
      <c r="G8562" s="8"/>
      <c r="M8562" s="8"/>
    </row>
    <row r="8563">
      <c r="B8563" s="8"/>
      <c r="G8563" s="8"/>
      <c r="M8563" s="8"/>
    </row>
    <row r="8564">
      <c r="B8564" s="8"/>
      <c r="G8564" s="8"/>
      <c r="M8564" s="8"/>
    </row>
    <row r="8565">
      <c r="B8565" s="8"/>
      <c r="G8565" s="8"/>
      <c r="M8565" s="8"/>
    </row>
    <row r="8566">
      <c r="B8566" s="8"/>
      <c r="G8566" s="8"/>
      <c r="M8566" s="8"/>
    </row>
    <row r="8567">
      <c r="B8567" s="8"/>
      <c r="G8567" s="8"/>
      <c r="M8567" s="8"/>
    </row>
    <row r="8568">
      <c r="B8568" s="8"/>
      <c r="G8568" s="8"/>
      <c r="M8568" s="8"/>
    </row>
    <row r="8569">
      <c r="B8569" s="8"/>
      <c r="G8569" s="8"/>
      <c r="M8569" s="8"/>
    </row>
    <row r="8570">
      <c r="B8570" s="8"/>
      <c r="G8570" s="8"/>
      <c r="M8570" s="8"/>
    </row>
    <row r="8571">
      <c r="B8571" s="8"/>
      <c r="G8571" s="8"/>
      <c r="M8571" s="8"/>
    </row>
    <row r="8572">
      <c r="B8572" s="8"/>
      <c r="G8572" s="8"/>
      <c r="M8572" s="8"/>
    </row>
    <row r="8573">
      <c r="B8573" s="8"/>
      <c r="G8573" s="8"/>
      <c r="M8573" s="8"/>
    </row>
    <row r="8574">
      <c r="B8574" s="8"/>
      <c r="G8574" s="8"/>
      <c r="M8574" s="8"/>
    </row>
    <row r="8575">
      <c r="B8575" s="8"/>
      <c r="G8575" s="8"/>
      <c r="M8575" s="8"/>
    </row>
    <row r="8576">
      <c r="B8576" s="8"/>
      <c r="G8576" s="8"/>
      <c r="M8576" s="8"/>
    </row>
    <row r="8577">
      <c r="B8577" s="8"/>
      <c r="G8577" s="8"/>
      <c r="M8577" s="8"/>
    </row>
    <row r="8578">
      <c r="B8578" s="8"/>
      <c r="G8578" s="8"/>
      <c r="M8578" s="8"/>
    </row>
    <row r="8579">
      <c r="B8579" s="8"/>
      <c r="G8579" s="8"/>
      <c r="M8579" s="8"/>
    </row>
    <row r="8580">
      <c r="B8580" s="8"/>
      <c r="G8580" s="8"/>
      <c r="M8580" s="8"/>
    </row>
    <row r="8581">
      <c r="B8581" s="8"/>
      <c r="G8581" s="8"/>
      <c r="M8581" s="8"/>
    </row>
    <row r="8582">
      <c r="B8582" s="8"/>
      <c r="G8582" s="8"/>
      <c r="M8582" s="8"/>
    </row>
    <row r="8583">
      <c r="B8583" s="8"/>
      <c r="G8583" s="8"/>
      <c r="M8583" s="8"/>
    </row>
    <row r="8584">
      <c r="B8584" s="8"/>
      <c r="G8584" s="8"/>
      <c r="M8584" s="8"/>
    </row>
    <row r="8585">
      <c r="B8585" s="8"/>
      <c r="G8585" s="8"/>
      <c r="M8585" s="8"/>
    </row>
    <row r="8586">
      <c r="B8586" s="8"/>
      <c r="G8586" s="8"/>
      <c r="M8586" s="8"/>
    </row>
    <row r="8587">
      <c r="B8587" s="8"/>
      <c r="G8587" s="8"/>
      <c r="M8587" s="8"/>
    </row>
    <row r="8588">
      <c r="B8588" s="8"/>
      <c r="G8588" s="8"/>
      <c r="M8588" s="8"/>
    </row>
    <row r="8589">
      <c r="B8589" s="8"/>
      <c r="G8589" s="8"/>
      <c r="M8589" s="8"/>
    </row>
    <row r="8590">
      <c r="B8590" s="8"/>
      <c r="G8590" s="8"/>
      <c r="M8590" s="8"/>
    </row>
    <row r="8591">
      <c r="B8591" s="8"/>
      <c r="G8591" s="8"/>
      <c r="M8591" s="8"/>
    </row>
    <row r="8592">
      <c r="B8592" s="8"/>
      <c r="G8592" s="8"/>
      <c r="M8592" s="8"/>
    </row>
    <row r="8593">
      <c r="B8593" s="8"/>
      <c r="G8593" s="8"/>
      <c r="M8593" s="8"/>
    </row>
    <row r="8594">
      <c r="B8594" s="8"/>
      <c r="G8594" s="8"/>
      <c r="M8594" s="8"/>
    </row>
    <row r="8595">
      <c r="B8595" s="8"/>
      <c r="G8595" s="8"/>
      <c r="M8595" s="8"/>
    </row>
    <row r="8596">
      <c r="B8596" s="8"/>
      <c r="G8596" s="8"/>
      <c r="M8596" s="8"/>
    </row>
    <row r="8597">
      <c r="B8597" s="8"/>
      <c r="G8597" s="8"/>
      <c r="M8597" s="8"/>
    </row>
    <row r="8598">
      <c r="B8598" s="8"/>
      <c r="G8598" s="8"/>
      <c r="M8598" s="8"/>
    </row>
    <row r="8599">
      <c r="B8599" s="8"/>
      <c r="G8599" s="8"/>
      <c r="M8599" s="8"/>
    </row>
    <row r="8600">
      <c r="B8600" s="8"/>
      <c r="G8600" s="8"/>
      <c r="M8600" s="8"/>
    </row>
    <row r="8601">
      <c r="B8601" s="8"/>
      <c r="G8601" s="8"/>
      <c r="M8601" s="8"/>
    </row>
    <row r="8602">
      <c r="B8602" s="8"/>
      <c r="G8602" s="8"/>
      <c r="M8602" s="8"/>
    </row>
    <row r="8603">
      <c r="B8603" s="8"/>
      <c r="G8603" s="8"/>
      <c r="M8603" s="8"/>
    </row>
    <row r="8604">
      <c r="B8604" s="8"/>
      <c r="G8604" s="8"/>
      <c r="M8604" s="8"/>
    </row>
    <row r="8605">
      <c r="B8605" s="8"/>
      <c r="G8605" s="8"/>
      <c r="M8605" s="8"/>
    </row>
    <row r="8606">
      <c r="B8606" s="8"/>
      <c r="G8606" s="8"/>
      <c r="M8606" s="8"/>
    </row>
    <row r="8607">
      <c r="B8607" s="8"/>
      <c r="G8607" s="8"/>
      <c r="M8607" s="8"/>
    </row>
    <row r="8608">
      <c r="B8608" s="8"/>
      <c r="G8608" s="8"/>
      <c r="M8608" s="8"/>
    </row>
    <row r="8609">
      <c r="B8609" s="8"/>
      <c r="G8609" s="8"/>
      <c r="M8609" s="8"/>
    </row>
    <row r="8610">
      <c r="B8610" s="8"/>
      <c r="G8610" s="8"/>
      <c r="M8610" s="8"/>
    </row>
    <row r="8611">
      <c r="B8611" s="8"/>
      <c r="G8611" s="8"/>
      <c r="M8611" s="8"/>
    </row>
    <row r="8612">
      <c r="B8612" s="8"/>
      <c r="G8612" s="8"/>
      <c r="M8612" s="8"/>
    </row>
    <row r="8613">
      <c r="B8613" s="8"/>
      <c r="G8613" s="8"/>
      <c r="M8613" s="8"/>
    </row>
    <row r="8614">
      <c r="B8614" s="8"/>
      <c r="G8614" s="8"/>
      <c r="M8614" s="8"/>
    </row>
    <row r="8615">
      <c r="B8615" s="8"/>
      <c r="G8615" s="8"/>
      <c r="M8615" s="8"/>
    </row>
    <row r="8616">
      <c r="B8616" s="8"/>
      <c r="G8616" s="8"/>
      <c r="M8616" s="8"/>
    </row>
    <row r="8617">
      <c r="B8617" s="8"/>
      <c r="G8617" s="8"/>
      <c r="M8617" s="8"/>
    </row>
    <row r="8618">
      <c r="B8618" s="8"/>
      <c r="G8618" s="8"/>
      <c r="M8618" s="8"/>
    </row>
    <row r="8619">
      <c r="B8619" s="8"/>
      <c r="G8619" s="8"/>
      <c r="M8619" s="8"/>
    </row>
    <row r="8620">
      <c r="B8620" s="8"/>
      <c r="G8620" s="8"/>
      <c r="M8620" s="8"/>
    </row>
    <row r="8621">
      <c r="B8621" s="8"/>
      <c r="G8621" s="8"/>
      <c r="M8621" s="8"/>
    </row>
    <row r="8622">
      <c r="B8622" s="8"/>
      <c r="G8622" s="8"/>
      <c r="M8622" s="8"/>
    </row>
    <row r="8623">
      <c r="B8623" s="8"/>
      <c r="G8623" s="8"/>
      <c r="M8623" s="8"/>
    </row>
    <row r="8624">
      <c r="B8624" s="8"/>
      <c r="G8624" s="8"/>
      <c r="M8624" s="8"/>
    </row>
    <row r="8625">
      <c r="B8625" s="8"/>
      <c r="G8625" s="8"/>
      <c r="M8625" s="8"/>
    </row>
    <row r="8626">
      <c r="B8626" s="8"/>
      <c r="G8626" s="8"/>
      <c r="M8626" s="8"/>
    </row>
    <row r="8627">
      <c r="B8627" s="8"/>
      <c r="G8627" s="8"/>
      <c r="M8627" s="8"/>
    </row>
    <row r="8628">
      <c r="B8628" s="8"/>
      <c r="G8628" s="8"/>
      <c r="M8628" s="8"/>
    </row>
    <row r="8629">
      <c r="B8629" s="8"/>
      <c r="G8629" s="8"/>
      <c r="M8629" s="8"/>
    </row>
    <row r="8630">
      <c r="B8630" s="8"/>
      <c r="G8630" s="8"/>
      <c r="M8630" s="8"/>
    </row>
    <row r="8631">
      <c r="B8631" s="8"/>
      <c r="G8631" s="8"/>
      <c r="M8631" s="8"/>
    </row>
    <row r="8632">
      <c r="B8632" s="8"/>
      <c r="G8632" s="8"/>
      <c r="M8632" s="8"/>
    </row>
    <row r="8633">
      <c r="B8633" s="8"/>
      <c r="G8633" s="8"/>
      <c r="M8633" s="8"/>
    </row>
    <row r="8634">
      <c r="B8634" s="8"/>
      <c r="G8634" s="8"/>
      <c r="M8634" s="8"/>
    </row>
    <row r="8635">
      <c r="B8635" s="8"/>
      <c r="G8635" s="8"/>
      <c r="M8635" s="8"/>
    </row>
    <row r="8636">
      <c r="B8636" s="8"/>
      <c r="G8636" s="8"/>
      <c r="M8636" s="8"/>
    </row>
    <row r="8637">
      <c r="B8637" s="8"/>
      <c r="G8637" s="8"/>
      <c r="M8637" s="8"/>
    </row>
    <row r="8638">
      <c r="B8638" s="8"/>
      <c r="G8638" s="8"/>
      <c r="M8638" s="8"/>
    </row>
    <row r="8639">
      <c r="B8639" s="8"/>
      <c r="G8639" s="8"/>
      <c r="M8639" s="8"/>
    </row>
    <row r="8640">
      <c r="B8640" s="8"/>
      <c r="G8640" s="8"/>
      <c r="M8640" s="8"/>
    </row>
    <row r="8641">
      <c r="B8641" s="8"/>
      <c r="G8641" s="8"/>
      <c r="M8641" s="8"/>
    </row>
    <row r="8642">
      <c r="B8642" s="8"/>
      <c r="G8642" s="8"/>
      <c r="M8642" s="8"/>
    </row>
    <row r="8643">
      <c r="B8643" s="8"/>
      <c r="G8643" s="8"/>
      <c r="M8643" s="8"/>
    </row>
    <row r="8644">
      <c r="B8644" s="8"/>
      <c r="G8644" s="8"/>
      <c r="M8644" s="8"/>
    </row>
    <row r="8645">
      <c r="B8645" s="8"/>
      <c r="G8645" s="8"/>
      <c r="M8645" s="8"/>
    </row>
    <row r="8646">
      <c r="B8646" s="8"/>
      <c r="G8646" s="8"/>
      <c r="M8646" s="8"/>
    </row>
    <row r="8647">
      <c r="B8647" s="8"/>
      <c r="G8647" s="8"/>
      <c r="M8647" s="8"/>
    </row>
    <row r="8648">
      <c r="B8648" s="8"/>
      <c r="G8648" s="8"/>
      <c r="M8648" s="8"/>
    </row>
    <row r="8649">
      <c r="B8649" s="8"/>
      <c r="G8649" s="8"/>
      <c r="M8649" s="8"/>
    </row>
    <row r="8650">
      <c r="B8650" s="8"/>
      <c r="G8650" s="8"/>
      <c r="M8650" s="8"/>
    </row>
    <row r="8651">
      <c r="B8651" s="8"/>
      <c r="G8651" s="8"/>
      <c r="M8651" s="8"/>
    </row>
    <row r="8652">
      <c r="B8652" s="8"/>
      <c r="G8652" s="8"/>
      <c r="M8652" s="8"/>
    </row>
    <row r="8653">
      <c r="B8653" s="8"/>
      <c r="G8653" s="8"/>
      <c r="M8653" s="8"/>
    </row>
    <row r="8654">
      <c r="B8654" s="8"/>
      <c r="G8654" s="8"/>
      <c r="M8654" s="8"/>
    </row>
    <row r="8655">
      <c r="B8655" s="8"/>
      <c r="G8655" s="8"/>
      <c r="M8655" s="8"/>
    </row>
    <row r="8656">
      <c r="B8656" s="8"/>
      <c r="G8656" s="8"/>
      <c r="M8656" s="8"/>
    </row>
    <row r="8657">
      <c r="B8657" s="8"/>
      <c r="G8657" s="8"/>
      <c r="M8657" s="8"/>
    </row>
    <row r="8658">
      <c r="B8658" s="8"/>
      <c r="G8658" s="8"/>
      <c r="M8658" s="8"/>
    </row>
    <row r="8659">
      <c r="B8659" s="8"/>
      <c r="G8659" s="8"/>
      <c r="M8659" s="8"/>
    </row>
    <row r="8660">
      <c r="B8660" s="8"/>
      <c r="G8660" s="8"/>
      <c r="M8660" s="8"/>
    </row>
    <row r="8661">
      <c r="B8661" s="8"/>
      <c r="G8661" s="8"/>
      <c r="M8661" s="8"/>
    </row>
    <row r="8662">
      <c r="B8662" s="8"/>
      <c r="G8662" s="8"/>
      <c r="M8662" s="8"/>
    </row>
    <row r="8663">
      <c r="B8663" s="8"/>
      <c r="G8663" s="8"/>
      <c r="M8663" s="8"/>
    </row>
    <row r="8664">
      <c r="B8664" s="8"/>
      <c r="G8664" s="8"/>
      <c r="M8664" s="8"/>
    </row>
    <row r="8665">
      <c r="B8665" s="8"/>
      <c r="G8665" s="8"/>
      <c r="M8665" s="8"/>
    </row>
    <row r="8666">
      <c r="B8666" s="8"/>
      <c r="G8666" s="8"/>
      <c r="M8666" s="8"/>
    </row>
    <row r="8667">
      <c r="B8667" s="8"/>
      <c r="G8667" s="8"/>
      <c r="M8667" s="8"/>
    </row>
    <row r="8668">
      <c r="B8668" s="8"/>
      <c r="G8668" s="8"/>
      <c r="M8668" s="8"/>
    </row>
    <row r="8669">
      <c r="B8669" s="8"/>
      <c r="G8669" s="8"/>
      <c r="M8669" s="8"/>
    </row>
    <row r="8670">
      <c r="B8670" s="8"/>
      <c r="G8670" s="8"/>
      <c r="M8670" s="8"/>
    </row>
    <row r="8671">
      <c r="B8671" s="8"/>
      <c r="G8671" s="8"/>
      <c r="M8671" s="8"/>
    </row>
    <row r="8672">
      <c r="B8672" s="8"/>
      <c r="G8672" s="8"/>
      <c r="M8672" s="8"/>
    </row>
    <row r="8673">
      <c r="B8673" s="8"/>
      <c r="G8673" s="8"/>
      <c r="M8673" s="8"/>
    </row>
    <row r="8674">
      <c r="B8674" s="8"/>
      <c r="G8674" s="8"/>
      <c r="M8674" s="8"/>
    </row>
    <row r="8675">
      <c r="B8675" s="8"/>
      <c r="G8675" s="8"/>
      <c r="M8675" s="8"/>
    </row>
    <row r="8676">
      <c r="B8676" s="8"/>
      <c r="G8676" s="8"/>
      <c r="M8676" s="8"/>
    </row>
    <row r="8677">
      <c r="B8677" s="8"/>
      <c r="G8677" s="8"/>
      <c r="M8677" s="8"/>
    </row>
    <row r="8678">
      <c r="B8678" s="8"/>
      <c r="G8678" s="8"/>
      <c r="M8678" s="8"/>
    </row>
    <row r="8679">
      <c r="B8679" s="8"/>
      <c r="G8679" s="8"/>
      <c r="M8679" s="8"/>
    </row>
    <row r="8680">
      <c r="B8680" s="8"/>
      <c r="G8680" s="8"/>
      <c r="M8680" s="8"/>
    </row>
    <row r="8681">
      <c r="B8681" s="8"/>
      <c r="G8681" s="8"/>
      <c r="M8681" s="8"/>
    </row>
    <row r="8682">
      <c r="B8682" s="8"/>
      <c r="G8682" s="8"/>
      <c r="M8682" s="8"/>
    </row>
    <row r="8683">
      <c r="B8683" s="8"/>
      <c r="G8683" s="8"/>
      <c r="M8683" s="8"/>
    </row>
    <row r="8684">
      <c r="B8684" s="8"/>
      <c r="G8684" s="8"/>
      <c r="M8684" s="8"/>
    </row>
    <row r="8685">
      <c r="B8685" s="8"/>
      <c r="G8685" s="8"/>
      <c r="M8685" s="8"/>
    </row>
    <row r="8686">
      <c r="B8686" s="8"/>
      <c r="G8686" s="8"/>
      <c r="M8686" s="8"/>
    </row>
    <row r="8687">
      <c r="B8687" s="8"/>
      <c r="G8687" s="8"/>
      <c r="M8687" s="8"/>
    </row>
    <row r="8688">
      <c r="B8688" s="8"/>
      <c r="G8688" s="8"/>
      <c r="M8688" s="8"/>
    </row>
    <row r="8689">
      <c r="B8689" s="8"/>
      <c r="G8689" s="8"/>
      <c r="M8689" s="8"/>
    </row>
    <row r="8690">
      <c r="B8690" s="8"/>
      <c r="G8690" s="8"/>
      <c r="M8690" s="8"/>
    </row>
    <row r="8691">
      <c r="B8691" s="8"/>
      <c r="G8691" s="8"/>
      <c r="M8691" s="8"/>
    </row>
    <row r="8692">
      <c r="B8692" s="8"/>
      <c r="G8692" s="8"/>
      <c r="M8692" s="8"/>
    </row>
    <row r="8693">
      <c r="B8693" s="8"/>
      <c r="G8693" s="8"/>
      <c r="M8693" s="8"/>
    </row>
    <row r="8694">
      <c r="B8694" s="8"/>
      <c r="G8694" s="8"/>
      <c r="M8694" s="8"/>
    </row>
    <row r="8695">
      <c r="B8695" s="8"/>
      <c r="G8695" s="8"/>
      <c r="M8695" s="8"/>
    </row>
    <row r="8696">
      <c r="B8696" s="8"/>
      <c r="G8696" s="8"/>
      <c r="M8696" s="8"/>
    </row>
    <row r="8697">
      <c r="B8697" s="8"/>
      <c r="G8697" s="8"/>
      <c r="M8697" s="8"/>
    </row>
    <row r="8698">
      <c r="B8698" s="8"/>
      <c r="G8698" s="8"/>
      <c r="M8698" s="8"/>
    </row>
    <row r="8699">
      <c r="B8699" s="8"/>
      <c r="G8699" s="8"/>
      <c r="M8699" s="8"/>
    </row>
    <row r="8700">
      <c r="B8700" s="8"/>
      <c r="G8700" s="8"/>
      <c r="M8700" s="8"/>
    </row>
    <row r="8701">
      <c r="B8701" s="8"/>
      <c r="G8701" s="8"/>
      <c r="M8701" s="8"/>
    </row>
    <row r="8702">
      <c r="B8702" s="8"/>
      <c r="G8702" s="8"/>
      <c r="M8702" s="8"/>
    </row>
    <row r="8703">
      <c r="B8703" s="8"/>
      <c r="G8703" s="8"/>
      <c r="M8703" s="8"/>
    </row>
    <row r="8704">
      <c r="B8704" s="8"/>
      <c r="G8704" s="8"/>
      <c r="M8704" s="8"/>
    </row>
    <row r="8705">
      <c r="B8705" s="8"/>
      <c r="G8705" s="8"/>
      <c r="M8705" s="8"/>
    </row>
    <row r="8706">
      <c r="B8706" s="8"/>
      <c r="G8706" s="8"/>
      <c r="M8706" s="8"/>
    </row>
    <row r="8707">
      <c r="B8707" s="8"/>
      <c r="G8707" s="8"/>
      <c r="M8707" s="8"/>
    </row>
    <row r="8708">
      <c r="B8708" s="8"/>
      <c r="G8708" s="8"/>
      <c r="M8708" s="8"/>
    </row>
    <row r="8709">
      <c r="B8709" s="8"/>
      <c r="G8709" s="8"/>
      <c r="M8709" s="8"/>
    </row>
    <row r="8710">
      <c r="B8710" s="8"/>
      <c r="G8710" s="8"/>
      <c r="M8710" s="8"/>
    </row>
    <row r="8711">
      <c r="B8711" s="8"/>
      <c r="G8711" s="8"/>
      <c r="M8711" s="8"/>
    </row>
    <row r="8712">
      <c r="B8712" s="8"/>
      <c r="G8712" s="8"/>
      <c r="M8712" s="8"/>
    </row>
    <row r="8713">
      <c r="B8713" s="8"/>
      <c r="G8713" s="8"/>
      <c r="M8713" s="8"/>
    </row>
    <row r="8714">
      <c r="B8714" s="8"/>
      <c r="G8714" s="8"/>
      <c r="M8714" s="8"/>
    </row>
    <row r="8715">
      <c r="B8715" s="8"/>
      <c r="G8715" s="8"/>
      <c r="M8715" s="8"/>
    </row>
    <row r="8716">
      <c r="B8716" s="8"/>
      <c r="G8716" s="8"/>
      <c r="M8716" s="8"/>
    </row>
    <row r="8717">
      <c r="B8717" s="8"/>
      <c r="G8717" s="8"/>
      <c r="M8717" s="8"/>
    </row>
    <row r="8718">
      <c r="B8718" s="8"/>
      <c r="G8718" s="8"/>
      <c r="M8718" s="8"/>
    </row>
    <row r="8719">
      <c r="B8719" s="8"/>
      <c r="G8719" s="8"/>
      <c r="M8719" s="8"/>
    </row>
    <row r="8720">
      <c r="B8720" s="8"/>
      <c r="G8720" s="8"/>
      <c r="M8720" s="8"/>
    </row>
    <row r="8721">
      <c r="B8721" s="8"/>
      <c r="G8721" s="8"/>
      <c r="M8721" s="8"/>
    </row>
    <row r="8722">
      <c r="B8722" s="8"/>
      <c r="G8722" s="8"/>
      <c r="M8722" s="8"/>
    </row>
    <row r="8723">
      <c r="B8723" s="8"/>
      <c r="G8723" s="8"/>
      <c r="M8723" s="8"/>
    </row>
    <row r="8724">
      <c r="B8724" s="8"/>
      <c r="G8724" s="8"/>
      <c r="M8724" s="8"/>
    </row>
    <row r="8725">
      <c r="B8725" s="8"/>
      <c r="G8725" s="8"/>
      <c r="M8725" s="8"/>
    </row>
    <row r="8726">
      <c r="B8726" s="8"/>
      <c r="G8726" s="8"/>
      <c r="M8726" s="8"/>
    </row>
    <row r="8727">
      <c r="B8727" s="8"/>
      <c r="G8727" s="8"/>
      <c r="M8727" s="8"/>
    </row>
    <row r="8728">
      <c r="B8728" s="8"/>
      <c r="G8728" s="8"/>
      <c r="M8728" s="8"/>
    </row>
    <row r="8729">
      <c r="B8729" s="8"/>
      <c r="G8729" s="8"/>
      <c r="M8729" s="8"/>
    </row>
    <row r="8730">
      <c r="B8730" s="8"/>
      <c r="G8730" s="8"/>
      <c r="M8730" s="8"/>
    </row>
    <row r="8731">
      <c r="B8731" s="8"/>
      <c r="G8731" s="8"/>
      <c r="M8731" s="8"/>
    </row>
    <row r="8732">
      <c r="B8732" s="8"/>
      <c r="G8732" s="8"/>
      <c r="M8732" s="8"/>
    </row>
    <row r="8733">
      <c r="B8733" s="8"/>
      <c r="G8733" s="8"/>
      <c r="M8733" s="8"/>
    </row>
    <row r="8734">
      <c r="B8734" s="8"/>
      <c r="G8734" s="8"/>
      <c r="M8734" s="8"/>
    </row>
    <row r="8735">
      <c r="B8735" s="8"/>
      <c r="G8735" s="8"/>
      <c r="M8735" s="8"/>
    </row>
    <row r="8736">
      <c r="B8736" s="8"/>
      <c r="G8736" s="8"/>
      <c r="M8736" s="8"/>
    </row>
    <row r="8737">
      <c r="B8737" s="8"/>
      <c r="G8737" s="8"/>
      <c r="M8737" s="8"/>
    </row>
    <row r="8738">
      <c r="B8738" s="8"/>
      <c r="G8738" s="8"/>
      <c r="M8738" s="8"/>
    </row>
    <row r="8739">
      <c r="B8739" s="8"/>
      <c r="G8739" s="8"/>
      <c r="M8739" s="8"/>
    </row>
    <row r="8740">
      <c r="B8740" s="8"/>
      <c r="G8740" s="8"/>
      <c r="M8740" s="8"/>
    </row>
    <row r="8741">
      <c r="B8741" s="8"/>
      <c r="G8741" s="8"/>
      <c r="M8741" s="8"/>
    </row>
    <row r="8742">
      <c r="B8742" s="8"/>
      <c r="G8742" s="8"/>
      <c r="M8742" s="8"/>
    </row>
    <row r="8743">
      <c r="B8743" s="8"/>
      <c r="G8743" s="8"/>
      <c r="M8743" s="8"/>
    </row>
    <row r="8744">
      <c r="B8744" s="8"/>
      <c r="G8744" s="8"/>
      <c r="M8744" s="8"/>
    </row>
    <row r="8745">
      <c r="B8745" s="8"/>
      <c r="G8745" s="8"/>
      <c r="M8745" s="8"/>
    </row>
    <row r="8746">
      <c r="B8746" s="8"/>
      <c r="G8746" s="8"/>
      <c r="M8746" s="8"/>
    </row>
    <row r="8747">
      <c r="B8747" s="8"/>
      <c r="G8747" s="8"/>
      <c r="M8747" s="8"/>
    </row>
    <row r="8748">
      <c r="B8748" s="8"/>
      <c r="G8748" s="8"/>
      <c r="M8748" s="8"/>
    </row>
    <row r="8749">
      <c r="B8749" s="8"/>
      <c r="G8749" s="8"/>
      <c r="M8749" s="8"/>
    </row>
    <row r="8750">
      <c r="B8750" s="8"/>
      <c r="G8750" s="8"/>
      <c r="M8750" s="8"/>
    </row>
    <row r="8751">
      <c r="B8751" s="8"/>
      <c r="G8751" s="8"/>
      <c r="M8751" s="8"/>
    </row>
    <row r="8752">
      <c r="B8752" s="8"/>
      <c r="G8752" s="8"/>
      <c r="M8752" s="8"/>
    </row>
    <row r="8753">
      <c r="B8753" s="8"/>
      <c r="G8753" s="8"/>
      <c r="M8753" s="8"/>
    </row>
    <row r="8754">
      <c r="B8754" s="8"/>
      <c r="G8754" s="8"/>
      <c r="M8754" s="8"/>
    </row>
    <row r="8755">
      <c r="B8755" s="8"/>
      <c r="G8755" s="8"/>
      <c r="M8755" s="8"/>
    </row>
    <row r="8756">
      <c r="B8756" s="8"/>
      <c r="G8756" s="8"/>
      <c r="M8756" s="8"/>
    </row>
    <row r="8757">
      <c r="B8757" s="8"/>
      <c r="G8757" s="8"/>
      <c r="M8757" s="8"/>
    </row>
    <row r="8758">
      <c r="B8758" s="8"/>
      <c r="G8758" s="8"/>
      <c r="M8758" s="8"/>
    </row>
    <row r="8759">
      <c r="B8759" s="8"/>
      <c r="G8759" s="8"/>
      <c r="M8759" s="8"/>
    </row>
    <row r="8760">
      <c r="B8760" s="8"/>
      <c r="G8760" s="8"/>
      <c r="M8760" s="8"/>
    </row>
    <row r="8761">
      <c r="B8761" s="8"/>
      <c r="G8761" s="8"/>
      <c r="M8761" s="8"/>
    </row>
    <row r="8762">
      <c r="B8762" s="8"/>
      <c r="G8762" s="8"/>
      <c r="M8762" s="8"/>
    </row>
    <row r="8763">
      <c r="B8763" s="8"/>
      <c r="G8763" s="8"/>
      <c r="M8763" s="8"/>
    </row>
    <row r="8764">
      <c r="B8764" s="8"/>
      <c r="G8764" s="8"/>
      <c r="M8764" s="8"/>
    </row>
    <row r="8765">
      <c r="B8765" s="8"/>
      <c r="G8765" s="8"/>
      <c r="M8765" s="8"/>
    </row>
    <row r="8766">
      <c r="B8766" s="8"/>
      <c r="G8766" s="8"/>
      <c r="M8766" s="8"/>
    </row>
    <row r="8767">
      <c r="B8767" s="8"/>
      <c r="G8767" s="8"/>
      <c r="M8767" s="8"/>
    </row>
    <row r="8768">
      <c r="B8768" s="8"/>
      <c r="G8768" s="8"/>
      <c r="M8768" s="8"/>
    </row>
    <row r="8769">
      <c r="B8769" s="8"/>
      <c r="G8769" s="8"/>
      <c r="M8769" s="8"/>
    </row>
    <row r="8770">
      <c r="B8770" s="8"/>
      <c r="G8770" s="8"/>
      <c r="M8770" s="8"/>
    </row>
    <row r="8771">
      <c r="B8771" s="8"/>
      <c r="G8771" s="8"/>
      <c r="M8771" s="8"/>
    </row>
    <row r="8772">
      <c r="B8772" s="8"/>
      <c r="G8772" s="8"/>
      <c r="M8772" s="8"/>
    </row>
    <row r="8773">
      <c r="B8773" s="8"/>
      <c r="G8773" s="8"/>
      <c r="M8773" s="8"/>
    </row>
    <row r="8774">
      <c r="B8774" s="8"/>
      <c r="G8774" s="8"/>
      <c r="M8774" s="8"/>
    </row>
    <row r="8775">
      <c r="B8775" s="8"/>
      <c r="G8775" s="8"/>
      <c r="M8775" s="8"/>
    </row>
    <row r="8776">
      <c r="B8776" s="8"/>
      <c r="G8776" s="8"/>
      <c r="M8776" s="8"/>
    </row>
    <row r="8777">
      <c r="B8777" s="8"/>
      <c r="G8777" s="8"/>
      <c r="M8777" s="8"/>
    </row>
    <row r="8778">
      <c r="B8778" s="8"/>
      <c r="G8778" s="8"/>
      <c r="M8778" s="8"/>
    </row>
    <row r="8779">
      <c r="B8779" s="8"/>
      <c r="G8779" s="8"/>
      <c r="M8779" s="8"/>
    </row>
    <row r="8780">
      <c r="B8780" s="8"/>
      <c r="G8780" s="8"/>
      <c r="M8780" s="8"/>
    </row>
    <row r="8781">
      <c r="B8781" s="8"/>
      <c r="G8781" s="8"/>
      <c r="M8781" s="8"/>
    </row>
    <row r="8782">
      <c r="B8782" s="8"/>
      <c r="G8782" s="8"/>
      <c r="M8782" s="8"/>
    </row>
    <row r="8783">
      <c r="B8783" s="8"/>
      <c r="G8783" s="8"/>
      <c r="M8783" s="8"/>
    </row>
    <row r="8784">
      <c r="B8784" s="8"/>
      <c r="G8784" s="8"/>
      <c r="M8784" s="8"/>
    </row>
    <row r="8785">
      <c r="B8785" s="8"/>
      <c r="G8785" s="8"/>
      <c r="M8785" s="8"/>
    </row>
    <row r="8786">
      <c r="B8786" s="8"/>
      <c r="G8786" s="8"/>
      <c r="M8786" s="8"/>
    </row>
    <row r="8787">
      <c r="B8787" s="8"/>
      <c r="G8787" s="8"/>
      <c r="M8787" s="8"/>
    </row>
    <row r="8788">
      <c r="B8788" s="8"/>
      <c r="G8788" s="8"/>
      <c r="M8788" s="8"/>
    </row>
    <row r="8789">
      <c r="B8789" s="8"/>
      <c r="G8789" s="8"/>
      <c r="M8789" s="8"/>
    </row>
    <row r="8790">
      <c r="B8790" s="8"/>
      <c r="G8790" s="8"/>
      <c r="M8790" s="8"/>
    </row>
    <row r="8791">
      <c r="B8791" s="8"/>
      <c r="G8791" s="8"/>
      <c r="M8791" s="8"/>
    </row>
    <row r="8792">
      <c r="B8792" s="8"/>
      <c r="G8792" s="8"/>
      <c r="M8792" s="8"/>
    </row>
    <row r="8793">
      <c r="B8793" s="8"/>
      <c r="G8793" s="8"/>
      <c r="M8793" s="8"/>
    </row>
    <row r="8794">
      <c r="B8794" s="8"/>
      <c r="G8794" s="8"/>
      <c r="M8794" s="8"/>
    </row>
    <row r="8795">
      <c r="B8795" s="8"/>
      <c r="G8795" s="8"/>
      <c r="M8795" s="8"/>
    </row>
    <row r="8796">
      <c r="B8796" s="8"/>
      <c r="G8796" s="8"/>
      <c r="M8796" s="8"/>
    </row>
    <row r="8797">
      <c r="B8797" s="8"/>
      <c r="G8797" s="8"/>
      <c r="M8797" s="8"/>
    </row>
    <row r="8798">
      <c r="B8798" s="8"/>
      <c r="G8798" s="8"/>
      <c r="M8798" s="8"/>
    </row>
    <row r="8799">
      <c r="B8799" s="8"/>
      <c r="G8799" s="8"/>
      <c r="M8799" s="8"/>
    </row>
    <row r="8800">
      <c r="B8800" s="8"/>
      <c r="G8800" s="8"/>
      <c r="M8800" s="8"/>
    </row>
    <row r="8801">
      <c r="B8801" s="8"/>
      <c r="G8801" s="8"/>
      <c r="M8801" s="8"/>
    </row>
    <row r="8802">
      <c r="B8802" s="8"/>
      <c r="G8802" s="8"/>
      <c r="M8802" s="8"/>
    </row>
    <row r="8803">
      <c r="B8803" s="8"/>
      <c r="G8803" s="8"/>
      <c r="M8803" s="8"/>
    </row>
    <row r="8804">
      <c r="B8804" s="8"/>
      <c r="G8804" s="8"/>
      <c r="M8804" s="8"/>
    </row>
    <row r="8805">
      <c r="B8805" s="8"/>
      <c r="G8805" s="8"/>
      <c r="M8805" s="8"/>
    </row>
    <row r="8806">
      <c r="B8806" s="8"/>
      <c r="G8806" s="8"/>
      <c r="M8806" s="8"/>
    </row>
    <row r="8807">
      <c r="B8807" s="8"/>
      <c r="G8807" s="8"/>
      <c r="M8807" s="8"/>
    </row>
    <row r="8808">
      <c r="B8808" s="8"/>
      <c r="G8808" s="8"/>
      <c r="M8808" s="8"/>
    </row>
    <row r="8809">
      <c r="B8809" s="8"/>
      <c r="G8809" s="8"/>
      <c r="M8809" s="8"/>
    </row>
    <row r="8810">
      <c r="B8810" s="8"/>
      <c r="G8810" s="8"/>
      <c r="M8810" s="8"/>
    </row>
    <row r="8811">
      <c r="B8811" s="8"/>
      <c r="G8811" s="8"/>
      <c r="M8811" s="8"/>
    </row>
    <row r="8812">
      <c r="B8812" s="8"/>
      <c r="G8812" s="8"/>
      <c r="M8812" s="8"/>
    </row>
    <row r="8813">
      <c r="B8813" s="8"/>
      <c r="G8813" s="8"/>
      <c r="M8813" s="8"/>
    </row>
    <row r="8814">
      <c r="B8814" s="8"/>
      <c r="G8814" s="8"/>
      <c r="M8814" s="8"/>
    </row>
    <row r="8815">
      <c r="B8815" s="8"/>
      <c r="G8815" s="8"/>
      <c r="M8815" s="8"/>
    </row>
    <row r="8816">
      <c r="B8816" s="8"/>
      <c r="G8816" s="8"/>
      <c r="M8816" s="8"/>
    </row>
    <row r="8817">
      <c r="B8817" s="8"/>
      <c r="G8817" s="8"/>
      <c r="M8817" s="8"/>
    </row>
    <row r="8818">
      <c r="B8818" s="8"/>
      <c r="G8818" s="8"/>
      <c r="M8818" s="8"/>
    </row>
    <row r="8819">
      <c r="B8819" s="8"/>
      <c r="G8819" s="8"/>
      <c r="M8819" s="8"/>
    </row>
    <row r="8820">
      <c r="B8820" s="8"/>
      <c r="G8820" s="8"/>
      <c r="M8820" s="8"/>
    </row>
    <row r="8821">
      <c r="B8821" s="8"/>
      <c r="G8821" s="8"/>
      <c r="M8821" s="8"/>
    </row>
    <row r="8822">
      <c r="B8822" s="8"/>
      <c r="G8822" s="8"/>
      <c r="M8822" s="8"/>
    </row>
    <row r="8823">
      <c r="B8823" s="8"/>
      <c r="G8823" s="8"/>
      <c r="M8823" s="8"/>
    </row>
    <row r="8824">
      <c r="B8824" s="8"/>
      <c r="G8824" s="8"/>
      <c r="M8824" s="8"/>
    </row>
    <row r="8825">
      <c r="B8825" s="8"/>
      <c r="G8825" s="8"/>
      <c r="M8825" s="8"/>
    </row>
    <row r="8826">
      <c r="B8826" s="8"/>
      <c r="G8826" s="8"/>
      <c r="M8826" s="8"/>
    </row>
    <row r="8827">
      <c r="B8827" s="8"/>
      <c r="G8827" s="8"/>
      <c r="M8827" s="8"/>
    </row>
    <row r="8828">
      <c r="B8828" s="8"/>
      <c r="G8828" s="8"/>
      <c r="M8828" s="8"/>
    </row>
    <row r="8829">
      <c r="B8829" s="8"/>
      <c r="G8829" s="8"/>
      <c r="M8829" s="8"/>
    </row>
    <row r="8830">
      <c r="B8830" s="8"/>
      <c r="G8830" s="8"/>
      <c r="M8830" s="8"/>
    </row>
    <row r="8831">
      <c r="B8831" s="8"/>
      <c r="G8831" s="8"/>
      <c r="M8831" s="8"/>
    </row>
    <row r="8832">
      <c r="B8832" s="8"/>
      <c r="G8832" s="8"/>
      <c r="M8832" s="8"/>
    </row>
    <row r="8833">
      <c r="B8833" s="8"/>
      <c r="G8833" s="8"/>
      <c r="M8833" s="8"/>
    </row>
    <row r="8834">
      <c r="B8834" s="8"/>
      <c r="G8834" s="8"/>
      <c r="M8834" s="8"/>
    </row>
    <row r="8835">
      <c r="B8835" s="8"/>
      <c r="G8835" s="8"/>
      <c r="M8835" s="8"/>
    </row>
    <row r="8836">
      <c r="B8836" s="8"/>
      <c r="G8836" s="8"/>
      <c r="M8836" s="8"/>
    </row>
    <row r="8837">
      <c r="B8837" s="8"/>
      <c r="G8837" s="8"/>
      <c r="M8837" s="8"/>
    </row>
    <row r="8838">
      <c r="B8838" s="8"/>
      <c r="G8838" s="8"/>
      <c r="M8838" s="8"/>
    </row>
    <row r="8839">
      <c r="B8839" s="8"/>
      <c r="G8839" s="8"/>
      <c r="M8839" s="8"/>
    </row>
    <row r="8840">
      <c r="B8840" s="8"/>
      <c r="G8840" s="8"/>
      <c r="M8840" s="8"/>
    </row>
    <row r="8841">
      <c r="B8841" s="8"/>
      <c r="G8841" s="8"/>
      <c r="M8841" s="8"/>
    </row>
    <row r="8842">
      <c r="B8842" s="8"/>
      <c r="G8842" s="8"/>
      <c r="M8842" s="8"/>
    </row>
    <row r="8843">
      <c r="B8843" s="8"/>
      <c r="G8843" s="8"/>
      <c r="M8843" s="8"/>
    </row>
    <row r="8844">
      <c r="B8844" s="8"/>
      <c r="G8844" s="8"/>
      <c r="M8844" s="8"/>
    </row>
    <row r="8845">
      <c r="B8845" s="8"/>
      <c r="G8845" s="8"/>
      <c r="M8845" s="8"/>
    </row>
    <row r="8846">
      <c r="B8846" s="8"/>
      <c r="G8846" s="8"/>
      <c r="M8846" s="8"/>
    </row>
    <row r="8847">
      <c r="B8847" s="8"/>
      <c r="G8847" s="8"/>
      <c r="M8847" s="8"/>
    </row>
    <row r="8848">
      <c r="B8848" s="8"/>
      <c r="G8848" s="8"/>
      <c r="M8848" s="8"/>
    </row>
    <row r="8849">
      <c r="B8849" s="8"/>
      <c r="G8849" s="8"/>
      <c r="M8849" s="8"/>
    </row>
    <row r="8850">
      <c r="B8850" s="8"/>
      <c r="G8850" s="8"/>
      <c r="M8850" s="8"/>
    </row>
    <row r="8851">
      <c r="B8851" s="8"/>
      <c r="G8851" s="8"/>
      <c r="M8851" s="8"/>
    </row>
    <row r="8852">
      <c r="B8852" s="8"/>
      <c r="G8852" s="8"/>
      <c r="M8852" s="8"/>
    </row>
    <row r="8853">
      <c r="B8853" s="8"/>
      <c r="G8853" s="8"/>
      <c r="M8853" s="8"/>
    </row>
    <row r="8854">
      <c r="B8854" s="8"/>
      <c r="G8854" s="8"/>
      <c r="M8854" s="8"/>
    </row>
    <row r="8855">
      <c r="B8855" s="8"/>
      <c r="G8855" s="8"/>
      <c r="M8855" s="8"/>
    </row>
    <row r="8856">
      <c r="B8856" s="8"/>
      <c r="G8856" s="8"/>
      <c r="M8856" s="8"/>
    </row>
    <row r="8857">
      <c r="B8857" s="8"/>
      <c r="G8857" s="8"/>
      <c r="M8857" s="8"/>
    </row>
    <row r="8858">
      <c r="B8858" s="8"/>
      <c r="G8858" s="8"/>
      <c r="M8858" s="8"/>
    </row>
    <row r="8859">
      <c r="B8859" s="8"/>
      <c r="G8859" s="8"/>
      <c r="M8859" s="8"/>
    </row>
    <row r="8860">
      <c r="B8860" s="8"/>
      <c r="G8860" s="8"/>
      <c r="M8860" s="8"/>
    </row>
    <row r="8861">
      <c r="B8861" s="8"/>
      <c r="G8861" s="8"/>
      <c r="M8861" s="8"/>
    </row>
    <row r="8862">
      <c r="B8862" s="8"/>
      <c r="G8862" s="8"/>
      <c r="M8862" s="8"/>
    </row>
    <row r="8863">
      <c r="B8863" s="8"/>
      <c r="G8863" s="8"/>
      <c r="M8863" s="8"/>
    </row>
    <row r="8864">
      <c r="B8864" s="8"/>
      <c r="G8864" s="8"/>
      <c r="M8864" s="8"/>
    </row>
    <row r="8865">
      <c r="B8865" s="8"/>
      <c r="G8865" s="8"/>
      <c r="M8865" s="8"/>
    </row>
    <row r="8866">
      <c r="B8866" s="8"/>
      <c r="G8866" s="8"/>
      <c r="M8866" s="8"/>
    </row>
    <row r="8867">
      <c r="B8867" s="8"/>
      <c r="G8867" s="8"/>
      <c r="M8867" s="8"/>
    </row>
    <row r="8868">
      <c r="B8868" s="8"/>
      <c r="G8868" s="8"/>
      <c r="M8868" s="8"/>
    </row>
    <row r="8869">
      <c r="B8869" s="8"/>
      <c r="G8869" s="8"/>
      <c r="M8869" s="8"/>
    </row>
    <row r="8870">
      <c r="B8870" s="8"/>
      <c r="G8870" s="8"/>
      <c r="M8870" s="8"/>
    </row>
    <row r="8871">
      <c r="B8871" s="8"/>
      <c r="G8871" s="8"/>
      <c r="M8871" s="8"/>
    </row>
    <row r="8872">
      <c r="B8872" s="8"/>
      <c r="G8872" s="8"/>
      <c r="M8872" s="8"/>
    </row>
    <row r="8873">
      <c r="B8873" s="8"/>
      <c r="G8873" s="8"/>
      <c r="M8873" s="8"/>
    </row>
    <row r="8874">
      <c r="B8874" s="8"/>
      <c r="G8874" s="8"/>
      <c r="M8874" s="8"/>
    </row>
    <row r="8875">
      <c r="B8875" s="8"/>
      <c r="G8875" s="8"/>
      <c r="M8875" s="8"/>
    </row>
    <row r="8876">
      <c r="B8876" s="8"/>
      <c r="G8876" s="8"/>
      <c r="M8876" s="8"/>
    </row>
    <row r="8877">
      <c r="B8877" s="8"/>
      <c r="G8877" s="8"/>
      <c r="M8877" s="8"/>
    </row>
    <row r="8878">
      <c r="B8878" s="8"/>
      <c r="G8878" s="8"/>
      <c r="M8878" s="8"/>
    </row>
    <row r="8879">
      <c r="B8879" s="8"/>
      <c r="G8879" s="8"/>
      <c r="M8879" s="8"/>
    </row>
    <row r="8880">
      <c r="B8880" s="8"/>
      <c r="G8880" s="8"/>
      <c r="M8880" s="8"/>
    </row>
    <row r="8881">
      <c r="B8881" s="8"/>
      <c r="G8881" s="8"/>
      <c r="M8881" s="8"/>
    </row>
    <row r="8882">
      <c r="B8882" s="8"/>
      <c r="G8882" s="8"/>
      <c r="M8882" s="8"/>
    </row>
    <row r="8883">
      <c r="B8883" s="8"/>
      <c r="G8883" s="8"/>
      <c r="M8883" s="8"/>
    </row>
    <row r="8884">
      <c r="B8884" s="8"/>
      <c r="G8884" s="8"/>
      <c r="M8884" s="8"/>
    </row>
    <row r="8885">
      <c r="B8885" s="8"/>
      <c r="G8885" s="8"/>
      <c r="M8885" s="8"/>
    </row>
    <row r="8886">
      <c r="B8886" s="8"/>
      <c r="G8886" s="8"/>
      <c r="M8886" s="8"/>
    </row>
    <row r="8887">
      <c r="B8887" s="8"/>
      <c r="G8887" s="8"/>
      <c r="M8887" s="8"/>
    </row>
    <row r="8888">
      <c r="B8888" s="8"/>
      <c r="G8888" s="8"/>
      <c r="M8888" s="8"/>
    </row>
    <row r="8889">
      <c r="B8889" s="8"/>
      <c r="G8889" s="8"/>
      <c r="M8889" s="8"/>
    </row>
    <row r="8890">
      <c r="B8890" s="8"/>
      <c r="G8890" s="8"/>
      <c r="M8890" s="8"/>
    </row>
    <row r="8891">
      <c r="B8891" s="8"/>
      <c r="G8891" s="8"/>
      <c r="M8891" s="8"/>
    </row>
    <row r="8892">
      <c r="B8892" s="8"/>
      <c r="G8892" s="8"/>
      <c r="M8892" s="8"/>
    </row>
    <row r="8893">
      <c r="B8893" s="8"/>
      <c r="G8893" s="8"/>
      <c r="M8893" s="8"/>
    </row>
    <row r="8894">
      <c r="B8894" s="8"/>
      <c r="G8894" s="8"/>
      <c r="M8894" s="8"/>
    </row>
    <row r="8895">
      <c r="B8895" s="8"/>
      <c r="G8895" s="8"/>
      <c r="M8895" s="8"/>
    </row>
    <row r="8896">
      <c r="B8896" s="8"/>
      <c r="G8896" s="8"/>
      <c r="M8896" s="8"/>
    </row>
    <row r="8897">
      <c r="B8897" s="8"/>
      <c r="G8897" s="8"/>
      <c r="M8897" s="8"/>
    </row>
    <row r="8898">
      <c r="B8898" s="8"/>
      <c r="G8898" s="8"/>
      <c r="M8898" s="8"/>
    </row>
    <row r="8899">
      <c r="B8899" s="8"/>
      <c r="G8899" s="8"/>
      <c r="M8899" s="8"/>
    </row>
    <row r="8900">
      <c r="B8900" s="8"/>
      <c r="G8900" s="8"/>
      <c r="M8900" s="8"/>
    </row>
    <row r="8901">
      <c r="B8901" s="8"/>
      <c r="G8901" s="8"/>
      <c r="M8901" s="8"/>
    </row>
    <row r="8902">
      <c r="B8902" s="8"/>
      <c r="G8902" s="8"/>
      <c r="M8902" s="8"/>
    </row>
    <row r="8903">
      <c r="B8903" s="8"/>
      <c r="G8903" s="8"/>
      <c r="M8903" s="8"/>
    </row>
    <row r="8904">
      <c r="B8904" s="8"/>
      <c r="G8904" s="8"/>
      <c r="M8904" s="8"/>
    </row>
    <row r="8905">
      <c r="B8905" s="8"/>
      <c r="G8905" s="8"/>
      <c r="M8905" s="8"/>
    </row>
    <row r="8906">
      <c r="B8906" s="8"/>
      <c r="G8906" s="8"/>
      <c r="M8906" s="8"/>
    </row>
    <row r="8907">
      <c r="B8907" s="8"/>
      <c r="G8907" s="8"/>
      <c r="M8907" s="8"/>
    </row>
    <row r="8908">
      <c r="B8908" s="8"/>
      <c r="G8908" s="8"/>
      <c r="M8908" s="8"/>
    </row>
    <row r="8909">
      <c r="B8909" s="8"/>
      <c r="G8909" s="8"/>
      <c r="M8909" s="8"/>
    </row>
    <row r="8910">
      <c r="B8910" s="8"/>
      <c r="G8910" s="8"/>
      <c r="M8910" s="8"/>
    </row>
    <row r="8911">
      <c r="B8911" s="8"/>
      <c r="G8911" s="8"/>
      <c r="M8911" s="8"/>
    </row>
    <row r="8912">
      <c r="B8912" s="8"/>
      <c r="G8912" s="8"/>
      <c r="M8912" s="8"/>
    </row>
    <row r="8913">
      <c r="B8913" s="8"/>
      <c r="G8913" s="8"/>
      <c r="M8913" s="8"/>
    </row>
    <row r="8914">
      <c r="B8914" s="8"/>
      <c r="G8914" s="8"/>
      <c r="M8914" s="8"/>
    </row>
    <row r="8915">
      <c r="B8915" s="8"/>
      <c r="G8915" s="8"/>
      <c r="M8915" s="8"/>
    </row>
    <row r="8916">
      <c r="B8916" s="8"/>
      <c r="G8916" s="8"/>
      <c r="M8916" s="8"/>
    </row>
    <row r="8917">
      <c r="B8917" s="8"/>
      <c r="G8917" s="8"/>
      <c r="M8917" s="8"/>
    </row>
    <row r="8918">
      <c r="B8918" s="8"/>
      <c r="G8918" s="8"/>
      <c r="M8918" s="8"/>
    </row>
    <row r="8919">
      <c r="B8919" s="8"/>
      <c r="G8919" s="8"/>
      <c r="M8919" s="8"/>
    </row>
    <row r="8920">
      <c r="B8920" s="8"/>
      <c r="G8920" s="8"/>
      <c r="M8920" s="8"/>
    </row>
    <row r="8921">
      <c r="B8921" s="8"/>
      <c r="G8921" s="8"/>
      <c r="M8921" s="8"/>
    </row>
    <row r="8922">
      <c r="B8922" s="8"/>
      <c r="G8922" s="8"/>
      <c r="M8922" s="8"/>
    </row>
    <row r="8923">
      <c r="B8923" s="8"/>
      <c r="G8923" s="8"/>
      <c r="M8923" s="8"/>
    </row>
    <row r="8924">
      <c r="B8924" s="8"/>
      <c r="G8924" s="8"/>
      <c r="M8924" s="8"/>
    </row>
    <row r="8925">
      <c r="B8925" s="8"/>
      <c r="G8925" s="8"/>
      <c r="M8925" s="8"/>
    </row>
    <row r="8926">
      <c r="B8926" s="8"/>
      <c r="G8926" s="8"/>
      <c r="M8926" s="8"/>
    </row>
    <row r="8927">
      <c r="B8927" s="8"/>
      <c r="G8927" s="8"/>
      <c r="M8927" s="8"/>
    </row>
    <row r="8928">
      <c r="B8928" s="8"/>
      <c r="G8928" s="8"/>
      <c r="M8928" s="8"/>
    </row>
    <row r="8929">
      <c r="B8929" s="8"/>
      <c r="G8929" s="8"/>
      <c r="M8929" s="8"/>
    </row>
    <row r="8930">
      <c r="B8930" s="8"/>
      <c r="G8930" s="8"/>
      <c r="M8930" s="8"/>
    </row>
    <row r="8931">
      <c r="B8931" s="8"/>
      <c r="G8931" s="8"/>
      <c r="M8931" s="8"/>
    </row>
    <row r="8932">
      <c r="B8932" s="8"/>
      <c r="G8932" s="8"/>
      <c r="M8932" s="8"/>
    </row>
    <row r="8933">
      <c r="B8933" s="8"/>
      <c r="G8933" s="8"/>
      <c r="M8933" s="8"/>
    </row>
    <row r="8934">
      <c r="B8934" s="8"/>
      <c r="G8934" s="8"/>
      <c r="M8934" s="8"/>
    </row>
    <row r="8935">
      <c r="B8935" s="8"/>
      <c r="G8935" s="8"/>
      <c r="M8935" s="8"/>
    </row>
    <row r="8936">
      <c r="B8936" s="8"/>
      <c r="G8936" s="8"/>
      <c r="M8936" s="8"/>
    </row>
    <row r="8937">
      <c r="B8937" s="8"/>
      <c r="G8937" s="8"/>
      <c r="M8937" s="8"/>
    </row>
    <row r="8938">
      <c r="B8938" s="8"/>
      <c r="G8938" s="8"/>
      <c r="M8938" s="8"/>
    </row>
    <row r="8939">
      <c r="B8939" s="8"/>
      <c r="G8939" s="8"/>
      <c r="M8939" s="8"/>
    </row>
    <row r="8940">
      <c r="B8940" s="8"/>
      <c r="G8940" s="8"/>
      <c r="M8940" s="8"/>
    </row>
    <row r="8941">
      <c r="B8941" s="8"/>
      <c r="G8941" s="8"/>
      <c r="M8941" s="8"/>
    </row>
    <row r="8942">
      <c r="B8942" s="8"/>
      <c r="G8942" s="8"/>
      <c r="M8942" s="8"/>
    </row>
    <row r="8943">
      <c r="B8943" s="8"/>
      <c r="G8943" s="8"/>
      <c r="M8943" s="8"/>
    </row>
    <row r="8944">
      <c r="B8944" s="8"/>
      <c r="G8944" s="8"/>
      <c r="M8944" s="8"/>
    </row>
    <row r="8945">
      <c r="B8945" s="8"/>
      <c r="G8945" s="8"/>
      <c r="M8945" s="8"/>
    </row>
    <row r="8946">
      <c r="B8946" s="8"/>
      <c r="G8946" s="8"/>
      <c r="M8946" s="8"/>
    </row>
    <row r="8947">
      <c r="B8947" s="8"/>
      <c r="G8947" s="8"/>
      <c r="M8947" s="8"/>
    </row>
    <row r="8948">
      <c r="B8948" s="8"/>
      <c r="G8948" s="8"/>
      <c r="M8948" s="8"/>
    </row>
    <row r="8949">
      <c r="B8949" s="8"/>
      <c r="G8949" s="8"/>
      <c r="M8949" s="8"/>
    </row>
    <row r="8950">
      <c r="B8950" s="8"/>
      <c r="G8950" s="8"/>
      <c r="M8950" s="8"/>
    </row>
    <row r="8951">
      <c r="B8951" s="8"/>
      <c r="G8951" s="8"/>
      <c r="M8951" s="8"/>
    </row>
    <row r="8952">
      <c r="B8952" s="8"/>
      <c r="G8952" s="8"/>
      <c r="M8952" s="8"/>
    </row>
    <row r="8953">
      <c r="B8953" s="8"/>
      <c r="G8953" s="8"/>
      <c r="M8953" s="8"/>
    </row>
    <row r="8954">
      <c r="B8954" s="8"/>
      <c r="G8954" s="8"/>
      <c r="M8954" s="8"/>
    </row>
    <row r="8955">
      <c r="B8955" s="8"/>
      <c r="G8955" s="8"/>
      <c r="M8955" s="8"/>
    </row>
    <row r="8956">
      <c r="B8956" s="8"/>
      <c r="G8956" s="8"/>
      <c r="M8956" s="8"/>
    </row>
    <row r="8957">
      <c r="B8957" s="8"/>
      <c r="G8957" s="8"/>
      <c r="M8957" s="8"/>
    </row>
    <row r="8958">
      <c r="B8958" s="8"/>
      <c r="G8958" s="8"/>
      <c r="M8958" s="8"/>
    </row>
    <row r="8959">
      <c r="B8959" s="8"/>
      <c r="G8959" s="8"/>
      <c r="M8959" s="8"/>
    </row>
    <row r="8960">
      <c r="B8960" s="8"/>
      <c r="G8960" s="8"/>
      <c r="M8960" s="8"/>
    </row>
    <row r="8961">
      <c r="B8961" s="8"/>
      <c r="G8961" s="8"/>
      <c r="M8961" s="8"/>
    </row>
    <row r="8962">
      <c r="B8962" s="8"/>
      <c r="G8962" s="8"/>
      <c r="M8962" s="8"/>
    </row>
    <row r="8963">
      <c r="B8963" s="8"/>
      <c r="G8963" s="8"/>
      <c r="M8963" s="8"/>
    </row>
    <row r="8964">
      <c r="B8964" s="8"/>
      <c r="G8964" s="8"/>
      <c r="M8964" s="8"/>
    </row>
    <row r="8965">
      <c r="B8965" s="8"/>
      <c r="G8965" s="8"/>
      <c r="M8965" s="8"/>
    </row>
    <row r="8966">
      <c r="B8966" s="8"/>
      <c r="G8966" s="8"/>
      <c r="M8966" s="8"/>
    </row>
    <row r="8967">
      <c r="B8967" s="8"/>
      <c r="G8967" s="8"/>
      <c r="M8967" s="8"/>
    </row>
    <row r="8968">
      <c r="B8968" s="8"/>
      <c r="G8968" s="8"/>
      <c r="M8968" s="8"/>
    </row>
    <row r="8969">
      <c r="B8969" s="8"/>
      <c r="G8969" s="8"/>
      <c r="M8969" s="8"/>
    </row>
    <row r="8970">
      <c r="B8970" s="8"/>
      <c r="G8970" s="8"/>
      <c r="M8970" s="8"/>
    </row>
    <row r="8971">
      <c r="B8971" s="8"/>
      <c r="G8971" s="8"/>
      <c r="M8971" s="8"/>
    </row>
    <row r="8972">
      <c r="B8972" s="8"/>
      <c r="G8972" s="8"/>
      <c r="M8972" s="8"/>
    </row>
    <row r="8973">
      <c r="B8973" s="8"/>
      <c r="G8973" s="8"/>
      <c r="M8973" s="8"/>
    </row>
    <row r="8974">
      <c r="B8974" s="8"/>
      <c r="G8974" s="8"/>
      <c r="M8974" s="8"/>
    </row>
    <row r="8975">
      <c r="B8975" s="8"/>
      <c r="G8975" s="8"/>
      <c r="M8975" s="8"/>
    </row>
    <row r="8976">
      <c r="B8976" s="8"/>
      <c r="G8976" s="8"/>
      <c r="M8976" s="8"/>
    </row>
    <row r="8977">
      <c r="B8977" s="8"/>
      <c r="G8977" s="8"/>
      <c r="M8977" s="8"/>
    </row>
    <row r="8978">
      <c r="B8978" s="8"/>
      <c r="G8978" s="8"/>
      <c r="M8978" s="8"/>
    </row>
    <row r="8979">
      <c r="B8979" s="8"/>
      <c r="G8979" s="8"/>
      <c r="M8979" s="8"/>
    </row>
    <row r="8980">
      <c r="B8980" s="8"/>
      <c r="G8980" s="8"/>
      <c r="M8980" s="8"/>
    </row>
    <row r="8981">
      <c r="B8981" s="8"/>
      <c r="G8981" s="8"/>
      <c r="M8981" s="8"/>
    </row>
    <row r="8982">
      <c r="B8982" s="8"/>
      <c r="G8982" s="8"/>
      <c r="M8982" s="8"/>
    </row>
    <row r="8983">
      <c r="B8983" s="8"/>
      <c r="G8983" s="8"/>
      <c r="M8983" s="8"/>
    </row>
    <row r="8984">
      <c r="B8984" s="8"/>
      <c r="G8984" s="8"/>
      <c r="M8984" s="8"/>
    </row>
    <row r="8985">
      <c r="B8985" s="8"/>
      <c r="G8985" s="8"/>
      <c r="M8985" s="8"/>
    </row>
    <row r="8986">
      <c r="B8986" s="8"/>
      <c r="G8986" s="8"/>
      <c r="M8986" s="8"/>
    </row>
    <row r="8987">
      <c r="B8987" s="8"/>
      <c r="G8987" s="8"/>
      <c r="M8987" s="8"/>
    </row>
    <row r="8988">
      <c r="B8988" s="8"/>
      <c r="G8988" s="8"/>
      <c r="M8988" s="8"/>
    </row>
    <row r="8989">
      <c r="B8989" s="8"/>
      <c r="G8989" s="8"/>
      <c r="M8989" s="8"/>
    </row>
    <row r="8990">
      <c r="B8990" s="8"/>
      <c r="G8990" s="8"/>
      <c r="M8990" s="8"/>
    </row>
    <row r="8991">
      <c r="B8991" s="8"/>
      <c r="G8991" s="8"/>
      <c r="M8991" s="8"/>
    </row>
    <row r="8992">
      <c r="B8992" s="8"/>
      <c r="G8992" s="8"/>
      <c r="M8992" s="8"/>
    </row>
    <row r="8993">
      <c r="B8993" s="8"/>
      <c r="G8993" s="8"/>
      <c r="M8993" s="8"/>
    </row>
    <row r="8994">
      <c r="B8994" s="8"/>
      <c r="G8994" s="8"/>
      <c r="M8994" s="8"/>
    </row>
    <row r="8995">
      <c r="B8995" s="8"/>
      <c r="G8995" s="8"/>
      <c r="M8995" s="8"/>
    </row>
    <row r="8996">
      <c r="B8996" s="8"/>
      <c r="G8996" s="8"/>
      <c r="M8996" s="8"/>
    </row>
    <row r="8997">
      <c r="B8997" s="8"/>
      <c r="G8997" s="8"/>
      <c r="M8997" s="8"/>
    </row>
    <row r="8998">
      <c r="B8998" s="8"/>
      <c r="G8998" s="8"/>
      <c r="M8998" s="8"/>
    </row>
    <row r="8999">
      <c r="B8999" s="8"/>
      <c r="G8999" s="8"/>
      <c r="M8999" s="8"/>
    </row>
    <row r="9000">
      <c r="B9000" s="8"/>
      <c r="G9000" s="8"/>
      <c r="M9000" s="8"/>
    </row>
    <row r="9001">
      <c r="B9001" s="8"/>
      <c r="G9001" s="8"/>
      <c r="M9001" s="8"/>
    </row>
    <row r="9002">
      <c r="B9002" s="8"/>
      <c r="G9002" s="8"/>
      <c r="M9002" s="8"/>
    </row>
    <row r="9003">
      <c r="B9003" s="8"/>
      <c r="G9003" s="8"/>
      <c r="M9003" s="8"/>
    </row>
    <row r="9004">
      <c r="B9004" s="8"/>
      <c r="G9004" s="8"/>
      <c r="M9004" s="8"/>
    </row>
    <row r="9005">
      <c r="B9005" s="8"/>
      <c r="G9005" s="8"/>
      <c r="M9005" s="8"/>
    </row>
    <row r="9006">
      <c r="B9006" s="8"/>
      <c r="G9006" s="8"/>
      <c r="M9006" s="8"/>
    </row>
    <row r="9007">
      <c r="B9007" s="8"/>
      <c r="G9007" s="8"/>
      <c r="M9007" s="8"/>
    </row>
    <row r="9008">
      <c r="B9008" s="8"/>
      <c r="G9008" s="8"/>
      <c r="M9008" s="8"/>
    </row>
    <row r="9009">
      <c r="B9009" s="8"/>
      <c r="G9009" s="8"/>
      <c r="M9009" s="8"/>
    </row>
    <row r="9010">
      <c r="B9010" s="8"/>
      <c r="G9010" s="8"/>
      <c r="M9010" s="8"/>
    </row>
    <row r="9011">
      <c r="B9011" s="8"/>
      <c r="G9011" s="8"/>
      <c r="M9011" s="8"/>
    </row>
    <row r="9012">
      <c r="B9012" s="8"/>
      <c r="G9012" s="8"/>
      <c r="M9012" s="8"/>
    </row>
    <row r="9013">
      <c r="B9013" s="8"/>
      <c r="G9013" s="8"/>
      <c r="M9013" s="8"/>
    </row>
    <row r="9014">
      <c r="B9014" s="8"/>
      <c r="G9014" s="8"/>
      <c r="M9014" s="8"/>
    </row>
    <row r="9015">
      <c r="B9015" s="8"/>
      <c r="G9015" s="8"/>
      <c r="M9015" s="8"/>
    </row>
    <row r="9016">
      <c r="B9016" s="8"/>
      <c r="G9016" s="8"/>
      <c r="M9016" s="8"/>
    </row>
    <row r="9017">
      <c r="B9017" s="8"/>
      <c r="G9017" s="8"/>
      <c r="M9017" s="8"/>
    </row>
    <row r="9018">
      <c r="B9018" s="8"/>
      <c r="G9018" s="8"/>
      <c r="M9018" s="8"/>
    </row>
    <row r="9019">
      <c r="B9019" s="8"/>
      <c r="G9019" s="8"/>
      <c r="M9019" s="8"/>
    </row>
    <row r="9020">
      <c r="B9020" s="8"/>
      <c r="G9020" s="8"/>
      <c r="M9020" s="8"/>
    </row>
    <row r="9021">
      <c r="B9021" s="8"/>
      <c r="G9021" s="8"/>
      <c r="M9021" s="8"/>
    </row>
    <row r="9022">
      <c r="B9022" s="8"/>
      <c r="G9022" s="8"/>
      <c r="M9022" s="8"/>
    </row>
    <row r="9023">
      <c r="B9023" s="8"/>
      <c r="G9023" s="8"/>
      <c r="M9023" s="8"/>
    </row>
    <row r="9024">
      <c r="B9024" s="8"/>
      <c r="G9024" s="8"/>
      <c r="M9024" s="8"/>
    </row>
    <row r="9025">
      <c r="B9025" s="8"/>
      <c r="G9025" s="8"/>
      <c r="M9025" s="8"/>
    </row>
    <row r="9026">
      <c r="B9026" s="8"/>
      <c r="G9026" s="8"/>
      <c r="M9026" s="8"/>
    </row>
    <row r="9027">
      <c r="B9027" s="8"/>
      <c r="G9027" s="8"/>
      <c r="M9027" s="8"/>
    </row>
    <row r="9028">
      <c r="B9028" s="8"/>
      <c r="G9028" s="8"/>
      <c r="M9028" s="8"/>
    </row>
    <row r="9029">
      <c r="B9029" s="8"/>
      <c r="G9029" s="8"/>
      <c r="M9029" s="8"/>
    </row>
    <row r="9030">
      <c r="B9030" s="8"/>
      <c r="G9030" s="8"/>
      <c r="M9030" s="8"/>
    </row>
    <row r="9031">
      <c r="B9031" s="8"/>
      <c r="G9031" s="8"/>
      <c r="M9031" s="8"/>
    </row>
    <row r="9032">
      <c r="B9032" s="8"/>
      <c r="G9032" s="8"/>
      <c r="M9032" s="8"/>
    </row>
    <row r="9033">
      <c r="B9033" s="8"/>
      <c r="G9033" s="8"/>
      <c r="M9033" s="8"/>
    </row>
    <row r="9034">
      <c r="B9034" s="8"/>
      <c r="G9034" s="8"/>
      <c r="M9034" s="8"/>
    </row>
    <row r="9035">
      <c r="B9035" s="8"/>
      <c r="G9035" s="8"/>
      <c r="M9035" s="8"/>
    </row>
    <row r="9036">
      <c r="B9036" s="8"/>
      <c r="G9036" s="8"/>
      <c r="M9036" s="8"/>
    </row>
    <row r="9037">
      <c r="B9037" s="8"/>
      <c r="G9037" s="8"/>
      <c r="M9037" s="8"/>
    </row>
    <row r="9038">
      <c r="B9038" s="8"/>
      <c r="G9038" s="8"/>
      <c r="M9038" s="8"/>
    </row>
    <row r="9039">
      <c r="B9039" s="8"/>
      <c r="G9039" s="8"/>
      <c r="M9039" s="8"/>
    </row>
    <row r="9040">
      <c r="B9040" s="8"/>
      <c r="G9040" s="8"/>
      <c r="M9040" s="8"/>
    </row>
    <row r="9041">
      <c r="B9041" s="8"/>
      <c r="G9041" s="8"/>
      <c r="M9041" s="8"/>
    </row>
    <row r="9042">
      <c r="B9042" s="8"/>
      <c r="G9042" s="8"/>
      <c r="M9042" s="8"/>
    </row>
    <row r="9043">
      <c r="B9043" s="8"/>
      <c r="G9043" s="8"/>
      <c r="M9043" s="8"/>
    </row>
    <row r="9044">
      <c r="B9044" s="8"/>
      <c r="G9044" s="8"/>
      <c r="M9044" s="8"/>
    </row>
    <row r="9045">
      <c r="B9045" s="8"/>
      <c r="G9045" s="8"/>
      <c r="M9045" s="8"/>
    </row>
    <row r="9046">
      <c r="B9046" s="8"/>
      <c r="G9046" s="8"/>
      <c r="M9046" s="8"/>
    </row>
    <row r="9047">
      <c r="B9047" s="8"/>
      <c r="G9047" s="8"/>
      <c r="M9047" s="8"/>
    </row>
    <row r="9048">
      <c r="B9048" s="8"/>
      <c r="G9048" s="8"/>
      <c r="M9048" s="8"/>
    </row>
    <row r="9049">
      <c r="B9049" s="8"/>
      <c r="G9049" s="8"/>
      <c r="M9049" s="8"/>
    </row>
    <row r="9050">
      <c r="B9050" s="8"/>
      <c r="G9050" s="8"/>
      <c r="M9050" s="8"/>
    </row>
    <row r="9051">
      <c r="B9051" s="8"/>
      <c r="G9051" s="8"/>
      <c r="M9051" s="8"/>
    </row>
    <row r="9052">
      <c r="B9052" s="8"/>
      <c r="G9052" s="8"/>
      <c r="M9052" s="8"/>
    </row>
    <row r="9053">
      <c r="B9053" s="8"/>
      <c r="G9053" s="8"/>
      <c r="M9053" s="8"/>
    </row>
    <row r="9054">
      <c r="B9054" s="8"/>
      <c r="G9054" s="8"/>
      <c r="M9054" s="8"/>
    </row>
    <row r="9055">
      <c r="B9055" s="8"/>
      <c r="G9055" s="8"/>
      <c r="M9055" s="8"/>
    </row>
    <row r="9056">
      <c r="B9056" s="8"/>
      <c r="G9056" s="8"/>
      <c r="M9056" s="8"/>
    </row>
    <row r="9057">
      <c r="B9057" s="8"/>
      <c r="G9057" s="8"/>
      <c r="M9057" s="8"/>
    </row>
    <row r="9058">
      <c r="B9058" s="8"/>
      <c r="G9058" s="8"/>
      <c r="M9058" s="8"/>
    </row>
    <row r="9059">
      <c r="B9059" s="8"/>
      <c r="G9059" s="8"/>
      <c r="M9059" s="8"/>
    </row>
    <row r="9060">
      <c r="B9060" s="8"/>
      <c r="G9060" s="8"/>
      <c r="M9060" s="8"/>
    </row>
    <row r="9061">
      <c r="B9061" s="8"/>
      <c r="G9061" s="8"/>
      <c r="M9061" s="8"/>
    </row>
    <row r="9062">
      <c r="B9062" s="8"/>
      <c r="G9062" s="8"/>
      <c r="M9062" s="8"/>
    </row>
    <row r="9063">
      <c r="B9063" s="8"/>
      <c r="G9063" s="8"/>
      <c r="M9063" s="8"/>
    </row>
    <row r="9064">
      <c r="B9064" s="8"/>
      <c r="G9064" s="8"/>
      <c r="M9064" s="8"/>
    </row>
    <row r="9065">
      <c r="B9065" s="8"/>
      <c r="G9065" s="8"/>
      <c r="M9065" s="8"/>
    </row>
    <row r="9066">
      <c r="B9066" s="8"/>
      <c r="G9066" s="8"/>
      <c r="M9066" s="8"/>
    </row>
    <row r="9067">
      <c r="B9067" s="8"/>
      <c r="G9067" s="8"/>
      <c r="M9067" s="8"/>
    </row>
    <row r="9068">
      <c r="B9068" s="8"/>
      <c r="G9068" s="8"/>
      <c r="M9068" s="8"/>
    </row>
    <row r="9069">
      <c r="B9069" s="8"/>
      <c r="G9069" s="8"/>
      <c r="M9069" s="8"/>
    </row>
    <row r="9070">
      <c r="B9070" s="8"/>
      <c r="G9070" s="8"/>
      <c r="M9070" s="8"/>
    </row>
    <row r="9071">
      <c r="B9071" s="8"/>
      <c r="G9071" s="8"/>
      <c r="M9071" s="8"/>
    </row>
    <row r="9072">
      <c r="B9072" s="8"/>
      <c r="G9072" s="8"/>
      <c r="M9072" s="8"/>
    </row>
    <row r="9073">
      <c r="B9073" s="8"/>
      <c r="G9073" s="8"/>
      <c r="M9073" s="8"/>
    </row>
    <row r="9074">
      <c r="B9074" s="8"/>
      <c r="G9074" s="8"/>
      <c r="M9074" s="8"/>
    </row>
    <row r="9075">
      <c r="B9075" s="8"/>
      <c r="G9075" s="8"/>
      <c r="M9075" s="8"/>
    </row>
    <row r="9076">
      <c r="B9076" s="8"/>
      <c r="G9076" s="8"/>
      <c r="M9076" s="8"/>
    </row>
    <row r="9077">
      <c r="B9077" s="8"/>
      <c r="G9077" s="8"/>
      <c r="M9077" s="8"/>
    </row>
    <row r="9078">
      <c r="B9078" s="8"/>
      <c r="G9078" s="8"/>
      <c r="M9078" s="8"/>
    </row>
    <row r="9079">
      <c r="B9079" s="8"/>
      <c r="G9079" s="8"/>
      <c r="M9079" s="8"/>
    </row>
    <row r="9080">
      <c r="B9080" s="8"/>
      <c r="G9080" s="8"/>
      <c r="M9080" s="8"/>
    </row>
    <row r="9081">
      <c r="B9081" s="8"/>
      <c r="G9081" s="8"/>
      <c r="M9081" s="8"/>
    </row>
    <row r="9082">
      <c r="B9082" s="8"/>
      <c r="G9082" s="8"/>
      <c r="M9082" s="8"/>
    </row>
    <row r="9083">
      <c r="B9083" s="8"/>
      <c r="G9083" s="8"/>
      <c r="M9083" s="8"/>
    </row>
    <row r="9084">
      <c r="B9084" s="8"/>
      <c r="G9084" s="8"/>
      <c r="M9084" s="8"/>
    </row>
    <row r="9085">
      <c r="B9085" s="8"/>
      <c r="G9085" s="8"/>
      <c r="M9085" s="8"/>
    </row>
    <row r="9086">
      <c r="B9086" s="8"/>
      <c r="G9086" s="8"/>
      <c r="M9086" s="8"/>
    </row>
    <row r="9087">
      <c r="B9087" s="8"/>
      <c r="G9087" s="8"/>
      <c r="M9087" s="8"/>
    </row>
    <row r="9088">
      <c r="B9088" s="8"/>
      <c r="G9088" s="8"/>
      <c r="M9088" s="8"/>
    </row>
    <row r="9089">
      <c r="B9089" s="8"/>
      <c r="G9089" s="8"/>
      <c r="M9089" s="8"/>
    </row>
    <row r="9090">
      <c r="B9090" s="8"/>
      <c r="G9090" s="8"/>
      <c r="M9090" s="8"/>
    </row>
    <row r="9091">
      <c r="B9091" s="8"/>
      <c r="G9091" s="8"/>
      <c r="M9091" s="8"/>
    </row>
    <row r="9092">
      <c r="B9092" s="8"/>
      <c r="G9092" s="8"/>
      <c r="M9092" s="8"/>
    </row>
    <row r="9093">
      <c r="B9093" s="8"/>
      <c r="G9093" s="8"/>
      <c r="M9093" s="8"/>
    </row>
    <row r="9094">
      <c r="B9094" s="8"/>
      <c r="G9094" s="8"/>
      <c r="M9094" s="8"/>
    </row>
    <row r="9095">
      <c r="B9095" s="8"/>
      <c r="G9095" s="8"/>
      <c r="M9095" s="8"/>
    </row>
    <row r="9096">
      <c r="B9096" s="8"/>
      <c r="G9096" s="8"/>
      <c r="M9096" s="8"/>
    </row>
    <row r="9097">
      <c r="B9097" s="8"/>
      <c r="G9097" s="8"/>
      <c r="M9097" s="8"/>
    </row>
    <row r="9098">
      <c r="B9098" s="8"/>
      <c r="G9098" s="8"/>
      <c r="M9098" s="8"/>
    </row>
    <row r="9099">
      <c r="B9099" s="8"/>
      <c r="G9099" s="8"/>
      <c r="M9099" s="8"/>
    </row>
    <row r="9100">
      <c r="B9100" s="8"/>
      <c r="G9100" s="8"/>
      <c r="M9100" s="8"/>
    </row>
    <row r="9101">
      <c r="B9101" s="8"/>
      <c r="G9101" s="8"/>
      <c r="M9101" s="8"/>
    </row>
    <row r="9102">
      <c r="B9102" s="8"/>
      <c r="G9102" s="8"/>
      <c r="M9102" s="8"/>
    </row>
    <row r="9103">
      <c r="B9103" s="8"/>
      <c r="G9103" s="8"/>
      <c r="M9103" s="8"/>
    </row>
    <row r="9104">
      <c r="B9104" s="8"/>
      <c r="G9104" s="8"/>
      <c r="M9104" s="8"/>
    </row>
    <row r="9105">
      <c r="B9105" s="8"/>
      <c r="G9105" s="8"/>
      <c r="M9105" s="8"/>
    </row>
    <row r="9106">
      <c r="B9106" s="8"/>
      <c r="G9106" s="8"/>
      <c r="M9106" s="8"/>
    </row>
    <row r="9107">
      <c r="B9107" s="8"/>
      <c r="G9107" s="8"/>
      <c r="M9107" s="8"/>
    </row>
    <row r="9108">
      <c r="B9108" s="8"/>
      <c r="G9108" s="8"/>
      <c r="M9108" s="8"/>
    </row>
    <row r="9109">
      <c r="B9109" s="8"/>
      <c r="G9109" s="8"/>
      <c r="M9109" s="8"/>
    </row>
    <row r="9110">
      <c r="B9110" s="8"/>
      <c r="G9110" s="8"/>
      <c r="M9110" s="8"/>
    </row>
    <row r="9111">
      <c r="B9111" s="8"/>
      <c r="G9111" s="8"/>
      <c r="M9111" s="8"/>
    </row>
    <row r="9112">
      <c r="B9112" s="8"/>
      <c r="G9112" s="8"/>
      <c r="M9112" s="8"/>
    </row>
    <row r="9113">
      <c r="B9113" s="8"/>
      <c r="G9113" s="8"/>
      <c r="M9113" s="8"/>
    </row>
    <row r="9114">
      <c r="B9114" s="8"/>
      <c r="G9114" s="8"/>
      <c r="M9114" s="8"/>
    </row>
    <row r="9115">
      <c r="B9115" s="8"/>
      <c r="G9115" s="8"/>
      <c r="M9115" s="8"/>
    </row>
    <row r="9116">
      <c r="B9116" s="8"/>
      <c r="G9116" s="8"/>
      <c r="M9116" s="8"/>
    </row>
    <row r="9117">
      <c r="B9117" s="8"/>
      <c r="G9117" s="8"/>
      <c r="M9117" s="8"/>
    </row>
    <row r="9118">
      <c r="B9118" s="8"/>
      <c r="G9118" s="8"/>
      <c r="M9118" s="8"/>
    </row>
    <row r="9119">
      <c r="B9119" s="8"/>
      <c r="G9119" s="8"/>
      <c r="M9119" s="8"/>
    </row>
    <row r="9120">
      <c r="B9120" s="8"/>
      <c r="G9120" s="8"/>
      <c r="M9120" s="8"/>
    </row>
    <row r="9121">
      <c r="B9121" s="8"/>
      <c r="G9121" s="8"/>
      <c r="M9121" s="8"/>
    </row>
    <row r="9122">
      <c r="B9122" s="8"/>
      <c r="G9122" s="8"/>
      <c r="M9122" s="8"/>
    </row>
    <row r="9123">
      <c r="B9123" s="8"/>
      <c r="G9123" s="8"/>
      <c r="M9123" s="8"/>
    </row>
    <row r="9124">
      <c r="B9124" s="8"/>
      <c r="G9124" s="8"/>
      <c r="M9124" s="8"/>
    </row>
    <row r="9125">
      <c r="B9125" s="8"/>
      <c r="G9125" s="8"/>
      <c r="M9125" s="8"/>
    </row>
    <row r="9126">
      <c r="B9126" s="8"/>
      <c r="G9126" s="8"/>
      <c r="M9126" s="8"/>
    </row>
    <row r="9127">
      <c r="B9127" s="8"/>
      <c r="G9127" s="8"/>
      <c r="M9127" s="8"/>
    </row>
    <row r="9128">
      <c r="B9128" s="8"/>
      <c r="G9128" s="8"/>
      <c r="M9128" s="8"/>
    </row>
    <row r="9129">
      <c r="B9129" s="8"/>
      <c r="G9129" s="8"/>
      <c r="M9129" s="8"/>
    </row>
    <row r="9130">
      <c r="B9130" s="8"/>
      <c r="G9130" s="8"/>
      <c r="M9130" s="8"/>
    </row>
    <row r="9131">
      <c r="B9131" s="8"/>
      <c r="G9131" s="8"/>
      <c r="M9131" s="8"/>
    </row>
    <row r="9132">
      <c r="B9132" s="8"/>
      <c r="G9132" s="8"/>
      <c r="M9132" s="8"/>
    </row>
    <row r="9133">
      <c r="B9133" s="8"/>
      <c r="G9133" s="8"/>
      <c r="M9133" s="8"/>
    </row>
    <row r="9134">
      <c r="B9134" s="8"/>
      <c r="G9134" s="8"/>
      <c r="M9134" s="8"/>
    </row>
    <row r="9135">
      <c r="B9135" s="8"/>
      <c r="G9135" s="8"/>
      <c r="M9135" s="8"/>
    </row>
    <row r="9136">
      <c r="B9136" s="8"/>
      <c r="G9136" s="8"/>
      <c r="M9136" s="8"/>
    </row>
    <row r="9137">
      <c r="B9137" s="8"/>
      <c r="G9137" s="8"/>
      <c r="M9137" s="8"/>
    </row>
    <row r="9138">
      <c r="B9138" s="8"/>
      <c r="G9138" s="8"/>
      <c r="M9138" s="8"/>
    </row>
    <row r="9139">
      <c r="B9139" s="8"/>
      <c r="G9139" s="8"/>
      <c r="M9139" s="8"/>
    </row>
    <row r="9140">
      <c r="B9140" s="8"/>
      <c r="G9140" s="8"/>
      <c r="M9140" s="8"/>
    </row>
    <row r="9141">
      <c r="B9141" s="8"/>
      <c r="G9141" s="8"/>
      <c r="M9141" s="8"/>
    </row>
    <row r="9142">
      <c r="B9142" s="8"/>
      <c r="G9142" s="8"/>
      <c r="M9142" s="8"/>
    </row>
    <row r="9143">
      <c r="B9143" s="8"/>
      <c r="G9143" s="8"/>
      <c r="M9143" s="8"/>
    </row>
    <row r="9144">
      <c r="B9144" s="8"/>
      <c r="G9144" s="8"/>
      <c r="M9144" s="8"/>
    </row>
    <row r="9145">
      <c r="B9145" s="8"/>
      <c r="G9145" s="8"/>
      <c r="M9145" s="8"/>
    </row>
    <row r="9146">
      <c r="B9146" s="8"/>
      <c r="G9146" s="8"/>
      <c r="M9146" s="8"/>
    </row>
    <row r="9147">
      <c r="B9147" s="8"/>
      <c r="G9147" s="8"/>
      <c r="M9147" s="8"/>
    </row>
    <row r="9148">
      <c r="B9148" s="8"/>
      <c r="G9148" s="8"/>
      <c r="M9148" s="8"/>
    </row>
    <row r="9149">
      <c r="B9149" s="8"/>
      <c r="G9149" s="8"/>
      <c r="M9149" s="8"/>
    </row>
    <row r="9150">
      <c r="B9150" s="8"/>
      <c r="G9150" s="8"/>
      <c r="M9150" s="8"/>
    </row>
    <row r="9151">
      <c r="B9151" s="8"/>
      <c r="G9151" s="8"/>
      <c r="M9151" s="8"/>
    </row>
    <row r="9152">
      <c r="B9152" s="8"/>
      <c r="G9152" s="8"/>
      <c r="M9152" s="8"/>
    </row>
    <row r="9153">
      <c r="B9153" s="8"/>
      <c r="G9153" s="8"/>
      <c r="M9153" s="8"/>
    </row>
    <row r="9154">
      <c r="B9154" s="8"/>
      <c r="G9154" s="8"/>
      <c r="M9154" s="8"/>
    </row>
    <row r="9155">
      <c r="B9155" s="8"/>
      <c r="G9155" s="8"/>
      <c r="M9155" s="8"/>
    </row>
    <row r="9156">
      <c r="B9156" s="8"/>
      <c r="G9156" s="8"/>
      <c r="M9156" s="8"/>
    </row>
    <row r="9157">
      <c r="B9157" s="8"/>
      <c r="G9157" s="8"/>
      <c r="M9157" s="8"/>
    </row>
    <row r="9158">
      <c r="B9158" s="8"/>
      <c r="G9158" s="8"/>
      <c r="M9158" s="8"/>
    </row>
    <row r="9159">
      <c r="B9159" s="8"/>
      <c r="G9159" s="8"/>
      <c r="M9159" s="8"/>
    </row>
    <row r="9160">
      <c r="B9160" s="8"/>
      <c r="G9160" s="8"/>
      <c r="M9160" s="8"/>
    </row>
    <row r="9161">
      <c r="B9161" s="8"/>
      <c r="G9161" s="8"/>
      <c r="M9161" s="8"/>
    </row>
    <row r="9162">
      <c r="B9162" s="8"/>
      <c r="G9162" s="8"/>
      <c r="M9162" s="8"/>
    </row>
    <row r="9163">
      <c r="B9163" s="8"/>
      <c r="G9163" s="8"/>
      <c r="M9163" s="8"/>
    </row>
    <row r="9164">
      <c r="B9164" s="8"/>
      <c r="G9164" s="8"/>
      <c r="M9164" s="8"/>
    </row>
    <row r="9165">
      <c r="B9165" s="8"/>
      <c r="G9165" s="8"/>
      <c r="M9165" s="8"/>
    </row>
    <row r="9166">
      <c r="B9166" s="8"/>
      <c r="G9166" s="8"/>
      <c r="M9166" s="8"/>
    </row>
    <row r="9167">
      <c r="B9167" s="8"/>
      <c r="G9167" s="8"/>
      <c r="M9167" s="8"/>
    </row>
    <row r="9168">
      <c r="B9168" s="8"/>
      <c r="G9168" s="8"/>
      <c r="M9168" s="8"/>
    </row>
    <row r="9169">
      <c r="B9169" s="8"/>
      <c r="G9169" s="8"/>
      <c r="M9169" s="8"/>
    </row>
    <row r="9170">
      <c r="B9170" s="8"/>
      <c r="G9170" s="8"/>
      <c r="M9170" s="8"/>
    </row>
    <row r="9171">
      <c r="B9171" s="8"/>
      <c r="G9171" s="8"/>
      <c r="M9171" s="8"/>
    </row>
    <row r="9172">
      <c r="B9172" s="8"/>
      <c r="G9172" s="8"/>
      <c r="M9172" s="8"/>
    </row>
    <row r="9173">
      <c r="B9173" s="8"/>
      <c r="G9173" s="8"/>
      <c r="M9173" s="8"/>
    </row>
    <row r="9174">
      <c r="B9174" s="8"/>
      <c r="G9174" s="8"/>
      <c r="M9174" s="8"/>
    </row>
    <row r="9175">
      <c r="B9175" s="8"/>
      <c r="G9175" s="8"/>
      <c r="M9175" s="8"/>
    </row>
    <row r="9176">
      <c r="B9176" s="8"/>
      <c r="G9176" s="8"/>
      <c r="M9176" s="8"/>
    </row>
    <row r="9177">
      <c r="B9177" s="8"/>
      <c r="G9177" s="8"/>
      <c r="M9177" s="8"/>
    </row>
    <row r="9178">
      <c r="B9178" s="8"/>
      <c r="G9178" s="8"/>
      <c r="M9178" s="8"/>
    </row>
    <row r="9179">
      <c r="B9179" s="8"/>
      <c r="G9179" s="8"/>
      <c r="M9179" s="8"/>
    </row>
    <row r="9180">
      <c r="B9180" s="8"/>
      <c r="G9180" s="8"/>
      <c r="M9180" s="8"/>
    </row>
    <row r="9181">
      <c r="B9181" s="8"/>
      <c r="G9181" s="8"/>
      <c r="M9181" s="8"/>
    </row>
    <row r="9182">
      <c r="B9182" s="8"/>
      <c r="G9182" s="8"/>
      <c r="M9182" s="8"/>
    </row>
    <row r="9183">
      <c r="B9183" s="8"/>
      <c r="G9183" s="8"/>
      <c r="M9183" s="8"/>
    </row>
    <row r="9184">
      <c r="B9184" s="8"/>
      <c r="G9184" s="8"/>
      <c r="M9184" s="8"/>
    </row>
    <row r="9185">
      <c r="B9185" s="8"/>
      <c r="G9185" s="8"/>
      <c r="M9185" s="8"/>
    </row>
    <row r="9186">
      <c r="B9186" s="8"/>
      <c r="G9186" s="8"/>
      <c r="M9186" s="8"/>
    </row>
    <row r="9187">
      <c r="B9187" s="8"/>
      <c r="G9187" s="8"/>
      <c r="M9187" s="8"/>
    </row>
    <row r="9188">
      <c r="B9188" s="8"/>
      <c r="G9188" s="8"/>
      <c r="M9188" s="8"/>
    </row>
    <row r="9189">
      <c r="B9189" s="8"/>
      <c r="G9189" s="8"/>
      <c r="M9189" s="8"/>
    </row>
    <row r="9190">
      <c r="B9190" s="8"/>
      <c r="G9190" s="8"/>
      <c r="M9190" s="8"/>
    </row>
    <row r="9191">
      <c r="B9191" s="8"/>
      <c r="G9191" s="8"/>
      <c r="M9191" s="8"/>
    </row>
    <row r="9192">
      <c r="B9192" s="8"/>
      <c r="G9192" s="8"/>
      <c r="M9192" s="8"/>
    </row>
    <row r="9193">
      <c r="B9193" s="8"/>
      <c r="G9193" s="8"/>
      <c r="M9193" s="8"/>
    </row>
    <row r="9194">
      <c r="B9194" s="8"/>
      <c r="G9194" s="8"/>
      <c r="M9194" s="8"/>
    </row>
    <row r="9195">
      <c r="B9195" s="8"/>
      <c r="G9195" s="8"/>
      <c r="M9195" s="8"/>
    </row>
    <row r="9196">
      <c r="B9196" s="8"/>
      <c r="G9196" s="8"/>
      <c r="M9196" s="8"/>
    </row>
    <row r="9197">
      <c r="B9197" s="8"/>
      <c r="G9197" s="8"/>
      <c r="M9197" s="8"/>
    </row>
    <row r="9198">
      <c r="B9198" s="8"/>
      <c r="G9198" s="8"/>
      <c r="M9198" s="8"/>
    </row>
    <row r="9199">
      <c r="B9199" s="8"/>
      <c r="G9199" s="8"/>
      <c r="M9199" s="8"/>
    </row>
    <row r="9200">
      <c r="B9200" s="8"/>
      <c r="G9200" s="8"/>
      <c r="M9200" s="8"/>
    </row>
    <row r="9201">
      <c r="B9201" s="8"/>
      <c r="G9201" s="8"/>
      <c r="M9201" s="8"/>
    </row>
    <row r="9202">
      <c r="B9202" s="8"/>
      <c r="G9202" s="8"/>
      <c r="M9202" s="8"/>
    </row>
    <row r="9203">
      <c r="B9203" s="8"/>
      <c r="G9203" s="8"/>
      <c r="M9203" s="8"/>
    </row>
    <row r="9204">
      <c r="B9204" s="8"/>
      <c r="G9204" s="8"/>
      <c r="M9204" s="8"/>
    </row>
    <row r="9205">
      <c r="B9205" s="8"/>
      <c r="G9205" s="8"/>
      <c r="M9205" s="8"/>
    </row>
    <row r="9206">
      <c r="B9206" s="8"/>
      <c r="G9206" s="8"/>
      <c r="M9206" s="8"/>
    </row>
    <row r="9207">
      <c r="B9207" s="8"/>
      <c r="G9207" s="8"/>
      <c r="M9207" s="8"/>
    </row>
    <row r="9208">
      <c r="B9208" s="8"/>
      <c r="G9208" s="8"/>
      <c r="M9208" s="8"/>
    </row>
    <row r="9209">
      <c r="B9209" s="8"/>
      <c r="G9209" s="8"/>
      <c r="M9209" s="8"/>
    </row>
    <row r="9210">
      <c r="B9210" s="8"/>
      <c r="G9210" s="8"/>
      <c r="M9210" s="8"/>
    </row>
    <row r="9211">
      <c r="B9211" s="8"/>
      <c r="G9211" s="8"/>
      <c r="M9211" s="8"/>
    </row>
    <row r="9212">
      <c r="B9212" s="8"/>
      <c r="G9212" s="8"/>
      <c r="M9212" s="8"/>
    </row>
    <row r="9213">
      <c r="B9213" s="8"/>
      <c r="G9213" s="8"/>
      <c r="M9213" s="8"/>
    </row>
    <row r="9214">
      <c r="B9214" s="8"/>
      <c r="G9214" s="8"/>
      <c r="M9214" s="8"/>
    </row>
    <row r="9215">
      <c r="B9215" s="8"/>
      <c r="G9215" s="8"/>
      <c r="M9215" s="8"/>
    </row>
    <row r="9216">
      <c r="B9216" s="8"/>
      <c r="G9216" s="8"/>
      <c r="M9216" s="8"/>
    </row>
    <row r="9217">
      <c r="B9217" s="8"/>
      <c r="G9217" s="8"/>
      <c r="M9217" s="8"/>
    </row>
    <row r="9218">
      <c r="B9218" s="8"/>
      <c r="G9218" s="8"/>
      <c r="M9218" s="8"/>
    </row>
    <row r="9219">
      <c r="B9219" s="8"/>
      <c r="G9219" s="8"/>
      <c r="M9219" s="8"/>
    </row>
    <row r="9220">
      <c r="B9220" s="8"/>
      <c r="G9220" s="8"/>
      <c r="M9220" s="8"/>
    </row>
    <row r="9221">
      <c r="B9221" s="8"/>
      <c r="G9221" s="8"/>
      <c r="M9221" s="8"/>
    </row>
    <row r="9222">
      <c r="B9222" s="8"/>
      <c r="G9222" s="8"/>
      <c r="M9222" s="8"/>
    </row>
    <row r="9223">
      <c r="B9223" s="8"/>
      <c r="G9223" s="8"/>
      <c r="M9223" s="8"/>
    </row>
    <row r="9224">
      <c r="B9224" s="8"/>
      <c r="G9224" s="8"/>
      <c r="M9224" s="8"/>
    </row>
    <row r="9225">
      <c r="B9225" s="8"/>
      <c r="G9225" s="8"/>
      <c r="M9225" s="8"/>
    </row>
    <row r="9226">
      <c r="B9226" s="8"/>
      <c r="G9226" s="8"/>
      <c r="M9226" s="8"/>
    </row>
    <row r="9227">
      <c r="B9227" s="8"/>
      <c r="G9227" s="8"/>
      <c r="M9227" s="8"/>
    </row>
    <row r="9228">
      <c r="B9228" s="8"/>
      <c r="G9228" s="8"/>
      <c r="M9228" s="8"/>
    </row>
    <row r="9229">
      <c r="B9229" s="8"/>
      <c r="G9229" s="8"/>
      <c r="M9229" s="8"/>
    </row>
    <row r="9230">
      <c r="B9230" s="8"/>
      <c r="G9230" s="8"/>
      <c r="M9230" s="8"/>
    </row>
    <row r="9231">
      <c r="B9231" s="8"/>
      <c r="G9231" s="8"/>
      <c r="M9231" s="8"/>
    </row>
    <row r="9232">
      <c r="B9232" s="8"/>
      <c r="G9232" s="8"/>
      <c r="M9232" s="8"/>
    </row>
    <row r="9233">
      <c r="B9233" s="8"/>
      <c r="G9233" s="8"/>
      <c r="M9233" s="8"/>
    </row>
    <row r="9234">
      <c r="B9234" s="8"/>
      <c r="G9234" s="8"/>
      <c r="M9234" s="8"/>
    </row>
    <row r="9235">
      <c r="B9235" s="8"/>
      <c r="G9235" s="8"/>
      <c r="M9235" s="8"/>
    </row>
    <row r="9236">
      <c r="B9236" s="8"/>
      <c r="G9236" s="8"/>
      <c r="M9236" s="8"/>
    </row>
    <row r="9237">
      <c r="B9237" s="8"/>
      <c r="G9237" s="8"/>
      <c r="M9237" s="8"/>
    </row>
    <row r="9238">
      <c r="B9238" s="8"/>
      <c r="G9238" s="8"/>
      <c r="M9238" s="8"/>
    </row>
    <row r="9239">
      <c r="B9239" s="8"/>
      <c r="G9239" s="8"/>
      <c r="M9239" s="8"/>
    </row>
    <row r="9240">
      <c r="B9240" s="8"/>
      <c r="G9240" s="8"/>
      <c r="M9240" s="8"/>
    </row>
    <row r="9241">
      <c r="B9241" s="8"/>
      <c r="G9241" s="8"/>
      <c r="M9241" s="8"/>
    </row>
    <row r="9242">
      <c r="B9242" s="8"/>
      <c r="G9242" s="8"/>
      <c r="M9242" s="8"/>
    </row>
    <row r="9243">
      <c r="B9243" s="8"/>
      <c r="G9243" s="8"/>
      <c r="M9243" s="8"/>
    </row>
    <row r="9244">
      <c r="B9244" s="8"/>
      <c r="G9244" s="8"/>
      <c r="M9244" s="8"/>
    </row>
    <row r="9245">
      <c r="B9245" s="8"/>
      <c r="G9245" s="8"/>
      <c r="M9245" s="8"/>
    </row>
    <row r="9246">
      <c r="B9246" s="8"/>
      <c r="G9246" s="8"/>
      <c r="M9246" s="8"/>
    </row>
    <row r="9247">
      <c r="B9247" s="8"/>
      <c r="G9247" s="8"/>
      <c r="M9247" s="8"/>
    </row>
    <row r="9248">
      <c r="B9248" s="8"/>
      <c r="G9248" s="8"/>
      <c r="M9248" s="8"/>
    </row>
    <row r="9249">
      <c r="B9249" s="8"/>
      <c r="G9249" s="8"/>
      <c r="M9249" s="8"/>
    </row>
    <row r="9250">
      <c r="B9250" s="8"/>
      <c r="G9250" s="8"/>
      <c r="M9250" s="8"/>
    </row>
    <row r="9251">
      <c r="B9251" s="8"/>
      <c r="G9251" s="8"/>
      <c r="M9251" s="8"/>
    </row>
    <row r="9252">
      <c r="B9252" s="8"/>
      <c r="G9252" s="8"/>
      <c r="M9252" s="8"/>
    </row>
    <row r="9253">
      <c r="B9253" s="8"/>
      <c r="G9253" s="8"/>
      <c r="M9253" s="8"/>
    </row>
    <row r="9254">
      <c r="B9254" s="8"/>
      <c r="G9254" s="8"/>
      <c r="M9254" s="8"/>
    </row>
    <row r="9255">
      <c r="B9255" s="8"/>
      <c r="G9255" s="8"/>
      <c r="M9255" s="8"/>
    </row>
    <row r="9256">
      <c r="B9256" s="8"/>
      <c r="G9256" s="8"/>
      <c r="M9256" s="8"/>
    </row>
    <row r="9257">
      <c r="B9257" s="8"/>
      <c r="G9257" s="8"/>
      <c r="M9257" s="8"/>
    </row>
    <row r="9258">
      <c r="B9258" s="8"/>
      <c r="G9258" s="8"/>
      <c r="M9258" s="8"/>
    </row>
    <row r="9259">
      <c r="B9259" s="8"/>
      <c r="G9259" s="8"/>
      <c r="M9259" s="8"/>
    </row>
    <row r="9260">
      <c r="B9260" s="8"/>
      <c r="G9260" s="8"/>
      <c r="M9260" s="8"/>
    </row>
    <row r="9261">
      <c r="B9261" s="8"/>
      <c r="G9261" s="8"/>
      <c r="M9261" s="8"/>
    </row>
    <row r="9262">
      <c r="B9262" s="8"/>
      <c r="G9262" s="8"/>
      <c r="M9262" s="8"/>
    </row>
    <row r="9263">
      <c r="B9263" s="8"/>
      <c r="G9263" s="8"/>
      <c r="M9263" s="8"/>
    </row>
    <row r="9264">
      <c r="B9264" s="8"/>
      <c r="G9264" s="8"/>
      <c r="M9264" s="8"/>
    </row>
    <row r="9265">
      <c r="B9265" s="8"/>
      <c r="G9265" s="8"/>
      <c r="M9265" s="8"/>
    </row>
    <row r="9266">
      <c r="B9266" s="8"/>
      <c r="G9266" s="8"/>
      <c r="M9266" s="8"/>
    </row>
    <row r="9267">
      <c r="B9267" s="8"/>
      <c r="G9267" s="8"/>
      <c r="M9267" s="8"/>
    </row>
    <row r="9268">
      <c r="B9268" s="8"/>
      <c r="G9268" s="8"/>
      <c r="M9268" s="8"/>
    </row>
    <row r="9269">
      <c r="B9269" s="8"/>
      <c r="G9269" s="8"/>
      <c r="M9269" s="8"/>
    </row>
    <row r="9270">
      <c r="B9270" s="8"/>
      <c r="G9270" s="8"/>
      <c r="M9270" s="8"/>
    </row>
    <row r="9271">
      <c r="B9271" s="8"/>
      <c r="G9271" s="8"/>
      <c r="M9271" s="8"/>
    </row>
    <row r="9272">
      <c r="B9272" s="8"/>
      <c r="G9272" s="8"/>
      <c r="M9272" s="8"/>
    </row>
    <row r="9273">
      <c r="B9273" s="8"/>
      <c r="G9273" s="8"/>
      <c r="M9273" s="8"/>
    </row>
    <row r="9274">
      <c r="B9274" s="8"/>
      <c r="G9274" s="8"/>
      <c r="M9274" s="8"/>
    </row>
    <row r="9275">
      <c r="B9275" s="8"/>
      <c r="G9275" s="8"/>
      <c r="M9275" s="8"/>
    </row>
    <row r="9276">
      <c r="B9276" s="8"/>
      <c r="G9276" s="8"/>
      <c r="M9276" s="8"/>
    </row>
    <row r="9277">
      <c r="B9277" s="8"/>
      <c r="G9277" s="8"/>
      <c r="M9277" s="8"/>
    </row>
    <row r="9278">
      <c r="B9278" s="8"/>
      <c r="G9278" s="8"/>
      <c r="M9278" s="8"/>
    </row>
    <row r="9279">
      <c r="B9279" s="8"/>
      <c r="G9279" s="8"/>
      <c r="M9279" s="8"/>
    </row>
    <row r="9280">
      <c r="B9280" s="8"/>
      <c r="G9280" s="8"/>
      <c r="M9280" s="8"/>
    </row>
    <row r="9281">
      <c r="B9281" s="8"/>
      <c r="G9281" s="8"/>
      <c r="M9281" s="8"/>
    </row>
    <row r="9282">
      <c r="B9282" s="8"/>
      <c r="G9282" s="8"/>
      <c r="M9282" s="8"/>
    </row>
    <row r="9283">
      <c r="B9283" s="8"/>
      <c r="G9283" s="8"/>
      <c r="M9283" s="8"/>
    </row>
    <row r="9284">
      <c r="B9284" s="8"/>
      <c r="G9284" s="8"/>
      <c r="M9284" s="8"/>
    </row>
    <row r="9285">
      <c r="B9285" s="8"/>
      <c r="G9285" s="8"/>
      <c r="M9285" s="8"/>
    </row>
    <row r="9286">
      <c r="B9286" s="8"/>
      <c r="G9286" s="8"/>
      <c r="M9286" s="8"/>
    </row>
    <row r="9287">
      <c r="B9287" s="8"/>
      <c r="G9287" s="8"/>
      <c r="M9287" s="8"/>
    </row>
    <row r="9288">
      <c r="B9288" s="8"/>
      <c r="G9288" s="8"/>
      <c r="M9288" s="8"/>
    </row>
    <row r="9289">
      <c r="B9289" s="8"/>
      <c r="G9289" s="8"/>
      <c r="M9289" s="8"/>
    </row>
    <row r="9290">
      <c r="B9290" s="8"/>
      <c r="G9290" s="8"/>
      <c r="M9290" s="8"/>
    </row>
    <row r="9291">
      <c r="B9291" s="8"/>
      <c r="G9291" s="8"/>
      <c r="M9291" s="8"/>
    </row>
    <row r="9292">
      <c r="B9292" s="8"/>
      <c r="G9292" s="8"/>
      <c r="M9292" s="8"/>
    </row>
    <row r="9293">
      <c r="B9293" s="8"/>
      <c r="G9293" s="8"/>
      <c r="M9293" s="8"/>
    </row>
    <row r="9294">
      <c r="B9294" s="8"/>
      <c r="G9294" s="8"/>
      <c r="M9294" s="8"/>
    </row>
    <row r="9295">
      <c r="B9295" s="8"/>
      <c r="G9295" s="8"/>
      <c r="M9295" s="8"/>
    </row>
    <row r="9296">
      <c r="B9296" s="8"/>
      <c r="G9296" s="8"/>
      <c r="M9296" s="8"/>
    </row>
    <row r="9297">
      <c r="B9297" s="8"/>
      <c r="G9297" s="8"/>
      <c r="M9297" s="8"/>
    </row>
    <row r="9298">
      <c r="B9298" s="8"/>
      <c r="G9298" s="8"/>
      <c r="M9298" s="8"/>
    </row>
    <row r="9299">
      <c r="B9299" s="8"/>
      <c r="G9299" s="8"/>
      <c r="M9299" s="8"/>
    </row>
    <row r="9300">
      <c r="B9300" s="8"/>
      <c r="G9300" s="8"/>
      <c r="M9300" s="8"/>
    </row>
    <row r="9301">
      <c r="B9301" s="8"/>
      <c r="G9301" s="8"/>
      <c r="M9301" s="8"/>
    </row>
    <row r="9302">
      <c r="B9302" s="8"/>
      <c r="G9302" s="8"/>
      <c r="M9302" s="8"/>
    </row>
    <row r="9303">
      <c r="B9303" s="8"/>
      <c r="G9303" s="8"/>
      <c r="M9303" s="8"/>
    </row>
    <row r="9304">
      <c r="B9304" s="8"/>
      <c r="G9304" s="8"/>
      <c r="M9304" s="8"/>
    </row>
    <row r="9305">
      <c r="B9305" s="8"/>
      <c r="G9305" s="8"/>
      <c r="M9305" s="8"/>
    </row>
    <row r="9306">
      <c r="B9306" s="8"/>
      <c r="G9306" s="8"/>
      <c r="M9306" s="8"/>
    </row>
    <row r="9307">
      <c r="B9307" s="8"/>
      <c r="G9307" s="8"/>
      <c r="M9307" s="8"/>
    </row>
    <row r="9308">
      <c r="B9308" s="8"/>
      <c r="G9308" s="8"/>
      <c r="M9308" s="8"/>
    </row>
    <row r="9309">
      <c r="B9309" s="8"/>
      <c r="G9309" s="8"/>
      <c r="M9309" s="8"/>
    </row>
    <row r="9310">
      <c r="B9310" s="8"/>
      <c r="G9310" s="8"/>
      <c r="M9310" s="8"/>
    </row>
    <row r="9311">
      <c r="B9311" s="8"/>
      <c r="G9311" s="8"/>
      <c r="M9311" s="8"/>
    </row>
    <row r="9312">
      <c r="B9312" s="8"/>
      <c r="G9312" s="8"/>
      <c r="M9312" s="8"/>
    </row>
    <row r="9313">
      <c r="B9313" s="8"/>
      <c r="G9313" s="8"/>
      <c r="M9313" s="8"/>
    </row>
    <row r="9314">
      <c r="B9314" s="8"/>
      <c r="G9314" s="8"/>
      <c r="M9314" s="8"/>
    </row>
    <row r="9315">
      <c r="B9315" s="8"/>
      <c r="G9315" s="8"/>
      <c r="M9315" s="8"/>
    </row>
    <row r="9316">
      <c r="B9316" s="8"/>
      <c r="G9316" s="8"/>
      <c r="M9316" s="8"/>
    </row>
    <row r="9317">
      <c r="B9317" s="8"/>
      <c r="G9317" s="8"/>
      <c r="M9317" s="8"/>
    </row>
    <row r="9318">
      <c r="B9318" s="8"/>
      <c r="G9318" s="8"/>
      <c r="M9318" s="8"/>
    </row>
    <row r="9319">
      <c r="B9319" s="8"/>
      <c r="G9319" s="8"/>
      <c r="M9319" s="8"/>
    </row>
    <row r="9320">
      <c r="B9320" s="8"/>
      <c r="G9320" s="8"/>
      <c r="M9320" s="8"/>
    </row>
    <row r="9321">
      <c r="B9321" s="8"/>
      <c r="G9321" s="8"/>
      <c r="M9321" s="8"/>
    </row>
    <row r="9322">
      <c r="B9322" s="8"/>
      <c r="G9322" s="8"/>
      <c r="M9322" s="8"/>
    </row>
    <row r="9323">
      <c r="B9323" s="8"/>
      <c r="G9323" s="8"/>
      <c r="M9323" s="8"/>
    </row>
    <row r="9324">
      <c r="B9324" s="8"/>
      <c r="G9324" s="8"/>
      <c r="M9324" s="8"/>
    </row>
    <row r="9325">
      <c r="B9325" s="8"/>
      <c r="G9325" s="8"/>
      <c r="M9325" s="8"/>
    </row>
    <row r="9326">
      <c r="B9326" s="8"/>
      <c r="G9326" s="8"/>
      <c r="M9326" s="8"/>
    </row>
    <row r="9327">
      <c r="B9327" s="8"/>
      <c r="G9327" s="8"/>
      <c r="M9327" s="8"/>
    </row>
    <row r="9328">
      <c r="B9328" s="8"/>
      <c r="G9328" s="8"/>
      <c r="M9328" s="8"/>
    </row>
    <row r="9329">
      <c r="B9329" s="8"/>
      <c r="G9329" s="8"/>
      <c r="M9329" s="8"/>
    </row>
    <row r="9330">
      <c r="B9330" s="8"/>
      <c r="G9330" s="8"/>
      <c r="M9330" s="8"/>
    </row>
    <row r="9331">
      <c r="B9331" s="8"/>
      <c r="G9331" s="8"/>
      <c r="M9331" s="8"/>
    </row>
    <row r="9332">
      <c r="B9332" s="8"/>
      <c r="G9332" s="8"/>
      <c r="M9332" s="8"/>
    </row>
    <row r="9333">
      <c r="B9333" s="8"/>
      <c r="G9333" s="8"/>
      <c r="M9333" s="8"/>
    </row>
    <row r="9334">
      <c r="B9334" s="8"/>
      <c r="G9334" s="8"/>
      <c r="M9334" s="8"/>
    </row>
    <row r="9335">
      <c r="B9335" s="8"/>
      <c r="G9335" s="8"/>
      <c r="M9335" s="8"/>
    </row>
    <row r="9336">
      <c r="B9336" s="8"/>
      <c r="G9336" s="8"/>
      <c r="M9336" s="8"/>
    </row>
    <row r="9337">
      <c r="B9337" s="8"/>
      <c r="G9337" s="8"/>
      <c r="M9337" s="8"/>
    </row>
    <row r="9338">
      <c r="B9338" s="8"/>
      <c r="G9338" s="8"/>
      <c r="M9338" s="8"/>
    </row>
    <row r="9339">
      <c r="B9339" s="8"/>
      <c r="G9339" s="8"/>
      <c r="M9339" s="8"/>
    </row>
    <row r="9340">
      <c r="B9340" s="8"/>
      <c r="G9340" s="8"/>
      <c r="M9340" s="8"/>
    </row>
    <row r="9341">
      <c r="B9341" s="8"/>
      <c r="G9341" s="8"/>
      <c r="M9341" s="8"/>
    </row>
    <row r="9342">
      <c r="B9342" s="8"/>
      <c r="G9342" s="8"/>
      <c r="M9342" s="8"/>
    </row>
    <row r="9343">
      <c r="B9343" s="8"/>
      <c r="G9343" s="8"/>
      <c r="M9343" s="8"/>
    </row>
    <row r="9344">
      <c r="B9344" s="8"/>
      <c r="G9344" s="8"/>
      <c r="M9344" s="8"/>
    </row>
    <row r="9345">
      <c r="B9345" s="8"/>
      <c r="G9345" s="8"/>
      <c r="M9345" s="8"/>
    </row>
    <row r="9346">
      <c r="B9346" s="8"/>
      <c r="G9346" s="8"/>
      <c r="M9346" s="8"/>
    </row>
    <row r="9347">
      <c r="B9347" s="8"/>
      <c r="G9347" s="8"/>
      <c r="M9347" s="8"/>
    </row>
    <row r="9348">
      <c r="B9348" s="8"/>
      <c r="G9348" s="8"/>
      <c r="M9348" s="8"/>
    </row>
    <row r="9349">
      <c r="B9349" s="8"/>
      <c r="G9349" s="8"/>
      <c r="M9349" s="8"/>
    </row>
    <row r="9350">
      <c r="B9350" s="8"/>
      <c r="G9350" s="8"/>
      <c r="M9350" s="8"/>
    </row>
    <row r="9351">
      <c r="B9351" s="8"/>
      <c r="G9351" s="8"/>
      <c r="M9351" s="8"/>
    </row>
    <row r="9352">
      <c r="B9352" s="8"/>
      <c r="G9352" s="8"/>
      <c r="M9352" s="8"/>
    </row>
    <row r="9353">
      <c r="B9353" s="8"/>
      <c r="G9353" s="8"/>
      <c r="M9353" s="8"/>
    </row>
    <row r="9354">
      <c r="B9354" s="8"/>
      <c r="G9354" s="8"/>
      <c r="M9354" s="8"/>
    </row>
    <row r="9355">
      <c r="B9355" s="8"/>
      <c r="G9355" s="8"/>
      <c r="M9355" s="8"/>
    </row>
    <row r="9356">
      <c r="B9356" s="8"/>
      <c r="G9356" s="8"/>
      <c r="M9356" s="8"/>
    </row>
    <row r="9357">
      <c r="B9357" s="8"/>
      <c r="G9357" s="8"/>
      <c r="M9357" s="8"/>
    </row>
    <row r="9358">
      <c r="B9358" s="8"/>
      <c r="G9358" s="8"/>
      <c r="M9358" s="8"/>
    </row>
    <row r="9359">
      <c r="B9359" s="8"/>
      <c r="G9359" s="8"/>
      <c r="M9359" s="8"/>
    </row>
    <row r="9360">
      <c r="B9360" s="8"/>
      <c r="G9360" s="8"/>
      <c r="M9360" s="8"/>
    </row>
    <row r="9361">
      <c r="B9361" s="8"/>
      <c r="G9361" s="8"/>
      <c r="M9361" s="8"/>
    </row>
    <row r="9362">
      <c r="B9362" s="8"/>
      <c r="G9362" s="8"/>
      <c r="M9362" s="8"/>
    </row>
    <row r="9363">
      <c r="B9363" s="8"/>
      <c r="G9363" s="8"/>
      <c r="M9363" s="8"/>
    </row>
    <row r="9364">
      <c r="B9364" s="8"/>
      <c r="G9364" s="8"/>
      <c r="M9364" s="8"/>
    </row>
    <row r="9365">
      <c r="B9365" s="8"/>
      <c r="G9365" s="8"/>
      <c r="M9365" s="8"/>
    </row>
    <row r="9366">
      <c r="B9366" s="8"/>
      <c r="G9366" s="8"/>
      <c r="M9366" s="8"/>
    </row>
    <row r="9367">
      <c r="B9367" s="8"/>
      <c r="G9367" s="8"/>
      <c r="M9367" s="8"/>
    </row>
    <row r="9368">
      <c r="B9368" s="8"/>
      <c r="G9368" s="8"/>
      <c r="M9368" s="8"/>
    </row>
    <row r="9369">
      <c r="B9369" s="8"/>
      <c r="G9369" s="8"/>
      <c r="M9369" s="8"/>
    </row>
    <row r="9370">
      <c r="B9370" s="8"/>
      <c r="G9370" s="8"/>
      <c r="M9370" s="8"/>
    </row>
    <row r="9371">
      <c r="B9371" s="8"/>
      <c r="G9371" s="8"/>
      <c r="M9371" s="8"/>
    </row>
    <row r="9372">
      <c r="B9372" s="8"/>
      <c r="G9372" s="8"/>
      <c r="M9372" s="8"/>
    </row>
    <row r="9373">
      <c r="B9373" s="8"/>
      <c r="G9373" s="8"/>
      <c r="M9373" s="8"/>
    </row>
    <row r="9374">
      <c r="B9374" s="8"/>
      <c r="G9374" s="8"/>
      <c r="M9374" s="8"/>
    </row>
    <row r="9375">
      <c r="B9375" s="8"/>
      <c r="G9375" s="8"/>
      <c r="M9375" s="8"/>
    </row>
    <row r="9376">
      <c r="B9376" s="8"/>
      <c r="G9376" s="8"/>
      <c r="M9376" s="8"/>
    </row>
    <row r="9377">
      <c r="B9377" s="8"/>
      <c r="G9377" s="8"/>
      <c r="M9377" s="8"/>
    </row>
    <row r="9378">
      <c r="B9378" s="8"/>
      <c r="G9378" s="8"/>
      <c r="M9378" s="8"/>
    </row>
    <row r="9379">
      <c r="B9379" s="8"/>
      <c r="G9379" s="8"/>
      <c r="M9379" s="8"/>
    </row>
    <row r="9380">
      <c r="B9380" s="8"/>
      <c r="G9380" s="8"/>
      <c r="M9380" s="8"/>
    </row>
    <row r="9381">
      <c r="B9381" s="8"/>
      <c r="G9381" s="8"/>
      <c r="M9381" s="8"/>
    </row>
    <row r="9382">
      <c r="B9382" s="8"/>
      <c r="G9382" s="8"/>
      <c r="M9382" s="8"/>
    </row>
    <row r="9383">
      <c r="B9383" s="8"/>
      <c r="G9383" s="8"/>
      <c r="M9383" s="8"/>
    </row>
    <row r="9384">
      <c r="B9384" s="8"/>
      <c r="G9384" s="8"/>
      <c r="M9384" s="8"/>
    </row>
    <row r="9385">
      <c r="B9385" s="8"/>
      <c r="G9385" s="8"/>
      <c r="M9385" s="8"/>
    </row>
    <row r="9386">
      <c r="B9386" s="8"/>
      <c r="G9386" s="8"/>
      <c r="M9386" s="8"/>
    </row>
    <row r="9387">
      <c r="B9387" s="8"/>
      <c r="G9387" s="8"/>
      <c r="M9387" s="8"/>
    </row>
    <row r="9388">
      <c r="B9388" s="8"/>
      <c r="G9388" s="8"/>
      <c r="M9388" s="8"/>
    </row>
    <row r="9389">
      <c r="B9389" s="8"/>
      <c r="G9389" s="8"/>
      <c r="M9389" s="8"/>
    </row>
    <row r="9390">
      <c r="B9390" s="8"/>
      <c r="G9390" s="8"/>
      <c r="M9390" s="8"/>
    </row>
    <row r="9391">
      <c r="B9391" s="8"/>
      <c r="G9391" s="8"/>
      <c r="M9391" s="8"/>
    </row>
    <row r="9392">
      <c r="B9392" s="8"/>
      <c r="G9392" s="8"/>
      <c r="M9392" s="8"/>
    </row>
    <row r="9393">
      <c r="B9393" s="8"/>
      <c r="G9393" s="8"/>
      <c r="M9393" s="8"/>
    </row>
    <row r="9394">
      <c r="B9394" s="8"/>
      <c r="G9394" s="8"/>
      <c r="M9394" s="8"/>
    </row>
    <row r="9395">
      <c r="B9395" s="8"/>
      <c r="G9395" s="8"/>
      <c r="M9395" s="8"/>
    </row>
    <row r="9396">
      <c r="B9396" s="8"/>
      <c r="G9396" s="8"/>
      <c r="M9396" s="8"/>
    </row>
    <row r="9397">
      <c r="B9397" s="8"/>
      <c r="G9397" s="8"/>
      <c r="M9397" s="8"/>
    </row>
    <row r="9398">
      <c r="B9398" s="8"/>
      <c r="G9398" s="8"/>
      <c r="M9398" s="8"/>
    </row>
    <row r="9399">
      <c r="B9399" s="8"/>
      <c r="G9399" s="8"/>
      <c r="M9399" s="8"/>
    </row>
    <row r="9400">
      <c r="B9400" s="8"/>
      <c r="G9400" s="8"/>
      <c r="M9400" s="8"/>
    </row>
    <row r="9401">
      <c r="B9401" s="8"/>
      <c r="G9401" s="8"/>
      <c r="M9401" s="8"/>
    </row>
    <row r="9402">
      <c r="B9402" s="8"/>
      <c r="G9402" s="8"/>
      <c r="M9402" s="8"/>
    </row>
    <row r="9403">
      <c r="B9403" s="8"/>
      <c r="G9403" s="8"/>
      <c r="M9403" s="8"/>
    </row>
    <row r="9404">
      <c r="B9404" s="8"/>
      <c r="G9404" s="8"/>
      <c r="M9404" s="8"/>
    </row>
    <row r="9405">
      <c r="B9405" s="8"/>
      <c r="G9405" s="8"/>
      <c r="M9405" s="8"/>
    </row>
    <row r="9406">
      <c r="B9406" s="8"/>
      <c r="G9406" s="8"/>
      <c r="M9406" s="8"/>
    </row>
    <row r="9407">
      <c r="B9407" s="8"/>
      <c r="G9407" s="8"/>
      <c r="M9407" s="8"/>
    </row>
    <row r="9408">
      <c r="B9408" s="8"/>
      <c r="G9408" s="8"/>
      <c r="M9408" s="8"/>
    </row>
    <row r="9409">
      <c r="B9409" s="8"/>
      <c r="G9409" s="8"/>
      <c r="M9409" s="8"/>
    </row>
    <row r="9410">
      <c r="B9410" s="8"/>
      <c r="G9410" s="8"/>
      <c r="M9410" s="8"/>
    </row>
    <row r="9411">
      <c r="B9411" s="8"/>
      <c r="G9411" s="8"/>
      <c r="M9411" s="8"/>
    </row>
    <row r="9412">
      <c r="B9412" s="8"/>
      <c r="G9412" s="8"/>
      <c r="M9412" s="8"/>
    </row>
    <row r="9413">
      <c r="B9413" s="8"/>
      <c r="G9413" s="8"/>
      <c r="M9413" s="8"/>
    </row>
    <row r="9414">
      <c r="B9414" s="8"/>
      <c r="G9414" s="8"/>
      <c r="M9414" s="8"/>
    </row>
    <row r="9415">
      <c r="B9415" s="8"/>
      <c r="G9415" s="8"/>
      <c r="M9415" s="8"/>
    </row>
    <row r="9416">
      <c r="B9416" s="8"/>
      <c r="G9416" s="8"/>
      <c r="M9416" s="8"/>
    </row>
    <row r="9417">
      <c r="B9417" s="8"/>
      <c r="G9417" s="8"/>
      <c r="M9417" s="8"/>
    </row>
    <row r="9418">
      <c r="B9418" s="8"/>
      <c r="G9418" s="8"/>
      <c r="M9418" s="8"/>
    </row>
    <row r="9419">
      <c r="B9419" s="8"/>
      <c r="G9419" s="8"/>
      <c r="M9419" s="8"/>
    </row>
    <row r="9420">
      <c r="B9420" s="8"/>
      <c r="G9420" s="8"/>
      <c r="M9420" s="8"/>
    </row>
    <row r="9421">
      <c r="B9421" s="8"/>
      <c r="G9421" s="8"/>
      <c r="M9421" s="8"/>
    </row>
    <row r="9422">
      <c r="B9422" s="8"/>
      <c r="G9422" s="8"/>
      <c r="M9422" s="8"/>
    </row>
    <row r="9423">
      <c r="B9423" s="8"/>
      <c r="G9423" s="8"/>
      <c r="M9423" s="8"/>
    </row>
    <row r="9424">
      <c r="B9424" s="8"/>
      <c r="G9424" s="8"/>
      <c r="M9424" s="8"/>
    </row>
    <row r="9425">
      <c r="B9425" s="8"/>
      <c r="G9425" s="8"/>
      <c r="M9425" s="8"/>
    </row>
    <row r="9426">
      <c r="B9426" s="8"/>
      <c r="G9426" s="8"/>
      <c r="M9426" s="8"/>
    </row>
    <row r="9427">
      <c r="B9427" s="8"/>
      <c r="G9427" s="8"/>
      <c r="M9427" s="8"/>
    </row>
    <row r="9428">
      <c r="B9428" s="8"/>
      <c r="G9428" s="8"/>
      <c r="M9428" s="8"/>
    </row>
    <row r="9429">
      <c r="B9429" s="8"/>
      <c r="G9429" s="8"/>
      <c r="M9429" s="8"/>
    </row>
    <row r="9430">
      <c r="B9430" s="8"/>
      <c r="G9430" s="8"/>
      <c r="M9430" s="8"/>
    </row>
    <row r="9431">
      <c r="B9431" s="8"/>
      <c r="G9431" s="8"/>
      <c r="M9431" s="8"/>
    </row>
    <row r="9432">
      <c r="B9432" s="8"/>
      <c r="G9432" s="8"/>
      <c r="M9432" s="8"/>
    </row>
    <row r="9433">
      <c r="B9433" s="8"/>
      <c r="G9433" s="8"/>
      <c r="M9433" s="8"/>
    </row>
    <row r="9434">
      <c r="B9434" s="8"/>
      <c r="G9434" s="8"/>
      <c r="M9434" s="8"/>
    </row>
    <row r="9435">
      <c r="B9435" s="8"/>
      <c r="G9435" s="8"/>
      <c r="M9435" s="8"/>
    </row>
    <row r="9436">
      <c r="B9436" s="8"/>
      <c r="G9436" s="8"/>
      <c r="M9436" s="8"/>
    </row>
    <row r="9437">
      <c r="B9437" s="8"/>
      <c r="G9437" s="8"/>
      <c r="M9437" s="8"/>
    </row>
    <row r="9438">
      <c r="B9438" s="8"/>
      <c r="G9438" s="8"/>
      <c r="M9438" s="8"/>
    </row>
    <row r="9439">
      <c r="B9439" s="8"/>
      <c r="G9439" s="8"/>
      <c r="M9439" s="8"/>
    </row>
    <row r="9440">
      <c r="B9440" s="8"/>
      <c r="G9440" s="8"/>
      <c r="M9440" s="8"/>
    </row>
    <row r="9441">
      <c r="B9441" s="8"/>
      <c r="G9441" s="8"/>
      <c r="M9441" s="8"/>
    </row>
    <row r="9442">
      <c r="B9442" s="8"/>
      <c r="G9442" s="8"/>
      <c r="M9442" s="8"/>
    </row>
    <row r="9443">
      <c r="B9443" s="8"/>
      <c r="G9443" s="8"/>
      <c r="M9443" s="8"/>
    </row>
    <row r="9444">
      <c r="B9444" s="8"/>
      <c r="G9444" s="8"/>
      <c r="M9444" s="8"/>
    </row>
    <row r="9445">
      <c r="B9445" s="8"/>
      <c r="G9445" s="8"/>
      <c r="M9445" s="8"/>
    </row>
    <row r="9446">
      <c r="B9446" s="8"/>
      <c r="G9446" s="8"/>
      <c r="M9446" s="8"/>
    </row>
    <row r="9447">
      <c r="B9447" s="8"/>
      <c r="G9447" s="8"/>
      <c r="M9447" s="8"/>
    </row>
    <row r="9448">
      <c r="B9448" s="8"/>
      <c r="G9448" s="8"/>
      <c r="M9448" s="8"/>
    </row>
    <row r="9449">
      <c r="B9449" s="8"/>
      <c r="G9449" s="8"/>
      <c r="M9449" s="8"/>
    </row>
    <row r="9450">
      <c r="B9450" s="8"/>
      <c r="G9450" s="8"/>
      <c r="M9450" s="8"/>
    </row>
    <row r="9451">
      <c r="B9451" s="8"/>
      <c r="G9451" s="8"/>
      <c r="M9451" s="8"/>
    </row>
    <row r="9452">
      <c r="B9452" s="8"/>
      <c r="G9452" s="8"/>
      <c r="M9452" s="8"/>
    </row>
    <row r="9453">
      <c r="B9453" s="8"/>
      <c r="G9453" s="8"/>
      <c r="M9453" s="8"/>
    </row>
    <row r="9454">
      <c r="B9454" s="8"/>
      <c r="G9454" s="8"/>
      <c r="M9454" s="8"/>
    </row>
    <row r="9455">
      <c r="B9455" s="8"/>
      <c r="G9455" s="8"/>
      <c r="M9455" s="8"/>
    </row>
    <row r="9456">
      <c r="B9456" s="8"/>
      <c r="G9456" s="8"/>
      <c r="M9456" s="8"/>
    </row>
    <row r="9457">
      <c r="B9457" s="8"/>
      <c r="G9457" s="8"/>
      <c r="M9457" s="8"/>
    </row>
    <row r="9458">
      <c r="B9458" s="8"/>
      <c r="G9458" s="8"/>
      <c r="M9458" s="8"/>
    </row>
    <row r="9459">
      <c r="B9459" s="8"/>
      <c r="G9459" s="8"/>
      <c r="M9459" s="8"/>
    </row>
    <row r="9460">
      <c r="B9460" s="8"/>
      <c r="G9460" s="8"/>
      <c r="M9460" s="8"/>
    </row>
    <row r="9461">
      <c r="B9461" s="8"/>
      <c r="G9461" s="8"/>
      <c r="M9461" s="8"/>
    </row>
    <row r="9462">
      <c r="B9462" s="8"/>
      <c r="G9462" s="8"/>
      <c r="M9462" s="8"/>
    </row>
    <row r="9463">
      <c r="B9463" s="8"/>
      <c r="G9463" s="8"/>
      <c r="M9463" s="8"/>
    </row>
    <row r="9464">
      <c r="B9464" s="8"/>
      <c r="G9464" s="8"/>
      <c r="M9464" s="8"/>
    </row>
    <row r="9465">
      <c r="B9465" s="8"/>
      <c r="G9465" s="8"/>
      <c r="M9465" s="8"/>
    </row>
    <row r="9466">
      <c r="B9466" s="8"/>
      <c r="G9466" s="8"/>
      <c r="M9466" s="8"/>
    </row>
    <row r="9467">
      <c r="B9467" s="8"/>
      <c r="G9467" s="8"/>
      <c r="M9467" s="8"/>
    </row>
    <row r="9468">
      <c r="B9468" s="8"/>
      <c r="G9468" s="8"/>
      <c r="M9468" s="8"/>
    </row>
    <row r="9469">
      <c r="B9469" s="8"/>
      <c r="G9469" s="8"/>
      <c r="M9469" s="8"/>
    </row>
    <row r="9470">
      <c r="B9470" s="8"/>
      <c r="G9470" s="8"/>
      <c r="M9470" s="8"/>
    </row>
    <row r="9471">
      <c r="B9471" s="8"/>
      <c r="G9471" s="8"/>
      <c r="M9471" s="8"/>
    </row>
    <row r="9472">
      <c r="B9472" s="8"/>
      <c r="G9472" s="8"/>
      <c r="M9472" s="8"/>
    </row>
    <row r="9473">
      <c r="B9473" s="8"/>
      <c r="G9473" s="8"/>
      <c r="M9473" s="8"/>
    </row>
    <row r="9474">
      <c r="B9474" s="8"/>
      <c r="G9474" s="8"/>
      <c r="M9474" s="8"/>
    </row>
    <row r="9475">
      <c r="B9475" s="8"/>
      <c r="G9475" s="8"/>
      <c r="M9475" s="8"/>
    </row>
    <row r="9476">
      <c r="B9476" s="8"/>
      <c r="G9476" s="8"/>
      <c r="M9476" s="8"/>
    </row>
    <row r="9477">
      <c r="B9477" s="8"/>
      <c r="G9477" s="8"/>
      <c r="M9477" s="8"/>
    </row>
    <row r="9478">
      <c r="B9478" s="8"/>
      <c r="G9478" s="8"/>
      <c r="M9478" s="8"/>
    </row>
    <row r="9479">
      <c r="B9479" s="8"/>
      <c r="G9479" s="8"/>
      <c r="M9479" s="8"/>
    </row>
    <row r="9480">
      <c r="B9480" s="8"/>
      <c r="G9480" s="8"/>
      <c r="M9480" s="8"/>
    </row>
    <row r="9481">
      <c r="B9481" s="8"/>
      <c r="G9481" s="8"/>
      <c r="M9481" s="8"/>
    </row>
    <row r="9482">
      <c r="B9482" s="8"/>
      <c r="G9482" s="8"/>
      <c r="M9482" s="8"/>
    </row>
    <row r="9483">
      <c r="B9483" s="8"/>
      <c r="G9483" s="8"/>
      <c r="M9483" s="8"/>
    </row>
    <row r="9484">
      <c r="B9484" s="8"/>
      <c r="G9484" s="8"/>
      <c r="M9484" s="8"/>
    </row>
    <row r="9485">
      <c r="B9485" s="8"/>
      <c r="G9485" s="8"/>
      <c r="M9485" s="8"/>
    </row>
    <row r="9486">
      <c r="B9486" s="8"/>
      <c r="G9486" s="8"/>
      <c r="M9486" s="8"/>
    </row>
    <row r="9487">
      <c r="B9487" s="8"/>
      <c r="G9487" s="8"/>
      <c r="M9487" s="8"/>
    </row>
    <row r="9488">
      <c r="B9488" s="8"/>
      <c r="G9488" s="8"/>
      <c r="M9488" s="8"/>
    </row>
    <row r="9489">
      <c r="B9489" s="8"/>
      <c r="G9489" s="8"/>
      <c r="M9489" s="8"/>
    </row>
    <row r="9490">
      <c r="B9490" s="8"/>
      <c r="G9490" s="8"/>
      <c r="M9490" s="8"/>
    </row>
    <row r="9491">
      <c r="B9491" s="8"/>
      <c r="G9491" s="8"/>
      <c r="M9491" s="8"/>
    </row>
    <row r="9492">
      <c r="B9492" s="8"/>
      <c r="G9492" s="8"/>
      <c r="M9492" s="8"/>
    </row>
    <row r="9493">
      <c r="B9493" s="8"/>
      <c r="G9493" s="8"/>
      <c r="M9493" s="8"/>
    </row>
    <row r="9494">
      <c r="B9494" s="8"/>
      <c r="G9494" s="8"/>
      <c r="M9494" s="8"/>
    </row>
    <row r="9495">
      <c r="B9495" s="8"/>
      <c r="G9495" s="8"/>
      <c r="M9495" s="8"/>
    </row>
    <row r="9496">
      <c r="B9496" s="8"/>
      <c r="G9496" s="8"/>
      <c r="M9496" s="8"/>
    </row>
    <row r="9497">
      <c r="B9497" s="8"/>
      <c r="G9497" s="8"/>
      <c r="M9497" s="8"/>
    </row>
    <row r="9498">
      <c r="B9498" s="8"/>
      <c r="G9498" s="8"/>
      <c r="M9498" s="8"/>
    </row>
    <row r="9499">
      <c r="B9499" s="8"/>
      <c r="G9499" s="8"/>
      <c r="M9499" s="8"/>
    </row>
    <row r="9500">
      <c r="B9500" s="8"/>
      <c r="G9500" s="8"/>
      <c r="M9500" s="8"/>
    </row>
    <row r="9501">
      <c r="B9501" s="8"/>
      <c r="G9501" s="8"/>
      <c r="M9501" s="8"/>
    </row>
    <row r="9502">
      <c r="B9502" s="8"/>
      <c r="G9502" s="8"/>
      <c r="M9502" s="8"/>
    </row>
    <row r="9503">
      <c r="B9503" s="8"/>
      <c r="G9503" s="8"/>
      <c r="M9503" s="8"/>
    </row>
    <row r="9504">
      <c r="B9504" s="8"/>
      <c r="G9504" s="8"/>
      <c r="M9504" s="8"/>
    </row>
    <row r="9505">
      <c r="B9505" s="8"/>
      <c r="G9505" s="8"/>
      <c r="M9505" s="8"/>
    </row>
    <row r="9506">
      <c r="B9506" s="8"/>
      <c r="G9506" s="8"/>
      <c r="M9506" s="8"/>
    </row>
    <row r="9507">
      <c r="B9507" s="8"/>
      <c r="G9507" s="8"/>
      <c r="M9507" s="8"/>
    </row>
    <row r="9508">
      <c r="B9508" s="8"/>
      <c r="G9508" s="8"/>
      <c r="M9508" s="8"/>
    </row>
    <row r="9509">
      <c r="B9509" s="8"/>
      <c r="G9509" s="8"/>
      <c r="M9509" s="8"/>
    </row>
    <row r="9510">
      <c r="B9510" s="8"/>
      <c r="G9510" s="8"/>
      <c r="M9510" s="8"/>
    </row>
    <row r="9511">
      <c r="B9511" s="8"/>
      <c r="G9511" s="8"/>
      <c r="M9511" s="8"/>
    </row>
    <row r="9512">
      <c r="B9512" s="8"/>
      <c r="G9512" s="8"/>
      <c r="M9512" s="8"/>
    </row>
    <row r="9513">
      <c r="B9513" s="8"/>
      <c r="G9513" s="8"/>
      <c r="M9513" s="8"/>
    </row>
    <row r="9514">
      <c r="B9514" s="8"/>
      <c r="G9514" s="8"/>
      <c r="M9514" s="8"/>
    </row>
    <row r="9515">
      <c r="B9515" s="8"/>
      <c r="G9515" s="8"/>
      <c r="M9515" s="8"/>
    </row>
    <row r="9516">
      <c r="B9516" s="8"/>
      <c r="G9516" s="8"/>
      <c r="M9516" s="8"/>
    </row>
    <row r="9517">
      <c r="B9517" s="8"/>
      <c r="G9517" s="8"/>
      <c r="M9517" s="8"/>
    </row>
    <row r="9518">
      <c r="B9518" s="8"/>
      <c r="G9518" s="8"/>
      <c r="M9518" s="8"/>
    </row>
    <row r="9519">
      <c r="B9519" s="8"/>
      <c r="G9519" s="8"/>
      <c r="M9519" s="8"/>
    </row>
    <row r="9520">
      <c r="B9520" s="8"/>
      <c r="G9520" s="8"/>
      <c r="M9520" s="8"/>
    </row>
    <row r="9521">
      <c r="B9521" s="8"/>
      <c r="G9521" s="8"/>
      <c r="M9521" s="8"/>
    </row>
    <row r="9522">
      <c r="B9522" s="8"/>
      <c r="G9522" s="8"/>
      <c r="M9522" s="8"/>
    </row>
    <row r="9523">
      <c r="B9523" s="8"/>
      <c r="G9523" s="8"/>
      <c r="M9523" s="8"/>
    </row>
    <row r="9524">
      <c r="B9524" s="8"/>
      <c r="G9524" s="8"/>
      <c r="M9524" s="8"/>
    </row>
    <row r="9525">
      <c r="B9525" s="8"/>
      <c r="G9525" s="8"/>
      <c r="M9525" s="8"/>
    </row>
    <row r="9526">
      <c r="B9526" s="8"/>
      <c r="G9526" s="8"/>
      <c r="M9526" s="8"/>
    </row>
    <row r="9527">
      <c r="B9527" s="8"/>
      <c r="G9527" s="8"/>
      <c r="M9527" s="8"/>
    </row>
    <row r="9528">
      <c r="B9528" s="8"/>
      <c r="G9528" s="8"/>
      <c r="M9528" s="8"/>
    </row>
    <row r="9529">
      <c r="B9529" s="8"/>
      <c r="G9529" s="8"/>
      <c r="M9529" s="8"/>
    </row>
    <row r="9530">
      <c r="B9530" s="8"/>
      <c r="G9530" s="8"/>
      <c r="M9530" s="8"/>
    </row>
    <row r="9531">
      <c r="B9531" s="8"/>
      <c r="G9531" s="8"/>
      <c r="M9531" s="8"/>
    </row>
    <row r="9532">
      <c r="B9532" s="8"/>
      <c r="G9532" s="8"/>
      <c r="M9532" s="8"/>
    </row>
    <row r="9533">
      <c r="B9533" s="8"/>
      <c r="G9533" s="8"/>
      <c r="M9533" s="8"/>
    </row>
    <row r="9534">
      <c r="B9534" s="8"/>
      <c r="G9534" s="8"/>
      <c r="M9534" s="8"/>
    </row>
    <row r="9535">
      <c r="B9535" s="8"/>
      <c r="G9535" s="8"/>
      <c r="M9535" s="8"/>
    </row>
    <row r="9536">
      <c r="B9536" s="8"/>
      <c r="G9536" s="8"/>
      <c r="M9536" s="8"/>
    </row>
    <row r="9537">
      <c r="B9537" s="8"/>
      <c r="G9537" s="8"/>
      <c r="M9537" s="8"/>
    </row>
    <row r="9538">
      <c r="B9538" s="8"/>
      <c r="G9538" s="8"/>
      <c r="M9538" s="8"/>
    </row>
    <row r="9539">
      <c r="B9539" s="8"/>
      <c r="G9539" s="8"/>
      <c r="M9539" s="8"/>
    </row>
    <row r="9540">
      <c r="B9540" s="8"/>
      <c r="G9540" s="8"/>
      <c r="M9540" s="8"/>
    </row>
    <row r="9541">
      <c r="B9541" s="8"/>
      <c r="G9541" s="8"/>
      <c r="M9541" s="8"/>
    </row>
    <row r="9542">
      <c r="B9542" s="8"/>
      <c r="G9542" s="8"/>
      <c r="M9542" s="8"/>
    </row>
    <row r="9543">
      <c r="B9543" s="8"/>
      <c r="G9543" s="8"/>
      <c r="M9543" s="8"/>
    </row>
    <row r="9544">
      <c r="B9544" s="8"/>
      <c r="G9544" s="8"/>
      <c r="M9544" s="8"/>
    </row>
    <row r="9545">
      <c r="B9545" s="8"/>
      <c r="G9545" s="8"/>
      <c r="M9545" s="8"/>
    </row>
    <row r="9546">
      <c r="B9546" s="8"/>
      <c r="G9546" s="8"/>
      <c r="M9546" s="8"/>
    </row>
    <row r="9547">
      <c r="B9547" s="8"/>
      <c r="G9547" s="8"/>
      <c r="M9547" s="8"/>
    </row>
    <row r="9548">
      <c r="B9548" s="8"/>
      <c r="G9548" s="8"/>
      <c r="M9548" s="8"/>
    </row>
    <row r="9549">
      <c r="B9549" s="8"/>
      <c r="G9549" s="8"/>
      <c r="M9549" s="8"/>
    </row>
    <row r="9550">
      <c r="B9550" s="8"/>
      <c r="G9550" s="8"/>
      <c r="M9550" s="8"/>
    </row>
    <row r="9551">
      <c r="B9551" s="8"/>
      <c r="G9551" s="8"/>
      <c r="M9551" s="8"/>
    </row>
    <row r="9552">
      <c r="B9552" s="8"/>
      <c r="G9552" s="8"/>
      <c r="M9552" s="8"/>
    </row>
    <row r="9553">
      <c r="B9553" s="8"/>
      <c r="G9553" s="8"/>
      <c r="M9553" s="8"/>
    </row>
    <row r="9554">
      <c r="B9554" s="8"/>
      <c r="G9554" s="8"/>
      <c r="M9554" s="8"/>
    </row>
    <row r="9555">
      <c r="B9555" s="8"/>
      <c r="G9555" s="8"/>
      <c r="M9555" s="8"/>
    </row>
    <row r="9556">
      <c r="B9556" s="8"/>
      <c r="G9556" s="8"/>
      <c r="M9556" s="8"/>
    </row>
    <row r="9557">
      <c r="B9557" s="8"/>
      <c r="G9557" s="8"/>
      <c r="M9557" s="8"/>
    </row>
    <row r="9558">
      <c r="B9558" s="8"/>
      <c r="G9558" s="8"/>
      <c r="M9558" s="8"/>
    </row>
    <row r="9559">
      <c r="B9559" s="8"/>
      <c r="G9559" s="8"/>
      <c r="M9559" s="8"/>
    </row>
    <row r="9560">
      <c r="B9560" s="8"/>
      <c r="G9560" s="8"/>
      <c r="M9560" s="8"/>
    </row>
    <row r="9561">
      <c r="B9561" s="8"/>
      <c r="G9561" s="8"/>
      <c r="M9561" s="8"/>
    </row>
    <row r="9562">
      <c r="B9562" s="8"/>
      <c r="G9562" s="8"/>
      <c r="M9562" s="8"/>
    </row>
    <row r="9563">
      <c r="B9563" s="8"/>
      <c r="G9563" s="8"/>
      <c r="M9563" s="8"/>
    </row>
    <row r="9564">
      <c r="B9564" s="8"/>
      <c r="G9564" s="8"/>
      <c r="M9564" s="8"/>
    </row>
    <row r="9565">
      <c r="B9565" s="8"/>
      <c r="G9565" s="8"/>
      <c r="M9565" s="8"/>
    </row>
    <row r="9566">
      <c r="B9566" s="8"/>
      <c r="G9566" s="8"/>
      <c r="M9566" s="8"/>
    </row>
    <row r="9567">
      <c r="B9567" s="8"/>
      <c r="G9567" s="8"/>
      <c r="M9567" s="8"/>
    </row>
    <row r="9568">
      <c r="B9568" s="8"/>
      <c r="G9568" s="8"/>
      <c r="M9568" s="8"/>
    </row>
    <row r="9569">
      <c r="B9569" s="8"/>
      <c r="G9569" s="8"/>
      <c r="M9569" s="8"/>
    </row>
    <row r="9570">
      <c r="B9570" s="8"/>
      <c r="G9570" s="8"/>
      <c r="M9570" s="8"/>
    </row>
    <row r="9571">
      <c r="B9571" s="8"/>
      <c r="G9571" s="8"/>
      <c r="M9571" s="8"/>
    </row>
    <row r="9572">
      <c r="B9572" s="8"/>
      <c r="G9572" s="8"/>
      <c r="M9572" s="8"/>
    </row>
    <row r="9573">
      <c r="B9573" s="8"/>
      <c r="G9573" s="8"/>
      <c r="M9573" s="8"/>
    </row>
    <row r="9574">
      <c r="B9574" s="8"/>
      <c r="G9574" s="8"/>
      <c r="M9574" s="8"/>
    </row>
    <row r="9575">
      <c r="B9575" s="8"/>
      <c r="G9575" s="8"/>
      <c r="M9575" s="8"/>
    </row>
    <row r="9576">
      <c r="B9576" s="8"/>
      <c r="G9576" s="8"/>
      <c r="M9576" s="8"/>
    </row>
    <row r="9577">
      <c r="B9577" s="8"/>
      <c r="G9577" s="8"/>
      <c r="M9577" s="8"/>
    </row>
    <row r="9578">
      <c r="B9578" s="8"/>
      <c r="G9578" s="8"/>
      <c r="M9578" s="8"/>
    </row>
    <row r="9579">
      <c r="B9579" s="8"/>
      <c r="G9579" s="8"/>
      <c r="M9579" s="8"/>
    </row>
    <row r="9580">
      <c r="B9580" s="8"/>
      <c r="G9580" s="8"/>
      <c r="M9580" s="8"/>
    </row>
    <row r="9581">
      <c r="B9581" s="8"/>
      <c r="G9581" s="8"/>
      <c r="M9581" s="8"/>
    </row>
    <row r="9582">
      <c r="B9582" s="8"/>
      <c r="G9582" s="8"/>
      <c r="M9582" s="8"/>
    </row>
    <row r="9583">
      <c r="B9583" s="8"/>
      <c r="G9583" s="8"/>
      <c r="M9583" s="8"/>
    </row>
    <row r="9584">
      <c r="B9584" s="8"/>
      <c r="G9584" s="8"/>
      <c r="M9584" s="8"/>
    </row>
    <row r="9585">
      <c r="B9585" s="8"/>
      <c r="G9585" s="8"/>
      <c r="M9585" s="8"/>
    </row>
    <row r="9586">
      <c r="B9586" s="8"/>
      <c r="G9586" s="8"/>
      <c r="M9586" s="8"/>
    </row>
    <row r="9587">
      <c r="B9587" s="8"/>
      <c r="G9587" s="8"/>
      <c r="M9587" s="8"/>
    </row>
    <row r="9588">
      <c r="B9588" s="8"/>
      <c r="G9588" s="8"/>
      <c r="M9588" s="8"/>
    </row>
    <row r="9589">
      <c r="B9589" s="8"/>
      <c r="G9589" s="8"/>
      <c r="M9589" s="8"/>
    </row>
    <row r="9590">
      <c r="B9590" s="8"/>
      <c r="G9590" s="8"/>
      <c r="M9590" s="8"/>
    </row>
    <row r="9591">
      <c r="B9591" s="8"/>
      <c r="G9591" s="8"/>
      <c r="M9591" s="8"/>
    </row>
    <row r="9592">
      <c r="B9592" s="8"/>
      <c r="G9592" s="8"/>
      <c r="M9592" s="8"/>
    </row>
    <row r="9593">
      <c r="B9593" s="8"/>
      <c r="G9593" s="8"/>
      <c r="M9593" s="8"/>
    </row>
    <row r="9594">
      <c r="B9594" s="8"/>
      <c r="G9594" s="8"/>
      <c r="M9594" s="8"/>
    </row>
    <row r="9595">
      <c r="B9595" s="8"/>
      <c r="G9595" s="8"/>
      <c r="M9595" s="8"/>
    </row>
    <row r="9596">
      <c r="B9596" s="8"/>
      <c r="G9596" s="8"/>
      <c r="M9596" s="8"/>
    </row>
    <row r="9597">
      <c r="B9597" s="8"/>
      <c r="G9597" s="8"/>
      <c r="M9597" s="8"/>
    </row>
    <row r="9598">
      <c r="B9598" s="8"/>
      <c r="G9598" s="8"/>
      <c r="M9598" s="8"/>
    </row>
    <row r="9599">
      <c r="B9599" s="8"/>
      <c r="G9599" s="8"/>
      <c r="M9599" s="8"/>
    </row>
    <row r="9600">
      <c r="B9600" s="8"/>
      <c r="G9600" s="8"/>
      <c r="M9600" s="8"/>
    </row>
    <row r="9601">
      <c r="B9601" s="8"/>
      <c r="G9601" s="8"/>
      <c r="M9601" s="8"/>
    </row>
    <row r="9602">
      <c r="B9602" s="8"/>
      <c r="G9602" s="8"/>
      <c r="M9602" s="8"/>
    </row>
    <row r="9603">
      <c r="B9603" s="8"/>
      <c r="G9603" s="8"/>
      <c r="M9603" s="8"/>
    </row>
    <row r="9604">
      <c r="B9604" s="8"/>
      <c r="G9604" s="8"/>
      <c r="M9604" s="8"/>
    </row>
    <row r="9605">
      <c r="B9605" s="8"/>
      <c r="G9605" s="8"/>
      <c r="M9605" s="8"/>
    </row>
    <row r="9606">
      <c r="B9606" s="8"/>
      <c r="G9606" s="8"/>
      <c r="M9606" s="8"/>
    </row>
    <row r="9607">
      <c r="B9607" s="8"/>
      <c r="G9607" s="8"/>
      <c r="M9607" s="8"/>
    </row>
    <row r="9608">
      <c r="B9608" s="8"/>
      <c r="G9608" s="8"/>
      <c r="M9608" s="8"/>
    </row>
    <row r="9609">
      <c r="B9609" s="8"/>
      <c r="G9609" s="8"/>
      <c r="M9609" s="8"/>
    </row>
    <row r="9610">
      <c r="B9610" s="8"/>
      <c r="G9610" s="8"/>
      <c r="M9610" s="8"/>
    </row>
    <row r="9611">
      <c r="B9611" s="8"/>
      <c r="G9611" s="8"/>
      <c r="M9611" s="8"/>
    </row>
    <row r="9612">
      <c r="B9612" s="8"/>
      <c r="G9612" s="8"/>
      <c r="M9612" s="8"/>
    </row>
    <row r="9613">
      <c r="B9613" s="8"/>
      <c r="G9613" s="8"/>
      <c r="M9613" s="8"/>
    </row>
    <row r="9614">
      <c r="B9614" s="8"/>
      <c r="G9614" s="8"/>
      <c r="M9614" s="8"/>
    </row>
    <row r="9615">
      <c r="B9615" s="8"/>
      <c r="G9615" s="8"/>
      <c r="M9615" s="8"/>
    </row>
    <row r="9616">
      <c r="B9616" s="8"/>
      <c r="G9616" s="8"/>
      <c r="M9616" s="8"/>
    </row>
    <row r="9617">
      <c r="B9617" s="8"/>
      <c r="G9617" s="8"/>
      <c r="M9617" s="8"/>
    </row>
    <row r="9618">
      <c r="B9618" s="8"/>
      <c r="G9618" s="8"/>
      <c r="M9618" s="8"/>
    </row>
    <row r="9619">
      <c r="B9619" s="8"/>
      <c r="G9619" s="8"/>
      <c r="M9619" s="8"/>
    </row>
    <row r="9620">
      <c r="B9620" s="8"/>
      <c r="G9620" s="8"/>
      <c r="M9620" s="8"/>
    </row>
    <row r="9621">
      <c r="B9621" s="8"/>
      <c r="G9621" s="8"/>
      <c r="M9621" s="8"/>
    </row>
    <row r="9622">
      <c r="B9622" s="8"/>
      <c r="G9622" s="8"/>
      <c r="M9622" s="8"/>
    </row>
    <row r="9623">
      <c r="B9623" s="8"/>
      <c r="G9623" s="8"/>
      <c r="M9623" s="8"/>
    </row>
    <row r="9624">
      <c r="B9624" s="8"/>
      <c r="G9624" s="8"/>
      <c r="M9624" s="8"/>
    </row>
    <row r="9625">
      <c r="B9625" s="8"/>
      <c r="G9625" s="8"/>
      <c r="M9625" s="8"/>
    </row>
    <row r="9626">
      <c r="B9626" s="8"/>
      <c r="G9626" s="8"/>
      <c r="M9626" s="8"/>
    </row>
    <row r="9627">
      <c r="B9627" s="8"/>
      <c r="G9627" s="8"/>
      <c r="M9627" s="8"/>
    </row>
    <row r="9628">
      <c r="B9628" s="8"/>
      <c r="G9628" s="8"/>
      <c r="M9628" s="8"/>
    </row>
    <row r="9629">
      <c r="B9629" s="8"/>
      <c r="G9629" s="8"/>
      <c r="M9629" s="8"/>
    </row>
    <row r="9630">
      <c r="B9630" s="8"/>
      <c r="G9630" s="8"/>
      <c r="M9630" s="8"/>
    </row>
    <row r="9631">
      <c r="B9631" s="8"/>
      <c r="G9631" s="8"/>
      <c r="M9631" s="8"/>
    </row>
    <row r="9632">
      <c r="B9632" s="8"/>
      <c r="G9632" s="8"/>
      <c r="M9632" s="8"/>
    </row>
    <row r="9633">
      <c r="B9633" s="8"/>
      <c r="G9633" s="8"/>
      <c r="M9633" s="8"/>
    </row>
    <row r="9634">
      <c r="B9634" s="8"/>
      <c r="G9634" s="8"/>
      <c r="M9634" s="8"/>
    </row>
    <row r="9635">
      <c r="B9635" s="8"/>
      <c r="G9635" s="8"/>
      <c r="M9635" s="8"/>
    </row>
    <row r="9636">
      <c r="B9636" s="8"/>
      <c r="G9636" s="8"/>
      <c r="M9636" s="8"/>
    </row>
    <row r="9637">
      <c r="B9637" s="8"/>
      <c r="G9637" s="8"/>
      <c r="M9637" s="8"/>
    </row>
    <row r="9638">
      <c r="B9638" s="8"/>
      <c r="G9638" s="8"/>
      <c r="M9638" s="8"/>
    </row>
    <row r="9639">
      <c r="B9639" s="8"/>
      <c r="G9639" s="8"/>
      <c r="M9639" s="8"/>
    </row>
    <row r="9640">
      <c r="B9640" s="8"/>
      <c r="G9640" s="8"/>
      <c r="M9640" s="8"/>
    </row>
    <row r="9641">
      <c r="B9641" s="8"/>
      <c r="G9641" s="8"/>
      <c r="M9641" s="8"/>
    </row>
    <row r="9642">
      <c r="B9642" s="8"/>
      <c r="G9642" s="8"/>
      <c r="M9642" s="8"/>
    </row>
    <row r="9643">
      <c r="B9643" s="8"/>
      <c r="G9643" s="8"/>
      <c r="M9643" s="8"/>
    </row>
    <row r="9644">
      <c r="B9644" s="8"/>
      <c r="G9644" s="8"/>
      <c r="M9644" s="8"/>
    </row>
    <row r="9645">
      <c r="B9645" s="8"/>
      <c r="G9645" s="8"/>
      <c r="M9645" s="8"/>
    </row>
    <row r="9646">
      <c r="B9646" s="8"/>
      <c r="G9646" s="8"/>
      <c r="M9646" s="8"/>
    </row>
    <row r="9647">
      <c r="B9647" s="8"/>
      <c r="G9647" s="8"/>
      <c r="M9647" s="8"/>
    </row>
    <row r="9648">
      <c r="B9648" s="8"/>
      <c r="G9648" s="8"/>
      <c r="M9648" s="8"/>
    </row>
    <row r="9649">
      <c r="B9649" s="8"/>
      <c r="G9649" s="8"/>
      <c r="M9649" s="8"/>
    </row>
    <row r="9650">
      <c r="B9650" s="8"/>
      <c r="G9650" s="8"/>
      <c r="M9650" s="8"/>
    </row>
    <row r="9651">
      <c r="B9651" s="8"/>
      <c r="G9651" s="8"/>
      <c r="M9651" s="8"/>
    </row>
    <row r="9652">
      <c r="B9652" s="8"/>
      <c r="G9652" s="8"/>
      <c r="M9652" s="8"/>
    </row>
    <row r="9653">
      <c r="B9653" s="8"/>
      <c r="G9653" s="8"/>
      <c r="M9653" s="8"/>
    </row>
    <row r="9654">
      <c r="B9654" s="8"/>
      <c r="G9654" s="8"/>
      <c r="M9654" s="8"/>
    </row>
    <row r="9655">
      <c r="B9655" s="8"/>
      <c r="G9655" s="8"/>
      <c r="M9655" s="8"/>
    </row>
    <row r="9656">
      <c r="B9656" s="8"/>
      <c r="G9656" s="8"/>
      <c r="M9656" s="8"/>
    </row>
    <row r="9657">
      <c r="B9657" s="8"/>
      <c r="G9657" s="8"/>
      <c r="M9657" s="8"/>
    </row>
    <row r="9658">
      <c r="B9658" s="8"/>
      <c r="G9658" s="8"/>
      <c r="M9658" s="8"/>
    </row>
    <row r="9659">
      <c r="B9659" s="8"/>
      <c r="G9659" s="8"/>
      <c r="M9659" s="8"/>
    </row>
    <row r="9660">
      <c r="B9660" s="8"/>
      <c r="G9660" s="8"/>
      <c r="M9660" s="8"/>
    </row>
    <row r="9661">
      <c r="B9661" s="8"/>
      <c r="G9661" s="8"/>
      <c r="M9661" s="8"/>
    </row>
    <row r="9662">
      <c r="B9662" s="8"/>
      <c r="G9662" s="8"/>
      <c r="M9662" s="8"/>
    </row>
    <row r="9663">
      <c r="B9663" s="8"/>
      <c r="G9663" s="8"/>
      <c r="M9663" s="8"/>
    </row>
    <row r="9664">
      <c r="B9664" s="8"/>
      <c r="G9664" s="8"/>
      <c r="M9664" s="8"/>
    </row>
    <row r="9665">
      <c r="B9665" s="8"/>
      <c r="G9665" s="8"/>
      <c r="M9665" s="8"/>
    </row>
    <row r="9666">
      <c r="B9666" s="8"/>
      <c r="G9666" s="8"/>
      <c r="M9666" s="8"/>
    </row>
    <row r="9667">
      <c r="B9667" s="8"/>
      <c r="G9667" s="8"/>
      <c r="M9667" s="8"/>
    </row>
    <row r="9668">
      <c r="B9668" s="8"/>
      <c r="G9668" s="8"/>
      <c r="M9668" s="8"/>
    </row>
    <row r="9669">
      <c r="B9669" s="8"/>
      <c r="G9669" s="8"/>
      <c r="M9669" s="8"/>
    </row>
    <row r="9670">
      <c r="B9670" s="8"/>
      <c r="G9670" s="8"/>
      <c r="M9670" s="8"/>
    </row>
    <row r="9671">
      <c r="B9671" s="8"/>
      <c r="G9671" s="8"/>
      <c r="M9671" s="8"/>
    </row>
    <row r="9672">
      <c r="B9672" s="8"/>
      <c r="G9672" s="8"/>
      <c r="M9672" s="8"/>
    </row>
    <row r="9673">
      <c r="B9673" s="8"/>
      <c r="G9673" s="8"/>
      <c r="M9673" s="8"/>
    </row>
    <row r="9674">
      <c r="B9674" s="8"/>
      <c r="G9674" s="8"/>
      <c r="M9674" s="8"/>
    </row>
    <row r="9675">
      <c r="B9675" s="8"/>
      <c r="G9675" s="8"/>
      <c r="M9675" s="8"/>
    </row>
    <row r="9676">
      <c r="B9676" s="8"/>
      <c r="G9676" s="8"/>
      <c r="M9676" s="8"/>
    </row>
    <row r="9677">
      <c r="B9677" s="8"/>
      <c r="G9677" s="8"/>
      <c r="M9677" s="8"/>
    </row>
    <row r="9678">
      <c r="B9678" s="8"/>
      <c r="G9678" s="8"/>
      <c r="M9678" s="8"/>
    </row>
    <row r="9679">
      <c r="B9679" s="8"/>
      <c r="G9679" s="8"/>
      <c r="M9679" s="8"/>
    </row>
    <row r="9680">
      <c r="B9680" s="8"/>
      <c r="G9680" s="8"/>
      <c r="M9680" s="8"/>
    </row>
    <row r="9681">
      <c r="B9681" s="8"/>
      <c r="G9681" s="8"/>
      <c r="M9681" s="8"/>
    </row>
    <row r="9682">
      <c r="B9682" s="8"/>
      <c r="G9682" s="8"/>
      <c r="M9682" s="8"/>
    </row>
    <row r="9683">
      <c r="B9683" s="8"/>
      <c r="G9683" s="8"/>
      <c r="M9683" s="8"/>
    </row>
    <row r="9684">
      <c r="B9684" s="8"/>
      <c r="G9684" s="8"/>
      <c r="M9684" s="8"/>
    </row>
    <row r="9685">
      <c r="B9685" s="8"/>
      <c r="G9685" s="8"/>
      <c r="M9685" s="8"/>
    </row>
    <row r="9686">
      <c r="B9686" s="8"/>
      <c r="G9686" s="8"/>
      <c r="M9686" s="8"/>
    </row>
    <row r="9687">
      <c r="B9687" s="8"/>
      <c r="G9687" s="8"/>
      <c r="M9687" s="8"/>
    </row>
    <row r="9688">
      <c r="B9688" s="8"/>
      <c r="G9688" s="8"/>
      <c r="M9688" s="8"/>
    </row>
    <row r="9689">
      <c r="B9689" s="8"/>
      <c r="G9689" s="8"/>
      <c r="M9689" s="8"/>
    </row>
    <row r="9690">
      <c r="B9690" s="8"/>
      <c r="G9690" s="8"/>
      <c r="M9690" s="8"/>
    </row>
    <row r="9691">
      <c r="B9691" s="8"/>
      <c r="G9691" s="8"/>
      <c r="M9691" s="8"/>
    </row>
    <row r="9692">
      <c r="B9692" s="8"/>
      <c r="G9692" s="8"/>
      <c r="M9692" s="8"/>
    </row>
    <row r="9693">
      <c r="B9693" s="8"/>
      <c r="G9693" s="8"/>
      <c r="M9693" s="8"/>
    </row>
    <row r="9694">
      <c r="B9694" s="8"/>
      <c r="G9694" s="8"/>
      <c r="M9694" s="8"/>
    </row>
    <row r="9695">
      <c r="B9695" s="8"/>
      <c r="G9695" s="8"/>
      <c r="M9695" s="8"/>
    </row>
    <row r="9696">
      <c r="B9696" s="8"/>
      <c r="G9696" s="8"/>
      <c r="M9696" s="8"/>
    </row>
    <row r="9697">
      <c r="B9697" s="8"/>
      <c r="G9697" s="8"/>
      <c r="M9697" s="8"/>
    </row>
    <row r="9698">
      <c r="B9698" s="8"/>
      <c r="G9698" s="8"/>
      <c r="M9698" s="8"/>
    </row>
    <row r="9699">
      <c r="B9699" s="8"/>
      <c r="G9699" s="8"/>
      <c r="M9699" s="8"/>
    </row>
    <row r="9700">
      <c r="B9700" s="8"/>
      <c r="G9700" s="8"/>
      <c r="M9700" s="8"/>
    </row>
    <row r="9701">
      <c r="B9701" s="8"/>
      <c r="G9701" s="8"/>
      <c r="M9701" s="8"/>
    </row>
    <row r="9702">
      <c r="B9702" s="8"/>
      <c r="G9702" s="8"/>
      <c r="M9702" s="8"/>
    </row>
    <row r="9703">
      <c r="B9703" s="8"/>
      <c r="G9703" s="8"/>
      <c r="M9703" s="8"/>
    </row>
    <row r="9704">
      <c r="B9704" s="8"/>
      <c r="G9704" s="8"/>
      <c r="M9704" s="8"/>
    </row>
    <row r="9705">
      <c r="B9705" s="8"/>
      <c r="G9705" s="8"/>
      <c r="M9705" s="8"/>
    </row>
    <row r="9706">
      <c r="B9706" s="8"/>
      <c r="G9706" s="8"/>
      <c r="M9706" s="8"/>
    </row>
    <row r="9707">
      <c r="B9707" s="8"/>
      <c r="G9707" s="8"/>
      <c r="M9707" s="8"/>
    </row>
    <row r="9708">
      <c r="B9708" s="8"/>
      <c r="G9708" s="8"/>
      <c r="M9708" s="8"/>
    </row>
    <row r="9709">
      <c r="B9709" s="8"/>
      <c r="G9709" s="8"/>
      <c r="M9709" s="8"/>
    </row>
    <row r="9710">
      <c r="B9710" s="8"/>
      <c r="G9710" s="8"/>
      <c r="M9710" s="8"/>
    </row>
    <row r="9711">
      <c r="B9711" s="8"/>
      <c r="G9711" s="8"/>
      <c r="M9711" s="8"/>
    </row>
    <row r="9712">
      <c r="B9712" s="8"/>
      <c r="G9712" s="8"/>
      <c r="M9712" s="8"/>
    </row>
    <row r="9713">
      <c r="B9713" s="8"/>
      <c r="G9713" s="8"/>
      <c r="M9713" s="8"/>
    </row>
    <row r="9714">
      <c r="B9714" s="8"/>
      <c r="G9714" s="8"/>
      <c r="M9714" s="8"/>
    </row>
    <row r="9715">
      <c r="B9715" s="8"/>
      <c r="G9715" s="8"/>
      <c r="M9715" s="8"/>
    </row>
    <row r="9716">
      <c r="B9716" s="8"/>
      <c r="G9716" s="8"/>
      <c r="M9716" s="8"/>
    </row>
    <row r="9717">
      <c r="B9717" s="8"/>
      <c r="G9717" s="8"/>
      <c r="M9717" s="8"/>
    </row>
    <row r="9718">
      <c r="B9718" s="8"/>
      <c r="G9718" s="8"/>
      <c r="M9718" s="8"/>
    </row>
    <row r="9719">
      <c r="B9719" s="8"/>
      <c r="G9719" s="8"/>
      <c r="M9719" s="8"/>
    </row>
    <row r="9720">
      <c r="B9720" s="8"/>
      <c r="G9720" s="8"/>
      <c r="M9720" s="8"/>
    </row>
    <row r="9721">
      <c r="B9721" s="8"/>
      <c r="G9721" s="8"/>
      <c r="M9721" s="8"/>
    </row>
    <row r="9722">
      <c r="B9722" s="8"/>
      <c r="G9722" s="8"/>
      <c r="M9722" s="8"/>
    </row>
    <row r="9723">
      <c r="B9723" s="8"/>
      <c r="G9723" s="8"/>
      <c r="M9723" s="8"/>
    </row>
    <row r="9724">
      <c r="B9724" s="8"/>
      <c r="G9724" s="8"/>
      <c r="M9724" s="8"/>
    </row>
    <row r="9725">
      <c r="B9725" s="8"/>
      <c r="G9725" s="8"/>
      <c r="M9725" s="8"/>
    </row>
    <row r="9726">
      <c r="B9726" s="8"/>
      <c r="G9726" s="8"/>
      <c r="M9726" s="8"/>
    </row>
    <row r="9727">
      <c r="B9727" s="8"/>
      <c r="G9727" s="8"/>
      <c r="M9727" s="8"/>
    </row>
    <row r="9728">
      <c r="B9728" s="8"/>
      <c r="G9728" s="8"/>
      <c r="M9728" s="8"/>
    </row>
    <row r="9729">
      <c r="B9729" s="8"/>
      <c r="G9729" s="8"/>
      <c r="M9729" s="8"/>
    </row>
    <row r="9730">
      <c r="B9730" s="8"/>
      <c r="G9730" s="8"/>
      <c r="M9730" s="8"/>
    </row>
    <row r="9731">
      <c r="B9731" s="8"/>
      <c r="G9731" s="8"/>
      <c r="M9731" s="8"/>
    </row>
    <row r="9732">
      <c r="B9732" s="8"/>
      <c r="G9732" s="8"/>
      <c r="M9732" s="8"/>
    </row>
    <row r="9733">
      <c r="B9733" s="8"/>
      <c r="G9733" s="8"/>
      <c r="M9733" s="8"/>
    </row>
    <row r="9734">
      <c r="B9734" s="8"/>
      <c r="G9734" s="8"/>
      <c r="M9734" s="8"/>
    </row>
    <row r="9735">
      <c r="B9735" s="8"/>
      <c r="G9735" s="8"/>
      <c r="M9735" s="8"/>
    </row>
    <row r="9736">
      <c r="B9736" s="8"/>
      <c r="G9736" s="8"/>
      <c r="M9736" s="8"/>
    </row>
    <row r="9737">
      <c r="B9737" s="8"/>
      <c r="G9737" s="8"/>
      <c r="M9737" s="8"/>
    </row>
    <row r="9738">
      <c r="B9738" s="8"/>
      <c r="G9738" s="8"/>
      <c r="M9738" s="8"/>
    </row>
    <row r="9739">
      <c r="B9739" s="8"/>
      <c r="G9739" s="8"/>
      <c r="M9739" s="8"/>
    </row>
    <row r="9740">
      <c r="B9740" s="8"/>
      <c r="G9740" s="8"/>
      <c r="M9740" s="8"/>
    </row>
    <row r="9741">
      <c r="B9741" s="8"/>
      <c r="G9741" s="8"/>
      <c r="M9741" s="8"/>
    </row>
    <row r="9742">
      <c r="B9742" s="8"/>
      <c r="G9742" s="8"/>
      <c r="M9742" s="8"/>
    </row>
    <row r="9743">
      <c r="B9743" s="8"/>
      <c r="G9743" s="8"/>
      <c r="M9743" s="8"/>
    </row>
    <row r="9744">
      <c r="B9744" s="8"/>
      <c r="G9744" s="8"/>
      <c r="M9744" s="8"/>
    </row>
    <row r="9745">
      <c r="B9745" s="8"/>
      <c r="G9745" s="8"/>
      <c r="M9745" s="8"/>
    </row>
    <row r="9746">
      <c r="B9746" s="8"/>
      <c r="G9746" s="8"/>
      <c r="M9746" s="8"/>
    </row>
    <row r="9747">
      <c r="B9747" s="8"/>
      <c r="G9747" s="8"/>
      <c r="M9747" s="8"/>
    </row>
    <row r="9748">
      <c r="B9748" s="8"/>
      <c r="G9748" s="8"/>
      <c r="M9748" s="8"/>
    </row>
    <row r="9749">
      <c r="B9749" s="8"/>
      <c r="G9749" s="8"/>
      <c r="M9749" s="8"/>
    </row>
    <row r="9750">
      <c r="B9750" s="8"/>
      <c r="G9750" s="8"/>
      <c r="M9750" s="8"/>
    </row>
    <row r="9751">
      <c r="B9751" s="8"/>
      <c r="G9751" s="8"/>
      <c r="M9751" s="8"/>
    </row>
    <row r="9752">
      <c r="B9752" s="8"/>
      <c r="G9752" s="8"/>
      <c r="M9752" s="8"/>
    </row>
    <row r="9753">
      <c r="B9753" s="8"/>
      <c r="G9753" s="8"/>
      <c r="M9753" s="8"/>
    </row>
    <row r="9754">
      <c r="B9754" s="8"/>
      <c r="G9754" s="8"/>
      <c r="M9754" s="8"/>
    </row>
    <row r="9755">
      <c r="B9755" s="8"/>
      <c r="G9755" s="8"/>
      <c r="M9755" s="8"/>
    </row>
    <row r="9756">
      <c r="B9756" s="8"/>
      <c r="G9756" s="8"/>
      <c r="M9756" s="8"/>
    </row>
    <row r="9757">
      <c r="B9757" s="8"/>
      <c r="G9757" s="8"/>
      <c r="M9757" s="8"/>
    </row>
    <row r="9758">
      <c r="B9758" s="8"/>
      <c r="G9758" s="8"/>
      <c r="M9758" s="8"/>
    </row>
    <row r="9759">
      <c r="B9759" s="8"/>
      <c r="G9759" s="8"/>
      <c r="M9759" s="8"/>
    </row>
    <row r="9760">
      <c r="B9760" s="8"/>
      <c r="G9760" s="8"/>
      <c r="M9760" s="8"/>
    </row>
    <row r="9761">
      <c r="B9761" s="8"/>
      <c r="G9761" s="8"/>
      <c r="M9761" s="8"/>
    </row>
    <row r="9762">
      <c r="B9762" s="8"/>
      <c r="G9762" s="8"/>
      <c r="M9762" s="8"/>
    </row>
    <row r="9763">
      <c r="B9763" s="8"/>
      <c r="G9763" s="8"/>
      <c r="M9763" s="8"/>
    </row>
    <row r="9764">
      <c r="B9764" s="8"/>
      <c r="G9764" s="8"/>
      <c r="M9764" s="8"/>
    </row>
    <row r="9765">
      <c r="B9765" s="8"/>
      <c r="G9765" s="8"/>
      <c r="M9765" s="8"/>
    </row>
    <row r="9766">
      <c r="B9766" s="8"/>
      <c r="G9766" s="8"/>
      <c r="M9766" s="8"/>
    </row>
    <row r="9767">
      <c r="B9767" s="8"/>
      <c r="G9767" s="8"/>
      <c r="M9767" s="8"/>
    </row>
    <row r="9768">
      <c r="B9768" s="8"/>
      <c r="G9768" s="8"/>
      <c r="M9768" s="8"/>
    </row>
    <row r="9769">
      <c r="B9769" s="8"/>
      <c r="G9769" s="8"/>
      <c r="M9769" s="8"/>
    </row>
    <row r="9770">
      <c r="B9770" s="8"/>
      <c r="G9770" s="8"/>
      <c r="M9770" s="8"/>
    </row>
    <row r="9771">
      <c r="B9771" s="8"/>
      <c r="G9771" s="8"/>
      <c r="M9771" s="8"/>
    </row>
    <row r="9772">
      <c r="B9772" s="8"/>
      <c r="G9772" s="8"/>
      <c r="M9772" s="8"/>
    </row>
    <row r="9773">
      <c r="B9773" s="8"/>
      <c r="G9773" s="8"/>
      <c r="M9773" s="8"/>
    </row>
    <row r="9774">
      <c r="B9774" s="8"/>
      <c r="G9774" s="8"/>
      <c r="M9774" s="8"/>
    </row>
    <row r="9775">
      <c r="B9775" s="8"/>
      <c r="G9775" s="8"/>
      <c r="M9775" s="8"/>
    </row>
    <row r="9776">
      <c r="B9776" s="8"/>
      <c r="G9776" s="8"/>
      <c r="M9776" s="8"/>
    </row>
    <row r="9777">
      <c r="B9777" s="8"/>
      <c r="G9777" s="8"/>
      <c r="M9777" s="8"/>
    </row>
    <row r="9778">
      <c r="B9778" s="8"/>
      <c r="G9778" s="8"/>
      <c r="M9778" s="8"/>
    </row>
    <row r="9779">
      <c r="B9779" s="8"/>
      <c r="G9779" s="8"/>
      <c r="M9779" s="8"/>
    </row>
    <row r="9780">
      <c r="B9780" s="8"/>
      <c r="G9780" s="8"/>
      <c r="M9780" s="8"/>
    </row>
    <row r="9781">
      <c r="B9781" s="8"/>
      <c r="G9781" s="8"/>
      <c r="M9781" s="8"/>
    </row>
    <row r="9782">
      <c r="B9782" s="8"/>
      <c r="G9782" s="8"/>
      <c r="M9782" s="8"/>
    </row>
    <row r="9783">
      <c r="B9783" s="8"/>
      <c r="G9783" s="8"/>
      <c r="M9783" s="8"/>
    </row>
    <row r="9784">
      <c r="B9784" s="8"/>
      <c r="G9784" s="8"/>
      <c r="M9784" s="8"/>
    </row>
    <row r="9785">
      <c r="B9785" s="8"/>
      <c r="G9785" s="8"/>
      <c r="M9785" s="8"/>
    </row>
    <row r="9786">
      <c r="B9786" s="8"/>
      <c r="G9786" s="8"/>
      <c r="M9786" s="8"/>
    </row>
    <row r="9787">
      <c r="B9787" s="8"/>
      <c r="G9787" s="8"/>
      <c r="M9787" s="8"/>
    </row>
    <row r="9788">
      <c r="B9788" s="8"/>
      <c r="G9788" s="8"/>
      <c r="M9788" s="8"/>
    </row>
    <row r="9789">
      <c r="B9789" s="8"/>
      <c r="G9789" s="8"/>
      <c r="M9789" s="8"/>
    </row>
    <row r="9790">
      <c r="B9790" s="8"/>
      <c r="G9790" s="8"/>
      <c r="M9790" s="8"/>
    </row>
    <row r="9791">
      <c r="B9791" s="8"/>
      <c r="G9791" s="8"/>
      <c r="M9791" s="8"/>
    </row>
    <row r="9792">
      <c r="B9792" s="8"/>
      <c r="G9792" s="8"/>
      <c r="M9792" s="8"/>
    </row>
    <row r="9793">
      <c r="B9793" s="8"/>
      <c r="G9793" s="8"/>
      <c r="M9793" s="8"/>
    </row>
    <row r="9794">
      <c r="B9794" s="8"/>
      <c r="G9794" s="8"/>
      <c r="M9794" s="8"/>
    </row>
    <row r="9795">
      <c r="B9795" s="8"/>
      <c r="G9795" s="8"/>
      <c r="M9795" s="8"/>
    </row>
    <row r="9796">
      <c r="B9796" s="8"/>
      <c r="G9796" s="8"/>
      <c r="M9796" s="8"/>
    </row>
    <row r="9797">
      <c r="B9797" s="8"/>
      <c r="G9797" s="8"/>
      <c r="M9797" s="8"/>
    </row>
    <row r="9798">
      <c r="B9798" s="8"/>
      <c r="G9798" s="8"/>
      <c r="M9798" s="8"/>
    </row>
    <row r="9799">
      <c r="B9799" s="8"/>
      <c r="G9799" s="8"/>
      <c r="M9799" s="8"/>
    </row>
    <row r="9800">
      <c r="B9800" s="8"/>
      <c r="G9800" s="8"/>
      <c r="M9800" s="8"/>
    </row>
    <row r="9801">
      <c r="B9801" s="8"/>
      <c r="G9801" s="8"/>
      <c r="M9801" s="8"/>
    </row>
    <row r="9802">
      <c r="B9802" s="8"/>
      <c r="G9802" s="8"/>
      <c r="M9802" s="8"/>
    </row>
    <row r="9803">
      <c r="B9803" s="8"/>
      <c r="G9803" s="8"/>
      <c r="M9803" s="8"/>
    </row>
    <row r="9804">
      <c r="B9804" s="8"/>
      <c r="G9804" s="8"/>
      <c r="M9804" s="8"/>
    </row>
    <row r="9805">
      <c r="B9805" s="8"/>
      <c r="G9805" s="8"/>
      <c r="M9805" s="8"/>
    </row>
    <row r="9806">
      <c r="B9806" s="8"/>
      <c r="G9806" s="8"/>
      <c r="M9806" s="8"/>
    </row>
    <row r="9807">
      <c r="B9807" s="8"/>
      <c r="G9807" s="8"/>
      <c r="M9807" s="8"/>
    </row>
    <row r="9808">
      <c r="B9808" s="8"/>
      <c r="G9808" s="8"/>
      <c r="M9808" s="8"/>
    </row>
    <row r="9809">
      <c r="B9809" s="8"/>
      <c r="G9809" s="8"/>
      <c r="M9809" s="8"/>
    </row>
    <row r="9810">
      <c r="B9810" s="8"/>
      <c r="G9810" s="8"/>
      <c r="M9810" s="8"/>
    </row>
    <row r="9811">
      <c r="B9811" s="8"/>
      <c r="G9811" s="8"/>
      <c r="M9811" s="8"/>
    </row>
    <row r="9812">
      <c r="B9812" s="8"/>
      <c r="G9812" s="8"/>
      <c r="M9812" s="8"/>
    </row>
    <row r="9813">
      <c r="B9813" s="8"/>
      <c r="G9813" s="8"/>
      <c r="M9813" s="8"/>
    </row>
    <row r="9814">
      <c r="B9814" s="8"/>
      <c r="G9814" s="8"/>
      <c r="M9814" s="8"/>
    </row>
    <row r="9815">
      <c r="B9815" s="8"/>
      <c r="G9815" s="8"/>
      <c r="M9815" s="8"/>
    </row>
    <row r="9816">
      <c r="B9816" s="8"/>
      <c r="G9816" s="8"/>
      <c r="M9816" s="8"/>
    </row>
    <row r="9817">
      <c r="B9817" s="8"/>
      <c r="G9817" s="8"/>
      <c r="M9817" s="8"/>
    </row>
    <row r="9818">
      <c r="B9818" s="8"/>
      <c r="G9818" s="8"/>
      <c r="M9818" s="8"/>
    </row>
    <row r="9819">
      <c r="B9819" s="8"/>
      <c r="G9819" s="8"/>
      <c r="M9819" s="8"/>
    </row>
    <row r="9820">
      <c r="B9820" s="8"/>
      <c r="G9820" s="8"/>
      <c r="M9820" s="8"/>
    </row>
    <row r="9821">
      <c r="B9821" s="8"/>
      <c r="G9821" s="8"/>
      <c r="M9821" s="8"/>
    </row>
    <row r="9822">
      <c r="B9822" s="8"/>
      <c r="G9822" s="8"/>
      <c r="M9822" s="8"/>
    </row>
    <row r="9823">
      <c r="B9823" s="8"/>
      <c r="G9823" s="8"/>
      <c r="M9823" s="8"/>
    </row>
    <row r="9824">
      <c r="B9824" s="8"/>
      <c r="G9824" s="8"/>
      <c r="M9824" s="8"/>
    </row>
    <row r="9825">
      <c r="B9825" s="8"/>
      <c r="G9825" s="8"/>
      <c r="M9825" s="8"/>
    </row>
    <row r="9826">
      <c r="B9826" s="8"/>
      <c r="G9826" s="8"/>
      <c r="M9826" s="8"/>
    </row>
    <row r="9827">
      <c r="B9827" s="8"/>
      <c r="G9827" s="8"/>
      <c r="M9827" s="8"/>
    </row>
    <row r="9828">
      <c r="B9828" s="8"/>
      <c r="G9828" s="8"/>
      <c r="M9828" s="8"/>
    </row>
    <row r="9829">
      <c r="B9829" s="8"/>
      <c r="G9829" s="8"/>
      <c r="M9829" s="8"/>
    </row>
    <row r="9830">
      <c r="B9830" s="8"/>
      <c r="G9830" s="8"/>
      <c r="M9830" s="8"/>
    </row>
    <row r="9831">
      <c r="B9831" s="8"/>
      <c r="G9831" s="8"/>
      <c r="M9831" s="8"/>
    </row>
    <row r="9832">
      <c r="B9832" s="8"/>
      <c r="G9832" s="8"/>
      <c r="M9832" s="8"/>
    </row>
    <row r="9833">
      <c r="B9833" s="8"/>
      <c r="G9833" s="8"/>
      <c r="M9833" s="8"/>
    </row>
    <row r="9834">
      <c r="B9834" s="8"/>
      <c r="G9834" s="8"/>
      <c r="M9834" s="8"/>
    </row>
    <row r="9835">
      <c r="B9835" s="8"/>
      <c r="G9835" s="8"/>
      <c r="M9835" s="8"/>
    </row>
    <row r="9836">
      <c r="B9836" s="8"/>
      <c r="G9836" s="8"/>
      <c r="M9836" s="8"/>
    </row>
    <row r="9837">
      <c r="B9837" s="8"/>
      <c r="G9837" s="8"/>
      <c r="M9837" s="8"/>
    </row>
    <row r="9838">
      <c r="B9838" s="8"/>
      <c r="G9838" s="8"/>
      <c r="M9838" s="8"/>
    </row>
    <row r="9839">
      <c r="B9839" s="8"/>
      <c r="G9839" s="8"/>
      <c r="M9839" s="8"/>
    </row>
    <row r="9840">
      <c r="B9840" s="8"/>
      <c r="G9840" s="8"/>
      <c r="M9840" s="8"/>
    </row>
    <row r="9841">
      <c r="B9841" s="8"/>
      <c r="G9841" s="8"/>
      <c r="M9841" s="8"/>
    </row>
    <row r="9842">
      <c r="B9842" s="8"/>
      <c r="G9842" s="8"/>
      <c r="M9842" s="8"/>
    </row>
    <row r="9843">
      <c r="B9843" s="8"/>
      <c r="G9843" s="8"/>
      <c r="M9843" s="8"/>
    </row>
    <row r="9844">
      <c r="B9844" s="8"/>
      <c r="G9844" s="8"/>
      <c r="M9844" s="8"/>
    </row>
    <row r="9845">
      <c r="B9845" s="8"/>
      <c r="G9845" s="8"/>
      <c r="M9845" s="8"/>
    </row>
    <row r="9846">
      <c r="B9846" s="8"/>
      <c r="G9846" s="8"/>
      <c r="M9846" s="8"/>
    </row>
    <row r="9847">
      <c r="B9847" s="8"/>
      <c r="G9847" s="8"/>
      <c r="M9847" s="8"/>
    </row>
    <row r="9848">
      <c r="B9848" s="8"/>
      <c r="G9848" s="8"/>
      <c r="M9848" s="8"/>
    </row>
    <row r="9849">
      <c r="B9849" s="8"/>
      <c r="G9849" s="8"/>
      <c r="M9849" s="8"/>
    </row>
    <row r="9850">
      <c r="B9850" s="8"/>
      <c r="G9850" s="8"/>
      <c r="M9850" s="8"/>
    </row>
    <row r="9851">
      <c r="B9851" s="8"/>
      <c r="G9851" s="8"/>
      <c r="M9851" s="8"/>
    </row>
    <row r="9852">
      <c r="B9852" s="8"/>
      <c r="G9852" s="8"/>
      <c r="M9852" s="8"/>
    </row>
    <row r="9853">
      <c r="B9853" s="8"/>
      <c r="G9853" s="8"/>
      <c r="M9853" s="8"/>
    </row>
    <row r="9854">
      <c r="B9854" s="8"/>
      <c r="G9854" s="8"/>
      <c r="M9854" s="8"/>
    </row>
    <row r="9855">
      <c r="B9855" s="8"/>
      <c r="G9855" s="8"/>
      <c r="M9855" s="8"/>
    </row>
    <row r="9856">
      <c r="B9856" s="8"/>
      <c r="G9856" s="8"/>
      <c r="M9856" s="8"/>
    </row>
    <row r="9857">
      <c r="B9857" s="8"/>
      <c r="G9857" s="8"/>
      <c r="M9857" s="8"/>
    </row>
    <row r="9858">
      <c r="B9858" s="8"/>
      <c r="G9858" s="8"/>
      <c r="M9858" s="8"/>
    </row>
    <row r="9859">
      <c r="B9859" s="8"/>
      <c r="G9859" s="8"/>
      <c r="M9859" s="8"/>
    </row>
    <row r="9860">
      <c r="B9860" s="8"/>
      <c r="G9860" s="8"/>
      <c r="M9860" s="8"/>
    </row>
    <row r="9861">
      <c r="B9861" s="8"/>
      <c r="G9861" s="8"/>
      <c r="M9861" s="8"/>
    </row>
    <row r="9862">
      <c r="B9862" s="8"/>
      <c r="G9862" s="8"/>
      <c r="M9862" s="8"/>
    </row>
    <row r="9863">
      <c r="B9863" s="8"/>
      <c r="G9863" s="8"/>
      <c r="M9863" s="8"/>
    </row>
    <row r="9864">
      <c r="B9864" s="8"/>
      <c r="G9864" s="8"/>
      <c r="M9864" s="8"/>
    </row>
    <row r="9865">
      <c r="B9865" s="8"/>
      <c r="G9865" s="8"/>
      <c r="M9865" s="8"/>
    </row>
    <row r="9866">
      <c r="B9866" s="8"/>
      <c r="G9866" s="8"/>
      <c r="M9866" s="8"/>
    </row>
    <row r="9867">
      <c r="B9867" s="8"/>
      <c r="G9867" s="8"/>
      <c r="M9867" s="8"/>
    </row>
    <row r="9868">
      <c r="B9868" s="8"/>
      <c r="G9868" s="8"/>
      <c r="M9868" s="8"/>
    </row>
    <row r="9869">
      <c r="B9869" s="8"/>
      <c r="G9869" s="8"/>
      <c r="M9869" s="8"/>
    </row>
    <row r="9870">
      <c r="B9870" s="8"/>
      <c r="G9870" s="8"/>
      <c r="M9870" s="8"/>
    </row>
    <row r="9871">
      <c r="B9871" s="8"/>
      <c r="G9871" s="8"/>
      <c r="M9871" s="8"/>
    </row>
    <row r="9872">
      <c r="B9872" s="8"/>
      <c r="G9872" s="8"/>
      <c r="M9872" s="8"/>
    </row>
    <row r="9873">
      <c r="B9873" s="8"/>
      <c r="G9873" s="8"/>
      <c r="M9873" s="8"/>
    </row>
    <row r="9874">
      <c r="B9874" s="8"/>
      <c r="G9874" s="8"/>
      <c r="M9874" s="8"/>
    </row>
    <row r="9875">
      <c r="B9875" s="8"/>
      <c r="G9875" s="8"/>
      <c r="M9875" s="8"/>
    </row>
    <row r="9876">
      <c r="B9876" s="8"/>
      <c r="G9876" s="8"/>
      <c r="M9876" s="8"/>
    </row>
    <row r="9877">
      <c r="B9877" s="8"/>
      <c r="G9877" s="8"/>
      <c r="M9877" s="8"/>
    </row>
    <row r="9878">
      <c r="B9878" s="8"/>
      <c r="G9878" s="8"/>
      <c r="M9878" s="8"/>
    </row>
    <row r="9879">
      <c r="B9879" s="8"/>
      <c r="G9879" s="8"/>
      <c r="M9879" s="8"/>
    </row>
    <row r="9880">
      <c r="B9880" s="8"/>
      <c r="G9880" s="8"/>
      <c r="M9880" s="8"/>
    </row>
    <row r="9881">
      <c r="B9881" s="8"/>
      <c r="G9881" s="8"/>
      <c r="M9881" s="8"/>
    </row>
    <row r="9882">
      <c r="B9882" s="8"/>
      <c r="G9882" s="8"/>
      <c r="M9882" s="8"/>
    </row>
    <row r="9883">
      <c r="B9883" s="8"/>
      <c r="G9883" s="8"/>
      <c r="M9883" s="8"/>
    </row>
    <row r="9884">
      <c r="B9884" s="8"/>
      <c r="G9884" s="8"/>
      <c r="M9884" s="8"/>
    </row>
    <row r="9885">
      <c r="B9885" s="8"/>
      <c r="G9885" s="8"/>
      <c r="M9885" s="8"/>
    </row>
    <row r="9886">
      <c r="B9886" s="8"/>
      <c r="G9886" s="8"/>
      <c r="M9886" s="8"/>
    </row>
    <row r="9887">
      <c r="B9887" s="8"/>
      <c r="G9887" s="8"/>
      <c r="M9887" s="8"/>
    </row>
    <row r="9888">
      <c r="B9888" s="8"/>
      <c r="G9888" s="8"/>
      <c r="M9888" s="8"/>
    </row>
    <row r="9889">
      <c r="B9889" s="8"/>
      <c r="G9889" s="8"/>
      <c r="M9889" s="8"/>
    </row>
    <row r="9890">
      <c r="B9890" s="8"/>
      <c r="G9890" s="8"/>
      <c r="M9890" s="8"/>
    </row>
    <row r="9891">
      <c r="B9891" s="8"/>
      <c r="G9891" s="8"/>
      <c r="M9891" s="8"/>
    </row>
    <row r="9892">
      <c r="B9892" s="8"/>
      <c r="G9892" s="8"/>
      <c r="M9892" s="8"/>
    </row>
    <row r="9893">
      <c r="B9893" s="8"/>
      <c r="G9893" s="8"/>
      <c r="M9893" s="8"/>
    </row>
    <row r="9894">
      <c r="B9894" s="8"/>
      <c r="G9894" s="8"/>
      <c r="M9894" s="8"/>
    </row>
    <row r="9895">
      <c r="B9895" s="8"/>
      <c r="G9895" s="8"/>
      <c r="M9895" s="8"/>
    </row>
    <row r="9896">
      <c r="B9896" s="8"/>
      <c r="G9896" s="8"/>
      <c r="M9896" s="8"/>
    </row>
    <row r="9897">
      <c r="B9897" s="8"/>
      <c r="G9897" s="8"/>
      <c r="M9897" s="8"/>
    </row>
    <row r="9898">
      <c r="B9898" s="8"/>
      <c r="G9898" s="8"/>
      <c r="M9898" s="8"/>
    </row>
    <row r="9899">
      <c r="B9899" s="8"/>
      <c r="G9899" s="8"/>
      <c r="M9899" s="8"/>
    </row>
    <row r="9900">
      <c r="B9900" s="8"/>
      <c r="G9900" s="8"/>
      <c r="M9900" s="8"/>
    </row>
    <row r="9901">
      <c r="B9901" s="8"/>
      <c r="G9901" s="8"/>
      <c r="M9901" s="8"/>
    </row>
    <row r="9902">
      <c r="B9902" s="8"/>
      <c r="G9902" s="8"/>
      <c r="M9902" s="8"/>
    </row>
    <row r="9903">
      <c r="B9903" s="8"/>
      <c r="G9903" s="8"/>
      <c r="M9903" s="8"/>
    </row>
    <row r="9904">
      <c r="B9904" s="8"/>
      <c r="G9904" s="8"/>
      <c r="M9904" s="8"/>
    </row>
    <row r="9905">
      <c r="B9905" s="8"/>
      <c r="G9905" s="8"/>
      <c r="M9905" s="8"/>
    </row>
    <row r="9906">
      <c r="B9906" s="8"/>
      <c r="G9906" s="8"/>
      <c r="M9906" s="8"/>
    </row>
    <row r="9907">
      <c r="B9907" s="8"/>
      <c r="G9907" s="8"/>
      <c r="M9907" s="8"/>
    </row>
    <row r="9908">
      <c r="B9908" s="8"/>
      <c r="G9908" s="8"/>
      <c r="M9908" s="8"/>
    </row>
    <row r="9909">
      <c r="B9909" s="8"/>
      <c r="G9909" s="8"/>
      <c r="M9909" s="8"/>
    </row>
    <row r="9910">
      <c r="B9910" s="8"/>
      <c r="G9910" s="8"/>
      <c r="M9910" s="8"/>
    </row>
    <row r="9911">
      <c r="B9911" s="8"/>
      <c r="G9911" s="8"/>
      <c r="M9911" s="8"/>
    </row>
    <row r="9912">
      <c r="B9912" s="8"/>
      <c r="G9912" s="8"/>
      <c r="M9912" s="8"/>
    </row>
    <row r="9913">
      <c r="B9913" s="8"/>
      <c r="G9913" s="8"/>
      <c r="M9913" s="8"/>
    </row>
    <row r="9914">
      <c r="B9914" s="8"/>
      <c r="G9914" s="8"/>
      <c r="M9914" s="8"/>
    </row>
    <row r="9915">
      <c r="B9915" s="8"/>
      <c r="G9915" s="8"/>
      <c r="M9915" s="8"/>
    </row>
    <row r="9916">
      <c r="B9916" s="8"/>
      <c r="G9916" s="8"/>
      <c r="M9916" s="8"/>
    </row>
    <row r="9917">
      <c r="B9917" s="8"/>
      <c r="G9917" s="8"/>
      <c r="M9917" s="8"/>
    </row>
    <row r="9918">
      <c r="B9918" s="8"/>
      <c r="G9918" s="8"/>
      <c r="M9918" s="8"/>
    </row>
    <row r="9919">
      <c r="B9919" s="8"/>
      <c r="G9919" s="8"/>
      <c r="M9919" s="8"/>
    </row>
    <row r="9920">
      <c r="B9920" s="8"/>
      <c r="G9920" s="8"/>
      <c r="M9920" s="8"/>
    </row>
    <row r="9921">
      <c r="B9921" s="8"/>
      <c r="G9921" s="8"/>
      <c r="M9921" s="8"/>
    </row>
    <row r="9922">
      <c r="B9922" s="8"/>
      <c r="G9922" s="8"/>
      <c r="M9922" s="8"/>
    </row>
    <row r="9923">
      <c r="B9923" s="8"/>
      <c r="G9923" s="8"/>
      <c r="M9923" s="8"/>
    </row>
    <row r="9924">
      <c r="B9924" s="8"/>
      <c r="G9924" s="8"/>
      <c r="M9924" s="8"/>
    </row>
    <row r="9925">
      <c r="B9925" s="8"/>
      <c r="G9925" s="8"/>
      <c r="M9925" s="8"/>
    </row>
    <row r="9926">
      <c r="B9926" s="8"/>
      <c r="G9926" s="8"/>
      <c r="M9926" s="8"/>
    </row>
    <row r="9927">
      <c r="B9927" s="8"/>
      <c r="G9927" s="8"/>
      <c r="M9927" s="8"/>
    </row>
    <row r="9928">
      <c r="B9928" s="8"/>
      <c r="G9928" s="8"/>
      <c r="M9928" s="8"/>
    </row>
    <row r="9929">
      <c r="B9929" s="8"/>
      <c r="G9929" s="8"/>
      <c r="M9929" s="8"/>
    </row>
    <row r="9930">
      <c r="B9930" s="8"/>
      <c r="G9930" s="8"/>
      <c r="M9930" s="8"/>
    </row>
    <row r="9931">
      <c r="B9931" s="8"/>
      <c r="G9931" s="8"/>
      <c r="M9931" s="8"/>
    </row>
    <row r="9932">
      <c r="B9932" s="8"/>
      <c r="G9932" s="8"/>
      <c r="M9932" s="8"/>
    </row>
    <row r="9933">
      <c r="B9933" s="8"/>
      <c r="G9933" s="8"/>
      <c r="M9933" s="8"/>
    </row>
    <row r="9934">
      <c r="B9934" s="8"/>
      <c r="G9934" s="8"/>
      <c r="M9934" s="8"/>
    </row>
    <row r="9935">
      <c r="B9935" s="8"/>
      <c r="G9935" s="8"/>
      <c r="M9935" s="8"/>
    </row>
    <row r="9936">
      <c r="B9936" s="8"/>
      <c r="G9936" s="8"/>
      <c r="M9936" s="8"/>
    </row>
    <row r="9937">
      <c r="B9937" s="8"/>
      <c r="G9937" s="8"/>
      <c r="M9937" s="8"/>
    </row>
    <row r="9938">
      <c r="B9938" s="8"/>
      <c r="G9938" s="8"/>
      <c r="M9938" s="8"/>
    </row>
    <row r="9939">
      <c r="B9939" s="8"/>
      <c r="G9939" s="8"/>
      <c r="M9939" s="8"/>
    </row>
    <row r="9940">
      <c r="B9940" s="8"/>
      <c r="G9940" s="8"/>
      <c r="M9940" s="8"/>
    </row>
    <row r="9941">
      <c r="B9941" s="8"/>
      <c r="G9941" s="8"/>
      <c r="M9941" s="8"/>
    </row>
    <row r="9942">
      <c r="B9942" s="8"/>
      <c r="G9942" s="8"/>
      <c r="M9942" s="8"/>
    </row>
    <row r="9943">
      <c r="B9943" s="8"/>
      <c r="G9943" s="8"/>
      <c r="M9943" s="8"/>
    </row>
    <row r="9944">
      <c r="B9944" s="8"/>
      <c r="G9944" s="8"/>
      <c r="M9944" s="8"/>
    </row>
    <row r="9945">
      <c r="B9945" s="8"/>
      <c r="G9945" s="8"/>
      <c r="M9945" s="8"/>
    </row>
    <row r="9946">
      <c r="B9946" s="8"/>
      <c r="G9946" s="8"/>
      <c r="M9946" s="8"/>
    </row>
    <row r="9947">
      <c r="B9947" s="8"/>
      <c r="G9947" s="8"/>
      <c r="M9947" s="8"/>
    </row>
    <row r="9948">
      <c r="B9948" s="8"/>
      <c r="G9948" s="8"/>
      <c r="M9948" s="8"/>
    </row>
    <row r="9949">
      <c r="B9949" s="8"/>
      <c r="G9949" s="8"/>
      <c r="M9949" s="8"/>
    </row>
    <row r="9950">
      <c r="B9950" s="8"/>
      <c r="G9950" s="8"/>
      <c r="M9950" s="8"/>
    </row>
    <row r="9951">
      <c r="B9951" s="8"/>
      <c r="G9951" s="8"/>
      <c r="M9951" s="8"/>
    </row>
    <row r="9952">
      <c r="B9952" s="8"/>
      <c r="G9952" s="8"/>
      <c r="M9952" s="8"/>
    </row>
    <row r="9953">
      <c r="B9953" s="8"/>
      <c r="G9953" s="8"/>
      <c r="M9953" s="8"/>
    </row>
    <row r="9954">
      <c r="B9954" s="8"/>
      <c r="G9954" s="8"/>
      <c r="M9954" s="8"/>
    </row>
    <row r="9955">
      <c r="B9955" s="8"/>
      <c r="G9955" s="8"/>
      <c r="M9955" s="8"/>
    </row>
    <row r="9956">
      <c r="B9956" s="8"/>
      <c r="G9956" s="8"/>
      <c r="M9956" s="8"/>
    </row>
    <row r="9957">
      <c r="B9957" s="8"/>
      <c r="G9957" s="8"/>
      <c r="M9957" s="8"/>
    </row>
    <row r="9958">
      <c r="B9958" s="8"/>
      <c r="G9958" s="8"/>
      <c r="M9958" s="8"/>
    </row>
    <row r="9959">
      <c r="B9959" s="8"/>
      <c r="G9959" s="8"/>
      <c r="M9959" s="8"/>
    </row>
    <row r="9960">
      <c r="B9960" s="8"/>
      <c r="G9960" s="8"/>
      <c r="M9960" s="8"/>
    </row>
    <row r="9961">
      <c r="B9961" s="8"/>
      <c r="G9961" s="8"/>
      <c r="M9961" s="8"/>
    </row>
    <row r="9962">
      <c r="B9962" s="8"/>
      <c r="G9962" s="8"/>
      <c r="M9962" s="8"/>
    </row>
    <row r="9963">
      <c r="B9963" s="8"/>
      <c r="G9963" s="8"/>
      <c r="M9963" s="8"/>
    </row>
    <row r="9964">
      <c r="B9964" s="8"/>
      <c r="G9964" s="8"/>
      <c r="M9964" s="8"/>
    </row>
    <row r="9965">
      <c r="B9965" s="8"/>
      <c r="G9965" s="8"/>
      <c r="M9965" s="8"/>
    </row>
    <row r="9966">
      <c r="B9966" s="8"/>
      <c r="G9966" s="8"/>
      <c r="M9966" s="8"/>
    </row>
    <row r="9967">
      <c r="B9967" s="8"/>
      <c r="G9967" s="8"/>
      <c r="M9967" s="8"/>
    </row>
    <row r="9968">
      <c r="B9968" s="8"/>
      <c r="G9968" s="8"/>
      <c r="M9968" s="8"/>
    </row>
    <row r="9969">
      <c r="B9969" s="8"/>
      <c r="G9969" s="8"/>
      <c r="M9969" s="8"/>
    </row>
    <row r="9970">
      <c r="B9970" s="8"/>
      <c r="G9970" s="8"/>
      <c r="M9970" s="8"/>
    </row>
    <row r="9971">
      <c r="B9971" s="8"/>
      <c r="G9971" s="8"/>
      <c r="M9971" s="8"/>
    </row>
    <row r="9972">
      <c r="B9972" s="8"/>
      <c r="G9972" s="8"/>
      <c r="M9972" s="8"/>
    </row>
    <row r="9973">
      <c r="B9973" s="8"/>
      <c r="G9973" s="8"/>
      <c r="M9973" s="8"/>
    </row>
    <row r="9974">
      <c r="B9974" s="8"/>
      <c r="G9974" s="8"/>
      <c r="M9974" s="8"/>
    </row>
    <row r="9975">
      <c r="B9975" s="8"/>
      <c r="G9975" s="8"/>
      <c r="M9975" s="8"/>
    </row>
    <row r="9976">
      <c r="B9976" s="8"/>
      <c r="G9976" s="8"/>
      <c r="M9976" s="8"/>
    </row>
    <row r="9977">
      <c r="B9977" s="8"/>
      <c r="G9977" s="8"/>
      <c r="M9977" s="8"/>
    </row>
    <row r="9978">
      <c r="B9978" s="8"/>
      <c r="G9978" s="8"/>
      <c r="M9978" s="8"/>
    </row>
    <row r="9979">
      <c r="B9979" s="8"/>
      <c r="G9979" s="8"/>
      <c r="M9979" s="8"/>
    </row>
    <row r="9980">
      <c r="B9980" s="8"/>
      <c r="G9980" s="8"/>
      <c r="M9980" s="8"/>
    </row>
    <row r="9981">
      <c r="B9981" s="8"/>
      <c r="G9981" s="8"/>
      <c r="M9981" s="8"/>
    </row>
    <row r="9982">
      <c r="B9982" s="8"/>
      <c r="G9982" s="8"/>
      <c r="M9982" s="8"/>
    </row>
    <row r="9983">
      <c r="B9983" s="8"/>
      <c r="G9983" s="8"/>
      <c r="M9983" s="8"/>
    </row>
    <row r="9984">
      <c r="B9984" s="8"/>
      <c r="G9984" s="8"/>
      <c r="M9984" s="8"/>
    </row>
    <row r="9985">
      <c r="B9985" s="8"/>
      <c r="G9985" s="8"/>
      <c r="M9985" s="8"/>
    </row>
    <row r="9986">
      <c r="B9986" s="8"/>
      <c r="G9986" s="8"/>
      <c r="M9986" s="8"/>
    </row>
    <row r="9987">
      <c r="B9987" s="8"/>
      <c r="G9987" s="8"/>
      <c r="M9987" s="8"/>
    </row>
    <row r="9988">
      <c r="B9988" s="8"/>
      <c r="G9988" s="8"/>
      <c r="M9988" s="8"/>
    </row>
    <row r="9989">
      <c r="B9989" s="8"/>
      <c r="G9989" s="8"/>
      <c r="M9989" s="8"/>
    </row>
    <row r="9990">
      <c r="B9990" s="8"/>
      <c r="G9990" s="8"/>
      <c r="M9990" s="8"/>
    </row>
    <row r="9991">
      <c r="B9991" s="8"/>
      <c r="G9991" s="8"/>
      <c r="M9991" s="8"/>
    </row>
    <row r="9992">
      <c r="B9992" s="8"/>
      <c r="G9992" s="8"/>
      <c r="M9992" s="8"/>
    </row>
    <row r="9993">
      <c r="B9993" s="8"/>
      <c r="G9993" s="8"/>
      <c r="M9993" s="8"/>
    </row>
    <row r="9994">
      <c r="B9994" s="8"/>
      <c r="G9994" s="8"/>
      <c r="M9994" s="8"/>
    </row>
    <row r="9995">
      <c r="B9995" s="8"/>
      <c r="G9995" s="8"/>
      <c r="M9995" s="8"/>
    </row>
    <row r="9996">
      <c r="B9996" s="8"/>
      <c r="G9996" s="8"/>
      <c r="M9996" s="8"/>
    </row>
    <row r="9997">
      <c r="B9997" s="8"/>
      <c r="G9997" s="8"/>
      <c r="M9997" s="8"/>
    </row>
    <row r="9998">
      <c r="B9998" s="8"/>
      <c r="G9998" s="8"/>
      <c r="M9998" s="8"/>
    </row>
    <row r="9999">
      <c r="B9999" s="8"/>
      <c r="G9999" s="8"/>
      <c r="M9999" s="8"/>
    </row>
    <row r="10000">
      <c r="B10000" s="8"/>
      <c r="G10000" s="8"/>
      <c r="M10000" s="8"/>
    </row>
    <row r="10001">
      <c r="B10001" s="8"/>
      <c r="G10001" s="8"/>
      <c r="M10001" s="8"/>
    </row>
    <row r="10002">
      <c r="B10002" s="8"/>
      <c r="G10002" s="8"/>
      <c r="M10002" s="8"/>
    </row>
    <row r="10003">
      <c r="B10003" s="8"/>
      <c r="G10003" s="8"/>
      <c r="M10003" s="8"/>
    </row>
    <row r="10004">
      <c r="B10004" s="8"/>
      <c r="G10004" s="8"/>
      <c r="M10004" s="8"/>
    </row>
    <row r="10005">
      <c r="B10005" s="8"/>
      <c r="G10005" s="8"/>
      <c r="M10005" s="8"/>
    </row>
    <row r="10006">
      <c r="B10006" s="8"/>
      <c r="G10006" s="8"/>
      <c r="M10006" s="8"/>
    </row>
    <row r="10007">
      <c r="B10007" s="8"/>
      <c r="G10007" s="8"/>
      <c r="M10007" s="8"/>
    </row>
    <row r="10008">
      <c r="B10008" s="8"/>
      <c r="G10008" s="8"/>
      <c r="M10008" s="8"/>
    </row>
    <row r="10009">
      <c r="B10009" s="8"/>
      <c r="G10009" s="8"/>
      <c r="M10009" s="8"/>
    </row>
    <row r="10010">
      <c r="B10010" s="8"/>
      <c r="G10010" s="8"/>
      <c r="M10010" s="8"/>
    </row>
    <row r="10011">
      <c r="B10011" s="8"/>
      <c r="G10011" s="8"/>
      <c r="M10011" s="8"/>
    </row>
    <row r="10012">
      <c r="B10012" s="8"/>
      <c r="G10012" s="8"/>
      <c r="M10012" s="8"/>
    </row>
    <row r="10013">
      <c r="B10013" s="8"/>
      <c r="G10013" s="8"/>
      <c r="M10013" s="8"/>
    </row>
    <row r="10014">
      <c r="B10014" s="8"/>
      <c r="G10014" s="8"/>
      <c r="M10014" s="8"/>
    </row>
    <row r="10015">
      <c r="B10015" s="8"/>
      <c r="G10015" s="8"/>
      <c r="M10015" s="8"/>
    </row>
    <row r="10016">
      <c r="B10016" s="8"/>
      <c r="G10016" s="8"/>
      <c r="M10016" s="8"/>
    </row>
    <row r="10017">
      <c r="B10017" s="8"/>
      <c r="G10017" s="8"/>
      <c r="M10017" s="8"/>
    </row>
    <row r="10018">
      <c r="B10018" s="8"/>
      <c r="G10018" s="8"/>
      <c r="M10018" s="8"/>
    </row>
    <row r="10019">
      <c r="B10019" s="8"/>
      <c r="G10019" s="8"/>
      <c r="M10019" s="8"/>
    </row>
    <row r="10020">
      <c r="B10020" s="8"/>
      <c r="G10020" s="8"/>
      <c r="M10020" s="8"/>
    </row>
    <row r="10021">
      <c r="B10021" s="8"/>
      <c r="G10021" s="8"/>
      <c r="M10021" s="8"/>
    </row>
    <row r="10022">
      <c r="B10022" s="8"/>
      <c r="G10022" s="8"/>
      <c r="M10022" s="8"/>
    </row>
    <row r="10023">
      <c r="B10023" s="8"/>
      <c r="G10023" s="8"/>
      <c r="M10023" s="8"/>
    </row>
    <row r="10024">
      <c r="B10024" s="8"/>
      <c r="G10024" s="8"/>
      <c r="M10024" s="8"/>
    </row>
    <row r="10025">
      <c r="B10025" s="8"/>
      <c r="G10025" s="8"/>
      <c r="M10025" s="8"/>
    </row>
    <row r="10026">
      <c r="B10026" s="8"/>
      <c r="G10026" s="8"/>
      <c r="M10026" s="8"/>
    </row>
    <row r="10027">
      <c r="B10027" s="8"/>
      <c r="G10027" s="8"/>
      <c r="M10027" s="8"/>
    </row>
    <row r="10028">
      <c r="B10028" s="8"/>
      <c r="G10028" s="8"/>
      <c r="M10028" s="8"/>
    </row>
    <row r="10029">
      <c r="B10029" s="8"/>
      <c r="G10029" s="8"/>
      <c r="M10029" s="8"/>
    </row>
    <row r="10030">
      <c r="B10030" s="8"/>
      <c r="G10030" s="8"/>
      <c r="M10030" s="8"/>
    </row>
    <row r="10031">
      <c r="B10031" s="8"/>
      <c r="G10031" s="8"/>
      <c r="M10031" s="8"/>
    </row>
    <row r="10032">
      <c r="B10032" s="8"/>
      <c r="G10032" s="8"/>
      <c r="M10032" s="8"/>
    </row>
    <row r="10033">
      <c r="B10033" s="8"/>
      <c r="G10033" s="8"/>
      <c r="M10033" s="8"/>
    </row>
    <row r="10034">
      <c r="B10034" s="8"/>
      <c r="G10034" s="8"/>
      <c r="M10034" s="8"/>
    </row>
    <row r="10035">
      <c r="B10035" s="8"/>
      <c r="G10035" s="8"/>
      <c r="M10035" s="8"/>
    </row>
    <row r="10036">
      <c r="B10036" s="8"/>
      <c r="G10036" s="8"/>
      <c r="M10036" s="8"/>
    </row>
    <row r="10037">
      <c r="B10037" s="8"/>
      <c r="G10037" s="8"/>
      <c r="M10037" s="8"/>
    </row>
    <row r="10038">
      <c r="B10038" s="8"/>
      <c r="G10038" s="8"/>
      <c r="M10038" s="8"/>
    </row>
    <row r="10039">
      <c r="B10039" s="8"/>
      <c r="G10039" s="8"/>
      <c r="M10039" s="8"/>
    </row>
    <row r="10040">
      <c r="B10040" s="8"/>
      <c r="G10040" s="8"/>
      <c r="M10040" s="8"/>
    </row>
    <row r="10041">
      <c r="B10041" s="8"/>
      <c r="G10041" s="8"/>
      <c r="M10041" s="8"/>
    </row>
    <row r="10042">
      <c r="B10042" s="8"/>
      <c r="G10042" s="8"/>
      <c r="M10042" s="8"/>
    </row>
    <row r="10043">
      <c r="B10043" s="8"/>
      <c r="G10043" s="8"/>
      <c r="M10043" s="8"/>
    </row>
    <row r="10044">
      <c r="B10044" s="8"/>
      <c r="G10044" s="8"/>
      <c r="M10044" s="8"/>
    </row>
    <row r="10045">
      <c r="B10045" s="8"/>
      <c r="G10045" s="8"/>
      <c r="M10045" s="8"/>
    </row>
    <row r="10046">
      <c r="B10046" s="8"/>
      <c r="G10046" s="8"/>
      <c r="M10046" s="8"/>
    </row>
    <row r="10047">
      <c r="B10047" s="8"/>
      <c r="G10047" s="8"/>
      <c r="M10047" s="8"/>
    </row>
    <row r="10048">
      <c r="B10048" s="8"/>
      <c r="G10048" s="8"/>
      <c r="M10048" s="8"/>
    </row>
    <row r="10049">
      <c r="B10049" s="8"/>
      <c r="G10049" s="8"/>
      <c r="M10049" s="8"/>
    </row>
    <row r="10050">
      <c r="B10050" s="8"/>
      <c r="G10050" s="8"/>
      <c r="M10050" s="8"/>
    </row>
    <row r="10051">
      <c r="B10051" s="8"/>
      <c r="G10051" s="8"/>
      <c r="M10051" s="8"/>
    </row>
    <row r="10052">
      <c r="B10052" s="8"/>
      <c r="G10052" s="8"/>
      <c r="M10052" s="8"/>
    </row>
    <row r="10053">
      <c r="B10053" s="8"/>
      <c r="G10053" s="8"/>
      <c r="M10053" s="8"/>
    </row>
    <row r="10054">
      <c r="B10054" s="8"/>
      <c r="G10054" s="8"/>
      <c r="M10054" s="8"/>
    </row>
    <row r="10055">
      <c r="B10055" s="8"/>
      <c r="G10055" s="8"/>
      <c r="M10055" s="8"/>
    </row>
    <row r="10056">
      <c r="B10056" s="8"/>
      <c r="G10056" s="8"/>
      <c r="M10056" s="8"/>
    </row>
    <row r="10057">
      <c r="B10057" s="8"/>
      <c r="G10057" s="8"/>
      <c r="M10057" s="8"/>
    </row>
    <row r="10058">
      <c r="B10058" s="8"/>
      <c r="G10058" s="8"/>
      <c r="M10058" s="8"/>
    </row>
    <row r="10059">
      <c r="B10059" s="8"/>
      <c r="G10059" s="8"/>
      <c r="M10059" s="8"/>
    </row>
    <row r="10060">
      <c r="B10060" s="8"/>
      <c r="G10060" s="8"/>
      <c r="M10060" s="8"/>
    </row>
    <row r="10061">
      <c r="B10061" s="8"/>
      <c r="G10061" s="8"/>
      <c r="M10061" s="8"/>
    </row>
    <row r="10062">
      <c r="B10062" s="8"/>
      <c r="G10062" s="8"/>
      <c r="M10062" s="8"/>
    </row>
    <row r="10063">
      <c r="B10063" s="8"/>
      <c r="G10063" s="8"/>
      <c r="M10063" s="8"/>
    </row>
    <row r="10064">
      <c r="B10064" s="8"/>
      <c r="G10064" s="8"/>
      <c r="M10064" s="8"/>
    </row>
    <row r="10065">
      <c r="B10065" s="8"/>
      <c r="G10065" s="8"/>
      <c r="M10065" s="8"/>
    </row>
    <row r="10066">
      <c r="B10066" s="8"/>
      <c r="G10066" s="8"/>
      <c r="M10066" s="8"/>
    </row>
    <row r="10067">
      <c r="B10067" s="8"/>
      <c r="G10067" s="8"/>
      <c r="M10067" s="8"/>
    </row>
    <row r="10068">
      <c r="B10068" s="8"/>
      <c r="G10068" s="8"/>
      <c r="M10068" s="8"/>
    </row>
    <row r="10069">
      <c r="B10069" s="8"/>
      <c r="G10069" s="8"/>
      <c r="M10069" s="8"/>
    </row>
    <row r="10070">
      <c r="B10070" s="8"/>
      <c r="G10070" s="8"/>
      <c r="M10070" s="8"/>
    </row>
    <row r="10071">
      <c r="B10071" s="8"/>
      <c r="G10071" s="8"/>
      <c r="M10071" s="8"/>
    </row>
    <row r="10072">
      <c r="B10072" s="8"/>
      <c r="G10072" s="8"/>
      <c r="M10072" s="8"/>
    </row>
    <row r="10073">
      <c r="B10073" s="8"/>
      <c r="G10073" s="8"/>
      <c r="M10073" s="8"/>
    </row>
    <row r="10074">
      <c r="B10074" s="8"/>
      <c r="G10074" s="8"/>
      <c r="M10074" s="8"/>
    </row>
    <row r="10075">
      <c r="B10075" s="8"/>
      <c r="G10075" s="8"/>
      <c r="M10075" s="8"/>
    </row>
    <row r="10076">
      <c r="B10076" s="8"/>
      <c r="G10076" s="8"/>
      <c r="M10076" s="8"/>
    </row>
    <row r="10077">
      <c r="B10077" s="8"/>
      <c r="G10077" s="8"/>
      <c r="M10077" s="8"/>
    </row>
    <row r="10078">
      <c r="B10078" s="8"/>
      <c r="G10078" s="8"/>
      <c r="M10078" s="8"/>
    </row>
    <row r="10079">
      <c r="B10079" s="8"/>
      <c r="G10079" s="8"/>
      <c r="M10079" s="8"/>
    </row>
    <row r="10080">
      <c r="B10080" s="8"/>
      <c r="G10080" s="8"/>
      <c r="M10080" s="8"/>
    </row>
    <row r="10081">
      <c r="B10081" s="8"/>
      <c r="G10081" s="8"/>
      <c r="M10081" s="8"/>
    </row>
    <row r="10082">
      <c r="B10082" s="8"/>
      <c r="G10082" s="8"/>
      <c r="M10082" s="8"/>
    </row>
    <row r="10083">
      <c r="B10083" s="8"/>
      <c r="G10083" s="8"/>
      <c r="M10083" s="8"/>
    </row>
    <row r="10084">
      <c r="B10084" s="8"/>
      <c r="G10084" s="8"/>
      <c r="M10084" s="8"/>
    </row>
    <row r="10085">
      <c r="B10085" s="8"/>
      <c r="G10085" s="8"/>
      <c r="M10085" s="8"/>
    </row>
    <row r="10086">
      <c r="B10086" s="8"/>
      <c r="G10086" s="8"/>
      <c r="M10086" s="8"/>
    </row>
    <row r="10087">
      <c r="B10087" s="8"/>
      <c r="G10087" s="8"/>
      <c r="M10087" s="8"/>
    </row>
    <row r="10088">
      <c r="B10088" s="8"/>
      <c r="G10088" s="8"/>
      <c r="M10088" s="8"/>
    </row>
    <row r="10089">
      <c r="B10089" s="8"/>
      <c r="G10089" s="8"/>
      <c r="M10089" s="8"/>
    </row>
    <row r="10090">
      <c r="B10090" s="8"/>
      <c r="G10090" s="8"/>
      <c r="M10090" s="8"/>
    </row>
    <row r="10091">
      <c r="B10091" s="8"/>
      <c r="G10091" s="8"/>
      <c r="M10091" s="8"/>
    </row>
    <row r="10092">
      <c r="B10092" s="8"/>
      <c r="G10092" s="8"/>
      <c r="M10092" s="8"/>
    </row>
    <row r="10093">
      <c r="B10093" s="8"/>
      <c r="G10093" s="8"/>
      <c r="M10093" s="8"/>
    </row>
    <row r="10094">
      <c r="B10094" s="8"/>
      <c r="G10094" s="8"/>
      <c r="M10094" s="8"/>
    </row>
    <row r="10095">
      <c r="B10095" s="8"/>
      <c r="G10095" s="8"/>
      <c r="M10095" s="8"/>
    </row>
    <row r="10096">
      <c r="B10096" s="8"/>
      <c r="G10096" s="8"/>
      <c r="M10096" s="8"/>
    </row>
    <row r="10097">
      <c r="B10097" s="8"/>
      <c r="G10097" s="8"/>
      <c r="M10097" s="8"/>
    </row>
    <row r="10098">
      <c r="B10098" s="8"/>
      <c r="G10098" s="8"/>
      <c r="M10098" s="8"/>
    </row>
    <row r="10099">
      <c r="B10099" s="8"/>
      <c r="G10099" s="8"/>
      <c r="M10099" s="8"/>
    </row>
    <row r="10100">
      <c r="B10100" s="8"/>
      <c r="G10100" s="8"/>
      <c r="M10100" s="8"/>
    </row>
    <row r="10101">
      <c r="B10101" s="8"/>
      <c r="G10101" s="8"/>
      <c r="M10101" s="8"/>
    </row>
    <row r="10102">
      <c r="B10102" s="8"/>
      <c r="G10102" s="8"/>
      <c r="M10102" s="8"/>
    </row>
    <row r="10103">
      <c r="B10103" s="8"/>
      <c r="G10103" s="8"/>
      <c r="M10103" s="8"/>
    </row>
    <row r="10104">
      <c r="B10104" s="8"/>
      <c r="G10104" s="8"/>
      <c r="M10104" s="8"/>
    </row>
    <row r="10105">
      <c r="B10105" s="8"/>
      <c r="G10105" s="8"/>
      <c r="M10105" s="8"/>
    </row>
    <row r="10106">
      <c r="B10106" s="8"/>
      <c r="G10106" s="8"/>
      <c r="M10106" s="8"/>
    </row>
    <row r="10107">
      <c r="B10107" s="8"/>
      <c r="G10107" s="8"/>
      <c r="M10107" s="8"/>
    </row>
    <row r="10108">
      <c r="B10108" s="8"/>
      <c r="G10108" s="8"/>
      <c r="M10108" s="8"/>
    </row>
    <row r="10109">
      <c r="B10109" s="8"/>
      <c r="G10109" s="8"/>
      <c r="M10109" s="8"/>
    </row>
    <row r="10110">
      <c r="B10110" s="8"/>
      <c r="G10110" s="8"/>
      <c r="M10110" s="8"/>
    </row>
    <row r="10111">
      <c r="B10111" s="8"/>
      <c r="G10111" s="8"/>
      <c r="M10111" s="8"/>
    </row>
    <row r="10112">
      <c r="B10112" s="8"/>
      <c r="G10112" s="8"/>
      <c r="M10112" s="8"/>
    </row>
    <row r="10113">
      <c r="B10113" s="8"/>
      <c r="G10113" s="8"/>
      <c r="M10113" s="8"/>
    </row>
    <row r="10114">
      <c r="B10114" s="8"/>
      <c r="G10114" s="8"/>
      <c r="M10114" s="8"/>
    </row>
    <row r="10115">
      <c r="B10115" s="8"/>
      <c r="G10115" s="8"/>
      <c r="M10115" s="8"/>
    </row>
    <row r="10116">
      <c r="B10116" s="8"/>
      <c r="G10116" s="8"/>
      <c r="M10116" s="8"/>
    </row>
    <row r="10117">
      <c r="B10117" s="8"/>
      <c r="G10117" s="8"/>
      <c r="M10117" s="8"/>
    </row>
    <row r="10118">
      <c r="B10118" s="8"/>
      <c r="G10118" s="8"/>
      <c r="M10118" s="8"/>
    </row>
    <row r="10119">
      <c r="B10119" s="8"/>
      <c r="G10119" s="8"/>
      <c r="M10119" s="8"/>
    </row>
    <row r="10120">
      <c r="B10120" s="8"/>
      <c r="G10120" s="8"/>
      <c r="M10120" s="8"/>
    </row>
    <row r="10121">
      <c r="B10121" s="8"/>
      <c r="G10121" s="8"/>
      <c r="M10121" s="8"/>
    </row>
    <row r="10122">
      <c r="B10122" s="8"/>
      <c r="G10122" s="8"/>
      <c r="M10122" s="8"/>
    </row>
    <row r="10123">
      <c r="B10123" s="8"/>
      <c r="G10123" s="8"/>
      <c r="M10123" s="8"/>
    </row>
    <row r="10124">
      <c r="B10124" s="8"/>
      <c r="G10124" s="8"/>
      <c r="M10124" s="8"/>
    </row>
    <row r="10125">
      <c r="B10125" s="8"/>
      <c r="G10125" s="8"/>
      <c r="M10125" s="8"/>
    </row>
    <row r="10126">
      <c r="B10126" s="8"/>
      <c r="G10126" s="8"/>
      <c r="M10126" s="8"/>
    </row>
    <row r="10127">
      <c r="B10127" s="8"/>
      <c r="G10127" s="8"/>
      <c r="M10127" s="8"/>
    </row>
    <row r="10128">
      <c r="B10128" s="8"/>
      <c r="G10128" s="8"/>
      <c r="M10128" s="8"/>
    </row>
    <row r="10129">
      <c r="B10129" s="8"/>
      <c r="G10129" s="8"/>
      <c r="M10129" s="8"/>
    </row>
    <row r="10130">
      <c r="B10130" s="8"/>
      <c r="G10130" s="8"/>
      <c r="M10130" s="8"/>
    </row>
    <row r="10131">
      <c r="B10131" s="8"/>
      <c r="G10131" s="8"/>
      <c r="M10131" s="8"/>
    </row>
    <row r="10132">
      <c r="B10132" s="8"/>
      <c r="G10132" s="8"/>
      <c r="M10132" s="8"/>
    </row>
    <row r="10133">
      <c r="B10133" s="8"/>
      <c r="G10133" s="8"/>
      <c r="M10133" s="8"/>
    </row>
    <row r="10134">
      <c r="B10134" s="8"/>
      <c r="G10134" s="8"/>
      <c r="M10134" s="8"/>
    </row>
    <row r="10135">
      <c r="B10135" s="8"/>
      <c r="G10135" s="8"/>
      <c r="M10135" s="8"/>
    </row>
    <row r="10136">
      <c r="B10136" s="8"/>
      <c r="G10136" s="8"/>
      <c r="M10136" s="8"/>
    </row>
    <row r="10137">
      <c r="B10137" s="8"/>
      <c r="G10137" s="8"/>
      <c r="M10137" s="8"/>
    </row>
    <row r="10138">
      <c r="B10138" s="8"/>
      <c r="G10138" s="8"/>
      <c r="M10138" s="8"/>
    </row>
    <row r="10139">
      <c r="B10139" s="8"/>
      <c r="G10139" s="8"/>
      <c r="M10139" s="8"/>
    </row>
    <row r="10140">
      <c r="B10140" s="8"/>
      <c r="G10140" s="8"/>
      <c r="M10140" s="8"/>
    </row>
    <row r="10141">
      <c r="B10141" s="8"/>
      <c r="G10141" s="8"/>
      <c r="M10141" s="8"/>
    </row>
    <row r="10142">
      <c r="B10142" s="8"/>
      <c r="G10142" s="8"/>
      <c r="M10142" s="8"/>
    </row>
    <row r="10143">
      <c r="B10143" s="8"/>
      <c r="G10143" s="8"/>
      <c r="M10143" s="8"/>
    </row>
    <row r="10144">
      <c r="B10144" s="8"/>
      <c r="G10144" s="8"/>
      <c r="M10144" s="8"/>
    </row>
    <row r="10145">
      <c r="B10145" s="8"/>
      <c r="G10145" s="8"/>
      <c r="M10145" s="8"/>
    </row>
    <row r="10146">
      <c r="B10146" s="8"/>
      <c r="G10146" s="8"/>
      <c r="M10146" s="8"/>
    </row>
    <row r="10147">
      <c r="B10147" s="8"/>
      <c r="G10147" s="8"/>
      <c r="M10147" s="8"/>
    </row>
    <row r="10148">
      <c r="B10148" s="8"/>
      <c r="G10148" s="8"/>
      <c r="M10148" s="8"/>
    </row>
    <row r="10149">
      <c r="B10149" s="8"/>
      <c r="G10149" s="8"/>
      <c r="M10149" s="8"/>
    </row>
    <row r="10150">
      <c r="B10150" s="8"/>
      <c r="G10150" s="8"/>
      <c r="M10150" s="8"/>
    </row>
    <row r="10151">
      <c r="B10151" s="8"/>
      <c r="G10151" s="8"/>
      <c r="M10151" s="8"/>
    </row>
    <row r="10152">
      <c r="B10152" s="8"/>
      <c r="G10152" s="8"/>
      <c r="M10152" s="8"/>
    </row>
    <row r="10153">
      <c r="B10153" s="8"/>
      <c r="G10153" s="8"/>
      <c r="M10153" s="8"/>
    </row>
    <row r="10154">
      <c r="B10154" s="8"/>
      <c r="G10154" s="8"/>
      <c r="M10154" s="8"/>
    </row>
    <row r="10155">
      <c r="B10155" s="8"/>
      <c r="G10155" s="8"/>
      <c r="M10155" s="8"/>
    </row>
    <row r="10156">
      <c r="B10156" s="8"/>
      <c r="G10156" s="8"/>
      <c r="M10156" s="8"/>
    </row>
    <row r="10157">
      <c r="B10157" s="8"/>
      <c r="G10157" s="8"/>
      <c r="M10157" s="8"/>
    </row>
    <row r="10158">
      <c r="B10158" s="8"/>
      <c r="G10158" s="8"/>
      <c r="M10158" s="8"/>
    </row>
    <row r="10159">
      <c r="B10159" s="8"/>
      <c r="G10159" s="8"/>
      <c r="M10159" s="8"/>
    </row>
    <row r="10160">
      <c r="B10160" s="8"/>
      <c r="G10160" s="8"/>
      <c r="M10160" s="8"/>
    </row>
    <row r="10161">
      <c r="B10161" s="8"/>
      <c r="G10161" s="8"/>
      <c r="M10161" s="8"/>
    </row>
    <row r="10162">
      <c r="B10162" s="8"/>
      <c r="G10162" s="8"/>
      <c r="M10162" s="8"/>
    </row>
    <row r="10163">
      <c r="B10163" s="8"/>
      <c r="G10163" s="8"/>
      <c r="M10163" s="8"/>
    </row>
    <row r="10164">
      <c r="B10164" s="8"/>
      <c r="G10164" s="8"/>
      <c r="M10164" s="8"/>
    </row>
    <row r="10165">
      <c r="B10165" s="8"/>
      <c r="G10165" s="8"/>
      <c r="M10165" s="8"/>
    </row>
    <row r="10166">
      <c r="B10166" s="8"/>
      <c r="G10166" s="8"/>
      <c r="M10166" s="8"/>
    </row>
    <row r="10167">
      <c r="B10167" s="8"/>
      <c r="G10167" s="8"/>
      <c r="M10167" s="8"/>
    </row>
    <row r="10168">
      <c r="B10168" s="8"/>
      <c r="G10168" s="8"/>
      <c r="M10168" s="8"/>
    </row>
    <row r="10169">
      <c r="B10169" s="8"/>
      <c r="G10169" s="8"/>
      <c r="M10169" s="8"/>
    </row>
    <row r="10170">
      <c r="B10170" s="8"/>
      <c r="G10170" s="8"/>
      <c r="M10170" s="8"/>
    </row>
    <row r="10171">
      <c r="B10171" s="8"/>
      <c r="G10171" s="8"/>
      <c r="M10171" s="8"/>
    </row>
    <row r="10172">
      <c r="B10172" s="8"/>
      <c r="G10172" s="8"/>
      <c r="M10172" s="8"/>
    </row>
    <row r="10173">
      <c r="B10173" s="8"/>
      <c r="G10173" s="8"/>
      <c r="M10173" s="8"/>
    </row>
    <row r="10174">
      <c r="B10174" s="8"/>
      <c r="G10174" s="8"/>
      <c r="M10174" s="8"/>
    </row>
    <row r="10175">
      <c r="B10175" s="8"/>
      <c r="G10175" s="8"/>
      <c r="M10175" s="8"/>
    </row>
    <row r="10176">
      <c r="B10176" s="8"/>
      <c r="G10176" s="8"/>
      <c r="M10176" s="8"/>
    </row>
    <row r="10177">
      <c r="B10177" s="8"/>
      <c r="G10177" s="8"/>
      <c r="M10177" s="8"/>
    </row>
    <row r="10178">
      <c r="B10178" s="8"/>
      <c r="G10178" s="8"/>
      <c r="M10178" s="8"/>
    </row>
    <row r="10179">
      <c r="B10179" s="8"/>
      <c r="G10179" s="8"/>
      <c r="M10179" s="8"/>
    </row>
    <row r="10180">
      <c r="B10180" s="8"/>
      <c r="G10180" s="8"/>
      <c r="M10180" s="8"/>
    </row>
    <row r="10181">
      <c r="B10181" s="8"/>
      <c r="G10181" s="8"/>
      <c r="M10181" s="8"/>
    </row>
    <row r="10182">
      <c r="B10182" s="8"/>
      <c r="G10182" s="8"/>
      <c r="M10182" s="8"/>
    </row>
    <row r="10183">
      <c r="B10183" s="8"/>
      <c r="G10183" s="8"/>
      <c r="M10183" s="8"/>
    </row>
    <row r="10184">
      <c r="B10184" s="8"/>
      <c r="G10184" s="8"/>
      <c r="M10184" s="8"/>
    </row>
    <row r="10185">
      <c r="B10185" s="8"/>
      <c r="G10185" s="8"/>
      <c r="M10185" s="8"/>
    </row>
    <row r="10186">
      <c r="B10186" s="8"/>
      <c r="G10186" s="8"/>
      <c r="M10186" s="8"/>
    </row>
    <row r="10187">
      <c r="B10187" s="8"/>
      <c r="G10187" s="8"/>
      <c r="M10187" s="8"/>
    </row>
    <row r="10188">
      <c r="B10188" s="8"/>
      <c r="G10188" s="8"/>
      <c r="M10188" s="8"/>
    </row>
    <row r="10189">
      <c r="B10189" s="8"/>
      <c r="G10189" s="8"/>
      <c r="M10189" s="8"/>
    </row>
    <row r="10190">
      <c r="B10190" s="8"/>
      <c r="G10190" s="8"/>
      <c r="M10190" s="8"/>
    </row>
    <row r="10191">
      <c r="B10191" s="8"/>
      <c r="G10191" s="8"/>
      <c r="M10191" s="8"/>
    </row>
    <row r="10192">
      <c r="B10192" s="8"/>
      <c r="G10192" s="8"/>
      <c r="M10192" s="8"/>
    </row>
    <row r="10193">
      <c r="B10193" s="8"/>
      <c r="G10193" s="8"/>
      <c r="M10193" s="8"/>
    </row>
    <row r="10194">
      <c r="B10194" s="8"/>
      <c r="G10194" s="8"/>
      <c r="M10194" s="8"/>
    </row>
    <row r="10195">
      <c r="B10195" s="8"/>
      <c r="G10195" s="8"/>
      <c r="M10195" s="8"/>
    </row>
    <row r="10196">
      <c r="B10196" s="8"/>
      <c r="G10196" s="8"/>
      <c r="M10196" s="8"/>
    </row>
    <row r="10197">
      <c r="B10197" s="8"/>
      <c r="G10197" s="8"/>
      <c r="M10197" s="8"/>
    </row>
    <row r="10198">
      <c r="B10198" s="8"/>
      <c r="G10198" s="8"/>
      <c r="M10198" s="8"/>
    </row>
    <row r="10199">
      <c r="B10199" s="8"/>
      <c r="G10199" s="8"/>
      <c r="M10199" s="8"/>
    </row>
    <row r="10200">
      <c r="B10200" s="8"/>
      <c r="G10200" s="8"/>
      <c r="M10200" s="8"/>
    </row>
    <row r="10201">
      <c r="B10201" s="8"/>
      <c r="G10201" s="8"/>
      <c r="M10201" s="8"/>
    </row>
    <row r="10202">
      <c r="B10202" s="8"/>
      <c r="G10202" s="8"/>
      <c r="M10202" s="8"/>
    </row>
    <row r="10203">
      <c r="B10203" s="8"/>
      <c r="G10203" s="8"/>
      <c r="M10203" s="8"/>
    </row>
    <row r="10204">
      <c r="B10204" s="8"/>
      <c r="G10204" s="8"/>
      <c r="M10204" s="8"/>
    </row>
    <row r="10205">
      <c r="B10205" s="8"/>
      <c r="G10205" s="8"/>
      <c r="M10205" s="8"/>
    </row>
    <row r="10206">
      <c r="B10206" s="8"/>
      <c r="G10206" s="8"/>
      <c r="M10206" s="8"/>
    </row>
    <row r="10207">
      <c r="B10207" s="8"/>
      <c r="G10207" s="8"/>
      <c r="M10207" s="8"/>
    </row>
    <row r="10208">
      <c r="B10208" s="8"/>
      <c r="G10208" s="8"/>
      <c r="M10208" s="8"/>
    </row>
    <row r="10209">
      <c r="B10209" s="8"/>
      <c r="G10209" s="8"/>
      <c r="M10209" s="8"/>
    </row>
    <row r="10210">
      <c r="B10210" s="8"/>
      <c r="G10210" s="8"/>
      <c r="M10210" s="8"/>
    </row>
    <row r="10211">
      <c r="B10211" s="8"/>
      <c r="G10211" s="8"/>
      <c r="M10211" s="8"/>
    </row>
    <row r="10212">
      <c r="B10212" s="8"/>
      <c r="G10212" s="8"/>
      <c r="M10212" s="8"/>
    </row>
    <row r="10213">
      <c r="B10213" s="8"/>
      <c r="G10213" s="8"/>
      <c r="M10213" s="8"/>
    </row>
    <row r="10214">
      <c r="B10214" s="8"/>
      <c r="G10214" s="8"/>
      <c r="M10214" s="8"/>
    </row>
    <row r="10215">
      <c r="B10215" s="8"/>
      <c r="G10215" s="8"/>
      <c r="M10215" s="8"/>
    </row>
    <row r="10216">
      <c r="B10216" s="8"/>
      <c r="G10216" s="8"/>
      <c r="M10216" s="8"/>
    </row>
    <row r="10217">
      <c r="B10217" s="8"/>
      <c r="G10217" s="8"/>
      <c r="M10217" s="8"/>
    </row>
    <row r="10218">
      <c r="B10218" s="8"/>
      <c r="G10218" s="8"/>
      <c r="M10218" s="8"/>
    </row>
    <row r="10219">
      <c r="B10219" s="8"/>
      <c r="G10219" s="8"/>
      <c r="M10219" s="8"/>
    </row>
    <row r="10220">
      <c r="B10220" s="8"/>
      <c r="G10220" s="8"/>
      <c r="M10220" s="8"/>
    </row>
    <row r="10221">
      <c r="B10221" s="8"/>
      <c r="G10221" s="8"/>
      <c r="M10221" s="8"/>
    </row>
    <row r="10222">
      <c r="B10222" s="8"/>
      <c r="G10222" s="8"/>
      <c r="M10222" s="8"/>
    </row>
    <row r="10223">
      <c r="B10223" s="8"/>
      <c r="G10223" s="8"/>
      <c r="M10223" s="8"/>
    </row>
    <row r="10224">
      <c r="B10224" s="8"/>
      <c r="G10224" s="8"/>
      <c r="M10224" s="8"/>
    </row>
    <row r="10225">
      <c r="B10225" s="8"/>
      <c r="G10225" s="8"/>
      <c r="M10225" s="8"/>
    </row>
    <row r="10226">
      <c r="B10226" s="8"/>
      <c r="G10226" s="8"/>
      <c r="M10226" s="8"/>
    </row>
    <row r="10227">
      <c r="B10227" s="8"/>
      <c r="G10227" s="8"/>
      <c r="M10227" s="8"/>
    </row>
    <row r="10228">
      <c r="B10228" s="8"/>
      <c r="G10228" s="8"/>
      <c r="M10228" s="8"/>
    </row>
    <row r="10229">
      <c r="B10229" s="8"/>
      <c r="G10229" s="8"/>
      <c r="M10229" s="8"/>
    </row>
    <row r="10230">
      <c r="B10230" s="8"/>
      <c r="G10230" s="8"/>
      <c r="M10230" s="8"/>
    </row>
    <row r="10231">
      <c r="B10231" s="8"/>
      <c r="G10231" s="8"/>
      <c r="M10231" s="8"/>
    </row>
    <row r="10232">
      <c r="B10232" s="8"/>
      <c r="G10232" s="8"/>
      <c r="M10232" s="8"/>
    </row>
    <row r="10233">
      <c r="B10233" s="8"/>
      <c r="G10233" s="8"/>
      <c r="M10233" s="8"/>
    </row>
    <row r="10234">
      <c r="B10234" s="8"/>
      <c r="G10234" s="8"/>
      <c r="M10234" s="8"/>
    </row>
    <row r="10235">
      <c r="B10235" s="8"/>
      <c r="G10235" s="8"/>
      <c r="M10235" s="8"/>
    </row>
    <row r="10236">
      <c r="B10236" s="8"/>
      <c r="G10236" s="8"/>
      <c r="M10236" s="8"/>
    </row>
    <row r="10237">
      <c r="B10237" s="8"/>
      <c r="G10237" s="8"/>
      <c r="M10237" s="8"/>
    </row>
    <row r="10238">
      <c r="B10238" s="8"/>
      <c r="G10238" s="8"/>
      <c r="M10238" s="8"/>
    </row>
    <row r="10239">
      <c r="B10239" s="8"/>
      <c r="G10239" s="8"/>
      <c r="M10239" s="8"/>
    </row>
    <row r="10240">
      <c r="B10240" s="8"/>
      <c r="G10240" s="8"/>
      <c r="M10240" s="8"/>
    </row>
    <row r="10241">
      <c r="B10241" s="8"/>
      <c r="G10241" s="8"/>
      <c r="M10241" s="8"/>
    </row>
    <row r="10242">
      <c r="B10242" s="8"/>
      <c r="G10242" s="8"/>
      <c r="M10242" s="8"/>
    </row>
    <row r="10243">
      <c r="B10243" s="8"/>
      <c r="G10243" s="8"/>
      <c r="M10243" s="8"/>
    </row>
    <row r="10244">
      <c r="B10244" s="8"/>
      <c r="G10244" s="8"/>
      <c r="M10244" s="8"/>
    </row>
    <row r="10245">
      <c r="B10245" s="8"/>
      <c r="G10245" s="8"/>
      <c r="M10245" s="8"/>
    </row>
    <row r="10246">
      <c r="B10246" s="8"/>
      <c r="G10246" s="8"/>
      <c r="M10246" s="8"/>
    </row>
    <row r="10247">
      <c r="B10247" s="8"/>
      <c r="G10247" s="8"/>
      <c r="M10247" s="8"/>
    </row>
    <row r="10248">
      <c r="B10248" s="8"/>
      <c r="G10248" s="8"/>
      <c r="M10248" s="8"/>
    </row>
    <row r="10249">
      <c r="B10249" s="8"/>
      <c r="G10249" s="8"/>
      <c r="M10249" s="8"/>
    </row>
    <row r="10250">
      <c r="B10250" s="8"/>
      <c r="G10250" s="8"/>
      <c r="M10250" s="8"/>
    </row>
    <row r="10251">
      <c r="B10251" s="8"/>
      <c r="G10251" s="8"/>
      <c r="M10251" s="8"/>
    </row>
    <row r="10252">
      <c r="B10252" s="8"/>
      <c r="G10252" s="8"/>
      <c r="M10252" s="8"/>
    </row>
    <row r="10253">
      <c r="B10253" s="8"/>
      <c r="G10253" s="8"/>
      <c r="M10253" s="8"/>
    </row>
    <row r="10254">
      <c r="B10254" s="8"/>
      <c r="G10254" s="8"/>
      <c r="M10254" s="8"/>
    </row>
    <row r="10255">
      <c r="B10255" s="8"/>
      <c r="G10255" s="8"/>
      <c r="M10255" s="8"/>
    </row>
    <row r="10256">
      <c r="B10256" s="8"/>
      <c r="G10256" s="8"/>
      <c r="M10256" s="8"/>
    </row>
    <row r="10257">
      <c r="B10257" s="8"/>
      <c r="G10257" s="8"/>
      <c r="M10257" s="8"/>
    </row>
    <row r="10258">
      <c r="B10258" s="8"/>
      <c r="G10258" s="8"/>
      <c r="M10258" s="8"/>
    </row>
    <row r="10259">
      <c r="B10259" s="8"/>
      <c r="G10259" s="8"/>
      <c r="M10259" s="8"/>
    </row>
    <row r="10260">
      <c r="B10260" s="8"/>
      <c r="G10260" s="8"/>
      <c r="M10260" s="8"/>
    </row>
    <row r="10261">
      <c r="B10261" s="8"/>
      <c r="G10261" s="8"/>
      <c r="M10261" s="8"/>
    </row>
    <row r="10262">
      <c r="B10262" s="8"/>
      <c r="G10262" s="8"/>
      <c r="M10262" s="8"/>
    </row>
    <row r="10263">
      <c r="B10263" s="8"/>
      <c r="G10263" s="8"/>
      <c r="M10263" s="8"/>
    </row>
    <row r="10264">
      <c r="B10264" s="8"/>
      <c r="G10264" s="8"/>
      <c r="M10264" s="8"/>
    </row>
    <row r="10265">
      <c r="B10265" s="8"/>
      <c r="G10265" s="8"/>
      <c r="M10265" s="8"/>
    </row>
    <row r="10266">
      <c r="B10266" s="8"/>
      <c r="G10266" s="8"/>
      <c r="M10266" s="8"/>
    </row>
    <row r="10267">
      <c r="B10267" s="8"/>
      <c r="G10267" s="8"/>
      <c r="M10267" s="8"/>
    </row>
    <row r="10268">
      <c r="B10268" s="8"/>
      <c r="G10268" s="8"/>
      <c r="M10268" s="8"/>
    </row>
    <row r="10269">
      <c r="B10269" s="8"/>
      <c r="G10269" s="8"/>
      <c r="M10269" s="8"/>
    </row>
    <row r="10270">
      <c r="B10270" s="8"/>
      <c r="G10270" s="8"/>
      <c r="M10270" s="8"/>
    </row>
    <row r="10271">
      <c r="B10271" s="8"/>
      <c r="G10271" s="8"/>
      <c r="M10271" s="8"/>
    </row>
    <row r="10272">
      <c r="B10272" s="8"/>
      <c r="G10272" s="8"/>
      <c r="M10272" s="8"/>
    </row>
    <row r="10273">
      <c r="B10273" s="8"/>
      <c r="G10273" s="8"/>
      <c r="M10273" s="8"/>
    </row>
    <row r="10274">
      <c r="B10274" s="8"/>
      <c r="G10274" s="8"/>
      <c r="M10274" s="8"/>
    </row>
    <row r="10275">
      <c r="B10275" s="8"/>
      <c r="G10275" s="8"/>
      <c r="M10275" s="8"/>
    </row>
    <row r="10276">
      <c r="B10276" s="8"/>
      <c r="G10276" s="8"/>
      <c r="M10276" s="8"/>
    </row>
    <row r="10277">
      <c r="B10277" s="8"/>
      <c r="G10277" s="8"/>
      <c r="M10277" s="8"/>
    </row>
    <row r="10278">
      <c r="B10278" s="8"/>
      <c r="G10278" s="8"/>
      <c r="M10278" s="8"/>
    </row>
    <row r="10279">
      <c r="B10279" s="8"/>
      <c r="G10279" s="8"/>
      <c r="M10279" s="8"/>
    </row>
    <row r="10280">
      <c r="B10280" s="8"/>
      <c r="G10280" s="8"/>
      <c r="M10280" s="8"/>
    </row>
    <row r="10281">
      <c r="B10281" s="8"/>
      <c r="G10281" s="8"/>
      <c r="M10281" s="8"/>
    </row>
    <row r="10282">
      <c r="B10282" s="8"/>
      <c r="G10282" s="8"/>
      <c r="M10282" s="8"/>
    </row>
    <row r="10283">
      <c r="B10283" s="8"/>
      <c r="G10283" s="8"/>
      <c r="M10283" s="8"/>
    </row>
    <row r="10284">
      <c r="B10284" s="8"/>
      <c r="G10284" s="8"/>
      <c r="M10284" s="8"/>
    </row>
    <row r="10285">
      <c r="B10285" s="8"/>
      <c r="G10285" s="8"/>
      <c r="M10285" s="8"/>
    </row>
    <row r="10286">
      <c r="B10286" s="8"/>
      <c r="G10286" s="8"/>
      <c r="M10286" s="8"/>
    </row>
    <row r="10287">
      <c r="B10287" s="8"/>
      <c r="G10287" s="8"/>
      <c r="M10287" s="8"/>
    </row>
    <row r="10288">
      <c r="B10288" s="8"/>
      <c r="G10288" s="8"/>
      <c r="M10288" s="8"/>
    </row>
    <row r="10289">
      <c r="B10289" s="8"/>
      <c r="G10289" s="8"/>
      <c r="M10289" s="8"/>
    </row>
    <row r="10290">
      <c r="B10290" s="8"/>
      <c r="G10290" s="8"/>
      <c r="M10290" s="8"/>
    </row>
    <row r="10291">
      <c r="B10291" s="8"/>
      <c r="G10291" s="8"/>
      <c r="M10291" s="8"/>
    </row>
    <row r="10292">
      <c r="B10292" s="8"/>
      <c r="G10292" s="8"/>
      <c r="M10292" s="8"/>
    </row>
    <row r="10293">
      <c r="B10293" s="8"/>
      <c r="G10293" s="8"/>
      <c r="M10293" s="8"/>
    </row>
    <row r="10294">
      <c r="B10294" s="8"/>
      <c r="G10294" s="8"/>
      <c r="M10294" s="8"/>
    </row>
    <row r="10295">
      <c r="B10295" s="8"/>
      <c r="G10295" s="8"/>
      <c r="M10295" s="8"/>
    </row>
    <row r="10296">
      <c r="B10296" s="8"/>
      <c r="G10296" s="8"/>
      <c r="M10296" s="8"/>
    </row>
    <row r="10297">
      <c r="B10297" s="8"/>
      <c r="G10297" s="8"/>
      <c r="M10297" s="8"/>
    </row>
    <row r="10298">
      <c r="B10298" s="8"/>
      <c r="G10298" s="8"/>
      <c r="M10298" s="8"/>
    </row>
    <row r="10299">
      <c r="B10299" s="8"/>
      <c r="G10299" s="8"/>
      <c r="M10299" s="8"/>
    </row>
    <row r="10300">
      <c r="B10300" s="8"/>
      <c r="G10300" s="8"/>
      <c r="M10300" s="8"/>
    </row>
    <row r="10301">
      <c r="B10301" s="8"/>
      <c r="G10301" s="8"/>
      <c r="M10301" s="8"/>
    </row>
    <row r="10302">
      <c r="B10302" s="8"/>
      <c r="G10302" s="8"/>
      <c r="M10302" s="8"/>
    </row>
    <row r="10303">
      <c r="B10303" s="8"/>
      <c r="G10303" s="8"/>
      <c r="M10303" s="8"/>
    </row>
    <row r="10304">
      <c r="B10304" s="8"/>
      <c r="G10304" s="8"/>
      <c r="M10304" s="8"/>
    </row>
    <row r="10305">
      <c r="B10305" s="8"/>
      <c r="G10305" s="8"/>
      <c r="M10305" s="8"/>
    </row>
    <row r="10306">
      <c r="B10306" s="8"/>
      <c r="G10306" s="8"/>
      <c r="M10306" s="8"/>
    </row>
    <row r="10307">
      <c r="B10307" s="8"/>
      <c r="G10307" s="8"/>
      <c r="M10307" s="8"/>
    </row>
    <row r="10308">
      <c r="B10308" s="8"/>
      <c r="G10308" s="8"/>
      <c r="M10308" s="8"/>
    </row>
    <row r="10309">
      <c r="B10309" s="8"/>
      <c r="G10309" s="8"/>
      <c r="M10309" s="8"/>
    </row>
    <row r="10310">
      <c r="B10310" s="8"/>
      <c r="G10310" s="8"/>
      <c r="M10310" s="8"/>
    </row>
    <row r="10311">
      <c r="B10311" s="8"/>
      <c r="G10311" s="8"/>
      <c r="M10311" s="8"/>
    </row>
    <row r="10312">
      <c r="B10312" s="8"/>
      <c r="G10312" s="8"/>
      <c r="M10312" s="8"/>
    </row>
    <row r="10313">
      <c r="B10313" s="8"/>
      <c r="G10313" s="8"/>
      <c r="M10313" s="8"/>
    </row>
    <row r="10314">
      <c r="B10314" s="8"/>
      <c r="G10314" s="8"/>
      <c r="M10314" s="8"/>
    </row>
    <row r="10315">
      <c r="B10315" s="8"/>
      <c r="G10315" s="8"/>
      <c r="M10315" s="8"/>
    </row>
    <row r="10316">
      <c r="B10316" s="8"/>
      <c r="G10316" s="8"/>
      <c r="M10316" s="8"/>
    </row>
    <row r="10317">
      <c r="B10317" s="8"/>
      <c r="G10317" s="8"/>
      <c r="M10317" s="8"/>
    </row>
    <row r="10318">
      <c r="B10318" s="8"/>
      <c r="G10318" s="8"/>
      <c r="M10318" s="8"/>
    </row>
    <row r="10319">
      <c r="B10319" s="8"/>
      <c r="G10319" s="8"/>
      <c r="M10319" s="8"/>
    </row>
    <row r="10320">
      <c r="B10320" s="8"/>
      <c r="G10320" s="8"/>
      <c r="M10320" s="8"/>
    </row>
    <row r="10321">
      <c r="B10321" s="8"/>
      <c r="G10321" s="8"/>
      <c r="M10321" s="8"/>
    </row>
    <row r="10322">
      <c r="B10322" s="8"/>
      <c r="G10322" s="8"/>
      <c r="M10322" s="8"/>
    </row>
    <row r="10323">
      <c r="B10323" s="8"/>
      <c r="G10323" s="8"/>
      <c r="M10323" s="8"/>
    </row>
    <row r="10324">
      <c r="B10324" s="8"/>
      <c r="G10324" s="8"/>
      <c r="M10324" s="8"/>
    </row>
    <row r="10325">
      <c r="B10325" s="8"/>
      <c r="G10325" s="8"/>
      <c r="M10325" s="8"/>
    </row>
    <row r="10326">
      <c r="B10326" s="8"/>
      <c r="G10326" s="8"/>
      <c r="M10326" s="8"/>
    </row>
    <row r="10327">
      <c r="B10327" s="8"/>
      <c r="G10327" s="8"/>
      <c r="M10327" s="8"/>
    </row>
    <row r="10328">
      <c r="B10328" s="8"/>
      <c r="G10328" s="8"/>
      <c r="M10328" s="8"/>
    </row>
    <row r="10329">
      <c r="B10329" s="8"/>
      <c r="G10329" s="8"/>
      <c r="M10329" s="8"/>
    </row>
    <row r="10330">
      <c r="B10330" s="8"/>
      <c r="G10330" s="8"/>
      <c r="M10330" s="8"/>
    </row>
    <row r="10331">
      <c r="B10331" s="8"/>
      <c r="G10331" s="8"/>
      <c r="M10331" s="8"/>
    </row>
    <row r="10332">
      <c r="B10332" s="8"/>
      <c r="G10332" s="8"/>
      <c r="M10332" s="8"/>
    </row>
    <row r="10333">
      <c r="B10333" s="8"/>
      <c r="G10333" s="8"/>
      <c r="M10333" s="8"/>
    </row>
    <row r="10334">
      <c r="B10334" s="8"/>
      <c r="G10334" s="8"/>
      <c r="M10334" s="8"/>
    </row>
    <row r="10335">
      <c r="B10335" s="8"/>
      <c r="G10335" s="8"/>
      <c r="M10335" s="8"/>
    </row>
    <row r="10336">
      <c r="B10336" s="8"/>
      <c r="G10336" s="8"/>
      <c r="M10336" s="8"/>
    </row>
    <row r="10337">
      <c r="B10337" s="8"/>
      <c r="G10337" s="8"/>
      <c r="M10337" s="8"/>
    </row>
    <row r="10338">
      <c r="B10338" s="8"/>
      <c r="G10338" s="8"/>
      <c r="M10338" s="8"/>
    </row>
    <row r="10339">
      <c r="B10339" s="8"/>
      <c r="G10339" s="8"/>
      <c r="M10339" s="8"/>
    </row>
    <row r="10340">
      <c r="B10340" s="8"/>
      <c r="G10340" s="8"/>
      <c r="M10340" s="8"/>
    </row>
    <row r="10341">
      <c r="B10341" s="8"/>
      <c r="G10341" s="8"/>
      <c r="M10341" s="8"/>
    </row>
    <row r="10342">
      <c r="B10342" s="8"/>
      <c r="G10342" s="8"/>
      <c r="M10342" s="8"/>
    </row>
    <row r="10343">
      <c r="B10343" s="8"/>
      <c r="G10343" s="8"/>
      <c r="M10343" s="8"/>
    </row>
    <row r="10344">
      <c r="B10344" s="8"/>
      <c r="G10344" s="8"/>
      <c r="M10344" s="8"/>
    </row>
    <row r="10345">
      <c r="B10345" s="8"/>
      <c r="G10345" s="8"/>
      <c r="M10345" s="8"/>
    </row>
    <row r="10346">
      <c r="B10346" s="8"/>
      <c r="G10346" s="8"/>
      <c r="M10346" s="8"/>
    </row>
    <row r="10347">
      <c r="B10347" s="8"/>
      <c r="G10347" s="8"/>
      <c r="M10347" s="8"/>
    </row>
    <row r="10348">
      <c r="B10348" s="8"/>
      <c r="G10348" s="8"/>
      <c r="M10348" s="8"/>
    </row>
    <row r="10349">
      <c r="B10349" s="8"/>
      <c r="G10349" s="8"/>
      <c r="M10349" s="8"/>
    </row>
    <row r="10350">
      <c r="B10350" s="8"/>
      <c r="G10350" s="8"/>
      <c r="M10350" s="8"/>
    </row>
    <row r="10351">
      <c r="B10351" s="8"/>
      <c r="G10351" s="8"/>
      <c r="M10351" s="8"/>
    </row>
    <row r="10352">
      <c r="B10352" s="8"/>
      <c r="G10352" s="8"/>
      <c r="M10352" s="8"/>
    </row>
    <row r="10353">
      <c r="B10353" s="8"/>
      <c r="G10353" s="8"/>
      <c r="M10353" s="8"/>
    </row>
    <row r="10354">
      <c r="B10354" s="8"/>
      <c r="G10354" s="8"/>
      <c r="M10354" s="8"/>
    </row>
    <row r="10355">
      <c r="B10355" s="8"/>
      <c r="G10355" s="8"/>
      <c r="M10355" s="8"/>
    </row>
    <row r="10356">
      <c r="B10356" s="8"/>
      <c r="G10356" s="8"/>
      <c r="M10356" s="8"/>
    </row>
    <row r="10357">
      <c r="B10357" s="8"/>
      <c r="G10357" s="8"/>
      <c r="M10357" s="8"/>
    </row>
    <row r="10358">
      <c r="B10358" s="8"/>
      <c r="G10358" s="8"/>
      <c r="M10358" s="8"/>
    </row>
    <row r="10359">
      <c r="B10359" s="8"/>
      <c r="G10359" s="8"/>
      <c r="M10359" s="8"/>
    </row>
    <row r="10360">
      <c r="B10360" s="8"/>
      <c r="G10360" s="8"/>
      <c r="M10360" s="8"/>
    </row>
    <row r="10361">
      <c r="B10361" s="8"/>
      <c r="G10361" s="8"/>
      <c r="M10361" s="8"/>
    </row>
    <row r="10362">
      <c r="B10362" s="8"/>
      <c r="G10362" s="8"/>
      <c r="M10362" s="8"/>
    </row>
    <row r="10363">
      <c r="B10363" s="8"/>
      <c r="G10363" s="8"/>
      <c r="M10363" s="8"/>
    </row>
    <row r="10364">
      <c r="B10364" s="8"/>
      <c r="G10364" s="8"/>
      <c r="M10364" s="8"/>
    </row>
    <row r="10365">
      <c r="B10365" s="8"/>
      <c r="G10365" s="8"/>
      <c r="M10365" s="8"/>
    </row>
    <row r="10366">
      <c r="B10366" s="8"/>
      <c r="G10366" s="8"/>
      <c r="M10366" s="8"/>
    </row>
    <row r="10367">
      <c r="B10367" s="8"/>
      <c r="G10367" s="8"/>
      <c r="M10367" s="8"/>
    </row>
    <row r="10368">
      <c r="B10368" s="8"/>
      <c r="G10368" s="8"/>
      <c r="M10368" s="8"/>
    </row>
    <row r="10369">
      <c r="B10369" s="8"/>
      <c r="G10369" s="8"/>
      <c r="M10369" s="8"/>
    </row>
    <row r="10370">
      <c r="B10370" s="8"/>
      <c r="G10370" s="8"/>
      <c r="M10370" s="8"/>
    </row>
    <row r="10371">
      <c r="B10371" s="8"/>
      <c r="G10371" s="8"/>
      <c r="M10371" s="8"/>
    </row>
    <row r="10372">
      <c r="B10372" s="8"/>
      <c r="G10372" s="8"/>
      <c r="M10372" s="8"/>
    </row>
    <row r="10373">
      <c r="B10373" s="8"/>
      <c r="G10373" s="8"/>
      <c r="M10373" s="8"/>
    </row>
    <row r="10374">
      <c r="B10374" s="8"/>
      <c r="G10374" s="8"/>
      <c r="M10374" s="8"/>
    </row>
    <row r="10375">
      <c r="B10375" s="8"/>
      <c r="G10375" s="8"/>
      <c r="M10375" s="8"/>
    </row>
    <row r="10376">
      <c r="B10376" s="8"/>
      <c r="G10376" s="8"/>
      <c r="M10376" s="8"/>
    </row>
    <row r="10377">
      <c r="B10377" s="8"/>
      <c r="G10377" s="8"/>
      <c r="M10377" s="8"/>
    </row>
    <row r="10378">
      <c r="B10378" s="8"/>
      <c r="G10378" s="8"/>
      <c r="M10378" s="8"/>
    </row>
    <row r="10379">
      <c r="B10379" s="8"/>
      <c r="G10379" s="8"/>
      <c r="M10379" s="8"/>
    </row>
    <row r="10380">
      <c r="B10380" s="8"/>
      <c r="G10380" s="8"/>
      <c r="M10380" s="8"/>
    </row>
    <row r="10381">
      <c r="B10381" s="8"/>
      <c r="G10381" s="8"/>
      <c r="M10381" s="8"/>
    </row>
    <row r="10382">
      <c r="B10382" s="8"/>
      <c r="G10382" s="8"/>
      <c r="M10382" s="8"/>
    </row>
    <row r="10383">
      <c r="B10383" s="8"/>
      <c r="G10383" s="8"/>
      <c r="M10383" s="8"/>
    </row>
    <row r="10384">
      <c r="B10384" s="8"/>
      <c r="G10384" s="8"/>
      <c r="M10384" s="8"/>
    </row>
    <row r="10385">
      <c r="B10385" s="8"/>
      <c r="G10385" s="8"/>
      <c r="M10385" s="8"/>
    </row>
    <row r="10386">
      <c r="B10386" s="8"/>
      <c r="G10386" s="8"/>
      <c r="M10386" s="8"/>
    </row>
    <row r="10387">
      <c r="B10387" s="8"/>
      <c r="G10387" s="8"/>
      <c r="M10387" s="8"/>
    </row>
    <row r="10388">
      <c r="B10388" s="8"/>
      <c r="G10388" s="8"/>
      <c r="M10388" s="8"/>
    </row>
    <row r="10389">
      <c r="B10389" s="8"/>
      <c r="G10389" s="8"/>
      <c r="M10389" s="8"/>
    </row>
    <row r="10390">
      <c r="B10390" s="8"/>
      <c r="G10390" s="8"/>
      <c r="M10390" s="8"/>
    </row>
    <row r="10391">
      <c r="B10391" s="8"/>
      <c r="G10391" s="8"/>
      <c r="M10391" s="8"/>
    </row>
    <row r="10392">
      <c r="B10392" s="8"/>
      <c r="G10392" s="8"/>
      <c r="M10392" s="8"/>
    </row>
    <row r="10393">
      <c r="B10393" s="8"/>
      <c r="G10393" s="8"/>
      <c r="M10393" s="8"/>
    </row>
    <row r="10394">
      <c r="B10394" s="8"/>
      <c r="G10394" s="8"/>
      <c r="M10394" s="8"/>
    </row>
    <row r="10395">
      <c r="B10395" s="8"/>
      <c r="G10395" s="8"/>
      <c r="M10395" s="8"/>
    </row>
    <row r="10396">
      <c r="B10396" s="8"/>
      <c r="G10396" s="8"/>
      <c r="M10396" s="8"/>
    </row>
    <row r="10397">
      <c r="B10397" s="8"/>
      <c r="G10397" s="8"/>
      <c r="M10397" s="8"/>
    </row>
    <row r="10398">
      <c r="B10398" s="8"/>
      <c r="G10398" s="8"/>
      <c r="M10398" s="8"/>
    </row>
    <row r="10399">
      <c r="B10399" s="8"/>
      <c r="G10399" s="8"/>
      <c r="M10399" s="8"/>
    </row>
    <row r="10400">
      <c r="B10400" s="8"/>
      <c r="G10400" s="8"/>
      <c r="M10400" s="8"/>
    </row>
    <row r="10401">
      <c r="B10401" s="8"/>
      <c r="G10401" s="8"/>
      <c r="M10401" s="8"/>
    </row>
    <row r="10402">
      <c r="B10402" s="8"/>
      <c r="G10402" s="8"/>
      <c r="M10402" s="8"/>
    </row>
    <row r="10403">
      <c r="B10403" s="8"/>
      <c r="G10403" s="8"/>
      <c r="M10403" s="8"/>
    </row>
    <row r="10404">
      <c r="B10404" s="8"/>
      <c r="G10404" s="8"/>
      <c r="M10404" s="8"/>
    </row>
    <row r="10405">
      <c r="B10405" s="8"/>
      <c r="G10405" s="8"/>
      <c r="M10405" s="8"/>
    </row>
    <row r="10406">
      <c r="B10406" s="8"/>
      <c r="G10406" s="8"/>
      <c r="M10406" s="8"/>
    </row>
    <row r="10407">
      <c r="B10407" s="8"/>
      <c r="G10407" s="8"/>
      <c r="M10407" s="8"/>
    </row>
    <row r="10408">
      <c r="B10408" s="8"/>
      <c r="G10408" s="8"/>
      <c r="M10408" s="8"/>
    </row>
    <row r="10409">
      <c r="B10409" s="8"/>
      <c r="G10409" s="8"/>
      <c r="M10409" s="8"/>
    </row>
    <row r="10410">
      <c r="B10410" s="8"/>
      <c r="G10410" s="8"/>
      <c r="M10410" s="8"/>
    </row>
    <row r="10411">
      <c r="B10411" s="8"/>
      <c r="G10411" s="8"/>
      <c r="M10411" s="8"/>
    </row>
    <row r="10412">
      <c r="B10412" s="8"/>
      <c r="G10412" s="8"/>
      <c r="M10412" s="8"/>
    </row>
    <row r="10413">
      <c r="B10413" s="8"/>
      <c r="G10413" s="8"/>
      <c r="M10413" s="8"/>
    </row>
    <row r="10414">
      <c r="B10414" s="8"/>
      <c r="G10414" s="8"/>
      <c r="M10414" s="8"/>
    </row>
    <row r="10415">
      <c r="B10415" s="8"/>
      <c r="G10415" s="8"/>
      <c r="M10415" s="8"/>
    </row>
    <row r="10416">
      <c r="B10416" s="8"/>
      <c r="G10416" s="8"/>
      <c r="M10416" s="8"/>
    </row>
    <row r="10417">
      <c r="B10417" s="8"/>
      <c r="G10417" s="8"/>
      <c r="M10417" s="8"/>
    </row>
    <row r="10418">
      <c r="B10418" s="8"/>
      <c r="G10418" s="8"/>
      <c r="M10418" s="8"/>
    </row>
    <row r="10419">
      <c r="B10419" s="8"/>
      <c r="G10419" s="8"/>
      <c r="M10419" s="8"/>
    </row>
    <row r="10420">
      <c r="B10420" s="8"/>
      <c r="G10420" s="8"/>
      <c r="M10420" s="8"/>
    </row>
    <row r="10421">
      <c r="B10421" s="8"/>
      <c r="G10421" s="8"/>
      <c r="M10421" s="8"/>
    </row>
    <row r="10422">
      <c r="B10422" s="8"/>
      <c r="G10422" s="8"/>
      <c r="M10422" s="8"/>
    </row>
    <row r="10423">
      <c r="B10423" s="8"/>
      <c r="G10423" s="8"/>
      <c r="M10423" s="8"/>
    </row>
    <row r="10424">
      <c r="B10424" s="8"/>
      <c r="G10424" s="8"/>
      <c r="M10424" s="8"/>
    </row>
    <row r="10425">
      <c r="B10425" s="8"/>
      <c r="G10425" s="8"/>
      <c r="M10425" s="8"/>
    </row>
    <row r="10426">
      <c r="B10426" s="8"/>
      <c r="G10426" s="8"/>
      <c r="M10426" s="8"/>
    </row>
    <row r="10427">
      <c r="B10427" s="8"/>
      <c r="G10427" s="8"/>
      <c r="M10427" s="8"/>
    </row>
    <row r="10428">
      <c r="B10428" s="8"/>
      <c r="G10428" s="8"/>
      <c r="M10428" s="8"/>
    </row>
    <row r="10429">
      <c r="B10429" s="8"/>
      <c r="G10429" s="8"/>
      <c r="M10429" s="8"/>
    </row>
    <row r="10430">
      <c r="B10430" s="8"/>
      <c r="G10430" s="8"/>
      <c r="M10430" s="8"/>
    </row>
    <row r="10431">
      <c r="B10431" s="8"/>
      <c r="G10431" s="8"/>
      <c r="M10431" s="8"/>
    </row>
    <row r="10432">
      <c r="B10432" s="8"/>
      <c r="G10432" s="8"/>
      <c r="M10432" s="8"/>
    </row>
    <row r="10433">
      <c r="B10433" s="8"/>
      <c r="G10433" s="8"/>
      <c r="M10433" s="8"/>
    </row>
    <row r="10434">
      <c r="B10434" s="8"/>
      <c r="G10434" s="8"/>
      <c r="M10434" s="8"/>
    </row>
    <row r="10435">
      <c r="B10435" s="8"/>
      <c r="G10435" s="8"/>
      <c r="M10435" s="8"/>
    </row>
    <row r="10436">
      <c r="B10436" s="8"/>
      <c r="G10436" s="8"/>
      <c r="M10436" s="8"/>
    </row>
    <row r="10437">
      <c r="B10437" s="8"/>
      <c r="G10437" s="8"/>
      <c r="M10437" s="8"/>
    </row>
    <row r="10438">
      <c r="B10438" s="8"/>
      <c r="G10438" s="8"/>
      <c r="M10438" s="8"/>
    </row>
    <row r="10439">
      <c r="B10439" s="8"/>
      <c r="G10439" s="8"/>
      <c r="M10439" s="8"/>
    </row>
    <row r="10440">
      <c r="B10440" s="8"/>
      <c r="G10440" s="8"/>
      <c r="M10440" s="8"/>
    </row>
    <row r="10441">
      <c r="B10441" s="8"/>
      <c r="G10441" s="8"/>
      <c r="M10441" s="8"/>
    </row>
    <row r="10442">
      <c r="B10442" s="8"/>
      <c r="G10442" s="8"/>
      <c r="M10442" s="8"/>
    </row>
    <row r="10443">
      <c r="B10443" s="8"/>
      <c r="G10443" s="8"/>
      <c r="M10443" s="8"/>
    </row>
    <row r="10444">
      <c r="B10444" s="8"/>
      <c r="G10444" s="8"/>
      <c r="M10444" s="8"/>
    </row>
    <row r="10445">
      <c r="B10445" s="8"/>
      <c r="G10445" s="8"/>
      <c r="M10445" s="8"/>
    </row>
    <row r="10446">
      <c r="B10446" s="8"/>
      <c r="G10446" s="8"/>
      <c r="M10446" s="8"/>
    </row>
    <row r="10447">
      <c r="B10447" s="8"/>
      <c r="G10447" s="8"/>
      <c r="M10447" s="8"/>
    </row>
    <row r="10448">
      <c r="B10448" s="8"/>
      <c r="G10448" s="8"/>
      <c r="M10448" s="8"/>
    </row>
    <row r="10449">
      <c r="B10449" s="8"/>
      <c r="G10449" s="8"/>
      <c r="M10449" s="8"/>
    </row>
    <row r="10450">
      <c r="B10450" s="8"/>
      <c r="G10450" s="8"/>
      <c r="M10450" s="8"/>
    </row>
    <row r="10451">
      <c r="B10451" s="8"/>
      <c r="G10451" s="8"/>
      <c r="M10451" s="8"/>
    </row>
    <row r="10452">
      <c r="B10452" s="8"/>
      <c r="G10452" s="8"/>
      <c r="M10452" s="8"/>
    </row>
    <row r="10453">
      <c r="B10453" s="8"/>
      <c r="G10453" s="8"/>
      <c r="M10453" s="8"/>
    </row>
    <row r="10454">
      <c r="B10454" s="8"/>
      <c r="G10454" s="8"/>
      <c r="M10454" s="8"/>
    </row>
    <row r="10455">
      <c r="B10455" s="8"/>
      <c r="G10455" s="8"/>
      <c r="M10455" s="8"/>
    </row>
    <row r="10456">
      <c r="B10456" s="8"/>
      <c r="G10456" s="8"/>
      <c r="M10456" s="8"/>
    </row>
    <row r="10457">
      <c r="B10457" s="8"/>
      <c r="G10457" s="8"/>
      <c r="M10457" s="8"/>
    </row>
    <row r="10458">
      <c r="B10458" s="8"/>
      <c r="G10458" s="8"/>
      <c r="M10458" s="8"/>
    </row>
    <row r="10459">
      <c r="B10459" s="8"/>
      <c r="G10459" s="8"/>
      <c r="M10459" s="8"/>
    </row>
    <row r="10460">
      <c r="B10460" s="8"/>
      <c r="G10460" s="8"/>
      <c r="M10460" s="8"/>
    </row>
    <row r="10461">
      <c r="B10461" s="8"/>
      <c r="G10461" s="8"/>
      <c r="M10461" s="8"/>
    </row>
    <row r="10462">
      <c r="B10462" s="8"/>
      <c r="G10462" s="8"/>
      <c r="M10462" s="8"/>
    </row>
    <row r="10463">
      <c r="B10463" s="8"/>
      <c r="G10463" s="8"/>
      <c r="M10463" s="8"/>
    </row>
    <row r="10464">
      <c r="B10464" s="8"/>
      <c r="G10464" s="8"/>
      <c r="M10464" s="8"/>
    </row>
    <row r="10465">
      <c r="B10465" s="8"/>
      <c r="G10465" s="8"/>
      <c r="M10465" s="8"/>
    </row>
    <row r="10466">
      <c r="B10466" s="8"/>
      <c r="G10466" s="8"/>
      <c r="M10466" s="8"/>
    </row>
    <row r="10467">
      <c r="B10467" s="8"/>
      <c r="G10467" s="8"/>
      <c r="M10467" s="8"/>
    </row>
    <row r="10468">
      <c r="B10468" s="8"/>
      <c r="G10468" s="8"/>
      <c r="M10468" s="8"/>
    </row>
    <row r="10469">
      <c r="B10469" s="8"/>
      <c r="G10469" s="8"/>
      <c r="M10469" s="8"/>
    </row>
    <row r="10470">
      <c r="B10470" s="8"/>
      <c r="G10470" s="8"/>
      <c r="M10470" s="8"/>
    </row>
    <row r="10471">
      <c r="B10471" s="8"/>
      <c r="G10471" s="8"/>
      <c r="M10471" s="8"/>
    </row>
    <row r="10472">
      <c r="B10472" s="8"/>
      <c r="G10472" s="8"/>
      <c r="M10472" s="8"/>
    </row>
    <row r="10473">
      <c r="B10473" s="8"/>
      <c r="G10473" s="8"/>
      <c r="M10473" s="8"/>
    </row>
    <row r="10474">
      <c r="B10474" s="8"/>
      <c r="G10474" s="8"/>
      <c r="M10474" s="8"/>
    </row>
    <row r="10475">
      <c r="B10475" s="8"/>
      <c r="G10475" s="8"/>
      <c r="M10475" s="8"/>
    </row>
    <row r="10476">
      <c r="B10476" s="8"/>
      <c r="G10476" s="8"/>
      <c r="M10476" s="8"/>
    </row>
    <row r="10477">
      <c r="B10477" s="8"/>
      <c r="G10477" s="8"/>
      <c r="M10477" s="8"/>
    </row>
    <row r="10478">
      <c r="B10478" s="8"/>
      <c r="G10478" s="8"/>
      <c r="M10478" s="8"/>
    </row>
    <row r="10479">
      <c r="B10479" s="8"/>
      <c r="G10479" s="8"/>
      <c r="M10479" s="8"/>
    </row>
    <row r="10480">
      <c r="B10480" s="8"/>
      <c r="G10480" s="8"/>
      <c r="M10480" s="8"/>
    </row>
    <row r="10481">
      <c r="B10481" s="8"/>
      <c r="G10481" s="8"/>
      <c r="M10481" s="8"/>
    </row>
    <row r="10482">
      <c r="B10482" s="8"/>
      <c r="G10482" s="8"/>
      <c r="M10482" s="8"/>
    </row>
    <row r="10483">
      <c r="B10483" s="8"/>
      <c r="G10483" s="8"/>
      <c r="M10483" s="8"/>
    </row>
    <row r="10484">
      <c r="B10484" s="8"/>
      <c r="G10484" s="8"/>
      <c r="M10484" s="8"/>
    </row>
    <row r="10485">
      <c r="B10485" s="8"/>
      <c r="G10485" s="8"/>
      <c r="M10485" s="8"/>
    </row>
    <row r="10486">
      <c r="B10486" s="8"/>
      <c r="G10486" s="8"/>
      <c r="M10486" s="8"/>
    </row>
    <row r="10487">
      <c r="B10487" s="8"/>
      <c r="G10487" s="8"/>
      <c r="M10487" s="8"/>
    </row>
    <row r="10488">
      <c r="B10488" s="8"/>
      <c r="G10488" s="8"/>
      <c r="M10488" s="8"/>
    </row>
    <row r="10489">
      <c r="B10489" s="8"/>
      <c r="G10489" s="8"/>
      <c r="M10489" s="8"/>
    </row>
    <row r="10490">
      <c r="B10490" s="8"/>
      <c r="G10490" s="8"/>
      <c r="M10490" s="8"/>
    </row>
    <row r="10491">
      <c r="B10491" s="8"/>
      <c r="G10491" s="8"/>
      <c r="M10491" s="8"/>
    </row>
    <row r="10492">
      <c r="B10492" s="8"/>
      <c r="G10492" s="8"/>
      <c r="M10492" s="8"/>
    </row>
    <row r="10493">
      <c r="B10493" s="8"/>
      <c r="G10493" s="8"/>
      <c r="M10493" s="8"/>
    </row>
    <row r="10494">
      <c r="B10494" s="8"/>
      <c r="G10494" s="8"/>
      <c r="M10494" s="8"/>
    </row>
    <row r="10495">
      <c r="B10495" s="8"/>
      <c r="G10495" s="8"/>
      <c r="M10495" s="8"/>
    </row>
    <row r="10496">
      <c r="B10496" s="8"/>
      <c r="G10496" s="8"/>
      <c r="M10496" s="8"/>
    </row>
    <row r="10497">
      <c r="B10497" s="8"/>
      <c r="G10497" s="8"/>
      <c r="M10497" s="8"/>
    </row>
    <row r="10498">
      <c r="B10498" s="8"/>
      <c r="G10498" s="8"/>
      <c r="M10498" s="8"/>
    </row>
    <row r="10499">
      <c r="B10499" s="8"/>
      <c r="G10499" s="8"/>
      <c r="M10499" s="8"/>
    </row>
    <row r="10500">
      <c r="B10500" s="8"/>
      <c r="G10500" s="8"/>
      <c r="M10500" s="8"/>
    </row>
    <row r="10501">
      <c r="B10501" s="8"/>
      <c r="G10501" s="8"/>
      <c r="M10501" s="8"/>
    </row>
    <row r="10502">
      <c r="B10502" s="8"/>
      <c r="G10502" s="8"/>
      <c r="M10502" s="8"/>
    </row>
    <row r="10503">
      <c r="B10503" s="8"/>
      <c r="G10503" s="8"/>
      <c r="M10503" s="8"/>
    </row>
    <row r="10504">
      <c r="B10504" s="8"/>
      <c r="G10504" s="8"/>
      <c r="M10504" s="8"/>
    </row>
    <row r="10505">
      <c r="B10505" s="8"/>
      <c r="G10505" s="8"/>
      <c r="M10505" s="8"/>
    </row>
    <row r="10506">
      <c r="B10506" s="8"/>
      <c r="G10506" s="8"/>
      <c r="M10506" s="8"/>
    </row>
    <row r="10507">
      <c r="B10507" s="8"/>
      <c r="G10507" s="8"/>
      <c r="M10507" s="8"/>
    </row>
    <row r="10508">
      <c r="B10508" s="8"/>
      <c r="G10508" s="8"/>
      <c r="M10508" s="8"/>
    </row>
    <row r="10509">
      <c r="B10509" s="8"/>
      <c r="G10509" s="8"/>
      <c r="M10509" s="8"/>
    </row>
    <row r="10510">
      <c r="B10510" s="8"/>
      <c r="G10510" s="8"/>
      <c r="M10510" s="8"/>
    </row>
    <row r="10511">
      <c r="B10511" s="8"/>
      <c r="G10511" s="8"/>
      <c r="M10511" s="8"/>
    </row>
    <row r="10512">
      <c r="B10512" s="8"/>
      <c r="G10512" s="8"/>
      <c r="M10512" s="8"/>
    </row>
    <row r="10513">
      <c r="B10513" s="8"/>
      <c r="G10513" s="8"/>
      <c r="M10513" s="8"/>
    </row>
    <row r="10514">
      <c r="B10514" s="8"/>
      <c r="G10514" s="8"/>
      <c r="M10514" s="8"/>
    </row>
    <row r="10515">
      <c r="B10515" s="8"/>
      <c r="G10515" s="8"/>
      <c r="M10515" s="8"/>
    </row>
    <row r="10516">
      <c r="B10516" s="8"/>
      <c r="G10516" s="8"/>
      <c r="M10516" s="8"/>
    </row>
    <row r="10517">
      <c r="B10517" s="8"/>
      <c r="G10517" s="8"/>
      <c r="M10517" s="8"/>
    </row>
    <row r="10518">
      <c r="B10518" s="8"/>
      <c r="G10518" s="8"/>
      <c r="M10518" s="8"/>
    </row>
    <row r="10519">
      <c r="B10519" s="8"/>
      <c r="G10519" s="8"/>
      <c r="M10519" s="8"/>
    </row>
    <row r="10520">
      <c r="B10520" s="8"/>
      <c r="G10520" s="8"/>
      <c r="M10520" s="8"/>
    </row>
    <row r="10521">
      <c r="B10521" s="8"/>
      <c r="G10521" s="8"/>
      <c r="M10521" s="8"/>
    </row>
    <row r="10522">
      <c r="B10522" s="8"/>
      <c r="G10522" s="8"/>
      <c r="M10522" s="8"/>
    </row>
    <row r="10523">
      <c r="B10523" s="8"/>
      <c r="G10523" s="8"/>
      <c r="M10523" s="8"/>
    </row>
    <row r="10524">
      <c r="B10524" s="8"/>
      <c r="G10524" s="8"/>
      <c r="M10524" s="8"/>
    </row>
    <row r="10525">
      <c r="B10525" s="8"/>
      <c r="G10525" s="8"/>
      <c r="M10525" s="8"/>
    </row>
    <row r="10526">
      <c r="B10526" s="8"/>
      <c r="G10526" s="8"/>
      <c r="M10526" s="8"/>
    </row>
    <row r="10527">
      <c r="B10527" s="8"/>
      <c r="G10527" s="8"/>
      <c r="M10527" s="8"/>
    </row>
    <row r="10528">
      <c r="B10528" s="8"/>
      <c r="G10528" s="8"/>
      <c r="M10528" s="8"/>
    </row>
    <row r="10529">
      <c r="B10529" s="8"/>
      <c r="G10529" s="8"/>
      <c r="M10529" s="8"/>
    </row>
    <row r="10530">
      <c r="B10530" s="8"/>
      <c r="G10530" s="8"/>
      <c r="M10530" s="8"/>
    </row>
    <row r="10531">
      <c r="B10531" s="8"/>
      <c r="G10531" s="8"/>
      <c r="M10531" s="8"/>
    </row>
    <row r="10532">
      <c r="B10532" s="8"/>
      <c r="G10532" s="8"/>
      <c r="M10532" s="8"/>
    </row>
    <row r="10533">
      <c r="B10533" s="8"/>
      <c r="G10533" s="8"/>
      <c r="M10533" s="8"/>
    </row>
    <row r="10534">
      <c r="B10534" s="8"/>
      <c r="G10534" s="8"/>
      <c r="M10534" s="8"/>
    </row>
    <row r="10535">
      <c r="B10535" s="8"/>
      <c r="G10535" s="8"/>
      <c r="M10535" s="8"/>
    </row>
    <row r="10536">
      <c r="B10536" s="8"/>
      <c r="G10536" s="8"/>
      <c r="M10536" s="8"/>
    </row>
    <row r="10537">
      <c r="B10537" s="8"/>
      <c r="G10537" s="8"/>
      <c r="M10537" s="8"/>
    </row>
    <row r="10538">
      <c r="B10538" s="8"/>
      <c r="G10538" s="8"/>
      <c r="M10538" s="8"/>
    </row>
    <row r="10539">
      <c r="B10539" s="8"/>
      <c r="G10539" s="8"/>
      <c r="M10539" s="8"/>
    </row>
    <row r="10540">
      <c r="B10540" s="8"/>
      <c r="G10540" s="8"/>
      <c r="M10540" s="8"/>
    </row>
    <row r="10541">
      <c r="B10541" s="8"/>
      <c r="G10541" s="8"/>
      <c r="M10541" s="8"/>
    </row>
    <row r="10542">
      <c r="B10542" s="8"/>
      <c r="G10542" s="8"/>
      <c r="M10542" s="8"/>
    </row>
    <row r="10543">
      <c r="B10543" s="8"/>
      <c r="G10543" s="8"/>
      <c r="M10543" s="8"/>
    </row>
    <row r="10544">
      <c r="B10544" s="8"/>
      <c r="G10544" s="8"/>
      <c r="M10544" s="8"/>
    </row>
    <row r="10545">
      <c r="B10545" s="8"/>
      <c r="G10545" s="8"/>
      <c r="M10545" s="8"/>
    </row>
    <row r="10546">
      <c r="B10546" s="8"/>
      <c r="G10546" s="8"/>
      <c r="M10546" s="8"/>
    </row>
    <row r="10547">
      <c r="B10547" s="8"/>
      <c r="G10547" s="8"/>
      <c r="M10547" s="8"/>
    </row>
    <row r="10548">
      <c r="B10548" s="8"/>
      <c r="G10548" s="8"/>
      <c r="M10548" s="8"/>
    </row>
    <row r="10549">
      <c r="B10549" s="8"/>
      <c r="G10549" s="8"/>
      <c r="M10549" s="8"/>
    </row>
    <row r="10550">
      <c r="B10550" s="8"/>
      <c r="G10550" s="8"/>
      <c r="M10550" s="8"/>
    </row>
    <row r="10551">
      <c r="B10551" s="8"/>
      <c r="G10551" s="8"/>
      <c r="M10551" s="8"/>
    </row>
    <row r="10552">
      <c r="B10552" s="8"/>
      <c r="G10552" s="8"/>
      <c r="M10552" s="8"/>
    </row>
    <row r="10553">
      <c r="B10553" s="8"/>
      <c r="G10553" s="8"/>
      <c r="M10553" s="8"/>
    </row>
    <row r="10554">
      <c r="B10554" s="8"/>
      <c r="G10554" s="8"/>
      <c r="M10554" s="8"/>
    </row>
    <row r="10555">
      <c r="B10555" s="8"/>
      <c r="G10555" s="8"/>
      <c r="M10555" s="8"/>
    </row>
    <row r="10556">
      <c r="B10556" s="8"/>
      <c r="G10556" s="8"/>
      <c r="M10556" s="8"/>
    </row>
    <row r="10557">
      <c r="B10557" s="8"/>
      <c r="G10557" s="8"/>
      <c r="M10557" s="8"/>
    </row>
    <row r="10558">
      <c r="B10558" s="8"/>
      <c r="G10558" s="8"/>
      <c r="M10558" s="8"/>
    </row>
    <row r="10559">
      <c r="B10559" s="8"/>
      <c r="G10559" s="8"/>
      <c r="M10559" s="8"/>
    </row>
    <row r="10560">
      <c r="B10560" s="8"/>
      <c r="G10560" s="8"/>
      <c r="M10560" s="8"/>
    </row>
    <row r="10561">
      <c r="B10561" s="8"/>
      <c r="G10561" s="8"/>
      <c r="M10561" s="8"/>
    </row>
    <row r="10562">
      <c r="B10562" s="8"/>
      <c r="G10562" s="8"/>
      <c r="M10562" s="8"/>
    </row>
    <row r="10563">
      <c r="B10563" s="8"/>
      <c r="G10563" s="8"/>
      <c r="M10563" s="8"/>
    </row>
    <row r="10564">
      <c r="B10564" s="8"/>
      <c r="G10564" s="8"/>
      <c r="M10564" s="8"/>
    </row>
    <row r="10565">
      <c r="B10565" s="8"/>
      <c r="G10565" s="8"/>
      <c r="M10565" s="8"/>
    </row>
    <row r="10566">
      <c r="B10566" s="8"/>
      <c r="G10566" s="8"/>
      <c r="M10566" s="8"/>
    </row>
    <row r="10567">
      <c r="B10567" s="8"/>
      <c r="G10567" s="8"/>
      <c r="M10567" s="8"/>
    </row>
    <row r="10568">
      <c r="B10568" s="8"/>
      <c r="G10568" s="8"/>
      <c r="M10568" s="8"/>
    </row>
    <row r="10569">
      <c r="B10569" s="8"/>
      <c r="G10569" s="8"/>
      <c r="M10569" s="8"/>
    </row>
    <row r="10570">
      <c r="B10570" s="8"/>
      <c r="G10570" s="8"/>
      <c r="M10570" s="8"/>
    </row>
    <row r="10571">
      <c r="B10571" s="8"/>
      <c r="G10571" s="8"/>
      <c r="M10571" s="8"/>
    </row>
    <row r="10572">
      <c r="B10572" s="8"/>
      <c r="G10572" s="8"/>
      <c r="M10572" s="8"/>
    </row>
    <row r="10573">
      <c r="B10573" s="8"/>
      <c r="G10573" s="8"/>
      <c r="M10573" s="8"/>
    </row>
    <row r="10574">
      <c r="B10574" s="8"/>
      <c r="G10574" s="8"/>
      <c r="M10574" s="8"/>
    </row>
    <row r="10575">
      <c r="B10575" s="8"/>
      <c r="G10575" s="8"/>
      <c r="M10575" s="8"/>
    </row>
    <row r="10576">
      <c r="B10576" s="8"/>
      <c r="G10576" s="8"/>
      <c r="M10576" s="8"/>
    </row>
    <row r="10577">
      <c r="B10577" s="8"/>
      <c r="G10577" s="8"/>
      <c r="M10577" s="8"/>
    </row>
    <row r="10578">
      <c r="B10578" s="8"/>
      <c r="G10578" s="8"/>
      <c r="M10578" s="8"/>
    </row>
    <row r="10579">
      <c r="B10579" s="8"/>
      <c r="G10579" s="8"/>
      <c r="M10579" s="8"/>
    </row>
    <row r="10580">
      <c r="B10580" s="8"/>
      <c r="G10580" s="8"/>
      <c r="M10580" s="8"/>
    </row>
    <row r="10581">
      <c r="B10581" s="8"/>
      <c r="G10581" s="8"/>
      <c r="M10581" s="8"/>
    </row>
    <row r="10582">
      <c r="B10582" s="8"/>
      <c r="G10582" s="8"/>
      <c r="M10582" s="8"/>
    </row>
    <row r="10583">
      <c r="B10583" s="8"/>
      <c r="G10583" s="8"/>
      <c r="M10583" s="8"/>
    </row>
    <row r="10584">
      <c r="B10584" s="8"/>
      <c r="G10584" s="8"/>
      <c r="M10584" s="8"/>
    </row>
    <row r="10585">
      <c r="B10585" s="8"/>
      <c r="G10585" s="8"/>
      <c r="M10585" s="8"/>
    </row>
    <row r="10586">
      <c r="B10586" s="8"/>
      <c r="G10586" s="8"/>
      <c r="M10586" s="8"/>
    </row>
    <row r="10587">
      <c r="B10587" s="8"/>
      <c r="G10587" s="8"/>
      <c r="M10587" s="8"/>
    </row>
    <row r="10588">
      <c r="B10588" s="8"/>
      <c r="G10588" s="8"/>
      <c r="M10588" s="8"/>
    </row>
    <row r="10589">
      <c r="B10589" s="8"/>
      <c r="G10589" s="8"/>
      <c r="M10589" s="8"/>
    </row>
    <row r="10590">
      <c r="B10590" s="8"/>
      <c r="G10590" s="8"/>
      <c r="M10590" s="8"/>
    </row>
    <row r="10591">
      <c r="B10591" s="8"/>
      <c r="G10591" s="8"/>
      <c r="M10591" s="8"/>
    </row>
    <row r="10592">
      <c r="B10592" s="8"/>
      <c r="G10592" s="8"/>
      <c r="M10592" s="8"/>
    </row>
    <row r="10593">
      <c r="B10593" s="8"/>
      <c r="G10593" s="8"/>
      <c r="M10593" s="8"/>
    </row>
    <row r="10594">
      <c r="B10594" s="8"/>
      <c r="G10594" s="8"/>
      <c r="M10594" s="8"/>
    </row>
    <row r="10595">
      <c r="B10595" s="8"/>
      <c r="G10595" s="8"/>
      <c r="M10595" s="8"/>
    </row>
    <row r="10596">
      <c r="B10596" s="8"/>
      <c r="G10596" s="8"/>
      <c r="M10596" s="8"/>
    </row>
    <row r="10597">
      <c r="B10597" s="8"/>
      <c r="G10597" s="8"/>
      <c r="M10597" s="8"/>
    </row>
    <row r="10598">
      <c r="B10598" s="8"/>
      <c r="G10598" s="8"/>
      <c r="M10598" s="8"/>
    </row>
    <row r="10599">
      <c r="B10599" s="8"/>
      <c r="G10599" s="8"/>
      <c r="M10599" s="8"/>
    </row>
    <row r="10600">
      <c r="B10600" s="8"/>
      <c r="G10600" s="8"/>
      <c r="M10600" s="8"/>
    </row>
    <row r="10601">
      <c r="B10601" s="8"/>
      <c r="G10601" s="8"/>
      <c r="M10601" s="8"/>
    </row>
    <row r="10602">
      <c r="B10602" s="8"/>
      <c r="G10602" s="8"/>
      <c r="M10602" s="8"/>
    </row>
    <row r="10603">
      <c r="B10603" s="8"/>
      <c r="G10603" s="8"/>
      <c r="M10603" s="8"/>
    </row>
    <row r="10604">
      <c r="B10604" s="8"/>
      <c r="G10604" s="8"/>
      <c r="M10604" s="8"/>
    </row>
    <row r="10605">
      <c r="B10605" s="8"/>
      <c r="G10605" s="8"/>
      <c r="M10605" s="8"/>
    </row>
    <row r="10606">
      <c r="B10606" s="8"/>
      <c r="G10606" s="8"/>
      <c r="M10606" s="8"/>
    </row>
    <row r="10607">
      <c r="B10607" s="8"/>
      <c r="G10607" s="8"/>
      <c r="M10607" s="8"/>
    </row>
    <row r="10608">
      <c r="B10608" s="8"/>
      <c r="G10608" s="8"/>
      <c r="M10608" s="8"/>
    </row>
    <row r="10609">
      <c r="B10609" s="8"/>
      <c r="G10609" s="8"/>
      <c r="M10609" s="8"/>
    </row>
    <row r="10610">
      <c r="B10610" s="8"/>
      <c r="G10610" s="8"/>
      <c r="M10610" s="8"/>
    </row>
    <row r="10611">
      <c r="B10611" s="8"/>
      <c r="G10611" s="8"/>
      <c r="M10611" s="8"/>
    </row>
    <row r="10612">
      <c r="B10612" s="8"/>
      <c r="G10612" s="8"/>
      <c r="M10612" s="8"/>
    </row>
    <row r="10613">
      <c r="B10613" s="8"/>
      <c r="G10613" s="8"/>
      <c r="M10613" s="8"/>
    </row>
    <row r="10614">
      <c r="B10614" s="8"/>
      <c r="G10614" s="8"/>
      <c r="M10614" s="8"/>
    </row>
    <row r="10615">
      <c r="B10615" s="8"/>
      <c r="G10615" s="8"/>
      <c r="M10615" s="8"/>
    </row>
    <row r="10616">
      <c r="B10616" s="8"/>
      <c r="G10616" s="8"/>
      <c r="M10616" s="8"/>
    </row>
    <row r="10617">
      <c r="B10617" s="8"/>
      <c r="G10617" s="8"/>
      <c r="M10617" s="8"/>
    </row>
    <row r="10618">
      <c r="B10618" s="8"/>
      <c r="G10618" s="8"/>
      <c r="M10618" s="8"/>
    </row>
    <row r="10619">
      <c r="B10619" s="8"/>
      <c r="G10619" s="8"/>
      <c r="M10619" s="8"/>
    </row>
    <row r="10620">
      <c r="B10620" s="8"/>
      <c r="G10620" s="8"/>
      <c r="M10620" s="8"/>
    </row>
    <row r="10621">
      <c r="B10621" s="8"/>
      <c r="G10621" s="8"/>
      <c r="M10621" s="8"/>
    </row>
    <row r="10622">
      <c r="B10622" s="8"/>
      <c r="G10622" s="8"/>
      <c r="M10622" s="8"/>
    </row>
    <row r="10623">
      <c r="B10623" s="8"/>
      <c r="G10623" s="8"/>
      <c r="M10623" s="8"/>
    </row>
    <row r="10624">
      <c r="B10624" s="8"/>
      <c r="G10624" s="8"/>
      <c r="M10624" s="8"/>
    </row>
    <row r="10625">
      <c r="B10625" s="8"/>
      <c r="G10625" s="8"/>
      <c r="M10625" s="8"/>
    </row>
    <row r="10626">
      <c r="B10626" s="8"/>
      <c r="G10626" s="8"/>
      <c r="M10626" s="8"/>
    </row>
    <row r="10627">
      <c r="B10627" s="8"/>
      <c r="G10627" s="8"/>
      <c r="M10627" s="8"/>
    </row>
    <row r="10628">
      <c r="B10628" s="8"/>
      <c r="G10628" s="8"/>
      <c r="M10628" s="8"/>
    </row>
    <row r="10629">
      <c r="B10629" s="8"/>
      <c r="G10629" s="8"/>
      <c r="M10629" s="8"/>
    </row>
    <row r="10630">
      <c r="B10630" s="8"/>
      <c r="G10630" s="8"/>
      <c r="M10630" s="8"/>
    </row>
    <row r="10631">
      <c r="B10631" s="8"/>
      <c r="G10631" s="8"/>
      <c r="M10631" s="8"/>
    </row>
    <row r="10632">
      <c r="B10632" s="8"/>
      <c r="G10632" s="8"/>
      <c r="M10632" s="8"/>
    </row>
    <row r="10633">
      <c r="B10633" s="8"/>
      <c r="G10633" s="8"/>
      <c r="M10633" s="8"/>
    </row>
    <row r="10634">
      <c r="B10634" s="8"/>
      <c r="G10634" s="8"/>
      <c r="M10634" s="8"/>
    </row>
    <row r="10635">
      <c r="B10635" s="8"/>
      <c r="G10635" s="8"/>
      <c r="M10635" s="8"/>
    </row>
    <row r="10636">
      <c r="B10636" s="8"/>
      <c r="G10636" s="8"/>
      <c r="M10636" s="8"/>
    </row>
    <row r="10637">
      <c r="B10637" s="8"/>
      <c r="G10637" s="8"/>
      <c r="M10637" s="8"/>
    </row>
    <row r="10638">
      <c r="B10638" s="8"/>
      <c r="G10638" s="8"/>
      <c r="M10638" s="8"/>
    </row>
    <row r="10639">
      <c r="B10639" s="8"/>
      <c r="G10639" s="8"/>
      <c r="M10639" s="8"/>
    </row>
    <row r="10640">
      <c r="B10640" s="8"/>
      <c r="G10640" s="8"/>
      <c r="M10640" s="8"/>
    </row>
    <row r="10641">
      <c r="B10641" s="8"/>
      <c r="G10641" s="8"/>
      <c r="M10641" s="8"/>
    </row>
    <row r="10642">
      <c r="B10642" s="8"/>
      <c r="G10642" s="8"/>
      <c r="M10642" s="8"/>
    </row>
    <row r="10643">
      <c r="B10643" s="8"/>
      <c r="G10643" s="8"/>
      <c r="M10643" s="8"/>
    </row>
    <row r="10644">
      <c r="B10644" s="8"/>
      <c r="G10644" s="8"/>
      <c r="M10644" s="8"/>
    </row>
    <row r="10645">
      <c r="B10645" s="8"/>
      <c r="G10645" s="8"/>
      <c r="M10645" s="8"/>
    </row>
    <row r="10646">
      <c r="B10646" s="8"/>
      <c r="G10646" s="8"/>
      <c r="M10646" s="8"/>
    </row>
    <row r="10647">
      <c r="B10647" s="8"/>
      <c r="G10647" s="8"/>
      <c r="M10647" s="8"/>
    </row>
    <row r="10648">
      <c r="B10648" s="8"/>
      <c r="G10648" s="8"/>
      <c r="M10648" s="8"/>
    </row>
    <row r="10649">
      <c r="B10649" s="8"/>
      <c r="G10649" s="8"/>
      <c r="M10649" s="8"/>
    </row>
    <row r="10650">
      <c r="B10650" s="8"/>
      <c r="G10650" s="8"/>
      <c r="M10650" s="8"/>
    </row>
    <row r="10651">
      <c r="B10651" s="8"/>
      <c r="G10651" s="8"/>
      <c r="M10651" s="8"/>
    </row>
    <row r="10652">
      <c r="B10652" s="8"/>
      <c r="G10652" s="8"/>
      <c r="M10652" s="8"/>
    </row>
    <row r="10653">
      <c r="B10653" s="8"/>
      <c r="G10653" s="8"/>
      <c r="M10653" s="8"/>
    </row>
    <row r="10654">
      <c r="B10654" s="8"/>
      <c r="G10654" s="8"/>
      <c r="M10654" s="8"/>
    </row>
    <row r="10655">
      <c r="B10655" s="8"/>
      <c r="G10655" s="8"/>
      <c r="M10655" s="8"/>
    </row>
    <row r="10656">
      <c r="B10656" s="8"/>
      <c r="G10656" s="8"/>
      <c r="M10656" s="8"/>
    </row>
    <row r="10657">
      <c r="B10657" s="8"/>
      <c r="G10657" s="8"/>
      <c r="M10657" s="8"/>
    </row>
    <row r="10658">
      <c r="B10658" s="8"/>
      <c r="G10658" s="8"/>
      <c r="M10658" s="8"/>
    </row>
    <row r="10659">
      <c r="B10659" s="8"/>
      <c r="G10659" s="8"/>
      <c r="M10659" s="8"/>
    </row>
    <row r="10660">
      <c r="B10660" s="8"/>
      <c r="G10660" s="8"/>
      <c r="M10660" s="8"/>
    </row>
    <row r="10661">
      <c r="B10661" s="8"/>
      <c r="G10661" s="8"/>
      <c r="M10661" s="8"/>
    </row>
    <row r="10662">
      <c r="B10662" s="8"/>
      <c r="G10662" s="8"/>
      <c r="M10662" s="8"/>
    </row>
    <row r="10663">
      <c r="B10663" s="8"/>
      <c r="G10663" s="8"/>
      <c r="M10663" s="8"/>
    </row>
    <row r="10664">
      <c r="B10664" s="8"/>
      <c r="G10664" s="8"/>
      <c r="M10664" s="8"/>
    </row>
    <row r="10665">
      <c r="B10665" s="8"/>
      <c r="G10665" s="8"/>
      <c r="M10665" s="8"/>
    </row>
    <row r="10666">
      <c r="B10666" s="8"/>
      <c r="G10666" s="8"/>
      <c r="M10666" s="8"/>
    </row>
    <row r="10667">
      <c r="B10667" s="8"/>
      <c r="G10667" s="8"/>
      <c r="M10667" s="8"/>
    </row>
    <row r="10668">
      <c r="B10668" s="8"/>
      <c r="G10668" s="8"/>
      <c r="M10668" s="8"/>
    </row>
    <row r="10669">
      <c r="B10669" s="8"/>
      <c r="G10669" s="8"/>
      <c r="M10669" s="8"/>
    </row>
    <row r="10670">
      <c r="B10670" s="8"/>
      <c r="G10670" s="8"/>
      <c r="M10670" s="8"/>
    </row>
    <row r="10671">
      <c r="B10671" s="8"/>
      <c r="G10671" s="8"/>
      <c r="M10671" s="8"/>
    </row>
    <row r="10672">
      <c r="B10672" s="8"/>
      <c r="G10672" s="8"/>
      <c r="M10672" s="8"/>
    </row>
    <row r="10673">
      <c r="B10673" s="8"/>
      <c r="G10673" s="8"/>
      <c r="M10673" s="8"/>
    </row>
    <row r="10674">
      <c r="B10674" s="8"/>
      <c r="G10674" s="8"/>
      <c r="M10674" s="8"/>
    </row>
    <row r="10675">
      <c r="B10675" s="8"/>
      <c r="G10675" s="8"/>
      <c r="M10675" s="8"/>
    </row>
    <row r="10676">
      <c r="B10676" s="8"/>
      <c r="G10676" s="8"/>
      <c r="M10676" s="8"/>
    </row>
    <row r="10677">
      <c r="B10677" s="8"/>
      <c r="G10677" s="8"/>
      <c r="M10677" s="8"/>
    </row>
    <row r="10678">
      <c r="B10678" s="8"/>
      <c r="G10678" s="8"/>
      <c r="M10678" s="8"/>
    </row>
    <row r="10679">
      <c r="B10679" s="8"/>
      <c r="G10679" s="8"/>
      <c r="M10679" s="8"/>
    </row>
    <row r="10680">
      <c r="B10680" s="8"/>
      <c r="G10680" s="8"/>
      <c r="M10680" s="8"/>
    </row>
    <row r="10681">
      <c r="B10681" s="8"/>
      <c r="G10681" s="8"/>
      <c r="M10681" s="8"/>
    </row>
    <row r="10682">
      <c r="B10682" s="8"/>
      <c r="G10682" s="8"/>
      <c r="M10682" s="8"/>
    </row>
    <row r="10683">
      <c r="B10683" s="8"/>
      <c r="G10683" s="8"/>
      <c r="M10683" s="8"/>
    </row>
    <row r="10684">
      <c r="B10684" s="8"/>
      <c r="G10684" s="8"/>
      <c r="M10684" s="8"/>
    </row>
    <row r="10685">
      <c r="B10685" s="8"/>
      <c r="G10685" s="8"/>
      <c r="M10685" s="8"/>
    </row>
    <row r="10686">
      <c r="B10686" s="8"/>
      <c r="G10686" s="8"/>
      <c r="M10686" s="8"/>
    </row>
    <row r="10687">
      <c r="B10687" s="8"/>
      <c r="G10687" s="8"/>
      <c r="M10687" s="8"/>
    </row>
    <row r="10688">
      <c r="B10688" s="8"/>
      <c r="G10688" s="8"/>
      <c r="M10688" s="8"/>
    </row>
    <row r="10689">
      <c r="B10689" s="8"/>
      <c r="G10689" s="8"/>
      <c r="M10689" s="8"/>
    </row>
    <row r="10690">
      <c r="B10690" s="8"/>
      <c r="G10690" s="8"/>
      <c r="M10690" s="8"/>
    </row>
    <row r="10691">
      <c r="B10691" s="8"/>
      <c r="G10691" s="8"/>
      <c r="M10691" s="8"/>
    </row>
    <row r="10692">
      <c r="B10692" s="8"/>
      <c r="G10692" s="8"/>
      <c r="M10692" s="8"/>
    </row>
    <row r="10693">
      <c r="B10693" s="8"/>
      <c r="G10693" s="8"/>
      <c r="M10693" s="8"/>
    </row>
    <row r="10694">
      <c r="B10694" s="8"/>
      <c r="G10694" s="8"/>
      <c r="M10694" s="8"/>
    </row>
    <row r="10695">
      <c r="B10695" s="8"/>
      <c r="G10695" s="8"/>
      <c r="M10695" s="8"/>
    </row>
    <row r="10696">
      <c r="B10696" s="8"/>
      <c r="G10696" s="8"/>
      <c r="M10696" s="8"/>
    </row>
    <row r="10697">
      <c r="B10697" s="8"/>
      <c r="G10697" s="8"/>
      <c r="M10697" s="8"/>
    </row>
    <row r="10698">
      <c r="B10698" s="8"/>
      <c r="G10698" s="8"/>
      <c r="M10698" s="8"/>
    </row>
    <row r="10699">
      <c r="B10699" s="8"/>
      <c r="G10699" s="8"/>
      <c r="M10699" s="8"/>
    </row>
    <row r="10700">
      <c r="B10700" s="8"/>
      <c r="G10700" s="8"/>
      <c r="M10700" s="8"/>
    </row>
    <row r="10701">
      <c r="B10701" s="8"/>
      <c r="G10701" s="8"/>
      <c r="M10701" s="8"/>
    </row>
    <row r="10702">
      <c r="B10702" s="8"/>
      <c r="G10702" s="8"/>
      <c r="M10702" s="8"/>
    </row>
    <row r="10703">
      <c r="B10703" s="8"/>
      <c r="G10703" s="8"/>
      <c r="M10703" s="8"/>
    </row>
    <row r="10704">
      <c r="B10704" s="8"/>
      <c r="G10704" s="8"/>
      <c r="M10704" s="8"/>
    </row>
    <row r="10705">
      <c r="B10705" s="8"/>
      <c r="G10705" s="8"/>
      <c r="M10705" s="8"/>
    </row>
    <row r="10706">
      <c r="B10706" s="8"/>
      <c r="G10706" s="8"/>
      <c r="M10706" s="8"/>
    </row>
    <row r="10707">
      <c r="B10707" s="8"/>
      <c r="G10707" s="8"/>
      <c r="M10707" s="8"/>
    </row>
    <row r="10708">
      <c r="B10708" s="8"/>
      <c r="G10708" s="8"/>
      <c r="M10708" s="8"/>
    </row>
    <row r="10709">
      <c r="B10709" s="8"/>
      <c r="G10709" s="8"/>
      <c r="M10709" s="8"/>
    </row>
    <row r="10710">
      <c r="B10710" s="8"/>
      <c r="G10710" s="8"/>
      <c r="M10710" s="8"/>
    </row>
    <row r="10711">
      <c r="B10711" s="8"/>
      <c r="G10711" s="8"/>
      <c r="M10711" s="8"/>
    </row>
    <row r="10712">
      <c r="B10712" s="8"/>
      <c r="G10712" s="8"/>
      <c r="M10712" s="8"/>
    </row>
    <row r="10713">
      <c r="B10713" s="8"/>
      <c r="G10713" s="8"/>
      <c r="M10713" s="8"/>
    </row>
    <row r="10714">
      <c r="B10714" s="8"/>
      <c r="G10714" s="8"/>
      <c r="M10714" s="8"/>
    </row>
    <row r="10715">
      <c r="B10715" s="8"/>
      <c r="G10715" s="8"/>
      <c r="M10715" s="8"/>
    </row>
    <row r="10716">
      <c r="B10716" s="8"/>
      <c r="G10716" s="8"/>
      <c r="M10716" s="8"/>
    </row>
    <row r="10717">
      <c r="B10717" s="8"/>
      <c r="G10717" s="8"/>
      <c r="M10717" s="8"/>
    </row>
    <row r="10718">
      <c r="B10718" s="8"/>
      <c r="G10718" s="8"/>
      <c r="M10718" s="8"/>
    </row>
    <row r="10719">
      <c r="B10719" s="8"/>
      <c r="G10719" s="8"/>
      <c r="M10719" s="8"/>
    </row>
    <row r="10720">
      <c r="B10720" s="8"/>
      <c r="G10720" s="8"/>
      <c r="M10720" s="8"/>
    </row>
    <row r="10721">
      <c r="B10721" s="8"/>
      <c r="G10721" s="8"/>
      <c r="M10721" s="8"/>
    </row>
    <row r="10722">
      <c r="B10722" s="8"/>
      <c r="G10722" s="8"/>
      <c r="M10722" s="8"/>
    </row>
    <row r="10723">
      <c r="B10723" s="8"/>
      <c r="G10723" s="8"/>
      <c r="M10723" s="8"/>
    </row>
    <row r="10724">
      <c r="B10724" s="8"/>
      <c r="G10724" s="8"/>
      <c r="M10724" s="8"/>
    </row>
    <row r="10725">
      <c r="B10725" s="8"/>
      <c r="G10725" s="8"/>
      <c r="M10725" s="8"/>
    </row>
    <row r="10726">
      <c r="B10726" s="8"/>
      <c r="G10726" s="8"/>
      <c r="M10726" s="8"/>
    </row>
    <row r="10727">
      <c r="B10727" s="8"/>
      <c r="G10727" s="8"/>
      <c r="M10727" s="8"/>
    </row>
    <row r="10728">
      <c r="B10728" s="8"/>
      <c r="G10728" s="8"/>
      <c r="M10728" s="8"/>
    </row>
    <row r="10729">
      <c r="B10729" s="8"/>
      <c r="G10729" s="8"/>
      <c r="M10729" s="8"/>
    </row>
    <row r="10730">
      <c r="B10730" s="8"/>
      <c r="G10730" s="8"/>
      <c r="M10730" s="8"/>
    </row>
    <row r="10731">
      <c r="B10731" s="8"/>
      <c r="G10731" s="8"/>
      <c r="M10731" s="8"/>
    </row>
    <row r="10732">
      <c r="B10732" s="8"/>
      <c r="G10732" s="8"/>
      <c r="M10732" s="8"/>
    </row>
    <row r="10733">
      <c r="B10733" s="8"/>
      <c r="G10733" s="8"/>
      <c r="M10733" s="8"/>
    </row>
    <row r="10734">
      <c r="B10734" s="8"/>
      <c r="G10734" s="8"/>
      <c r="M10734" s="8"/>
    </row>
    <row r="10735">
      <c r="B10735" s="8"/>
      <c r="G10735" s="8"/>
      <c r="M10735" s="8"/>
    </row>
    <row r="10736">
      <c r="B10736" s="8"/>
      <c r="G10736" s="8"/>
      <c r="M10736" s="8"/>
    </row>
    <row r="10737">
      <c r="B10737" s="8"/>
      <c r="G10737" s="8"/>
      <c r="M10737" s="8"/>
    </row>
    <row r="10738">
      <c r="B10738" s="8"/>
      <c r="G10738" s="8"/>
      <c r="M10738" s="8"/>
    </row>
    <row r="10739">
      <c r="B10739" s="8"/>
      <c r="G10739" s="8"/>
      <c r="M10739" s="8"/>
    </row>
    <row r="10740">
      <c r="B10740" s="8"/>
      <c r="G10740" s="8"/>
      <c r="M10740" s="8"/>
    </row>
    <row r="10741">
      <c r="B10741" s="8"/>
      <c r="G10741" s="8"/>
      <c r="M10741" s="8"/>
    </row>
    <row r="10742">
      <c r="B10742" s="8"/>
      <c r="G10742" s="8"/>
      <c r="M10742" s="8"/>
    </row>
    <row r="10743">
      <c r="B10743" s="8"/>
      <c r="G10743" s="8"/>
      <c r="M10743" s="8"/>
    </row>
    <row r="10744">
      <c r="B10744" s="8"/>
      <c r="G10744" s="8"/>
      <c r="M10744" s="8"/>
    </row>
    <row r="10745">
      <c r="B10745" s="8"/>
      <c r="G10745" s="8"/>
      <c r="M10745" s="8"/>
    </row>
    <row r="10746">
      <c r="B10746" s="8"/>
      <c r="G10746" s="8"/>
      <c r="M10746" s="8"/>
    </row>
    <row r="10747">
      <c r="B10747" s="8"/>
      <c r="G10747" s="8"/>
      <c r="M10747" s="8"/>
    </row>
    <row r="10748">
      <c r="B10748" s="8"/>
      <c r="G10748" s="8"/>
      <c r="M10748" s="8"/>
    </row>
    <row r="10749">
      <c r="B10749" s="8"/>
      <c r="G10749" s="8"/>
      <c r="M10749" s="8"/>
    </row>
    <row r="10750">
      <c r="B10750" s="8"/>
      <c r="G10750" s="8"/>
      <c r="M10750" s="8"/>
    </row>
    <row r="10751">
      <c r="B10751" s="8"/>
      <c r="G10751" s="8"/>
      <c r="M10751" s="8"/>
    </row>
    <row r="10752">
      <c r="B10752" s="8"/>
      <c r="G10752" s="8"/>
      <c r="M10752" s="8"/>
    </row>
    <row r="10753">
      <c r="B10753" s="8"/>
      <c r="G10753" s="8"/>
      <c r="M10753" s="8"/>
    </row>
    <row r="10754">
      <c r="B10754" s="8"/>
      <c r="G10754" s="8"/>
      <c r="M10754" s="8"/>
    </row>
    <row r="10755">
      <c r="B10755" s="8"/>
      <c r="G10755" s="8"/>
      <c r="M10755" s="8"/>
    </row>
    <row r="10756">
      <c r="B10756" s="8"/>
      <c r="G10756" s="8"/>
      <c r="M10756" s="8"/>
    </row>
    <row r="10757">
      <c r="B10757" s="8"/>
      <c r="G10757" s="8"/>
      <c r="M10757" s="8"/>
    </row>
    <row r="10758">
      <c r="B10758" s="8"/>
      <c r="G10758" s="8"/>
      <c r="M10758" s="8"/>
    </row>
    <row r="10759">
      <c r="B10759" s="8"/>
      <c r="G10759" s="8"/>
      <c r="M10759" s="8"/>
    </row>
    <row r="10760">
      <c r="B10760" s="8"/>
      <c r="G10760" s="8"/>
      <c r="M10760" s="8"/>
    </row>
    <row r="10761">
      <c r="B10761" s="8"/>
      <c r="G10761" s="8"/>
      <c r="M10761" s="8"/>
    </row>
    <row r="10762">
      <c r="B10762" s="8"/>
      <c r="G10762" s="8"/>
      <c r="M10762" s="8"/>
    </row>
    <row r="10763">
      <c r="B10763" s="8"/>
      <c r="G10763" s="8"/>
      <c r="M10763" s="8"/>
    </row>
    <row r="10764">
      <c r="B10764" s="8"/>
      <c r="G10764" s="8"/>
      <c r="M10764" s="8"/>
    </row>
    <row r="10765">
      <c r="B10765" s="8"/>
      <c r="G10765" s="8"/>
      <c r="M10765" s="8"/>
    </row>
    <row r="10766">
      <c r="B10766" s="8"/>
      <c r="G10766" s="8"/>
      <c r="M10766" s="8"/>
    </row>
    <row r="10767">
      <c r="B10767" s="8"/>
      <c r="G10767" s="8"/>
      <c r="M10767" s="8"/>
    </row>
    <row r="10768">
      <c r="B10768" s="8"/>
      <c r="G10768" s="8"/>
      <c r="M10768" s="8"/>
    </row>
    <row r="10769">
      <c r="B10769" s="8"/>
      <c r="G10769" s="8"/>
      <c r="M10769" s="8"/>
    </row>
    <row r="10770">
      <c r="B10770" s="8"/>
      <c r="G10770" s="8"/>
      <c r="M10770" s="8"/>
    </row>
    <row r="10771">
      <c r="B10771" s="8"/>
      <c r="G10771" s="8"/>
      <c r="M10771" s="8"/>
    </row>
    <row r="10772">
      <c r="B10772" s="8"/>
      <c r="G10772" s="8"/>
      <c r="M10772" s="8"/>
    </row>
    <row r="10773">
      <c r="B10773" s="8"/>
      <c r="G10773" s="8"/>
      <c r="M10773" s="8"/>
    </row>
    <row r="10774">
      <c r="B10774" s="8"/>
      <c r="G10774" s="8"/>
      <c r="M10774" s="8"/>
    </row>
    <row r="10775">
      <c r="B10775" s="8"/>
      <c r="G10775" s="8"/>
      <c r="M10775" s="8"/>
    </row>
    <row r="10776">
      <c r="B10776" s="8"/>
      <c r="G10776" s="8"/>
      <c r="M10776" s="8"/>
    </row>
    <row r="10777">
      <c r="B10777" s="8"/>
      <c r="G10777" s="8"/>
      <c r="M10777" s="8"/>
    </row>
    <row r="10778">
      <c r="B10778" s="8"/>
      <c r="G10778" s="8"/>
      <c r="M10778" s="8"/>
    </row>
    <row r="10779">
      <c r="B10779" s="8"/>
      <c r="G10779" s="8"/>
      <c r="M10779" s="8"/>
    </row>
    <row r="10780">
      <c r="B10780" s="8"/>
      <c r="G10780" s="8"/>
      <c r="M10780" s="8"/>
    </row>
    <row r="10781">
      <c r="B10781" s="8"/>
      <c r="G10781" s="8"/>
      <c r="M10781" s="8"/>
    </row>
    <row r="10782">
      <c r="B10782" s="8"/>
      <c r="G10782" s="8"/>
      <c r="M10782" s="8"/>
    </row>
    <row r="10783">
      <c r="B10783" s="8"/>
      <c r="G10783" s="8"/>
      <c r="M10783" s="8"/>
    </row>
    <row r="10784">
      <c r="B10784" s="8"/>
      <c r="G10784" s="8"/>
      <c r="M10784" s="8"/>
    </row>
    <row r="10785">
      <c r="B10785" s="8"/>
      <c r="G10785" s="8"/>
      <c r="M10785" s="8"/>
    </row>
    <row r="10786">
      <c r="B10786" s="8"/>
      <c r="G10786" s="8"/>
      <c r="M10786" s="8"/>
    </row>
    <row r="10787">
      <c r="B10787" s="8"/>
      <c r="G10787" s="8"/>
      <c r="M10787" s="8"/>
    </row>
    <row r="10788">
      <c r="B10788" s="8"/>
      <c r="G10788" s="8"/>
      <c r="M10788" s="8"/>
    </row>
    <row r="10789">
      <c r="B10789" s="8"/>
      <c r="G10789" s="8"/>
      <c r="M10789" s="8"/>
    </row>
    <row r="10790">
      <c r="B10790" s="8"/>
      <c r="G10790" s="8"/>
      <c r="M10790" s="8"/>
    </row>
    <row r="10791">
      <c r="B10791" s="8"/>
      <c r="G10791" s="8"/>
      <c r="M10791" s="8"/>
    </row>
    <row r="10792">
      <c r="B10792" s="8"/>
      <c r="G10792" s="8"/>
      <c r="M10792" s="8"/>
    </row>
    <row r="10793">
      <c r="B10793" s="8"/>
      <c r="G10793" s="8"/>
      <c r="M10793" s="8"/>
    </row>
    <row r="10794">
      <c r="B10794" s="8"/>
      <c r="G10794" s="8"/>
      <c r="M10794" s="8"/>
    </row>
    <row r="10795">
      <c r="B10795" s="8"/>
      <c r="G10795" s="8"/>
      <c r="M10795" s="8"/>
    </row>
    <row r="10796">
      <c r="B10796" s="8"/>
      <c r="G10796" s="8"/>
      <c r="M10796" s="8"/>
    </row>
    <row r="10797">
      <c r="B10797" s="8"/>
      <c r="G10797" s="8"/>
      <c r="M10797" s="8"/>
    </row>
    <row r="10798">
      <c r="B10798" s="8"/>
      <c r="G10798" s="8"/>
      <c r="M10798" s="8"/>
    </row>
    <row r="10799">
      <c r="B10799" s="8"/>
      <c r="G10799" s="8"/>
      <c r="M10799" s="8"/>
    </row>
    <row r="10800">
      <c r="B10800" s="8"/>
      <c r="G10800" s="8"/>
      <c r="M10800" s="8"/>
    </row>
    <row r="10801">
      <c r="B10801" s="8"/>
      <c r="G10801" s="8"/>
      <c r="M10801" s="8"/>
    </row>
    <row r="10802">
      <c r="B10802" s="8"/>
      <c r="G10802" s="8"/>
      <c r="M10802" s="8"/>
    </row>
    <row r="10803">
      <c r="B10803" s="8"/>
      <c r="G10803" s="8"/>
      <c r="M10803" s="8"/>
    </row>
    <row r="10804">
      <c r="B10804" s="8"/>
      <c r="G10804" s="8"/>
      <c r="M10804" s="8"/>
    </row>
    <row r="10805">
      <c r="B10805" s="8"/>
      <c r="G10805" s="8"/>
      <c r="M10805" s="8"/>
    </row>
    <row r="10806">
      <c r="B10806" s="8"/>
      <c r="G10806" s="8"/>
      <c r="M10806" s="8"/>
    </row>
    <row r="10807">
      <c r="B10807" s="8"/>
      <c r="G10807" s="8"/>
      <c r="M10807" s="8"/>
    </row>
    <row r="10808">
      <c r="B10808" s="8"/>
      <c r="G10808" s="8"/>
      <c r="M10808" s="8"/>
    </row>
    <row r="10809">
      <c r="B10809" s="8"/>
      <c r="G10809" s="8"/>
      <c r="M10809" s="8"/>
    </row>
    <row r="10810">
      <c r="B10810" s="8"/>
      <c r="G10810" s="8"/>
      <c r="M10810" s="8"/>
    </row>
    <row r="10811">
      <c r="B10811" s="8"/>
      <c r="G10811" s="8"/>
      <c r="M10811" s="8"/>
    </row>
    <row r="10812">
      <c r="B10812" s="8"/>
      <c r="G10812" s="8"/>
      <c r="M10812" s="8"/>
    </row>
    <row r="10813">
      <c r="B10813" s="8"/>
      <c r="G10813" s="8"/>
      <c r="M10813" s="8"/>
    </row>
    <row r="10814">
      <c r="B10814" s="8"/>
      <c r="G10814" s="8"/>
      <c r="M10814" s="8"/>
    </row>
    <row r="10815">
      <c r="B10815" s="8"/>
      <c r="G10815" s="8"/>
      <c r="M10815" s="8"/>
    </row>
    <row r="10816">
      <c r="B10816" s="8"/>
      <c r="G10816" s="8"/>
      <c r="M10816" s="8"/>
    </row>
    <row r="10817">
      <c r="B10817" s="8"/>
      <c r="G10817" s="8"/>
      <c r="M10817" s="8"/>
    </row>
    <row r="10818">
      <c r="B10818" s="8"/>
      <c r="G10818" s="8"/>
      <c r="M10818" s="8"/>
    </row>
    <row r="10819">
      <c r="B10819" s="8"/>
      <c r="G10819" s="8"/>
      <c r="M10819" s="8"/>
    </row>
    <row r="10820">
      <c r="B10820" s="8"/>
      <c r="G10820" s="8"/>
      <c r="M10820" s="8"/>
    </row>
    <row r="10821">
      <c r="B10821" s="8"/>
      <c r="G10821" s="8"/>
      <c r="M10821" s="8"/>
    </row>
    <row r="10822">
      <c r="B10822" s="8"/>
      <c r="G10822" s="8"/>
      <c r="M10822" s="8"/>
    </row>
    <row r="10823">
      <c r="B10823" s="8"/>
      <c r="G10823" s="8"/>
      <c r="M10823" s="8"/>
    </row>
    <row r="10824">
      <c r="B10824" s="8"/>
      <c r="G10824" s="8"/>
      <c r="M10824" s="8"/>
    </row>
    <row r="10825">
      <c r="B10825" s="8"/>
      <c r="G10825" s="8"/>
      <c r="M10825" s="8"/>
    </row>
    <row r="10826">
      <c r="B10826" s="8"/>
      <c r="G10826" s="8"/>
      <c r="M10826" s="8"/>
    </row>
    <row r="10827">
      <c r="B10827" s="8"/>
      <c r="G10827" s="8"/>
      <c r="M10827" s="8"/>
    </row>
    <row r="10828">
      <c r="B10828" s="8"/>
      <c r="G10828" s="8"/>
      <c r="M10828" s="8"/>
    </row>
    <row r="10829">
      <c r="B10829" s="8"/>
      <c r="G10829" s="8"/>
      <c r="M10829" s="8"/>
    </row>
    <row r="10830">
      <c r="B10830" s="8"/>
      <c r="G10830" s="8"/>
      <c r="M10830" s="8"/>
    </row>
    <row r="10831">
      <c r="B10831" s="8"/>
      <c r="G10831" s="8"/>
      <c r="M10831" s="8"/>
    </row>
    <row r="10832">
      <c r="B10832" s="8"/>
      <c r="G10832" s="8"/>
      <c r="M10832" s="8"/>
    </row>
    <row r="10833">
      <c r="B10833" s="8"/>
      <c r="G10833" s="8"/>
      <c r="M10833" s="8"/>
    </row>
    <row r="10834">
      <c r="B10834" s="8"/>
      <c r="G10834" s="8"/>
      <c r="M10834" s="8"/>
    </row>
    <row r="10835">
      <c r="B10835" s="8"/>
      <c r="G10835" s="8"/>
      <c r="M10835" s="8"/>
    </row>
    <row r="10836">
      <c r="B10836" s="8"/>
      <c r="G10836" s="8"/>
      <c r="M10836" s="8"/>
    </row>
    <row r="10837">
      <c r="B10837" s="8"/>
      <c r="G10837" s="8"/>
      <c r="M10837" s="8"/>
    </row>
    <row r="10838">
      <c r="B10838" s="8"/>
      <c r="G10838" s="8"/>
      <c r="M10838" s="8"/>
    </row>
    <row r="10839">
      <c r="B10839" s="8"/>
      <c r="G10839" s="8"/>
      <c r="M10839" s="8"/>
    </row>
    <row r="10840">
      <c r="B10840" s="8"/>
      <c r="G10840" s="8"/>
      <c r="M10840" s="8"/>
    </row>
    <row r="10841">
      <c r="B10841" s="8"/>
      <c r="G10841" s="8"/>
      <c r="M10841" s="8"/>
    </row>
    <row r="10842">
      <c r="B10842" s="8"/>
      <c r="G10842" s="8"/>
      <c r="M10842" s="8"/>
    </row>
    <row r="10843">
      <c r="B10843" s="8"/>
      <c r="G10843" s="8"/>
      <c r="M10843" s="8"/>
    </row>
    <row r="10844">
      <c r="B10844" s="8"/>
      <c r="G10844" s="8"/>
      <c r="M10844" s="8"/>
    </row>
    <row r="10845">
      <c r="B10845" s="8"/>
      <c r="G10845" s="8"/>
      <c r="M10845" s="8"/>
    </row>
    <row r="10846">
      <c r="B10846" s="8"/>
      <c r="G10846" s="8"/>
      <c r="M10846" s="8"/>
    </row>
    <row r="10847">
      <c r="B10847" s="8"/>
      <c r="G10847" s="8"/>
      <c r="M10847" s="8"/>
    </row>
    <row r="10848">
      <c r="B10848" s="8"/>
      <c r="G10848" s="8"/>
      <c r="M10848" s="8"/>
    </row>
    <row r="10849">
      <c r="B10849" s="8"/>
      <c r="G10849" s="8"/>
      <c r="M10849" s="8"/>
    </row>
    <row r="10850">
      <c r="B10850" s="8"/>
      <c r="G10850" s="8"/>
      <c r="M10850" s="8"/>
    </row>
    <row r="10851">
      <c r="B10851" s="8"/>
      <c r="G10851" s="8"/>
      <c r="M10851" s="8"/>
    </row>
    <row r="10852">
      <c r="B10852" s="8"/>
      <c r="G10852" s="8"/>
      <c r="M10852" s="8"/>
    </row>
    <row r="10853">
      <c r="B10853" s="8"/>
      <c r="G10853" s="8"/>
      <c r="M10853" s="8"/>
    </row>
    <row r="10854">
      <c r="B10854" s="8"/>
      <c r="G10854" s="8"/>
      <c r="M10854" s="8"/>
    </row>
    <row r="10855">
      <c r="B10855" s="8"/>
      <c r="G10855" s="8"/>
      <c r="M10855" s="8"/>
    </row>
    <row r="10856">
      <c r="B10856" s="8"/>
      <c r="G10856" s="8"/>
      <c r="M10856" s="8"/>
    </row>
    <row r="10857">
      <c r="B10857" s="8"/>
      <c r="G10857" s="8"/>
      <c r="M10857" s="8"/>
    </row>
    <row r="10858">
      <c r="B10858" s="8"/>
      <c r="G10858" s="8"/>
      <c r="M10858" s="8"/>
    </row>
    <row r="10859">
      <c r="B10859" s="8"/>
      <c r="G10859" s="8"/>
      <c r="M10859" s="8"/>
    </row>
    <row r="10860">
      <c r="B10860" s="8"/>
      <c r="G10860" s="8"/>
      <c r="M10860" s="8"/>
    </row>
    <row r="10861">
      <c r="B10861" s="8"/>
      <c r="G10861" s="8"/>
      <c r="M10861" s="8"/>
    </row>
    <row r="10862">
      <c r="B10862" s="8"/>
      <c r="G10862" s="8"/>
      <c r="M10862" s="8"/>
    </row>
    <row r="10863">
      <c r="B10863" s="8"/>
      <c r="G10863" s="8"/>
      <c r="M10863" s="8"/>
    </row>
    <row r="10864">
      <c r="B10864" s="8"/>
      <c r="G10864" s="8"/>
      <c r="M10864" s="8"/>
    </row>
    <row r="10865">
      <c r="B10865" s="8"/>
      <c r="G10865" s="8"/>
      <c r="M10865" s="8"/>
    </row>
    <row r="10866">
      <c r="B10866" s="8"/>
      <c r="G10866" s="8"/>
      <c r="M10866" s="8"/>
    </row>
    <row r="10867">
      <c r="B10867" s="8"/>
      <c r="G10867" s="8"/>
      <c r="M10867" s="8"/>
    </row>
    <row r="10868">
      <c r="B10868" s="8"/>
      <c r="G10868" s="8"/>
      <c r="M10868" s="8"/>
    </row>
    <row r="10869">
      <c r="B10869" s="8"/>
      <c r="G10869" s="8"/>
      <c r="M10869" s="8"/>
    </row>
    <row r="10870">
      <c r="B10870" s="8"/>
      <c r="G10870" s="8"/>
      <c r="M10870" s="8"/>
    </row>
    <row r="10871">
      <c r="B10871" s="8"/>
      <c r="G10871" s="8"/>
      <c r="M10871" s="8"/>
    </row>
    <row r="10872">
      <c r="B10872" s="8"/>
      <c r="G10872" s="8"/>
      <c r="M10872" s="8"/>
    </row>
    <row r="10873">
      <c r="B10873" s="8"/>
      <c r="G10873" s="8"/>
      <c r="M10873" s="8"/>
    </row>
    <row r="10874">
      <c r="B10874" s="8"/>
      <c r="G10874" s="8"/>
      <c r="M10874" s="8"/>
    </row>
    <row r="10875">
      <c r="B10875" s="8"/>
      <c r="G10875" s="8"/>
      <c r="M10875" s="8"/>
    </row>
    <row r="10876">
      <c r="B10876" s="8"/>
      <c r="G10876" s="8"/>
      <c r="M10876" s="8"/>
    </row>
    <row r="10877">
      <c r="B10877" s="8"/>
      <c r="G10877" s="8"/>
      <c r="M10877" s="8"/>
    </row>
    <row r="10878">
      <c r="B10878" s="8"/>
      <c r="G10878" s="8"/>
      <c r="M10878" s="8"/>
    </row>
    <row r="10879">
      <c r="B10879" s="8"/>
      <c r="G10879" s="8"/>
      <c r="M10879" s="8"/>
    </row>
    <row r="10880">
      <c r="B10880" s="8"/>
      <c r="G10880" s="8"/>
      <c r="M10880" s="8"/>
    </row>
    <row r="10881">
      <c r="B10881" s="8"/>
      <c r="G10881" s="8"/>
      <c r="M10881" s="8"/>
    </row>
    <row r="10882">
      <c r="B10882" s="8"/>
      <c r="G10882" s="8"/>
      <c r="M10882" s="8"/>
    </row>
    <row r="10883">
      <c r="B10883" s="8"/>
      <c r="G10883" s="8"/>
      <c r="M10883" s="8"/>
    </row>
    <row r="10884">
      <c r="B10884" s="8"/>
      <c r="G10884" s="8"/>
      <c r="M10884" s="8"/>
    </row>
    <row r="10885">
      <c r="B10885" s="8"/>
      <c r="G10885" s="8"/>
      <c r="M10885" s="8"/>
    </row>
    <row r="10886">
      <c r="B10886" s="8"/>
      <c r="G10886" s="8"/>
      <c r="M10886" s="8"/>
    </row>
    <row r="10887">
      <c r="B10887" s="8"/>
      <c r="G10887" s="8"/>
      <c r="M10887" s="8"/>
    </row>
    <row r="10888">
      <c r="B10888" s="8"/>
      <c r="G10888" s="8"/>
      <c r="M10888" s="8"/>
    </row>
    <row r="10889">
      <c r="B10889" s="8"/>
      <c r="G10889" s="8"/>
      <c r="M10889" s="8"/>
    </row>
    <row r="10890">
      <c r="B10890" s="8"/>
      <c r="G10890" s="8"/>
      <c r="M10890" s="8"/>
    </row>
    <row r="10891">
      <c r="B10891" s="8"/>
      <c r="G10891" s="8"/>
      <c r="M10891" s="8"/>
    </row>
    <row r="10892">
      <c r="B10892" s="8"/>
      <c r="G10892" s="8"/>
      <c r="M10892" s="8"/>
    </row>
    <row r="10893">
      <c r="B10893" s="8"/>
      <c r="G10893" s="8"/>
      <c r="M10893" s="8"/>
    </row>
    <row r="10894">
      <c r="B10894" s="8"/>
      <c r="G10894" s="8"/>
      <c r="M10894" s="8"/>
    </row>
    <row r="10895">
      <c r="B10895" s="8"/>
      <c r="G10895" s="8"/>
      <c r="M10895" s="8"/>
    </row>
    <row r="10896">
      <c r="B10896" s="8"/>
      <c r="G10896" s="8"/>
      <c r="M10896" s="8"/>
    </row>
    <row r="10897">
      <c r="B10897" s="8"/>
      <c r="G10897" s="8"/>
      <c r="M10897" s="8"/>
    </row>
    <row r="10898">
      <c r="B10898" s="8"/>
      <c r="G10898" s="8"/>
      <c r="M10898" s="8"/>
    </row>
    <row r="10899">
      <c r="B10899" s="8"/>
      <c r="G10899" s="8"/>
      <c r="M10899" s="8"/>
    </row>
    <row r="10900">
      <c r="B10900" s="8"/>
      <c r="G10900" s="8"/>
      <c r="M10900" s="8"/>
    </row>
    <row r="10901">
      <c r="B10901" s="8"/>
      <c r="G10901" s="8"/>
      <c r="M10901" s="8"/>
    </row>
    <row r="10902">
      <c r="B10902" s="8"/>
      <c r="G10902" s="8"/>
      <c r="M10902" s="8"/>
    </row>
    <row r="10903">
      <c r="B10903" s="8"/>
      <c r="G10903" s="8"/>
      <c r="M10903" s="8"/>
    </row>
    <row r="10904">
      <c r="B10904" s="8"/>
      <c r="G10904" s="8"/>
      <c r="M10904" s="8"/>
    </row>
    <row r="10905">
      <c r="B10905" s="8"/>
      <c r="G10905" s="8"/>
      <c r="M10905" s="8"/>
    </row>
    <row r="10906">
      <c r="B10906" s="8"/>
      <c r="G10906" s="8"/>
      <c r="M10906" s="8"/>
    </row>
    <row r="10907">
      <c r="B10907" s="8"/>
      <c r="G10907" s="8"/>
      <c r="M10907" s="8"/>
    </row>
    <row r="10908">
      <c r="B10908" s="8"/>
      <c r="G10908" s="8"/>
      <c r="M10908" s="8"/>
    </row>
    <row r="10909">
      <c r="B10909" s="8"/>
      <c r="G10909" s="8"/>
      <c r="M10909" s="8"/>
    </row>
    <row r="10910">
      <c r="B10910" s="8"/>
      <c r="G10910" s="8"/>
      <c r="M10910" s="8"/>
    </row>
    <row r="10911">
      <c r="B10911" s="8"/>
      <c r="G10911" s="8"/>
      <c r="M10911" s="8"/>
    </row>
    <row r="10912">
      <c r="B10912" s="8"/>
      <c r="G10912" s="8"/>
      <c r="M10912" s="8"/>
    </row>
    <row r="10913">
      <c r="B10913" s="8"/>
      <c r="G10913" s="8"/>
      <c r="M10913" s="8"/>
    </row>
    <row r="10914">
      <c r="B10914" s="8"/>
      <c r="G10914" s="8"/>
      <c r="M10914" s="8"/>
    </row>
    <row r="10915">
      <c r="B10915" s="8"/>
      <c r="G10915" s="8"/>
      <c r="M10915" s="8"/>
    </row>
    <row r="10916">
      <c r="B10916" s="8"/>
      <c r="G10916" s="8"/>
      <c r="M10916" s="8"/>
    </row>
    <row r="10917">
      <c r="B10917" s="8"/>
      <c r="G10917" s="8"/>
      <c r="M10917" s="8"/>
    </row>
    <row r="10918">
      <c r="B10918" s="8"/>
      <c r="G10918" s="8"/>
      <c r="M10918" s="8"/>
    </row>
    <row r="10919">
      <c r="B10919" s="8"/>
      <c r="G10919" s="8"/>
      <c r="M10919" s="8"/>
    </row>
    <row r="10920">
      <c r="B10920" s="8"/>
      <c r="G10920" s="8"/>
      <c r="M10920" s="8"/>
    </row>
    <row r="10921">
      <c r="B10921" s="8"/>
      <c r="G10921" s="8"/>
      <c r="M10921" s="8"/>
    </row>
    <row r="10922">
      <c r="B10922" s="8"/>
      <c r="G10922" s="8"/>
      <c r="M10922" s="8"/>
    </row>
    <row r="10923">
      <c r="B10923" s="8"/>
      <c r="G10923" s="8"/>
      <c r="M10923" s="8"/>
    </row>
    <row r="10924">
      <c r="B10924" s="8"/>
      <c r="G10924" s="8"/>
      <c r="M10924" s="8"/>
    </row>
    <row r="10925">
      <c r="B10925" s="8"/>
      <c r="G10925" s="8"/>
      <c r="M10925" s="8"/>
    </row>
    <row r="10926">
      <c r="B10926" s="8"/>
      <c r="G10926" s="8"/>
      <c r="M10926" s="8"/>
    </row>
    <row r="10927">
      <c r="B10927" s="8"/>
      <c r="G10927" s="8"/>
      <c r="M10927" s="8"/>
    </row>
    <row r="10928">
      <c r="B10928" s="8"/>
      <c r="G10928" s="8"/>
      <c r="M10928" s="8"/>
    </row>
    <row r="10929">
      <c r="B10929" s="8"/>
      <c r="G10929" s="8"/>
      <c r="M10929" s="8"/>
    </row>
    <row r="10930">
      <c r="B10930" s="8"/>
      <c r="G10930" s="8"/>
      <c r="M10930" s="8"/>
    </row>
    <row r="10931">
      <c r="B10931" s="8"/>
      <c r="G10931" s="8"/>
      <c r="M10931" s="8"/>
    </row>
    <row r="10932">
      <c r="B10932" s="8"/>
      <c r="G10932" s="8"/>
      <c r="M10932" s="8"/>
    </row>
    <row r="10933">
      <c r="B10933" s="8"/>
      <c r="G10933" s="8"/>
      <c r="M10933" s="8"/>
    </row>
    <row r="10934">
      <c r="B10934" s="8"/>
      <c r="G10934" s="8"/>
      <c r="M10934" s="8"/>
    </row>
    <row r="10935">
      <c r="B10935" s="8"/>
      <c r="G10935" s="8"/>
      <c r="M10935" s="8"/>
    </row>
    <row r="10936">
      <c r="B10936" s="8"/>
      <c r="G10936" s="8"/>
      <c r="M10936" s="8"/>
    </row>
    <row r="10937">
      <c r="B10937" s="8"/>
      <c r="G10937" s="8"/>
      <c r="M10937" s="8"/>
    </row>
    <row r="10938">
      <c r="B10938" s="8"/>
      <c r="G10938" s="8"/>
      <c r="M10938" s="8"/>
    </row>
    <row r="10939">
      <c r="B10939" s="8"/>
      <c r="G10939" s="8"/>
      <c r="M10939" s="8"/>
    </row>
    <row r="10940">
      <c r="B10940" s="8"/>
      <c r="G10940" s="8"/>
      <c r="M10940" s="8"/>
    </row>
    <row r="10941">
      <c r="B10941" s="8"/>
      <c r="G10941" s="8"/>
      <c r="M10941" s="8"/>
    </row>
    <row r="10942">
      <c r="B10942" s="8"/>
      <c r="G10942" s="8"/>
      <c r="M10942" s="8"/>
    </row>
    <row r="10943">
      <c r="B10943" s="8"/>
      <c r="G10943" s="8"/>
      <c r="M10943" s="8"/>
    </row>
    <row r="10944">
      <c r="B10944" s="8"/>
      <c r="G10944" s="8"/>
      <c r="M10944" s="8"/>
    </row>
    <row r="10945">
      <c r="B10945" s="8"/>
      <c r="G10945" s="8"/>
      <c r="M10945" s="8"/>
    </row>
    <row r="10946">
      <c r="B10946" s="8"/>
      <c r="G10946" s="8"/>
      <c r="M10946" s="8"/>
    </row>
    <row r="10947">
      <c r="B10947" s="8"/>
      <c r="G10947" s="8"/>
      <c r="M10947" s="8"/>
    </row>
    <row r="10948">
      <c r="B10948" s="8"/>
      <c r="G10948" s="8"/>
      <c r="M10948" s="8"/>
    </row>
    <row r="10949">
      <c r="B10949" s="8"/>
      <c r="G10949" s="8"/>
      <c r="M10949" s="8"/>
    </row>
    <row r="10950">
      <c r="B10950" s="8"/>
      <c r="G10950" s="8"/>
      <c r="M10950" s="8"/>
    </row>
    <row r="10951">
      <c r="B10951" s="8"/>
      <c r="G10951" s="8"/>
      <c r="M10951" s="8"/>
    </row>
    <row r="10952">
      <c r="B10952" s="8"/>
      <c r="G10952" s="8"/>
      <c r="M10952" s="8"/>
    </row>
    <row r="10953">
      <c r="B10953" s="8"/>
      <c r="G10953" s="8"/>
      <c r="M10953" s="8"/>
    </row>
    <row r="10954">
      <c r="B10954" s="8"/>
      <c r="G10954" s="8"/>
      <c r="M10954" s="8"/>
    </row>
    <row r="10955">
      <c r="B10955" s="8"/>
      <c r="G10955" s="8"/>
      <c r="M10955" s="8"/>
    </row>
    <row r="10956">
      <c r="B10956" s="8"/>
      <c r="G10956" s="8"/>
      <c r="M10956" s="8"/>
    </row>
    <row r="10957">
      <c r="B10957" s="8"/>
      <c r="G10957" s="8"/>
      <c r="M10957" s="8"/>
    </row>
    <row r="10958">
      <c r="B10958" s="8"/>
      <c r="G10958" s="8"/>
      <c r="M10958" s="8"/>
    </row>
    <row r="10959">
      <c r="B10959" s="8"/>
      <c r="G10959" s="8"/>
      <c r="M10959" s="8"/>
    </row>
    <row r="10960">
      <c r="B10960" s="8"/>
      <c r="G10960" s="8"/>
      <c r="M10960" s="8"/>
    </row>
    <row r="10961">
      <c r="B10961" s="8"/>
      <c r="G10961" s="8"/>
      <c r="M10961" s="8"/>
    </row>
    <row r="10962">
      <c r="B10962" s="8"/>
      <c r="G10962" s="8"/>
      <c r="M10962" s="8"/>
    </row>
    <row r="10963">
      <c r="B10963" s="8"/>
      <c r="G10963" s="8"/>
      <c r="M10963" s="8"/>
    </row>
    <row r="10964">
      <c r="B10964" s="8"/>
      <c r="G10964" s="8"/>
      <c r="M10964" s="8"/>
    </row>
    <row r="10965">
      <c r="B10965" s="8"/>
      <c r="G10965" s="8"/>
      <c r="M10965" s="8"/>
    </row>
    <row r="10966">
      <c r="B10966" s="8"/>
      <c r="G10966" s="8"/>
      <c r="M10966" s="8"/>
    </row>
    <row r="10967">
      <c r="B10967" s="8"/>
      <c r="G10967" s="8"/>
      <c r="M10967" s="8"/>
    </row>
    <row r="10968">
      <c r="B10968" s="8"/>
      <c r="G10968" s="8"/>
      <c r="M10968" s="8"/>
    </row>
    <row r="10969">
      <c r="B10969" s="8"/>
      <c r="G10969" s="8"/>
      <c r="M10969" s="8"/>
    </row>
    <row r="10970">
      <c r="B10970" s="8"/>
      <c r="G10970" s="8"/>
      <c r="M10970" s="8"/>
    </row>
    <row r="10971">
      <c r="B10971" s="8"/>
      <c r="G10971" s="8"/>
      <c r="M10971" s="8"/>
    </row>
    <row r="10972">
      <c r="B10972" s="8"/>
      <c r="G10972" s="8"/>
      <c r="M10972" s="8"/>
    </row>
    <row r="10973">
      <c r="B10973" s="8"/>
      <c r="G10973" s="8"/>
      <c r="M10973" s="8"/>
    </row>
    <row r="10974">
      <c r="B10974" s="8"/>
      <c r="G10974" s="8"/>
      <c r="M10974" s="8"/>
    </row>
    <row r="10975">
      <c r="B10975" s="8"/>
      <c r="G10975" s="8"/>
      <c r="M10975" s="8"/>
    </row>
    <row r="10976">
      <c r="B10976" s="8"/>
      <c r="G10976" s="8"/>
      <c r="M10976" s="8"/>
    </row>
    <row r="10977">
      <c r="B10977" s="8"/>
      <c r="G10977" s="8"/>
      <c r="M10977" s="8"/>
    </row>
    <row r="10978">
      <c r="B10978" s="8"/>
      <c r="G10978" s="8"/>
      <c r="M10978" s="8"/>
    </row>
    <row r="10979">
      <c r="B10979" s="8"/>
      <c r="G10979" s="8"/>
      <c r="M10979" s="8"/>
    </row>
    <row r="10980">
      <c r="B10980" s="8"/>
      <c r="G10980" s="8"/>
      <c r="M10980" s="8"/>
    </row>
    <row r="10981">
      <c r="B10981" s="8"/>
      <c r="G10981" s="8"/>
      <c r="M10981" s="8"/>
    </row>
    <row r="10982">
      <c r="B10982" s="8"/>
      <c r="G10982" s="8"/>
      <c r="M10982" s="8"/>
    </row>
    <row r="10983">
      <c r="B10983" s="8"/>
      <c r="G10983" s="8"/>
      <c r="M10983" s="8"/>
    </row>
    <row r="10984">
      <c r="B10984" s="8"/>
      <c r="G10984" s="8"/>
      <c r="M10984" s="8"/>
    </row>
    <row r="10985">
      <c r="B10985" s="8"/>
      <c r="G10985" s="8"/>
      <c r="M10985" s="8"/>
    </row>
    <row r="10986">
      <c r="B10986" s="8"/>
      <c r="G10986" s="8"/>
      <c r="M10986" s="8"/>
    </row>
    <row r="10987">
      <c r="B10987" s="8"/>
      <c r="G10987" s="8"/>
      <c r="M10987" s="8"/>
    </row>
    <row r="10988">
      <c r="B10988" s="8"/>
      <c r="G10988" s="8"/>
      <c r="M10988" s="8"/>
    </row>
    <row r="10989">
      <c r="B10989" s="8"/>
      <c r="G10989" s="8"/>
      <c r="M10989" s="8"/>
    </row>
    <row r="10990">
      <c r="B10990" s="8"/>
      <c r="G10990" s="8"/>
      <c r="M10990" s="8"/>
    </row>
    <row r="10991">
      <c r="B10991" s="8"/>
      <c r="G10991" s="8"/>
      <c r="M10991" s="8"/>
    </row>
    <row r="10992">
      <c r="B10992" s="8"/>
      <c r="G10992" s="8"/>
      <c r="M10992" s="8"/>
    </row>
    <row r="10993">
      <c r="B10993" s="8"/>
      <c r="G10993" s="8"/>
      <c r="M10993" s="8"/>
    </row>
    <row r="10994">
      <c r="B10994" s="8"/>
      <c r="G10994" s="8"/>
      <c r="M10994" s="8"/>
    </row>
    <row r="10995">
      <c r="B10995" s="8"/>
      <c r="G10995" s="8"/>
      <c r="M10995" s="8"/>
    </row>
    <row r="10996">
      <c r="B10996" s="8"/>
      <c r="G10996" s="8"/>
      <c r="M10996" s="8"/>
    </row>
    <row r="10997">
      <c r="B10997" s="8"/>
      <c r="G10997" s="8"/>
      <c r="M10997" s="8"/>
    </row>
    <row r="10998">
      <c r="B10998" s="8"/>
      <c r="G10998" s="8"/>
      <c r="M10998" s="8"/>
    </row>
    <row r="10999">
      <c r="B10999" s="8"/>
      <c r="G10999" s="8"/>
      <c r="M10999" s="8"/>
    </row>
    <row r="11000">
      <c r="B11000" s="8"/>
      <c r="G11000" s="8"/>
      <c r="M11000" s="8"/>
    </row>
    <row r="11001">
      <c r="B11001" s="8"/>
      <c r="G11001" s="8"/>
      <c r="M11001" s="8"/>
    </row>
    <row r="11002">
      <c r="B11002" s="8"/>
      <c r="G11002" s="8"/>
      <c r="M11002" s="8"/>
    </row>
    <row r="11003">
      <c r="B11003" s="8"/>
      <c r="G11003" s="8"/>
      <c r="M11003" s="8"/>
    </row>
    <row r="11004">
      <c r="B11004" s="8"/>
      <c r="G11004" s="8"/>
      <c r="M11004" s="8"/>
    </row>
    <row r="11005">
      <c r="B11005" s="8"/>
      <c r="G11005" s="8"/>
      <c r="M11005" s="8"/>
    </row>
    <row r="11006">
      <c r="B11006" s="8"/>
      <c r="G11006" s="8"/>
      <c r="M11006" s="8"/>
    </row>
    <row r="11007">
      <c r="B11007" s="8"/>
      <c r="G11007" s="8"/>
      <c r="M11007" s="8"/>
    </row>
    <row r="11008">
      <c r="B11008" s="8"/>
      <c r="G11008" s="8"/>
      <c r="M11008" s="8"/>
    </row>
    <row r="11009">
      <c r="B11009" s="8"/>
      <c r="G11009" s="8"/>
      <c r="M11009" s="8"/>
    </row>
    <row r="11010">
      <c r="B11010" s="8"/>
      <c r="G11010" s="8"/>
      <c r="M11010" s="8"/>
    </row>
    <row r="11011">
      <c r="B11011" s="8"/>
      <c r="G11011" s="8"/>
      <c r="M11011" s="8"/>
    </row>
    <row r="11012">
      <c r="B11012" s="8"/>
      <c r="G11012" s="8"/>
      <c r="M11012" s="8"/>
    </row>
    <row r="11013">
      <c r="B11013" s="8"/>
      <c r="G11013" s="8"/>
      <c r="M11013" s="8"/>
    </row>
    <row r="11014">
      <c r="B11014" s="8"/>
      <c r="G11014" s="8"/>
      <c r="M11014" s="8"/>
    </row>
    <row r="11015">
      <c r="B11015" s="8"/>
      <c r="G11015" s="8"/>
      <c r="M11015" s="8"/>
    </row>
    <row r="11016">
      <c r="B11016" s="8"/>
      <c r="G11016" s="8"/>
      <c r="M11016" s="8"/>
    </row>
    <row r="11017">
      <c r="B11017" s="8"/>
      <c r="G11017" s="8"/>
      <c r="M11017" s="8"/>
    </row>
    <row r="11018">
      <c r="B11018" s="8"/>
      <c r="G11018" s="8"/>
      <c r="M11018" s="8"/>
    </row>
    <row r="11019">
      <c r="B11019" s="8"/>
      <c r="G11019" s="8"/>
      <c r="M11019" s="8"/>
    </row>
    <row r="11020">
      <c r="B11020" s="8"/>
      <c r="G11020" s="8"/>
      <c r="M11020" s="8"/>
    </row>
    <row r="11021">
      <c r="B11021" s="8"/>
      <c r="G11021" s="8"/>
      <c r="M11021" s="8"/>
    </row>
    <row r="11022">
      <c r="B11022" s="8"/>
      <c r="G11022" s="8"/>
      <c r="M11022" s="8"/>
    </row>
    <row r="11023">
      <c r="B11023" s="8"/>
      <c r="G11023" s="8"/>
      <c r="M11023" s="8"/>
    </row>
    <row r="11024">
      <c r="B11024" s="8"/>
      <c r="G11024" s="8"/>
      <c r="M11024" s="8"/>
    </row>
    <row r="11025">
      <c r="B11025" s="8"/>
      <c r="G11025" s="8"/>
      <c r="M11025" s="8"/>
    </row>
    <row r="11026">
      <c r="B11026" s="8"/>
      <c r="G11026" s="8"/>
      <c r="M11026" s="8"/>
    </row>
    <row r="11027">
      <c r="B11027" s="8"/>
      <c r="G11027" s="8"/>
      <c r="M11027" s="8"/>
    </row>
    <row r="11028">
      <c r="B11028" s="8"/>
      <c r="G11028" s="8"/>
      <c r="M11028" s="8"/>
    </row>
    <row r="11029">
      <c r="B11029" s="8"/>
      <c r="G11029" s="8"/>
      <c r="M11029" s="8"/>
    </row>
    <row r="11030">
      <c r="B11030" s="8"/>
      <c r="G11030" s="8"/>
      <c r="M11030" s="8"/>
    </row>
    <row r="11031">
      <c r="B11031" s="8"/>
      <c r="G11031" s="8"/>
      <c r="M11031" s="8"/>
    </row>
    <row r="11032">
      <c r="B11032" s="8"/>
      <c r="G11032" s="8"/>
      <c r="M11032" s="8"/>
    </row>
    <row r="11033">
      <c r="B11033" s="8"/>
      <c r="G11033" s="8"/>
      <c r="M11033" s="8"/>
    </row>
    <row r="11034">
      <c r="B11034" s="8"/>
      <c r="G11034" s="8"/>
      <c r="M11034" s="8"/>
    </row>
    <row r="11035">
      <c r="B11035" s="8"/>
      <c r="G11035" s="8"/>
      <c r="M11035" s="8"/>
    </row>
    <row r="11036">
      <c r="B11036" s="8"/>
      <c r="G11036" s="8"/>
      <c r="M11036" s="8"/>
    </row>
    <row r="11037">
      <c r="B11037" s="8"/>
      <c r="G11037" s="8"/>
      <c r="M11037" s="8"/>
    </row>
    <row r="11038">
      <c r="B11038" s="8"/>
      <c r="G11038" s="8"/>
      <c r="M11038" s="8"/>
    </row>
    <row r="11039">
      <c r="B11039" s="8"/>
      <c r="G11039" s="8"/>
      <c r="M11039" s="8"/>
    </row>
    <row r="11040">
      <c r="B11040" s="8"/>
      <c r="G11040" s="8"/>
      <c r="M11040" s="8"/>
    </row>
    <row r="11041">
      <c r="B11041" s="8"/>
      <c r="G11041" s="8"/>
      <c r="M11041" s="8"/>
    </row>
    <row r="11042">
      <c r="B11042" s="8"/>
      <c r="G11042" s="8"/>
      <c r="M11042" s="8"/>
    </row>
    <row r="11043">
      <c r="B11043" s="8"/>
      <c r="G11043" s="8"/>
      <c r="M11043" s="8"/>
    </row>
    <row r="11044">
      <c r="B11044" s="8"/>
      <c r="G11044" s="8"/>
      <c r="M11044" s="8"/>
    </row>
    <row r="11045">
      <c r="B11045" s="8"/>
      <c r="G11045" s="8"/>
      <c r="M11045" s="8"/>
    </row>
    <row r="11046">
      <c r="B11046" s="8"/>
      <c r="G11046" s="8"/>
      <c r="M11046" s="8"/>
    </row>
    <row r="11047">
      <c r="B11047" s="8"/>
      <c r="G11047" s="8"/>
      <c r="M11047" s="8"/>
    </row>
    <row r="11048">
      <c r="B11048" s="8"/>
      <c r="G11048" s="8"/>
      <c r="M11048" s="8"/>
    </row>
    <row r="11049">
      <c r="B11049" s="8"/>
      <c r="G11049" s="8"/>
      <c r="M11049" s="8"/>
    </row>
    <row r="11050">
      <c r="B11050" s="8"/>
      <c r="G11050" s="8"/>
      <c r="M11050" s="8"/>
    </row>
    <row r="11051">
      <c r="B11051" s="8"/>
      <c r="G11051" s="8"/>
      <c r="M11051" s="8"/>
    </row>
    <row r="11052">
      <c r="B11052" s="8"/>
      <c r="G11052" s="8"/>
      <c r="M11052" s="8"/>
    </row>
    <row r="11053">
      <c r="B11053" s="8"/>
      <c r="G11053" s="8"/>
      <c r="M11053" s="8"/>
    </row>
    <row r="11054">
      <c r="B11054" s="8"/>
      <c r="G11054" s="8"/>
      <c r="M11054" s="8"/>
    </row>
    <row r="11055">
      <c r="B11055" s="8"/>
      <c r="G11055" s="8"/>
      <c r="M11055" s="8"/>
    </row>
    <row r="11056">
      <c r="B11056" s="8"/>
      <c r="G11056" s="8"/>
      <c r="M11056" s="8"/>
    </row>
    <row r="11057">
      <c r="B11057" s="8"/>
      <c r="G11057" s="8"/>
      <c r="M11057" s="8"/>
    </row>
    <row r="11058">
      <c r="B11058" s="8"/>
      <c r="G11058" s="8"/>
      <c r="M11058" s="8"/>
    </row>
    <row r="11059">
      <c r="B11059" s="8"/>
      <c r="G11059" s="8"/>
      <c r="M11059" s="8"/>
    </row>
    <row r="11060">
      <c r="B11060" s="8"/>
      <c r="G11060" s="8"/>
      <c r="M11060" s="8"/>
    </row>
    <row r="11061">
      <c r="B11061" s="8"/>
      <c r="G11061" s="8"/>
      <c r="M11061" s="8"/>
    </row>
    <row r="11062">
      <c r="B11062" s="8"/>
      <c r="G11062" s="8"/>
      <c r="M11062" s="8"/>
    </row>
    <row r="11063">
      <c r="B11063" s="8"/>
      <c r="G11063" s="8"/>
      <c r="M11063" s="8"/>
    </row>
    <row r="11064">
      <c r="B11064" s="8"/>
      <c r="G11064" s="8"/>
      <c r="M11064" s="8"/>
    </row>
    <row r="11065">
      <c r="B11065" s="8"/>
      <c r="G11065" s="8"/>
      <c r="M11065" s="8"/>
    </row>
    <row r="11066">
      <c r="B11066" s="8"/>
      <c r="G11066" s="8"/>
      <c r="M11066" s="8"/>
    </row>
    <row r="11067">
      <c r="B11067" s="8"/>
      <c r="G11067" s="8"/>
      <c r="M11067" s="8"/>
    </row>
    <row r="11068">
      <c r="B11068" s="8"/>
      <c r="G11068" s="8"/>
      <c r="M11068" s="8"/>
    </row>
    <row r="11069">
      <c r="B11069" s="8"/>
      <c r="G11069" s="8"/>
      <c r="M11069" s="8"/>
    </row>
    <row r="11070">
      <c r="B11070" s="8"/>
      <c r="G11070" s="8"/>
      <c r="M11070" s="8"/>
    </row>
    <row r="11071">
      <c r="B11071" s="8"/>
      <c r="G11071" s="8"/>
      <c r="M11071" s="8"/>
    </row>
    <row r="11072">
      <c r="B11072" s="8"/>
      <c r="G11072" s="8"/>
      <c r="M11072" s="8"/>
    </row>
    <row r="11073">
      <c r="B11073" s="8"/>
      <c r="G11073" s="8"/>
      <c r="M11073" s="8"/>
    </row>
    <row r="11074">
      <c r="B11074" s="8"/>
      <c r="G11074" s="8"/>
      <c r="M11074" s="8"/>
    </row>
    <row r="11075">
      <c r="B11075" s="8"/>
      <c r="G11075" s="8"/>
      <c r="M11075" s="8"/>
    </row>
    <row r="11076">
      <c r="B11076" s="8"/>
      <c r="G11076" s="8"/>
      <c r="M11076" s="8"/>
    </row>
    <row r="11077">
      <c r="B11077" s="8"/>
      <c r="G11077" s="8"/>
      <c r="M11077" s="8"/>
    </row>
    <row r="11078">
      <c r="B11078" s="8"/>
      <c r="G11078" s="8"/>
      <c r="M11078" s="8"/>
    </row>
    <row r="11079">
      <c r="B11079" s="8"/>
      <c r="G11079" s="8"/>
      <c r="M11079" s="8"/>
    </row>
    <row r="11080">
      <c r="B11080" s="8"/>
      <c r="G11080" s="8"/>
      <c r="M11080" s="8"/>
    </row>
    <row r="11081">
      <c r="B11081" s="8"/>
      <c r="G11081" s="8"/>
      <c r="M11081" s="8"/>
    </row>
    <row r="11082">
      <c r="B11082" s="8"/>
      <c r="G11082" s="8"/>
      <c r="M11082" s="8"/>
    </row>
    <row r="11083">
      <c r="B11083" s="8"/>
      <c r="G11083" s="8"/>
      <c r="M11083" s="8"/>
    </row>
    <row r="11084">
      <c r="B11084" s="8"/>
      <c r="G11084" s="8"/>
      <c r="M11084" s="8"/>
    </row>
    <row r="11085">
      <c r="B11085" s="8"/>
      <c r="G11085" s="8"/>
      <c r="M11085" s="8"/>
    </row>
    <row r="11086">
      <c r="B11086" s="8"/>
      <c r="G11086" s="8"/>
      <c r="M11086" s="8"/>
    </row>
    <row r="11087">
      <c r="B11087" s="8"/>
      <c r="G11087" s="8"/>
      <c r="M11087" s="8"/>
    </row>
    <row r="11088">
      <c r="B11088" s="8"/>
      <c r="G11088" s="8"/>
      <c r="M11088" s="8"/>
    </row>
    <row r="11089">
      <c r="B11089" s="8"/>
      <c r="G11089" s="8"/>
      <c r="M11089" s="8"/>
    </row>
    <row r="11090">
      <c r="B11090" s="8"/>
      <c r="G11090" s="8"/>
      <c r="M11090" s="8"/>
    </row>
    <row r="11091">
      <c r="B11091" s="8"/>
      <c r="G11091" s="8"/>
      <c r="M11091" s="8"/>
    </row>
    <row r="11092">
      <c r="B11092" s="8"/>
      <c r="G11092" s="8"/>
      <c r="M11092" s="8"/>
    </row>
    <row r="11093">
      <c r="B11093" s="8"/>
      <c r="G11093" s="8"/>
      <c r="M11093" s="8"/>
    </row>
    <row r="11094">
      <c r="B11094" s="8"/>
      <c r="G11094" s="8"/>
      <c r="M11094" s="8"/>
    </row>
    <row r="11095">
      <c r="B11095" s="8"/>
      <c r="G11095" s="8"/>
      <c r="M11095" s="8"/>
    </row>
    <row r="11096">
      <c r="B11096" s="8"/>
      <c r="G11096" s="8"/>
      <c r="M11096" s="8"/>
    </row>
    <row r="11097">
      <c r="B11097" s="8"/>
      <c r="G11097" s="8"/>
      <c r="M11097" s="8"/>
    </row>
    <row r="11098">
      <c r="B11098" s="8"/>
      <c r="G11098" s="8"/>
      <c r="M11098" s="8"/>
    </row>
    <row r="11099">
      <c r="B11099" s="8"/>
      <c r="G11099" s="8"/>
      <c r="M11099" s="8"/>
    </row>
    <row r="11100">
      <c r="B11100" s="8"/>
      <c r="G11100" s="8"/>
      <c r="M11100" s="8"/>
    </row>
    <row r="11101">
      <c r="B11101" s="8"/>
      <c r="G11101" s="8"/>
      <c r="M11101" s="8"/>
    </row>
    <row r="11102">
      <c r="B11102" s="8"/>
      <c r="G11102" s="8"/>
      <c r="M11102" s="8"/>
    </row>
    <row r="11103">
      <c r="B11103" s="8"/>
      <c r="G11103" s="8"/>
      <c r="M11103" s="8"/>
    </row>
    <row r="11104">
      <c r="B11104" s="8"/>
      <c r="G11104" s="8"/>
      <c r="M11104" s="8"/>
    </row>
    <row r="11105">
      <c r="B11105" s="8"/>
      <c r="G11105" s="8"/>
      <c r="M11105" s="8"/>
    </row>
    <row r="11106">
      <c r="B11106" s="8"/>
      <c r="G11106" s="8"/>
      <c r="M11106" s="8"/>
    </row>
    <row r="11107">
      <c r="B11107" s="8"/>
      <c r="G11107" s="8"/>
      <c r="M11107" s="8"/>
    </row>
    <row r="11108">
      <c r="B11108" s="8"/>
      <c r="G11108" s="8"/>
      <c r="M11108" s="8"/>
    </row>
    <row r="11109">
      <c r="B11109" s="8"/>
      <c r="G11109" s="8"/>
      <c r="M11109" s="8"/>
    </row>
    <row r="11110">
      <c r="B11110" s="8"/>
      <c r="G11110" s="8"/>
      <c r="M11110" s="8"/>
    </row>
    <row r="11111">
      <c r="B11111" s="8"/>
      <c r="G11111" s="8"/>
      <c r="M11111" s="8"/>
    </row>
    <row r="11112">
      <c r="B11112" s="8"/>
      <c r="G11112" s="8"/>
      <c r="M11112" s="8"/>
    </row>
    <row r="11113">
      <c r="B11113" s="8"/>
      <c r="G11113" s="8"/>
      <c r="M11113" s="8"/>
    </row>
    <row r="11114">
      <c r="B11114" s="8"/>
      <c r="G11114" s="8"/>
      <c r="M11114" s="8"/>
    </row>
    <row r="11115">
      <c r="B11115" s="8"/>
      <c r="G11115" s="8"/>
      <c r="M11115" s="8"/>
    </row>
    <row r="11116">
      <c r="B11116" s="8"/>
      <c r="G11116" s="8"/>
      <c r="M11116" s="8"/>
    </row>
    <row r="11117">
      <c r="B11117" s="8"/>
      <c r="G11117" s="8"/>
      <c r="M11117" s="8"/>
    </row>
    <row r="11118">
      <c r="B11118" s="8"/>
      <c r="G11118" s="8"/>
      <c r="M11118" s="8"/>
    </row>
    <row r="11119">
      <c r="B11119" s="8"/>
      <c r="G11119" s="8"/>
      <c r="M11119" s="8"/>
    </row>
    <row r="11120">
      <c r="B11120" s="8"/>
      <c r="G11120" s="8"/>
      <c r="M11120" s="8"/>
    </row>
    <row r="11121">
      <c r="B11121" s="8"/>
      <c r="G11121" s="8"/>
      <c r="M11121" s="8"/>
    </row>
    <row r="11122">
      <c r="B11122" s="8"/>
      <c r="G11122" s="8"/>
      <c r="M11122" s="8"/>
    </row>
    <row r="11123">
      <c r="B11123" s="8"/>
      <c r="G11123" s="8"/>
      <c r="M11123" s="8"/>
    </row>
    <row r="11124">
      <c r="B11124" s="8"/>
      <c r="G11124" s="8"/>
      <c r="M11124" s="8"/>
    </row>
    <row r="11125">
      <c r="B11125" s="8"/>
      <c r="G11125" s="8"/>
      <c r="M11125" s="8"/>
    </row>
    <row r="11126">
      <c r="B11126" s="8"/>
      <c r="G11126" s="8"/>
      <c r="M11126" s="8"/>
    </row>
    <row r="11127">
      <c r="B11127" s="8"/>
      <c r="G11127" s="8"/>
      <c r="M11127" s="8"/>
    </row>
    <row r="11128">
      <c r="B11128" s="8"/>
      <c r="G11128" s="8"/>
      <c r="M11128" s="8"/>
    </row>
    <row r="11129">
      <c r="B11129" s="8"/>
      <c r="G11129" s="8"/>
      <c r="M11129" s="8"/>
    </row>
    <row r="11130">
      <c r="B11130" s="8"/>
      <c r="G11130" s="8"/>
      <c r="M11130" s="8"/>
    </row>
    <row r="11131">
      <c r="B11131" s="8"/>
      <c r="G11131" s="8"/>
      <c r="M11131" s="8"/>
    </row>
    <row r="11132">
      <c r="B11132" s="8"/>
      <c r="G11132" s="8"/>
      <c r="M11132" s="8"/>
    </row>
    <row r="11133">
      <c r="B11133" s="8"/>
      <c r="G11133" s="8"/>
      <c r="M11133" s="8"/>
    </row>
    <row r="11134">
      <c r="B11134" s="8"/>
      <c r="G11134" s="8"/>
      <c r="M11134" s="8"/>
    </row>
    <row r="11135">
      <c r="B11135" s="8"/>
      <c r="G11135" s="8"/>
      <c r="M11135" s="8"/>
    </row>
    <row r="11136">
      <c r="B11136" s="8"/>
      <c r="G11136" s="8"/>
      <c r="M11136" s="8"/>
    </row>
    <row r="11137">
      <c r="B11137" s="8"/>
      <c r="G11137" s="8"/>
      <c r="M11137" s="8"/>
    </row>
    <row r="11138">
      <c r="B11138" s="8"/>
      <c r="G11138" s="8"/>
      <c r="M11138" s="8"/>
    </row>
    <row r="11139">
      <c r="B11139" s="8"/>
      <c r="G11139" s="8"/>
      <c r="M11139" s="8"/>
    </row>
    <row r="11140">
      <c r="B11140" s="8"/>
      <c r="G11140" s="8"/>
      <c r="M11140" s="8"/>
    </row>
    <row r="11141">
      <c r="B11141" s="8"/>
      <c r="G11141" s="8"/>
      <c r="M11141" s="8"/>
    </row>
    <row r="11142">
      <c r="B11142" s="8"/>
      <c r="G11142" s="8"/>
      <c r="M11142" s="8"/>
    </row>
    <row r="11143">
      <c r="B11143" s="8"/>
      <c r="G11143" s="8"/>
      <c r="M11143" s="8"/>
    </row>
    <row r="11144">
      <c r="B11144" s="8"/>
      <c r="G11144" s="8"/>
      <c r="M11144" s="8"/>
    </row>
    <row r="11145">
      <c r="B11145" s="8"/>
      <c r="G11145" s="8"/>
      <c r="M11145" s="8"/>
    </row>
    <row r="11146">
      <c r="B11146" s="8"/>
      <c r="G11146" s="8"/>
      <c r="M11146" s="8"/>
    </row>
    <row r="11147">
      <c r="B11147" s="8"/>
      <c r="G11147" s="8"/>
      <c r="M11147" s="8"/>
    </row>
    <row r="11148">
      <c r="B11148" s="8"/>
      <c r="G11148" s="8"/>
      <c r="M11148" s="8"/>
    </row>
    <row r="11149">
      <c r="B11149" s="8"/>
      <c r="G11149" s="8"/>
      <c r="M11149" s="8"/>
    </row>
    <row r="11150">
      <c r="B11150" s="8"/>
      <c r="G11150" s="8"/>
      <c r="M11150" s="8"/>
    </row>
    <row r="11151">
      <c r="B11151" s="8"/>
      <c r="G11151" s="8"/>
      <c r="M11151" s="8"/>
    </row>
    <row r="11152">
      <c r="B11152" s="8"/>
      <c r="G11152" s="8"/>
      <c r="M11152" s="8"/>
    </row>
    <row r="11153">
      <c r="B11153" s="8"/>
      <c r="G11153" s="8"/>
      <c r="M11153" s="8"/>
    </row>
    <row r="11154">
      <c r="B11154" s="8"/>
      <c r="G11154" s="8"/>
      <c r="M11154" s="8"/>
    </row>
    <row r="11155">
      <c r="B11155" s="8"/>
      <c r="G11155" s="8"/>
      <c r="M11155" s="8"/>
    </row>
    <row r="11156">
      <c r="B11156" s="8"/>
      <c r="G11156" s="8"/>
      <c r="M11156" s="8"/>
    </row>
    <row r="11157">
      <c r="B11157" s="8"/>
      <c r="G11157" s="8"/>
      <c r="M11157" s="8"/>
    </row>
    <row r="11158">
      <c r="B11158" s="8"/>
      <c r="G11158" s="8"/>
      <c r="M11158" s="8"/>
    </row>
    <row r="11159">
      <c r="B11159" s="8"/>
      <c r="G11159" s="8"/>
      <c r="M11159" s="8"/>
    </row>
    <row r="11160">
      <c r="B11160" s="8"/>
      <c r="G11160" s="8"/>
      <c r="M11160" s="8"/>
    </row>
    <row r="11161">
      <c r="B11161" s="8"/>
      <c r="G11161" s="8"/>
      <c r="M11161" s="8"/>
    </row>
    <row r="11162">
      <c r="B11162" s="8"/>
      <c r="G11162" s="8"/>
      <c r="M11162" s="8"/>
    </row>
    <row r="11163">
      <c r="B11163" s="8"/>
      <c r="G11163" s="8"/>
      <c r="M11163" s="8"/>
    </row>
    <row r="11164">
      <c r="B11164" s="8"/>
      <c r="G11164" s="8"/>
      <c r="M11164" s="8"/>
    </row>
    <row r="11165">
      <c r="B11165" s="8"/>
      <c r="G11165" s="8"/>
      <c r="M11165" s="8"/>
    </row>
    <row r="11166">
      <c r="B11166" s="8"/>
      <c r="G11166" s="8"/>
      <c r="M11166" s="8"/>
    </row>
    <row r="11167">
      <c r="B11167" s="8"/>
      <c r="G11167" s="8"/>
      <c r="M11167" s="8"/>
    </row>
    <row r="11168">
      <c r="B11168" s="8"/>
      <c r="G11168" s="8"/>
      <c r="M11168" s="8"/>
    </row>
    <row r="11169">
      <c r="B11169" s="8"/>
      <c r="G11169" s="8"/>
      <c r="M11169" s="8"/>
    </row>
    <row r="11170">
      <c r="B11170" s="8"/>
      <c r="G11170" s="8"/>
      <c r="M11170" s="8"/>
    </row>
    <row r="11171">
      <c r="B11171" s="8"/>
      <c r="G11171" s="8"/>
      <c r="M11171" s="8"/>
    </row>
    <row r="11172">
      <c r="B11172" s="8"/>
      <c r="G11172" s="8"/>
      <c r="M11172" s="8"/>
    </row>
    <row r="11173">
      <c r="B11173" s="8"/>
      <c r="G11173" s="8"/>
      <c r="M11173" s="8"/>
    </row>
    <row r="11174">
      <c r="B11174" s="8"/>
      <c r="G11174" s="8"/>
      <c r="M11174" s="8"/>
    </row>
    <row r="11175">
      <c r="B11175" s="8"/>
      <c r="G11175" s="8"/>
      <c r="M11175" s="8"/>
    </row>
    <row r="11176">
      <c r="B11176" s="8"/>
      <c r="G11176" s="8"/>
      <c r="M11176" s="8"/>
    </row>
    <row r="11177">
      <c r="B11177" s="8"/>
      <c r="G11177" s="8"/>
      <c r="M11177" s="8"/>
    </row>
    <row r="11178">
      <c r="B11178" s="8"/>
      <c r="G11178" s="8"/>
      <c r="M11178" s="8"/>
    </row>
    <row r="11179">
      <c r="B11179" s="8"/>
      <c r="G11179" s="8"/>
      <c r="M11179" s="8"/>
    </row>
    <row r="11180">
      <c r="B11180" s="8"/>
      <c r="G11180" s="8"/>
      <c r="M11180" s="8"/>
    </row>
    <row r="11181">
      <c r="B11181" s="8"/>
      <c r="G11181" s="8"/>
      <c r="M11181" s="8"/>
    </row>
    <row r="11182">
      <c r="B11182" s="8"/>
      <c r="G11182" s="8"/>
      <c r="M11182" s="8"/>
    </row>
    <row r="11183">
      <c r="B11183" s="8"/>
      <c r="G11183" s="8"/>
      <c r="M11183" s="8"/>
    </row>
    <row r="11184">
      <c r="B11184" s="8"/>
      <c r="G11184" s="8"/>
      <c r="M11184" s="8"/>
    </row>
    <row r="11185">
      <c r="B11185" s="8"/>
      <c r="G11185" s="8"/>
      <c r="M11185" s="8"/>
    </row>
    <row r="11186">
      <c r="B11186" s="8"/>
      <c r="G11186" s="8"/>
      <c r="M11186" s="8"/>
    </row>
    <row r="11187">
      <c r="B11187" s="8"/>
      <c r="G11187" s="8"/>
      <c r="M11187" s="8"/>
    </row>
    <row r="11188">
      <c r="B11188" s="8"/>
      <c r="G11188" s="8"/>
      <c r="M11188" s="8"/>
    </row>
    <row r="11189">
      <c r="B11189" s="8"/>
      <c r="G11189" s="8"/>
      <c r="M11189" s="8"/>
    </row>
    <row r="11190">
      <c r="B11190" s="8"/>
      <c r="G11190" s="8"/>
      <c r="M11190" s="8"/>
    </row>
    <row r="11191">
      <c r="B11191" s="8"/>
      <c r="G11191" s="8"/>
      <c r="M11191" s="8"/>
    </row>
    <row r="11192">
      <c r="B11192" s="8"/>
      <c r="G11192" s="8"/>
      <c r="M11192" s="8"/>
    </row>
    <row r="11193">
      <c r="B11193" s="8"/>
      <c r="G11193" s="8"/>
      <c r="M11193" s="8"/>
    </row>
    <row r="11194">
      <c r="B11194" s="8"/>
      <c r="G11194" s="8"/>
      <c r="M11194" s="8"/>
    </row>
    <row r="11195">
      <c r="B11195" s="8"/>
      <c r="G11195" s="8"/>
      <c r="M11195" s="8"/>
    </row>
    <row r="11196">
      <c r="B11196" s="8"/>
      <c r="G11196" s="8"/>
      <c r="M11196" s="8"/>
    </row>
    <row r="11197">
      <c r="B11197" s="8"/>
      <c r="G11197" s="8"/>
      <c r="M11197" s="8"/>
    </row>
    <row r="11198">
      <c r="B11198" s="8"/>
      <c r="G11198" s="8"/>
      <c r="M11198" s="8"/>
    </row>
    <row r="11199">
      <c r="B11199" s="8"/>
      <c r="G11199" s="8"/>
      <c r="M11199" s="8"/>
    </row>
    <row r="11200">
      <c r="B11200" s="8"/>
      <c r="G11200" s="8"/>
      <c r="M11200" s="8"/>
    </row>
    <row r="11201">
      <c r="B11201" s="8"/>
      <c r="G11201" s="8"/>
      <c r="M11201" s="8"/>
    </row>
    <row r="11202">
      <c r="B11202" s="8"/>
      <c r="G11202" s="8"/>
      <c r="M11202" s="8"/>
    </row>
    <row r="11203">
      <c r="B11203" s="8"/>
      <c r="G11203" s="8"/>
      <c r="M11203" s="8"/>
    </row>
    <row r="11204">
      <c r="B11204" s="8"/>
      <c r="G11204" s="8"/>
      <c r="M11204" s="8"/>
    </row>
    <row r="11205">
      <c r="B11205" s="8"/>
      <c r="G11205" s="8"/>
      <c r="M11205" s="8"/>
    </row>
    <row r="11206">
      <c r="B11206" s="8"/>
      <c r="G11206" s="8"/>
      <c r="M11206" s="8"/>
    </row>
    <row r="11207">
      <c r="B11207" s="8"/>
      <c r="G11207" s="8"/>
      <c r="M11207" s="8"/>
    </row>
    <row r="11208">
      <c r="B11208" s="8"/>
      <c r="G11208" s="8"/>
      <c r="M11208" s="8"/>
    </row>
    <row r="11209">
      <c r="B11209" s="8"/>
      <c r="G11209" s="8"/>
      <c r="M11209" s="8"/>
    </row>
    <row r="11210">
      <c r="B11210" s="8"/>
      <c r="G11210" s="8"/>
      <c r="M11210" s="8"/>
    </row>
    <row r="11211">
      <c r="B11211" s="8"/>
      <c r="G11211" s="8"/>
      <c r="M11211" s="8"/>
    </row>
    <row r="11212">
      <c r="B11212" s="8"/>
      <c r="G11212" s="8"/>
      <c r="M11212" s="8"/>
    </row>
    <row r="11213">
      <c r="B11213" s="8"/>
      <c r="G11213" s="8"/>
      <c r="M11213" s="8"/>
    </row>
    <row r="11214">
      <c r="B11214" s="8"/>
      <c r="G11214" s="8"/>
      <c r="M11214" s="8"/>
    </row>
    <row r="11215">
      <c r="B11215" s="8"/>
      <c r="G11215" s="8"/>
      <c r="M11215" s="8"/>
    </row>
    <row r="11216">
      <c r="B11216" s="8"/>
      <c r="G11216" s="8"/>
      <c r="M11216" s="8"/>
    </row>
    <row r="11217">
      <c r="B11217" s="8"/>
      <c r="G11217" s="8"/>
      <c r="M11217" s="8"/>
    </row>
    <row r="11218">
      <c r="B11218" s="8"/>
      <c r="G11218" s="8"/>
      <c r="M11218" s="8"/>
    </row>
    <row r="11219">
      <c r="B11219" s="8"/>
      <c r="G11219" s="8"/>
      <c r="M11219" s="8"/>
    </row>
    <row r="11220">
      <c r="B11220" s="8"/>
      <c r="G11220" s="8"/>
      <c r="M11220" s="8"/>
    </row>
    <row r="11221">
      <c r="B11221" s="8"/>
      <c r="G11221" s="8"/>
      <c r="M11221" s="8"/>
    </row>
    <row r="11222">
      <c r="B11222" s="8"/>
      <c r="G11222" s="8"/>
      <c r="M11222" s="8"/>
    </row>
    <row r="11223">
      <c r="B11223" s="8"/>
      <c r="G11223" s="8"/>
      <c r="M11223" s="8"/>
    </row>
    <row r="11224">
      <c r="B11224" s="8"/>
      <c r="G11224" s="8"/>
      <c r="M11224" s="8"/>
    </row>
    <row r="11225">
      <c r="B11225" s="8"/>
      <c r="G11225" s="8"/>
      <c r="M11225" s="8"/>
    </row>
    <row r="11226">
      <c r="B11226" s="8"/>
      <c r="G11226" s="8"/>
      <c r="M11226" s="8"/>
    </row>
    <row r="11227">
      <c r="B11227" s="8"/>
      <c r="G11227" s="8"/>
      <c r="M11227" s="8"/>
    </row>
    <row r="11228">
      <c r="B11228" s="8"/>
      <c r="G11228" s="8"/>
      <c r="M11228" s="8"/>
    </row>
    <row r="11229">
      <c r="B11229" s="8"/>
      <c r="G11229" s="8"/>
      <c r="M11229" s="8"/>
    </row>
    <row r="11230">
      <c r="B11230" s="8"/>
      <c r="G11230" s="8"/>
      <c r="M11230" s="8"/>
    </row>
    <row r="11231">
      <c r="B11231" s="8"/>
      <c r="G11231" s="8"/>
      <c r="M11231" s="8"/>
    </row>
    <row r="11232">
      <c r="B11232" s="8"/>
      <c r="G11232" s="8"/>
      <c r="M11232" s="8"/>
    </row>
    <row r="11233">
      <c r="B11233" s="8"/>
      <c r="G11233" s="8"/>
      <c r="M11233" s="8"/>
    </row>
    <row r="11234">
      <c r="B11234" s="8"/>
      <c r="G11234" s="8"/>
      <c r="M11234" s="8"/>
    </row>
    <row r="11235">
      <c r="B11235" s="8"/>
      <c r="G11235" s="8"/>
      <c r="M11235" s="8"/>
    </row>
    <row r="11236">
      <c r="B11236" s="8"/>
      <c r="G11236" s="8"/>
      <c r="M11236" s="8"/>
    </row>
    <row r="11237">
      <c r="B11237" s="8"/>
      <c r="G11237" s="8"/>
      <c r="M11237" s="8"/>
    </row>
    <row r="11238">
      <c r="B11238" s="8"/>
      <c r="G11238" s="8"/>
      <c r="M11238" s="8"/>
    </row>
    <row r="11239">
      <c r="B11239" s="8"/>
      <c r="G11239" s="8"/>
      <c r="M11239" s="8"/>
    </row>
    <row r="11240">
      <c r="B11240" s="8"/>
      <c r="G11240" s="8"/>
      <c r="M11240" s="8"/>
    </row>
    <row r="11241">
      <c r="B11241" s="8"/>
      <c r="G11241" s="8"/>
      <c r="M11241" s="8"/>
    </row>
    <row r="11242">
      <c r="B11242" s="8"/>
      <c r="G11242" s="8"/>
      <c r="M11242" s="8"/>
    </row>
    <row r="11243">
      <c r="B11243" s="8"/>
      <c r="G11243" s="8"/>
      <c r="M11243" s="8"/>
    </row>
    <row r="11244">
      <c r="B11244" s="8"/>
      <c r="G11244" s="8"/>
      <c r="M11244" s="8"/>
    </row>
    <row r="11245">
      <c r="B11245" s="8"/>
      <c r="G11245" s="8"/>
      <c r="M11245" s="8"/>
    </row>
    <row r="11246">
      <c r="B11246" s="8"/>
      <c r="G11246" s="8"/>
      <c r="M11246" s="8"/>
    </row>
    <row r="11247">
      <c r="B11247" s="8"/>
      <c r="G11247" s="8"/>
      <c r="M11247" s="8"/>
    </row>
    <row r="11248">
      <c r="B11248" s="8"/>
      <c r="G11248" s="8"/>
      <c r="M11248" s="8"/>
    </row>
    <row r="11249">
      <c r="B11249" s="8"/>
      <c r="G11249" s="8"/>
      <c r="M11249" s="8"/>
    </row>
    <row r="11250">
      <c r="B11250" s="8"/>
      <c r="G11250" s="8"/>
      <c r="M11250" s="8"/>
    </row>
    <row r="11251">
      <c r="B11251" s="8"/>
      <c r="G11251" s="8"/>
      <c r="M11251" s="8"/>
    </row>
    <row r="11252">
      <c r="B11252" s="8"/>
      <c r="G11252" s="8"/>
      <c r="M11252" s="8"/>
    </row>
    <row r="11253">
      <c r="B11253" s="8"/>
      <c r="G11253" s="8"/>
      <c r="M11253" s="8"/>
    </row>
    <row r="11254">
      <c r="B11254" s="8"/>
      <c r="G11254" s="8"/>
      <c r="M11254" s="8"/>
    </row>
    <row r="11255">
      <c r="B11255" s="8"/>
      <c r="G11255" s="8"/>
      <c r="M11255" s="8"/>
    </row>
    <row r="11256">
      <c r="B11256" s="8"/>
      <c r="G11256" s="8"/>
      <c r="M11256" s="8"/>
    </row>
    <row r="11257">
      <c r="B11257" s="8"/>
      <c r="G11257" s="8"/>
      <c r="M11257" s="8"/>
    </row>
    <row r="11258">
      <c r="B11258" s="8"/>
      <c r="G11258" s="8"/>
      <c r="M11258" s="8"/>
    </row>
    <row r="11259">
      <c r="B11259" s="8"/>
      <c r="G11259" s="8"/>
      <c r="M11259" s="8"/>
    </row>
    <row r="11260">
      <c r="B11260" s="8"/>
      <c r="G11260" s="8"/>
      <c r="M11260" s="8"/>
    </row>
    <row r="11261">
      <c r="B11261" s="8"/>
      <c r="G11261" s="8"/>
      <c r="M11261" s="8"/>
    </row>
    <row r="11262">
      <c r="B11262" s="8"/>
      <c r="G11262" s="8"/>
      <c r="M11262" s="8"/>
    </row>
    <row r="11263">
      <c r="B11263" s="8"/>
      <c r="G11263" s="8"/>
      <c r="M11263" s="8"/>
    </row>
    <row r="11264">
      <c r="B11264" s="8"/>
      <c r="G11264" s="8"/>
      <c r="M11264" s="8"/>
    </row>
    <row r="11265">
      <c r="B11265" s="8"/>
      <c r="G11265" s="8"/>
      <c r="M11265" s="8"/>
    </row>
    <row r="11266">
      <c r="B11266" s="8"/>
      <c r="G11266" s="8"/>
      <c r="M11266" s="8"/>
    </row>
    <row r="11267">
      <c r="B11267" s="8"/>
      <c r="G11267" s="8"/>
      <c r="M11267" s="8"/>
    </row>
    <row r="11268">
      <c r="B11268" s="8"/>
      <c r="G11268" s="8"/>
      <c r="M11268" s="8"/>
    </row>
    <row r="11269">
      <c r="B11269" s="8"/>
      <c r="G11269" s="8"/>
      <c r="M11269" s="8"/>
    </row>
    <row r="11270">
      <c r="B11270" s="8"/>
      <c r="G11270" s="8"/>
      <c r="M11270" s="8"/>
    </row>
    <row r="11271">
      <c r="B11271" s="8"/>
      <c r="G11271" s="8"/>
      <c r="M11271" s="8"/>
    </row>
    <row r="11272">
      <c r="B11272" s="8"/>
      <c r="G11272" s="8"/>
      <c r="M11272" s="8"/>
    </row>
    <row r="11273">
      <c r="B11273" s="8"/>
      <c r="G11273" s="8"/>
      <c r="M11273" s="8"/>
    </row>
    <row r="11274">
      <c r="B11274" s="8"/>
      <c r="G11274" s="8"/>
      <c r="M11274" s="8"/>
    </row>
    <row r="11275">
      <c r="B11275" s="8"/>
      <c r="G11275" s="8"/>
      <c r="M11275" s="8"/>
    </row>
    <row r="11276">
      <c r="B11276" s="8"/>
      <c r="G11276" s="8"/>
      <c r="M11276" s="8"/>
    </row>
    <row r="11277">
      <c r="B11277" s="8"/>
      <c r="G11277" s="8"/>
      <c r="M11277" s="8"/>
    </row>
    <row r="11278">
      <c r="B11278" s="8"/>
      <c r="G11278" s="8"/>
      <c r="M11278" s="8"/>
    </row>
    <row r="11279">
      <c r="B11279" s="8"/>
      <c r="G11279" s="8"/>
      <c r="M11279" s="8"/>
    </row>
    <row r="11280">
      <c r="B11280" s="8"/>
      <c r="G11280" s="8"/>
      <c r="M11280" s="8"/>
    </row>
    <row r="11281">
      <c r="B11281" s="8"/>
      <c r="G11281" s="8"/>
      <c r="M11281" s="8"/>
    </row>
    <row r="11282">
      <c r="B11282" s="8"/>
      <c r="G11282" s="8"/>
      <c r="M11282" s="8"/>
    </row>
    <row r="11283">
      <c r="B11283" s="8"/>
      <c r="G11283" s="8"/>
      <c r="M11283" s="8"/>
    </row>
    <row r="11284">
      <c r="B11284" s="8"/>
      <c r="G11284" s="8"/>
      <c r="M11284" s="8"/>
    </row>
    <row r="11285">
      <c r="B11285" s="8"/>
      <c r="G11285" s="8"/>
      <c r="M11285" s="8"/>
    </row>
    <row r="11286">
      <c r="B11286" s="8"/>
      <c r="G11286" s="8"/>
      <c r="M11286" s="8"/>
    </row>
    <row r="11287">
      <c r="B11287" s="8"/>
      <c r="G11287" s="8"/>
      <c r="M11287" s="8"/>
    </row>
    <row r="11288">
      <c r="B11288" s="8"/>
      <c r="G11288" s="8"/>
      <c r="M11288" s="8"/>
    </row>
    <row r="11289">
      <c r="B11289" s="8"/>
      <c r="G11289" s="8"/>
      <c r="M11289" s="8"/>
    </row>
    <row r="11290">
      <c r="B11290" s="8"/>
      <c r="G11290" s="8"/>
      <c r="M11290" s="8"/>
    </row>
    <row r="11291">
      <c r="B11291" s="8"/>
      <c r="G11291" s="8"/>
      <c r="M11291" s="8"/>
    </row>
    <row r="11292">
      <c r="B11292" s="8"/>
      <c r="G11292" s="8"/>
      <c r="M11292" s="8"/>
    </row>
    <row r="11293">
      <c r="B11293" s="8"/>
      <c r="G11293" s="8"/>
      <c r="M11293" s="8"/>
    </row>
    <row r="11294">
      <c r="B11294" s="8"/>
      <c r="G11294" s="8"/>
      <c r="M11294" s="8"/>
    </row>
    <row r="11295">
      <c r="B11295" s="8"/>
      <c r="G11295" s="8"/>
      <c r="M11295" s="8"/>
    </row>
    <row r="11296">
      <c r="B11296" s="8"/>
      <c r="G11296" s="8"/>
      <c r="M11296" s="8"/>
    </row>
    <row r="11297">
      <c r="B11297" s="8"/>
      <c r="G11297" s="8"/>
      <c r="M11297" s="8"/>
    </row>
    <row r="11298">
      <c r="B11298" s="8"/>
      <c r="G11298" s="8"/>
      <c r="M11298" s="8"/>
    </row>
    <row r="11299">
      <c r="B11299" s="8"/>
      <c r="G11299" s="8"/>
      <c r="M11299" s="8"/>
    </row>
    <row r="11300">
      <c r="B11300" s="8"/>
      <c r="G11300" s="8"/>
      <c r="M11300" s="8"/>
    </row>
    <row r="11301">
      <c r="B11301" s="8"/>
      <c r="G11301" s="8"/>
      <c r="M11301" s="8"/>
    </row>
    <row r="11302">
      <c r="B11302" s="8"/>
      <c r="G11302" s="8"/>
      <c r="M11302" s="8"/>
    </row>
    <row r="11303">
      <c r="B11303" s="8"/>
      <c r="G11303" s="8"/>
      <c r="M11303" s="8"/>
    </row>
    <row r="11304">
      <c r="B11304" s="8"/>
      <c r="G11304" s="8"/>
      <c r="M11304" s="8"/>
    </row>
    <row r="11305">
      <c r="B11305" s="8"/>
      <c r="G11305" s="8"/>
      <c r="M11305" s="8"/>
    </row>
    <row r="11306">
      <c r="B11306" s="8"/>
      <c r="G11306" s="8"/>
      <c r="M11306" s="8"/>
    </row>
    <row r="11307">
      <c r="B11307" s="8"/>
      <c r="G11307" s="8"/>
      <c r="M11307" s="8"/>
    </row>
    <row r="11308">
      <c r="B11308" s="8"/>
      <c r="G11308" s="8"/>
      <c r="M11308" s="8"/>
    </row>
    <row r="11309">
      <c r="B11309" s="8"/>
      <c r="G11309" s="8"/>
      <c r="M11309" s="8"/>
    </row>
    <row r="11310">
      <c r="B11310" s="8"/>
      <c r="G11310" s="8"/>
      <c r="M11310" s="8"/>
    </row>
    <row r="11311">
      <c r="B11311" s="8"/>
      <c r="G11311" s="8"/>
      <c r="M11311" s="8"/>
    </row>
    <row r="11312">
      <c r="B11312" s="8"/>
      <c r="G11312" s="8"/>
      <c r="M11312" s="8"/>
    </row>
    <row r="11313">
      <c r="B11313" s="8"/>
      <c r="G11313" s="8"/>
      <c r="M11313" s="8"/>
    </row>
    <row r="11314">
      <c r="B11314" s="8"/>
      <c r="G11314" s="8"/>
      <c r="M11314" s="8"/>
    </row>
    <row r="11315">
      <c r="B11315" s="8"/>
      <c r="G11315" s="8"/>
      <c r="M11315" s="8"/>
    </row>
    <row r="11316">
      <c r="B11316" s="8"/>
      <c r="G11316" s="8"/>
      <c r="M11316" s="8"/>
    </row>
    <row r="11317">
      <c r="B11317" s="8"/>
      <c r="G11317" s="8"/>
      <c r="M11317" s="8"/>
    </row>
    <row r="11318">
      <c r="B11318" s="8"/>
      <c r="G11318" s="8"/>
      <c r="M11318" s="8"/>
    </row>
    <row r="11319">
      <c r="B11319" s="8"/>
      <c r="G11319" s="8"/>
      <c r="M11319" s="8"/>
    </row>
    <row r="11320">
      <c r="B11320" s="8"/>
      <c r="G11320" s="8"/>
      <c r="M11320" s="8"/>
    </row>
    <row r="11321">
      <c r="B11321" s="8"/>
      <c r="G11321" s="8"/>
      <c r="M11321" s="8"/>
    </row>
    <row r="11322">
      <c r="B11322" s="8"/>
      <c r="G11322" s="8"/>
      <c r="M11322" s="8"/>
    </row>
    <row r="11323">
      <c r="B11323" s="8"/>
      <c r="G11323" s="8"/>
      <c r="M11323" s="8"/>
    </row>
    <row r="11324">
      <c r="B11324" s="8"/>
      <c r="G11324" s="8"/>
      <c r="M11324" s="8"/>
    </row>
    <row r="11325">
      <c r="B11325" s="8"/>
      <c r="G11325" s="8"/>
      <c r="M11325" s="8"/>
    </row>
    <row r="11326">
      <c r="B11326" s="8"/>
      <c r="G11326" s="8"/>
      <c r="M11326" s="8"/>
    </row>
    <row r="11327">
      <c r="B11327" s="8"/>
      <c r="G11327" s="8"/>
      <c r="M11327" s="8"/>
    </row>
    <row r="11328">
      <c r="B11328" s="8"/>
      <c r="G11328" s="8"/>
      <c r="M11328" s="8"/>
    </row>
    <row r="11329">
      <c r="B11329" s="8"/>
      <c r="G11329" s="8"/>
      <c r="M11329" s="8"/>
    </row>
    <row r="11330">
      <c r="B11330" s="8"/>
      <c r="G11330" s="8"/>
      <c r="M11330" s="8"/>
    </row>
    <row r="11331">
      <c r="B11331" s="8"/>
      <c r="G11331" s="8"/>
      <c r="M11331" s="8"/>
    </row>
    <row r="11332">
      <c r="B11332" s="8"/>
      <c r="G11332" s="8"/>
      <c r="M11332" s="8"/>
    </row>
    <row r="11333">
      <c r="B11333" s="8"/>
      <c r="G11333" s="8"/>
      <c r="M11333" s="8"/>
    </row>
    <row r="11334">
      <c r="B11334" s="8"/>
      <c r="G11334" s="8"/>
      <c r="M11334" s="8"/>
    </row>
    <row r="11335">
      <c r="B11335" s="8"/>
      <c r="G11335" s="8"/>
      <c r="M11335" s="8"/>
    </row>
    <row r="11336">
      <c r="B11336" s="8"/>
      <c r="G11336" s="8"/>
      <c r="M11336" s="8"/>
    </row>
    <row r="11337">
      <c r="B11337" s="8"/>
      <c r="G11337" s="8"/>
      <c r="M11337" s="8"/>
    </row>
    <row r="11338">
      <c r="B11338" s="8"/>
      <c r="G11338" s="8"/>
      <c r="M11338" s="8"/>
    </row>
    <row r="11339">
      <c r="B11339" s="8"/>
      <c r="G11339" s="8"/>
      <c r="M11339" s="8"/>
    </row>
    <row r="11340">
      <c r="B11340" s="8"/>
      <c r="G11340" s="8"/>
      <c r="M11340" s="8"/>
    </row>
    <row r="11341">
      <c r="B11341" s="8"/>
      <c r="G11341" s="8"/>
      <c r="M11341" s="8"/>
    </row>
    <row r="11342">
      <c r="B11342" s="8"/>
      <c r="G11342" s="8"/>
      <c r="M11342" s="8"/>
    </row>
    <row r="11343">
      <c r="B11343" s="8"/>
      <c r="G11343" s="8"/>
      <c r="M11343" s="8"/>
    </row>
    <row r="11344">
      <c r="B11344" s="8"/>
      <c r="G11344" s="8"/>
      <c r="M11344" s="8"/>
    </row>
    <row r="11345">
      <c r="B11345" s="8"/>
      <c r="G11345" s="8"/>
      <c r="M11345" s="8"/>
    </row>
    <row r="11346">
      <c r="B11346" s="8"/>
      <c r="G11346" s="8"/>
      <c r="M11346" s="8"/>
    </row>
    <row r="11347">
      <c r="B11347" s="8"/>
      <c r="G11347" s="8"/>
      <c r="M11347" s="8"/>
    </row>
    <row r="11348">
      <c r="B11348" s="8"/>
      <c r="G11348" s="8"/>
      <c r="M11348" s="8"/>
    </row>
    <row r="11349">
      <c r="B11349" s="8"/>
      <c r="G11349" s="8"/>
      <c r="M11349" s="8"/>
    </row>
    <row r="11350">
      <c r="B11350" s="8"/>
      <c r="G11350" s="8"/>
      <c r="M11350" s="8"/>
    </row>
    <row r="11351">
      <c r="B11351" s="8"/>
      <c r="G11351" s="8"/>
      <c r="M11351" s="8"/>
    </row>
    <row r="11352">
      <c r="B11352" s="8"/>
      <c r="G11352" s="8"/>
      <c r="M11352" s="8"/>
    </row>
    <row r="11353">
      <c r="B11353" s="8"/>
      <c r="G11353" s="8"/>
      <c r="M11353" s="8"/>
    </row>
    <row r="11354">
      <c r="B11354" s="8"/>
      <c r="G11354" s="8"/>
      <c r="M11354" s="8"/>
    </row>
    <row r="11355">
      <c r="B11355" s="8"/>
      <c r="G11355" s="8"/>
      <c r="M11355" s="8"/>
    </row>
    <row r="11356">
      <c r="B11356" s="8"/>
      <c r="G11356" s="8"/>
      <c r="M11356" s="8"/>
    </row>
    <row r="11357">
      <c r="B11357" s="8"/>
      <c r="G11357" s="8"/>
      <c r="M11357" s="8"/>
    </row>
    <row r="11358">
      <c r="B11358" s="8"/>
      <c r="G11358" s="8"/>
      <c r="M11358" s="8"/>
    </row>
    <row r="11359">
      <c r="B11359" s="8"/>
      <c r="G11359" s="8"/>
      <c r="M11359" s="8"/>
    </row>
    <row r="11360">
      <c r="B11360" s="8"/>
      <c r="G11360" s="8"/>
      <c r="M11360" s="8"/>
    </row>
    <row r="11361">
      <c r="B11361" s="8"/>
      <c r="G11361" s="8"/>
      <c r="M11361" s="8"/>
    </row>
    <row r="11362">
      <c r="B11362" s="8"/>
      <c r="G11362" s="8"/>
      <c r="M11362" s="8"/>
    </row>
    <row r="11363">
      <c r="B11363" s="8"/>
      <c r="G11363" s="8"/>
      <c r="M11363" s="8"/>
    </row>
    <row r="11364">
      <c r="B11364" s="8"/>
      <c r="G11364" s="8"/>
      <c r="M11364" s="8"/>
    </row>
    <row r="11365">
      <c r="B11365" s="8"/>
      <c r="G11365" s="8"/>
      <c r="M11365" s="8"/>
    </row>
    <row r="11366">
      <c r="B11366" s="8"/>
      <c r="G11366" s="8"/>
      <c r="M11366" s="8"/>
    </row>
    <row r="11367">
      <c r="B11367" s="8"/>
      <c r="G11367" s="8"/>
      <c r="M11367" s="8"/>
    </row>
    <row r="11368">
      <c r="B11368" s="8"/>
      <c r="G11368" s="8"/>
      <c r="M11368" s="8"/>
    </row>
    <row r="11369">
      <c r="B11369" s="8"/>
      <c r="G11369" s="8"/>
      <c r="M11369" s="8"/>
    </row>
    <row r="11370">
      <c r="B11370" s="8"/>
      <c r="G11370" s="8"/>
      <c r="M11370" s="8"/>
    </row>
    <row r="11371">
      <c r="B11371" s="8"/>
      <c r="G11371" s="8"/>
      <c r="M11371" s="8"/>
    </row>
    <row r="11372">
      <c r="B11372" s="8"/>
      <c r="G11372" s="8"/>
      <c r="M11372" s="8"/>
    </row>
    <row r="11373">
      <c r="B11373" s="8"/>
      <c r="G11373" s="8"/>
      <c r="M11373" s="8"/>
    </row>
    <row r="11374">
      <c r="B11374" s="8"/>
      <c r="G11374" s="8"/>
      <c r="M11374" s="8"/>
    </row>
    <row r="11375">
      <c r="B11375" s="8"/>
      <c r="G11375" s="8"/>
      <c r="M11375" s="8"/>
    </row>
    <row r="11376">
      <c r="B11376" s="8"/>
      <c r="G11376" s="8"/>
      <c r="M11376" s="8"/>
    </row>
    <row r="11377">
      <c r="B11377" s="8"/>
      <c r="G11377" s="8"/>
      <c r="M11377" s="8"/>
    </row>
    <row r="11378">
      <c r="B11378" s="8"/>
      <c r="G11378" s="8"/>
      <c r="M11378" s="8"/>
    </row>
    <row r="11379">
      <c r="B11379" s="8"/>
      <c r="G11379" s="8"/>
      <c r="M11379" s="8"/>
    </row>
    <row r="11380">
      <c r="B11380" s="8"/>
      <c r="G11380" s="8"/>
      <c r="M11380" s="8"/>
    </row>
    <row r="11381">
      <c r="B11381" s="8"/>
      <c r="G11381" s="8"/>
      <c r="M11381" s="8"/>
    </row>
    <row r="11382">
      <c r="B11382" s="8"/>
      <c r="G11382" s="8"/>
      <c r="M11382" s="8"/>
    </row>
    <row r="11383">
      <c r="B11383" s="8"/>
      <c r="G11383" s="8"/>
      <c r="M11383" s="8"/>
    </row>
    <row r="11384">
      <c r="B11384" s="8"/>
      <c r="G11384" s="8"/>
      <c r="M11384" s="8"/>
    </row>
    <row r="11385">
      <c r="B11385" s="8"/>
      <c r="G11385" s="8"/>
      <c r="M11385" s="8"/>
    </row>
    <row r="11386">
      <c r="B11386" s="8"/>
      <c r="G11386" s="8"/>
      <c r="M11386" s="8"/>
    </row>
    <row r="11387">
      <c r="B11387" s="8"/>
      <c r="G11387" s="8"/>
      <c r="M11387" s="8"/>
    </row>
    <row r="11388">
      <c r="B11388" s="8"/>
      <c r="G11388" s="8"/>
      <c r="M11388" s="8"/>
    </row>
    <row r="11389">
      <c r="B11389" s="8"/>
      <c r="G11389" s="8"/>
      <c r="M11389" s="8"/>
    </row>
    <row r="11390">
      <c r="B11390" s="8"/>
      <c r="G11390" s="8"/>
      <c r="M11390" s="8"/>
    </row>
    <row r="11391">
      <c r="B11391" s="8"/>
      <c r="G11391" s="8"/>
      <c r="M11391" s="8"/>
    </row>
    <row r="11392">
      <c r="B11392" s="8"/>
      <c r="G11392" s="8"/>
      <c r="M11392" s="8"/>
    </row>
    <row r="11393">
      <c r="B11393" s="8"/>
      <c r="G11393" s="8"/>
      <c r="M11393" s="8"/>
    </row>
    <row r="11394">
      <c r="B11394" s="8"/>
      <c r="G11394" s="8"/>
      <c r="M11394" s="8"/>
    </row>
    <row r="11395">
      <c r="B11395" s="8"/>
      <c r="G11395" s="8"/>
      <c r="M11395" s="8"/>
    </row>
    <row r="11396">
      <c r="B11396" s="8"/>
      <c r="G11396" s="8"/>
      <c r="M11396" s="8"/>
    </row>
    <row r="11397">
      <c r="B11397" s="8"/>
      <c r="G11397" s="8"/>
      <c r="M11397" s="8"/>
    </row>
    <row r="11398">
      <c r="B11398" s="8"/>
      <c r="G11398" s="8"/>
      <c r="M11398" s="8"/>
    </row>
    <row r="11399">
      <c r="B11399" s="8"/>
      <c r="G11399" s="8"/>
      <c r="M11399" s="8"/>
    </row>
    <row r="11400">
      <c r="B11400" s="8"/>
      <c r="G11400" s="8"/>
      <c r="M11400" s="8"/>
    </row>
    <row r="11401">
      <c r="B11401" s="8"/>
      <c r="G11401" s="8"/>
      <c r="M11401" s="8"/>
    </row>
    <row r="11402">
      <c r="B11402" s="8"/>
      <c r="G11402" s="8"/>
      <c r="M11402" s="8"/>
    </row>
    <row r="11403">
      <c r="B11403" s="8"/>
      <c r="G11403" s="8"/>
      <c r="M11403" s="8"/>
    </row>
    <row r="11404">
      <c r="B11404" s="8"/>
      <c r="G11404" s="8"/>
      <c r="M11404" s="8"/>
    </row>
    <row r="11405">
      <c r="B11405" s="8"/>
      <c r="G11405" s="8"/>
      <c r="M11405" s="8"/>
    </row>
    <row r="11406">
      <c r="B11406" s="8"/>
      <c r="G11406" s="8"/>
      <c r="M11406" s="8"/>
    </row>
    <row r="11407">
      <c r="B11407" s="8"/>
      <c r="G11407" s="8"/>
      <c r="M11407" s="8"/>
    </row>
    <row r="11408">
      <c r="B11408" s="8"/>
      <c r="G11408" s="8"/>
      <c r="M11408" s="8"/>
    </row>
    <row r="11409">
      <c r="B11409" s="8"/>
      <c r="G11409" s="8"/>
      <c r="M11409" s="8"/>
    </row>
    <row r="11410">
      <c r="B11410" s="8"/>
      <c r="G11410" s="8"/>
      <c r="M11410" s="8"/>
    </row>
    <row r="11411">
      <c r="B11411" s="8"/>
      <c r="G11411" s="8"/>
      <c r="M11411" s="8"/>
    </row>
    <row r="11412">
      <c r="B11412" s="8"/>
      <c r="G11412" s="8"/>
      <c r="M11412" s="8"/>
    </row>
    <row r="11413">
      <c r="B11413" s="8"/>
      <c r="G11413" s="8"/>
      <c r="M11413" s="8"/>
    </row>
    <row r="11414">
      <c r="B11414" s="8"/>
      <c r="G11414" s="8"/>
      <c r="M11414" s="8"/>
    </row>
    <row r="11415">
      <c r="B11415" s="8"/>
      <c r="G11415" s="8"/>
      <c r="M11415" s="8"/>
    </row>
    <row r="11416">
      <c r="B11416" s="8"/>
      <c r="G11416" s="8"/>
      <c r="M11416" s="8"/>
    </row>
    <row r="11417">
      <c r="B11417" s="8"/>
      <c r="G11417" s="8"/>
      <c r="M11417" s="8"/>
    </row>
    <row r="11418">
      <c r="B11418" s="8"/>
      <c r="G11418" s="8"/>
      <c r="M11418" s="8"/>
    </row>
    <row r="11419">
      <c r="B11419" s="8"/>
      <c r="G11419" s="8"/>
      <c r="M11419" s="8"/>
    </row>
    <row r="11420">
      <c r="B11420" s="8"/>
      <c r="G11420" s="8"/>
      <c r="M11420" s="8"/>
    </row>
    <row r="11421">
      <c r="B11421" s="8"/>
      <c r="G11421" s="8"/>
      <c r="M11421" s="8"/>
    </row>
    <row r="11422">
      <c r="B11422" s="8"/>
      <c r="G11422" s="8"/>
      <c r="M11422" s="8"/>
    </row>
    <row r="11423">
      <c r="B11423" s="8"/>
      <c r="G11423" s="8"/>
      <c r="M11423" s="8"/>
    </row>
    <row r="11424">
      <c r="B11424" s="8"/>
      <c r="G11424" s="8"/>
      <c r="M11424" s="8"/>
    </row>
    <row r="11425">
      <c r="B11425" s="8"/>
      <c r="G11425" s="8"/>
      <c r="M11425" s="8"/>
    </row>
    <row r="11426">
      <c r="B11426" s="8"/>
      <c r="G11426" s="8"/>
      <c r="M11426" s="8"/>
    </row>
    <row r="11427">
      <c r="B11427" s="8"/>
      <c r="G11427" s="8"/>
      <c r="M11427" s="8"/>
    </row>
    <row r="11428">
      <c r="B11428" s="8"/>
      <c r="G11428" s="8"/>
      <c r="M11428" s="8"/>
    </row>
    <row r="11429">
      <c r="B11429" s="8"/>
      <c r="G11429" s="8"/>
      <c r="M11429" s="8"/>
    </row>
    <row r="11430">
      <c r="B11430" s="8"/>
      <c r="G11430" s="8"/>
      <c r="M11430" s="8"/>
    </row>
    <row r="11431">
      <c r="B11431" s="8"/>
      <c r="G11431" s="8"/>
      <c r="M11431" s="8"/>
    </row>
    <row r="11432">
      <c r="B11432" s="8"/>
      <c r="G11432" s="8"/>
      <c r="M11432" s="8"/>
    </row>
    <row r="11433">
      <c r="B11433" s="8"/>
      <c r="G11433" s="8"/>
      <c r="M11433" s="8"/>
    </row>
    <row r="11434">
      <c r="B11434" s="8"/>
      <c r="G11434" s="8"/>
      <c r="M11434" s="8"/>
    </row>
    <row r="11435">
      <c r="B11435" s="8"/>
      <c r="G11435" s="8"/>
      <c r="M11435" s="8"/>
    </row>
    <row r="11436">
      <c r="B11436" s="8"/>
      <c r="G11436" s="8"/>
      <c r="M11436" s="8"/>
    </row>
    <row r="11437">
      <c r="B11437" s="8"/>
      <c r="G11437" s="8"/>
      <c r="M11437" s="8"/>
    </row>
    <row r="11438">
      <c r="B11438" s="8"/>
      <c r="G11438" s="8"/>
      <c r="M11438" s="8"/>
    </row>
    <row r="11439">
      <c r="B11439" s="8"/>
      <c r="G11439" s="8"/>
      <c r="M11439" s="8"/>
    </row>
    <row r="11440">
      <c r="B11440" s="8"/>
      <c r="G11440" s="8"/>
      <c r="M11440" s="8"/>
    </row>
    <row r="11441">
      <c r="B11441" s="8"/>
      <c r="G11441" s="8"/>
      <c r="M11441" s="8"/>
    </row>
    <row r="11442">
      <c r="B11442" s="8"/>
      <c r="G11442" s="8"/>
      <c r="M11442" s="8"/>
    </row>
    <row r="11443">
      <c r="B11443" s="8"/>
      <c r="G11443" s="8"/>
      <c r="M11443" s="8"/>
    </row>
    <row r="11444">
      <c r="B11444" s="8"/>
      <c r="G11444" s="8"/>
      <c r="M11444" s="8"/>
    </row>
    <row r="11445">
      <c r="B11445" s="8"/>
      <c r="G11445" s="8"/>
      <c r="M11445" s="8"/>
    </row>
    <row r="11446">
      <c r="B11446" s="8"/>
      <c r="G11446" s="8"/>
      <c r="M11446" s="8"/>
    </row>
    <row r="11447">
      <c r="B11447" s="8"/>
      <c r="G11447" s="8"/>
      <c r="M11447" s="8"/>
    </row>
    <row r="11448">
      <c r="B11448" s="8"/>
      <c r="G11448" s="8"/>
      <c r="M11448" s="8"/>
    </row>
    <row r="11449">
      <c r="B11449" s="8"/>
      <c r="G11449" s="8"/>
      <c r="M11449" s="8"/>
    </row>
    <row r="11450">
      <c r="B11450" s="8"/>
      <c r="G11450" s="8"/>
      <c r="M11450" s="8"/>
    </row>
    <row r="11451">
      <c r="B11451" s="8"/>
      <c r="G11451" s="8"/>
      <c r="M11451" s="8"/>
    </row>
    <row r="11452">
      <c r="B11452" s="8"/>
      <c r="G11452" s="8"/>
      <c r="M11452" s="8"/>
    </row>
    <row r="11453">
      <c r="B11453" s="8"/>
      <c r="G11453" s="8"/>
      <c r="M11453" s="8"/>
    </row>
    <row r="11454">
      <c r="B11454" s="8"/>
      <c r="G11454" s="8"/>
      <c r="M11454" s="8"/>
    </row>
    <row r="11455">
      <c r="B11455" s="8"/>
      <c r="G11455" s="8"/>
      <c r="M11455" s="8"/>
    </row>
    <row r="11456">
      <c r="B11456" s="8"/>
      <c r="G11456" s="8"/>
      <c r="M11456" s="8"/>
    </row>
    <row r="11457">
      <c r="B11457" s="8"/>
      <c r="G11457" s="8"/>
      <c r="M11457" s="8"/>
    </row>
    <row r="11458">
      <c r="B11458" s="8"/>
      <c r="G11458" s="8"/>
      <c r="M11458" s="8"/>
    </row>
    <row r="11459">
      <c r="B11459" s="8"/>
      <c r="G11459" s="8"/>
      <c r="M11459" s="8"/>
    </row>
    <row r="11460">
      <c r="B11460" s="8"/>
      <c r="G11460" s="8"/>
      <c r="M11460" s="8"/>
    </row>
    <row r="11461">
      <c r="B11461" s="8"/>
      <c r="G11461" s="8"/>
      <c r="M11461" s="8"/>
    </row>
    <row r="11462">
      <c r="B11462" s="8"/>
      <c r="G11462" s="8"/>
      <c r="M11462" s="8"/>
    </row>
    <row r="11463">
      <c r="B11463" s="8"/>
      <c r="G11463" s="8"/>
      <c r="M11463" s="8"/>
    </row>
    <row r="11464">
      <c r="B11464" s="8"/>
      <c r="G11464" s="8"/>
      <c r="M11464" s="8"/>
    </row>
    <row r="11465">
      <c r="B11465" s="8"/>
      <c r="G11465" s="8"/>
      <c r="M11465" s="8"/>
    </row>
    <row r="11466">
      <c r="B11466" s="8"/>
      <c r="G11466" s="8"/>
      <c r="M11466" s="8"/>
    </row>
    <row r="11467">
      <c r="B11467" s="8"/>
      <c r="G11467" s="8"/>
      <c r="M11467" s="8"/>
    </row>
    <row r="11468">
      <c r="B11468" s="8"/>
      <c r="G11468" s="8"/>
      <c r="M11468" s="8"/>
    </row>
    <row r="11469">
      <c r="B11469" s="8"/>
      <c r="G11469" s="8"/>
      <c r="M11469" s="8"/>
    </row>
    <row r="11470">
      <c r="B11470" s="8"/>
      <c r="G11470" s="8"/>
      <c r="M11470" s="8"/>
    </row>
    <row r="11471">
      <c r="B11471" s="8"/>
      <c r="G11471" s="8"/>
      <c r="M11471" s="8"/>
    </row>
    <row r="11472">
      <c r="B11472" s="8"/>
      <c r="G11472" s="8"/>
      <c r="M11472" s="8"/>
    </row>
    <row r="11473">
      <c r="B11473" s="8"/>
      <c r="G11473" s="8"/>
      <c r="M11473" s="8"/>
    </row>
    <row r="11474">
      <c r="B11474" s="8"/>
      <c r="G11474" s="8"/>
      <c r="M11474" s="8"/>
    </row>
    <row r="11475">
      <c r="B11475" s="8"/>
      <c r="G11475" s="8"/>
      <c r="M11475" s="8"/>
    </row>
    <row r="11476">
      <c r="B11476" s="8"/>
      <c r="G11476" s="8"/>
      <c r="M11476" s="8"/>
    </row>
    <row r="11477">
      <c r="B11477" s="8"/>
      <c r="G11477" s="8"/>
      <c r="M11477" s="8"/>
    </row>
    <row r="11478">
      <c r="B11478" s="8"/>
      <c r="G11478" s="8"/>
      <c r="M11478" s="8"/>
    </row>
    <row r="11479">
      <c r="B11479" s="8"/>
      <c r="G11479" s="8"/>
      <c r="M11479" s="8"/>
    </row>
    <row r="11480">
      <c r="B11480" s="8"/>
      <c r="G11480" s="8"/>
      <c r="M11480" s="8"/>
    </row>
    <row r="11481">
      <c r="B11481" s="8"/>
      <c r="G11481" s="8"/>
      <c r="M11481" s="8"/>
    </row>
    <row r="11482">
      <c r="B11482" s="8"/>
      <c r="G11482" s="8"/>
      <c r="M11482" s="8"/>
    </row>
    <row r="11483">
      <c r="B11483" s="8"/>
      <c r="G11483" s="8"/>
      <c r="M11483" s="8"/>
    </row>
    <row r="11484">
      <c r="B11484" s="8"/>
      <c r="G11484" s="8"/>
      <c r="M11484" s="8"/>
    </row>
    <row r="11485">
      <c r="B11485" s="8"/>
      <c r="G11485" s="8"/>
      <c r="M11485" s="8"/>
    </row>
    <row r="11486">
      <c r="B11486" s="8"/>
      <c r="G11486" s="8"/>
      <c r="M11486" s="8"/>
    </row>
    <row r="11487">
      <c r="B11487" s="8"/>
      <c r="G11487" s="8"/>
      <c r="M11487" s="8"/>
    </row>
    <row r="11488">
      <c r="B11488" s="8"/>
      <c r="G11488" s="8"/>
      <c r="M11488" s="8"/>
    </row>
    <row r="11489">
      <c r="B11489" s="8"/>
      <c r="G11489" s="8"/>
      <c r="M11489" s="8"/>
    </row>
    <row r="11490">
      <c r="B11490" s="8"/>
      <c r="G11490" s="8"/>
      <c r="M11490" s="8"/>
    </row>
    <row r="11491">
      <c r="B11491" s="8"/>
      <c r="G11491" s="8"/>
      <c r="M11491" s="8"/>
    </row>
    <row r="11492">
      <c r="B11492" s="8"/>
      <c r="G11492" s="8"/>
      <c r="M11492" s="8"/>
    </row>
    <row r="11493">
      <c r="B11493" s="8"/>
      <c r="G11493" s="8"/>
      <c r="M11493" s="8"/>
    </row>
    <row r="11494">
      <c r="B11494" s="8"/>
      <c r="G11494" s="8"/>
      <c r="M11494" s="8"/>
    </row>
    <row r="11495">
      <c r="B11495" s="8"/>
      <c r="G11495" s="8"/>
      <c r="M11495" s="8"/>
    </row>
    <row r="11496">
      <c r="B11496" s="8"/>
      <c r="G11496" s="8"/>
      <c r="M11496" s="8"/>
    </row>
    <row r="11497">
      <c r="B11497" s="8"/>
      <c r="G11497" s="8"/>
      <c r="M11497" s="8"/>
    </row>
    <row r="11498">
      <c r="B11498" s="8"/>
      <c r="G11498" s="8"/>
      <c r="M11498" s="8"/>
    </row>
    <row r="11499">
      <c r="B11499" s="8"/>
      <c r="G11499" s="8"/>
      <c r="M11499" s="8"/>
    </row>
    <row r="11500">
      <c r="B11500" s="8"/>
      <c r="G11500" s="8"/>
      <c r="M11500" s="8"/>
    </row>
    <row r="11501">
      <c r="B11501" s="8"/>
      <c r="G11501" s="8"/>
      <c r="M11501" s="8"/>
    </row>
    <row r="11502">
      <c r="B11502" s="8"/>
      <c r="G11502" s="8"/>
      <c r="M11502" s="8"/>
    </row>
    <row r="11503">
      <c r="B11503" s="8"/>
      <c r="G11503" s="8"/>
      <c r="M11503" s="8"/>
    </row>
    <row r="11504">
      <c r="B11504" s="8"/>
      <c r="G11504" s="8"/>
      <c r="M11504" s="8"/>
    </row>
    <row r="11505">
      <c r="B11505" s="8"/>
      <c r="G11505" s="8"/>
      <c r="M11505" s="8"/>
    </row>
    <row r="11506">
      <c r="B11506" s="8"/>
      <c r="G11506" s="8"/>
      <c r="M11506" s="8"/>
    </row>
    <row r="11507">
      <c r="B11507" s="8"/>
      <c r="G11507" s="8"/>
      <c r="M11507" s="8"/>
    </row>
    <row r="11508">
      <c r="B11508" s="8"/>
      <c r="G11508" s="8"/>
      <c r="M11508" s="8"/>
    </row>
    <row r="11509">
      <c r="B11509" s="8"/>
      <c r="G11509" s="8"/>
      <c r="M11509" s="8"/>
    </row>
    <row r="11510">
      <c r="B11510" s="8"/>
      <c r="G11510" s="8"/>
      <c r="M11510" s="8"/>
    </row>
    <row r="11511">
      <c r="B11511" s="8"/>
      <c r="G11511" s="8"/>
      <c r="M11511" s="8"/>
    </row>
    <row r="11512">
      <c r="B11512" s="8"/>
      <c r="G11512" s="8"/>
      <c r="M11512" s="8"/>
    </row>
    <row r="11513">
      <c r="B11513" s="8"/>
      <c r="G11513" s="8"/>
      <c r="M11513" s="8"/>
    </row>
    <row r="11514">
      <c r="B11514" s="8"/>
      <c r="G11514" s="8"/>
      <c r="M11514" s="8"/>
    </row>
    <row r="11515">
      <c r="B11515" s="8"/>
      <c r="G11515" s="8"/>
      <c r="M11515" s="8"/>
    </row>
    <row r="11516">
      <c r="B11516" s="8"/>
      <c r="G11516" s="8"/>
      <c r="M11516" s="8"/>
    </row>
    <row r="11517">
      <c r="B11517" s="8"/>
      <c r="G11517" s="8"/>
      <c r="M11517" s="8"/>
    </row>
    <row r="11518">
      <c r="B11518" s="8"/>
      <c r="G11518" s="8"/>
      <c r="M11518" s="8"/>
    </row>
    <row r="11519">
      <c r="B11519" s="8"/>
      <c r="G11519" s="8"/>
      <c r="M11519" s="8"/>
    </row>
    <row r="11520">
      <c r="B11520" s="8"/>
      <c r="G11520" s="8"/>
      <c r="M11520" s="8"/>
    </row>
    <row r="11521">
      <c r="B11521" s="8"/>
      <c r="G11521" s="8"/>
      <c r="M11521" s="8"/>
    </row>
    <row r="11522">
      <c r="B11522" s="8"/>
      <c r="G11522" s="8"/>
      <c r="M11522" s="8"/>
    </row>
    <row r="11523">
      <c r="B11523" s="8"/>
      <c r="G11523" s="8"/>
      <c r="M11523" s="8"/>
    </row>
    <row r="11524">
      <c r="B11524" s="8"/>
      <c r="G11524" s="8"/>
      <c r="M11524" s="8"/>
    </row>
    <row r="11525">
      <c r="B11525" s="8"/>
      <c r="G11525" s="8"/>
      <c r="M11525" s="8"/>
    </row>
    <row r="11526">
      <c r="B11526" s="8"/>
      <c r="G11526" s="8"/>
      <c r="M11526" s="8"/>
    </row>
    <row r="11527">
      <c r="B11527" s="8"/>
      <c r="G11527" s="8"/>
      <c r="M11527" s="8"/>
    </row>
    <row r="11528">
      <c r="B11528" s="8"/>
      <c r="G11528" s="8"/>
      <c r="M11528" s="8"/>
    </row>
    <row r="11529">
      <c r="B11529" s="8"/>
      <c r="G11529" s="8"/>
      <c r="M11529" s="8"/>
    </row>
    <row r="11530">
      <c r="B11530" s="8"/>
      <c r="G11530" s="8"/>
      <c r="M11530" s="8"/>
    </row>
    <row r="11531">
      <c r="B11531" s="8"/>
      <c r="G11531" s="8"/>
      <c r="M11531" s="8"/>
    </row>
    <row r="11532">
      <c r="B11532" s="8"/>
      <c r="G11532" s="8"/>
      <c r="M11532" s="8"/>
    </row>
    <row r="11533">
      <c r="B11533" s="8"/>
      <c r="G11533" s="8"/>
      <c r="M11533" s="8"/>
    </row>
    <row r="11534">
      <c r="B11534" s="8"/>
      <c r="G11534" s="8"/>
      <c r="M11534" s="8"/>
    </row>
    <row r="11535">
      <c r="B11535" s="8"/>
      <c r="G11535" s="8"/>
      <c r="M11535" s="8"/>
    </row>
    <row r="11536">
      <c r="B11536" s="8"/>
      <c r="G11536" s="8"/>
      <c r="M11536" s="8"/>
    </row>
    <row r="11537">
      <c r="B11537" s="8"/>
      <c r="G11537" s="8"/>
      <c r="M11537" s="8"/>
    </row>
    <row r="11538">
      <c r="B11538" s="8"/>
      <c r="G11538" s="8"/>
      <c r="M11538" s="8"/>
    </row>
    <row r="11539">
      <c r="B11539" s="8"/>
      <c r="G11539" s="8"/>
      <c r="M11539" s="8"/>
    </row>
    <row r="11540">
      <c r="B11540" s="8"/>
      <c r="G11540" s="8"/>
      <c r="M11540" s="8"/>
    </row>
    <row r="11541">
      <c r="B11541" s="8"/>
      <c r="G11541" s="8"/>
      <c r="M11541" s="8"/>
    </row>
    <row r="11542">
      <c r="B11542" s="8"/>
      <c r="G11542" s="8"/>
      <c r="M11542" s="8"/>
    </row>
    <row r="11543">
      <c r="B11543" s="8"/>
      <c r="G11543" s="8"/>
      <c r="M11543" s="8"/>
    </row>
    <row r="11544">
      <c r="B11544" s="8"/>
      <c r="G11544" s="8"/>
      <c r="M11544" s="8"/>
    </row>
    <row r="11545">
      <c r="B11545" s="8"/>
      <c r="G11545" s="8"/>
      <c r="M11545" s="8"/>
    </row>
    <row r="11546">
      <c r="B11546" s="8"/>
      <c r="G11546" s="8"/>
      <c r="M11546" s="8"/>
    </row>
    <row r="11547">
      <c r="B11547" s="8"/>
      <c r="G11547" s="8"/>
      <c r="M11547" s="8"/>
    </row>
    <row r="11548">
      <c r="B11548" s="8"/>
      <c r="G11548" s="8"/>
      <c r="M11548" s="8"/>
    </row>
    <row r="11549">
      <c r="B11549" s="8"/>
      <c r="G11549" s="8"/>
      <c r="M11549" s="8"/>
    </row>
    <row r="11550">
      <c r="B11550" s="8"/>
      <c r="G11550" s="8"/>
      <c r="M11550" s="8"/>
    </row>
    <row r="11551">
      <c r="B11551" s="8"/>
      <c r="G11551" s="8"/>
      <c r="M11551" s="8"/>
    </row>
    <row r="11552">
      <c r="B11552" s="8"/>
      <c r="G11552" s="8"/>
      <c r="M11552" s="8"/>
    </row>
    <row r="11553">
      <c r="B11553" s="8"/>
      <c r="G11553" s="8"/>
      <c r="M11553" s="8"/>
    </row>
    <row r="11554">
      <c r="B11554" s="8"/>
      <c r="G11554" s="8"/>
      <c r="M11554" s="8"/>
    </row>
    <row r="11555">
      <c r="B11555" s="8"/>
      <c r="G11555" s="8"/>
      <c r="M11555" s="8"/>
    </row>
    <row r="11556">
      <c r="B11556" s="8"/>
      <c r="G11556" s="8"/>
      <c r="M11556" s="8"/>
    </row>
    <row r="11557">
      <c r="B11557" s="8"/>
      <c r="G11557" s="8"/>
      <c r="M11557" s="8"/>
    </row>
    <row r="11558">
      <c r="B11558" s="8"/>
      <c r="G11558" s="8"/>
      <c r="M11558" s="8"/>
    </row>
    <row r="11559">
      <c r="B11559" s="8"/>
      <c r="G11559" s="8"/>
      <c r="M11559" s="8"/>
    </row>
    <row r="11560">
      <c r="B11560" s="8"/>
      <c r="G11560" s="8"/>
      <c r="M11560" s="8"/>
    </row>
    <row r="11561">
      <c r="B11561" s="8"/>
      <c r="G11561" s="8"/>
      <c r="M11561" s="8"/>
    </row>
    <row r="11562">
      <c r="B11562" s="8"/>
      <c r="G11562" s="8"/>
      <c r="M11562" s="8"/>
    </row>
    <row r="11563">
      <c r="B11563" s="8"/>
      <c r="G11563" s="8"/>
      <c r="M11563" s="8"/>
    </row>
    <row r="11564">
      <c r="B11564" s="8"/>
      <c r="G11564" s="8"/>
      <c r="M11564" s="8"/>
    </row>
    <row r="11565">
      <c r="B11565" s="8"/>
      <c r="G11565" s="8"/>
      <c r="M11565" s="8"/>
    </row>
    <row r="11566">
      <c r="B11566" s="8"/>
      <c r="G11566" s="8"/>
      <c r="M11566" s="8"/>
    </row>
    <row r="11567">
      <c r="B11567" s="8"/>
      <c r="G11567" s="8"/>
      <c r="M11567" s="8"/>
    </row>
    <row r="11568">
      <c r="B11568" s="8"/>
      <c r="G11568" s="8"/>
      <c r="M11568" s="8"/>
    </row>
    <row r="11569">
      <c r="B11569" s="8"/>
      <c r="G11569" s="8"/>
      <c r="M11569" s="8"/>
    </row>
    <row r="11570">
      <c r="B11570" s="8"/>
      <c r="G11570" s="8"/>
      <c r="M11570" s="8"/>
    </row>
    <row r="11571">
      <c r="B11571" s="8"/>
      <c r="G11571" s="8"/>
      <c r="M11571" s="8"/>
    </row>
    <row r="11572">
      <c r="B11572" s="8"/>
      <c r="G11572" s="8"/>
      <c r="M11572" s="8"/>
    </row>
    <row r="11573">
      <c r="B11573" s="8"/>
      <c r="G11573" s="8"/>
      <c r="M11573" s="8"/>
    </row>
    <row r="11574">
      <c r="B11574" s="8"/>
      <c r="G11574" s="8"/>
      <c r="M11574" s="8"/>
    </row>
    <row r="11575">
      <c r="B11575" s="8"/>
      <c r="G11575" s="8"/>
      <c r="M11575" s="8"/>
    </row>
    <row r="11576">
      <c r="B11576" s="8"/>
      <c r="G11576" s="8"/>
      <c r="M11576" s="8"/>
    </row>
    <row r="11577">
      <c r="B11577" s="8"/>
      <c r="G11577" s="8"/>
      <c r="M11577" s="8"/>
    </row>
    <row r="11578">
      <c r="B11578" s="8"/>
      <c r="G11578" s="8"/>
      <c r="M11578" s="8"/>
    </row>
    <row r="11579">
      <c r="B11579" s="8"/>
      <c r="G11579" s="8"/>
      <c r="M11579" s="8"/>
    </row>
    <row r="11580">
      <c r="B11580" s="8"/>
      <c r="G11580" s="8"/>
      <c r="M11580" s="8"/>
    </row>
    <row r="11581">
      <c r="B11581" s="8"/>
      <c r="G11581" s="8"/>
      <c r="M11581" s="8"/>
    </row>
    <row r="11582">
      <c r="B11582" s="8"/>
      <c r="G11582" s="8"/>
      <c r="M11582" s="8"/>
    </row>
    <row r="11583">
      <c r="B11583" s="8"/>
      <c r="G11583" s="8"/>
      <c r="M11583" s="8"/>
    </row>
    <row r="11584">
      <c r="B11584" s="8"/>
      <c r="G11584" s="8"/>
      <c r="M11584" s="8"/>
    </row>
    <row r="11585">
      <c r="B11585" s="8"/>
      <c r="G11585" s="8"/>
      <c r="M11585" s="8"/>
    </row>
    <row r="11586">
      <c r="B11586" s="8"/>
      <c r="G11586" s="8"/>
      <c r="M11586" s="8"/>
    </row>
    <row r="11587">
      <c r="B11587" s="8"/>
      <c r="G11587" s="8"/>
      <c r="M11587" s="8"/>
    </row>
    <row r="11588">
      <c r="B11588" s="8"/>
      <c r="G11588" s="8"/>
      <c r="M11588" s="8"/>
    </row>
    <row r="11589">
      <c r="B11589" s="8"/>
      <c r="G11589" s="8"/>
      <c r="M11589" s="8"/>
    </row>
    <row r="11590">
      <c r="B11590" s="8"/>
      <c r="G11590" s="8"/>
      <c r="M11590" s="8"/>
    </row>
    <row r="11591">
      <c r="B11591" s="8"/>
      <c r="G11591" s="8"/>
      <c r="M11591" s="8"/>
    </row>
    <row r="11592">
      <c r="B11592" s="8"/>
      <c r="G11592" s="8"/>
      <c r="M11592" s="8"/>
    </row>
    <row r="11593">
      <c r="B11593" s="8"/>
      <c r="G11593" s="8"/>
      <c r="M11593" s="8"/>
    </row>
    <row r="11594">
      <c r="B11594" s="8"/>
      <c r="G11594" s="8"/>
      <c r="M11594" s="8"/>
    </row>
    <row r="11595">
      <c r="B11595" s="8"/>
      <c r="G11595" s="8"/>
      <c r="M11595" s="8"/>
    </row>
    <row r="11596">
      <c r="B11596" s="8"/>
      <c r="G11596" s="8"/>
      <c r="M11596" s="8"/>
    </row>
    <row r="11597">
      <c r="B11597" s="8"/>
      <c r="G11597" s="8"/>
      <c r="M11597" s="8"/>
    </row>
    <row r="11598">
      <c r="B11598" s="8"/>
      <c r="G11598" s="8"/>
      <c r="M11598" s="8"/>
    </row>
    <row r="11599">
      <c r="B11599" s="8"/>
      <c r="G11599" s="8"/>
      <c r="M11599" s="8"/>
    </row>
    <row r="11600">
      <c r="B11600" s="8"/>
      <c r="G11600" s="8"/>
      <c r="M11600" s="8"/>
    </row>
    <row r="11601">
      <c r="B11601" s="8"/>
      <c r="G11601" s="8"/>
      <c r="M11601" s="8"/>
    </row>
    <row r="11602">
      <c r="B11602" s="8"/>
      <c r="G11602" s="8"/>
      <c r="M11602" s="8"/>
    </row>
    <row r="11603">
      <c r="B11603" s="8"/>
      <c r="G11603" s="8"/>
      <c r="M11603" s="8"/>
    </row>
    <row r="11604">
      <c r="B11604" s="8"/>
      <c r="G11604" s="8"/>
      <c r="M11604" s="8"/>
    </row>
    <row r="11605">
      <c r="B11605" s="8"/>
      <c r="G11605" s="8"/>
      <c r="M11605" s="8"/>
    </row>
    <row r="11606">
      <c r="B11606" s="8"/>
      <c r="G11606" s="8"/>
      <c r="M11606" s="8"/>
    </row>
    <row r="11607">
      <c r="B11607" s="8"/>
      <c r="G11607" s="8"/>
      <c r="M11607" s="8"/>
    </row>
    <row r="11608">
      <c r="B11608" s="8"/>
      <c r="G11608" s="8"/>
      <c r="M11608" s="8"/>
    </row>
    <row r="11609">
      <c r="B11609" s="8"/>
      <c r="G11609" s="8"/>
      <c r="M11609" s="8"/>
    </row>
    <row r="11610">
      <c r="B11610" s="8"/>
      <c r="G11610" s="8"/>
      <c r="M11610" s="8"/>
    </row>
    <row r="11611">
      <c r="B11611" s="8"/>
      <c r="G11611" s="8"/>
      <c r="M11611" s="8"/>
    </row>
    <row r="11612">
      <c r="B11612" s="8"/>
      <c r="G11612" s="8"/>
      <c r="M11612" s="8"/>
    </row>
    <row r="11613">
      <c r="B11613" s="8"/>
      <c r="G11613" s="8"/>
      <c r="M11613" s="8"/>
    </row>
    <row r="11614">
      <c r="B11614" s="8"/>
      <c r="G11614" s="8"/>
      <c r="M11614" s="8"/>
    </row>
    <row r="11615">
      <c r="B11615" s="8"/>
      <c r="G11615" s="8"/>
      <c r="M11615" s="8"/>
    </row>
    <row r="11616">
      <c r="B11616" s="8"/>
      <c r="G11616" s="8"/>
      <c r="M11616" s="8"/>
    </row>
    <row r="11617">
      <c r="B11617" s="8"/>
      <c r="G11617" s="8"/>
      <c r="M11617" s="8"/>
    </row>
    <row r="11618">
      <c r="B11618" s="8"/>
      <c r="G11618" s="8"/>
      <c r="M11618" s="8"/>
    </row>
    <row r="11619">
      <c r="B11619" s="8"/>
      <c r="G11619" s="8"/>
      <c r="M11619" s="8"/>
    </row>
    <row r="11620">
      <c r="B11620" s="8"/>
      <c r="G11620" s="8"/>
      <c r="M11620" s="8"/>
    </row>
    <row r="11621">
      <c r="B11621" s="8"/>
      <c r="G11621" s="8"/>
      <c r="M11621" s="8"/>
    </row>
    <row r="11622">
      <c r="B11622" s="8"/>
      <c r="G11622" s="8"/>
      <c r="M11622" s="8"/>
    </row>
    <row r="11623">
      <c r="B11623" s="8"/>
      <c r="G11623" s="8"/>
      <c r="M11623" s="8"/>
    </row>
    <row r="11624">
      <c r="B11624" s="8"/>
      <c r="G11624" s="8"/>
      <c r="M11624" s="8"/>
    </row>
    <row r="11625">
      <c r="B11625" s="8"/>
      <c r="G11625" s="8"/>
      <c r="M11625" s="8"/>
    </row>
    <row r="11626">
      <c r="B11626" s="8"/>
      <c r="G11626" s="8"/>
      <c r="M11626" s="8"/>
    </row>
    <row r="11627">
      <c r="B11627" s="8"/>
      <c r="G11627" s="8"/>
      <c r="M11627" s="8"/>
    </row>
    <row r="11628">
      <c r="B11628" s="8"/>
      <c r="G11628" s="8"/>
      <c r="M11628" s="8"/>
    </row>
    <row r="11629">
      <c r="B11629" s="8"/>
      <c r="G11629" s="8"/>
      <c r="M11629" s="8"/>
    </row>
    <row r="11630">
      <c r="B11630" s="8"/>
      <c r="G11630" s="8"/>
      <c r="M11630" s="8"/>
    </row>
    <row r="11631">
      <c r="B11631" s="8"/>
      <c r="G11631" s="8"/>
      <c r="M11631" s="8"/>
    </row>
    <row r="11632">
      <c r="B11632" s="8"/>
      <c r="G11632" s="8"/>
      <c r="M11632" s="8"/>
    </row>
    <row r="11633">
      <c r="B11633" s="8"/>
      <c r="G11633" s="8"/>
      <c r="M11633" s="8"/>
    </row>
    <row r="11634">
      <c r="B11634" s="8"/>
      <c r="G11634" s="8"/>
      <c r="M11634" s="8"/>
    </row>
    <row r="11635">
      <c r="B11635" s="8"/>
      <c r="G11635" s="8"/>
      <c r="M11635" s="8"/>
    </row>
    <row r="11636">
      <c r="B11636" s="8"/>
      <c r="G11636" s="8"/>
      <c r="M11636" s="8"/>
    </row>
    <row r="11637">
      <c r="B11637" s="8"/>
      <c r="G11637" s="8"/>
      <c r="M11637" s="8"/>
    </row>
    <row r="11638">
      <c r="B11638" s="8"/>
      <c r="G11638" s="8"/>
      <c r="M11638" s="8"/>
    </row>
    <row r="11639">
      <c r="B11639" s="8"/>
      <c r="G11639" s="8"/>
      <c r="M11639" s="8"/>
    </row>
    <row r="11640">
      <c r="B11640" s="8"/>
      <c r="G11640" s="8"/>
      <c r="M11640" s="8"/>
    </row>
    <row r="11641">
      <c r="B11641" s="8"/>
      <c r="G11641" s="8"/>
      <c r="M11641" s="8"/>
    </row>
    <row r="11642">
      <c r="B11642" s="8"/>
      <c r="G11642" s="8"/>
      <c r="M11642" s="8"/>
    </row>
    <row r="11643">
      <c r="B11643" s="8"/>
      <c r="G11643" s="8"/>
      <c r="M11643" s="8"/>
    </row>
    <row r="11644">
      <c r="B11644" s="8"/>
      <c r="G11644" s="8"/>
      <c r="M11644" s="8"/>
    </row>
    <row r="11645">
      <c r="B11645" s="8"/>
      <c r="G11645" s="8"/>
      <c r="M11645" s="8"/>
    </row>
    <row r="11646">
      <c r="B11646" s="8"/>
      <c r="G11646" s="8"/>
      <c r="M11646" s="8"/>
    </row>
    <row r="11647">
      <c r="B11647" s="8"/>
      <c r="G11647" s="8"/>
      <c r="M11647" s="8"/>
    </row>
    <row r="11648">
      <c r="B11648" s="8"/>
      <c r="G11648" s="8"/>
      <c r="M11648" s="8"/>
    </row>
    <row r="11649">
      <c r="B11649" s="8"/>
      <c r="G11649" s="8"/>
      <c r="M11649" s="8"/>
    </row>
    <row r="11650">
      <c r="B11650" s="8"/>
      <c r="G11650" s="8"/>
      <c r="M11650" s="8"/>
    </row>
    <row r="11651">
      <c r="B11651" s="8"/>
      <c r="G11651" s="8"/>
      <c r="M11651" s="8"/>
    </row>
    <row r="11652">
      <c r="B11652" s="8"/>
      <c r="G11652" s="8"/>
      <c r="M11652" s="8"/>
    </row>
    <row r="11653">
      <c r="B11653" s="8"/>
      <c r="G11653" s="8"/>
      <c r="M11653" s="8"/>
    </row>
    <row r="11654">
      <c r="B11654" s="8"/>
      <c r="G11654" s="8"/>
      <c r="M11654" s="8"/>
    </row>
    <row r="11655">
      <c r="B11655" s="8"/>
      <c r="G11655" s="8"/>
      <c r="M11655" s="8"/>
    </row>
    <row r="11656">
      <c r="B11656" s="8"/>
      <c r="G11656" s="8"/>
      <c r="M11656" s="8"/>
    </row>
    <row r="11657">
      <c r="B11657" s="8"/>
      <c r="G11657" s="8"/>
      <c r="M11657" s="8"/>
    </row>
    <row r="11658">
      <c r="B11658" s="8"/>
      <c r="G11658" s="8"/>
      <c r="M11658" s="8"/>
    </row>
    <row r="11659">
      <c r="B11659" s="8"/>
      <c r="G11659" s="8"/>
      <c r="M11659" s="8"/>
    </row>
    <row r="11660">
      <c r="B11660" s="8"/>
      <c r="G11660" s="8"/>
      <c r="M11660" s="8"/>
    </row>
    <row r="11661">
      <c r="B11661" s="8"/>
      <c r="G11661" s="8"/>
      <c r="M11661" s="8"/>
    </row>
    <row r="11662">
      <c r="B11662" s="8"/>
      <c r="G11662" s="8"/>
      <c r="M11662" s="8"/>
    </row>
    <row r="11663">
      <c r="B11663" s="8"/>
      <c r="G11663" s="8"/>
      <c r="M11663" s="8"/>
    </row>
    <row r="11664">
      <c r="B11664" s="8"/>
      <c r="G11664" s="8"/>
      <c r="M11664" s="8"/>
    </row>
    <row r="11665">
      <c r="B11665" s="8"/>
      <c r="G11665" s="8"/>
      <c r="M11665" s="8"/>
    </row>
    <row r="11666">
      <c r="B11666" s="8"/>
      <c r="G11666" s="8"/>
      <c r="M11666" s="8"/>
    </row>
    <row r="11667">
      <c r="B11667" s="8"/>
      <c r="G11667" s="8"/>
      <c r="M11667" s="8"/>
    </row>
    <row r="11668">
      <c r="B11668" s="8"/>
      <c r="G11668" s="8"/>
      <c r="M11668" s="8"/>
    </row>
    <row r="11669">
      <c r="B11669" s="8"/>
      <c r="G11669" s="8"/>
      <c r="M11669" s="8"/>
    </row>
    <row r="11670">
      <c r="B11670" s="8"/>
      <c r="G11670" s="8"/>
      <c r="M11670" s="8"/>
    </row>
    <row r="11671">
      <c r="B11671" s="8"/>
      <c r="G11671" s="8"/>
      <c r="M11671" s="8"/>
    </row>
    <row r="11672">
      <c r="B11672" s="8"/>
      <c r="G11672" s="8"/>
      <c r="M11672" s="8"/>
    </row>
    <row r="11673">
      <c r="B11673" s="8"/>
      <c r="G11673" s="8"/>
      <c r="M11673" s="8"/>
    </row>
    <row r="11674">
      <c r="B11674" s="8"/>
      <c r="G11674" s="8"/>
      <c r="M11674" s="8"/>
    </row>
    <row r="11675">
      <c r="B11675" s="8"/>
      <c r="G11675" s="8"/>
      <c r="M11675" s="8"/>
    </row>
    <row r="11676">
      <c r="B11676" s="8"/>
      <c r="G11676" s="8"/>
      <c r="M11676" s="8"/>
    </row>
    <row r="11677">
      <c r="B11677" s="8"/>
      <c r="G11677" s="8"/>
      <c r="M11677" s="8"/>
    </row>
    <row r="11678">
      <c r="B11678" s="8"/>
      <c r="G11678" s="8"/>
      <c r="M11678" s="8"/>
    </row>
    <row r="11679">
      <c r="B11679" s="8"/>
      <c r="G11679" s="8"/>
      <c r="M11679" s="8"/>
    </row>
    <row r="11680">
      <c r="B11680" s="8"/>
      <c r="G11680" s="8"/>
      <c r="M11680" s="8"/>
    </row>
    <row r="11681">
      <c r="B11681" s="8"/>
      <c r="G11681" s="8"/>
      <c r="M11681" s="8"/>
    </row>
    <row r="11682">
      <c r="B11682" s="8"/>
      <c r="G11682" s="8"/>
      <c r="M11682" s="8"/>
    </row>
    <row r="11683">
      <c r="B11683" s="8"/>
      <c r="G11683" s="8"/>
      <c r="M11683" s="8"/>
    </row>
    <row r="11684">
      <c r="B11684" s="8"/>
      <c r="G11684" s="8"/>
      <c r="M11684" s="8"/>
    </row>
    <row r="11685">
      <c r="B11685" s="8"/>
      <c r="G11685" s="8"/>
      <c r="M11685" s="8"/>
    </row>
    <row r="11686">
      <c r="B11686" s="8"/>
      <c r="G11686" s="8"/>
      <c r="M11686" s="8"/>
    </row>
    <row r="11687">
      <c r="B11687" s="8"/>
      <c r="G11687" s="8"/>
      <c r="M11687" s="8"/>
    </row>
    <row r="11688">
      <c r="B11688" s="8"/>
      <c r="G11688" s="8"/>
      <c r="M11688" s="8"/>
    </row>
    <row r="11689">
      <c r="B11689" s="8"/>
      <c r="G11689" s="8"/>
      <c r="M11689" s="8"/>
    </row>
    <row r="11690">
      <c r="B11690" s="8"/>
      <c r="G11690" s="8"/>
      <c r="M11690" s="8"/>
    </row>
    <row r="11691">
      <c r="B11691" s="8"/>
      <c r="G11691" s="8"/>
      <c r="M11691" s="8"/>
    </row>
    <row r="11692">
      <c r="B11692" s="8"/>
      <c r="G11692" s="8"/>
      <c r="M11692" s="8"/>
    </row>
    <row r="11693">
      <c r="B11693" s="8"/>
      <c r="G11693" s="8"/>
      <c r="M11693" s="8"/>
    </row>
    <row r="11694">
      <c r="B11694" s="8"/>
      <c r="G11694" s="8"/>
      <c r="M11694" s="8"/>
    </row>
    <row r="11695">
      <c r="B11695" s="8"/>
      <c r="G11695" s="8"/>
      <c r="M11695" s="8"/>
    </row>
    <row r="11696">
      <c r="B11696" s="8"/>
      <c r="G11696" s="8"/>
      <c r="M11696" s="8"/>
    </row>
    <row r="11697">
      <c r="B11697" s="8"/>
      <c r="G11697" s="8"/>
      <c r="M11697" s="8"/>
    </row>
    <row r="11698">
      <c r="B11698" s="8"/>
      <c r="G11698" s="8"/>
      <c r="M11698" s="8"/>
    </row>
    <row r="11699">
      <c r="B11699" s="8"/>
      <c r="G11699" s="8"/>
      <c r="M11699" s="8"/>
    </row>
    <row r="11700">
      <c r="B11700" s="8"/>
      <c r="G11700" s="8"/>
      <c r="M11700" s="8"/>
    </row>
    <row r="11701">
      <c r="B11701" s="8"/>
      <c r="G11701" s="8"/>
      <c r="M11701" s="8"/>
    </row>
    <row r="11702">
      <c r="B11702" s="8"/>
      <c r="G11702" s="8"/>
      <c r="M11702" s="8"/>
    </row>
    <row r="11703">
      <c r="B11703" s="8"/>
      <c r="G11703" s="8"/>
      <c r="M11703" s="8"/>
    </row>
    <row r="11704">
      <c r="B11704" s="8"/>
      <c r="G11704" s="8"/>
      <c r="M11704" s="8"/>
    </row>
    <row r="11705">
      <c r="B11705" s="8"/>
      <c r="G11705" s="8"/>
      <c r="M11705" s="8"/>
    </row>
    <row r="11706">
      <c r="B11706" s="8"/>
      <c r="G11706" s="8"/>
      <c r="M11706" s="8"/>
    </row>
    <row r="11707">
      <c r="B11707" s="8"/>
      <c r="G11707" s="8"/>
      <c r="M11707" s="8"/>
    </row>
    <row r="11708">
      <c r="B11708" s="8"/>
      <c r="G11708" s="8"/>
      <c r="M11708" s="8"/>
    </row>
    <row r="11709">
      <c r="B11709" s="8"/>
      <c r="G11709" s="8"/>
      <c r="M11709" s="8"/>
    </row>
    <row r="11710">
      <c r="B11710" s="8"/>
      <c r="G11710" s="8"/>
      <c r="M11710" s="8"/>
    </row>
    <row r="11711">
      <c r="B11711" s="8"/>
      <c r="G11711" s="8"/>
      <c r="M11711" s="8"/>
    </row>
    <row r="11712">
      <c r="B11712" s="8"/>
      <c r="G11712" s="8"/>
      <c r="M11712" s="8"/>
    </row>
    <row r="11713">
      <c r="B11713" s="8"/>
      <c r="G11713" s="8"/>
      <c r="M11713" s="8"/>
    </row>
    <row r="11714">
      <c r="B11714" s="8"/>
      <c r="G11714" s="8"/>
      <c r="M11714" s="8"/>
    </row>
    <row r="11715">
      <c r="B11715" s="8"/>
      <c r="G11715" s="8"/>
      <c r="M11715" s="8"/>
    </row>
    <row r="11716">
      <c r="B11716" s="8"/>
      <c r="G11716" s="8"/>
      <c r="M11716" s="8"/>
    </row>
    <row r="11717">
      <c r="B11717" s="8"/>
      <c r="G11717" s="8"/>
      <c r="M11717" s="8"/>
    </row>
    <row r="11718">
      <c r="B11718" s="8"/>
      <c r="G11718" s="8"/>
      <c r="M11718" s="8"/>
    </row>
    <row r="11719">
      <c r="B11719" s="8"/>
      <c r="G11719" s="8"/>
      <c r="M11719" s="8"/>
    </row>
    <row r="11720">
      <c r="B11720" s="8"/>
      <c r="G11720" s="8"/>
      <c r="M11720" s="8"/>
    </row>
    <row r="11721">
      <c r="B11721" s="8"/>
      <c r="G11721" s="8"/>
      <c r="M11721" s="8"/>
    </row>
    <row r="11722">
      <c r="B11722" s="8"/>
      <c r="G11722" s="8"/>
      <c r="M11722" s="8"/>
    </row>
    <row r="11723">
      <c r="B11723" s="8"/>
      <c r="G11723" s="8"/>
      <c r="M11723" s="8"/>
    </row>
    <row r="11724">
      <c r="B11724" s="8"/>
      <c r="G11724" s="8"/>
      <c r="M11724" s="8"/>
    </row>
    <row r="11725">
      <c r="B11725" s="8"/>
      <c r="G11725" s="8"/>
      <c r="M11725" s="8"/>
    </row>
    <row r="11726">
      <c r="B11726" s="8"/>
      <c r="G11726" s="8"/>
      <c r="M11726" s="8"/>
    </row>
    <row r="11727">
      <c r="B11727" s="8"/>
      <c r="G11727" s="8"/>
      <c r="M11727" s="8"/>
    </row>
    <row r="11728">
      <c r="B11728" s="8"/>
      <c r="G11728" s="8"/>
      <c r="M11728" s="8"/>
    </row>
    <row r="11729">
      <c r="B11729" s="8"/>
      <c r="G11729" s="8"/>
      <c r="M11729" s="8"/>
    </row>
    <row r="11730">
      <c r="B11730" s="8"/>
      <c r="G11730" s="8"/>
      <c r="M11730" s="8"/>
    </row>
    <row r="11731">
      <c r="B11731" s="8"/>
      <c r="G11731" s="8"/>
      <c r="M11731" s="8"/>
    </row>
    <row r="11732">
      <c r="B11732" s="8"/>
      <c r="G11732" s="8"/>
      <c r="M11732" s="8"/>
    </row>
    <row r="11733">
      <c r="B11733" s="8"/>
      <c r="G11733" s="8"/>
      <c r="M11733" s="8"/>
    </row>
    <row r="11734">
      <c r="B11734" s="8"/>
      <c r="G11734" s="8"/>
      <c r="M11734" s="8"/>
    </row>
    <row r="11735">
      <c r="B11735" s="8"/>
      <c r="G11735" s="8"/>
      <c r="M11735" s="8"/>
    </row>
    <row r="11736">
      <c r="B11736" s="8"/>
      <c r="G11736" s="8"/>
      <c r="M11736" s="8"/>
    </row>
    <row r="11737">
      <c r="B11737" s="8"/>
      <c r="G11737" s="8"/>
      <c r="M11737" s="8"/>
    </row>
    <row r="11738">
      <c r="B11738" s="8"/>
      <c r="G11738" s="8"/>
      <c r="M11738" s="8"/>
    </row>
    <row r="11739">
      <c r="B11739" s="8"/>
      <c r="G11739" s="8"/>
      <c r="M11739" s="8"/>
    </row>
    <row r="11740">
      <c r="B11740" s="8"/>
      <c r="G11740" s="8"/>
      <c r="M11740" s="8"/>
    </row>
    <row r="11741">
      <c r="B11741" s="8"/>
      <c r="G11741" s="8"/>
      <c r="M11741" s="8"/>
    </row>
    <row r="11742">
      <c r="B11742" s="8"/>
      <c r="G11742" s="8"/>
      <c r="M11742" s="8"/>
    </row>
    <row r="11743">
      <c r="B11743" s="8"/>
      <c r="G11743" s="8"/>
      <c r="M11743" s="8"/>
    </row>
    <row r="11744">
      <c r="B11744" s="8"/>
      <c r="G11744" s="8"/>
      <c r="M11744" s="8"/>
    </row>
    <row r="11745">
      <c r="B11745" s="8"/>
      <c r="G11745" s="8"/>
      <c r="M11745" s="8"/>
    </row>
    <row r="11746">
      <c r="B11746" s="8"/>
      <c r="G11746" s="8"/>
      <c r="M11746" s="8"/>
    </row>
    <row r="11747">
      <c r="B11747" s="8"/>
      <c r="G11747" s="8"/>
      <c r="M11747" s="8"/>
    </row>
    <row r="11748">
      <c r="B11748" s="8"/>
      <c r="G11748" s="8"/>
      <c r="M11748" s="8"/>
    </row>
    <row r="11749">
      <c r="B11749" s="8"/>
      <c r="G11749" s="8"/>
      <c r="M11749" s="8"/>
    </row>
    <row r="11750">
      <c r="B11750" s="8"/>
      <c r="G11750" s="8"/>
      <c r="M11750" s="8"/>
    </row>
    <row r="11751">
      <c r="B11751" s="8"/>
      <c r="G11751" s="8"/>
      <c r="M11751" s="8"/>
    </row>
    <row r="11752">
      <c r="B11752" s="8"/>
      <c r="G11752" s="8"/>
      <c r="M11752" s="8"/>
    </row>
    <row r="11753">
      <c r="B11753" s="8"/>
      <c r="G11753" s="8"/>
      <c r="M11753" s="8"/>
    </row>
    <row r="11754">
      <c r="B11754" s="8"/>
      <c r="G11754" s="8"/>
      <c r="M11754" s="8"/>
    </row>
    <row r="11755">
      <c r="B11755" s="8"/>
      <c r="G11755" s="8"/>
      <c r="M11755" s="8"/>
    </row>
    <row r="11756">
      <c r="B11756" s="8"/>
      <c r="G11756" s="8"/>
      <c r="M11756" s="8"/>
    </row>
    <row r="11757">
      <c r="B11757" s="8"/>
      <c r="G11757" s="8"/>
      <c r="M11757" s="8"/>
    </row>
    <row r="11758">
      <c r="B11758" s="8"/>
      <c r="G11758" s="8"/>
      <c r="M11758" s="8"/>
    </row>
    <row r="11759">
      <c r="B11759" s="8"/>
      <c r="G11759" s="8"/>
      <c r="M11759" s="8"/>
    </row>
    <row r="11760">
      <c r="B11760" s="8"/>
      <c r="G11760" s="8"/>
      <c r="M11760" s="8"/>
    </row>
    <row r="11761">
      <c r="B11761" s="8"/>
      <c r="G11761" s="8"/>
      <c r="M11761" s="8"/>
    </row>
    <row r="11762">
      <c r="B11762" s="8"/>
      <c r="G11762" s="8"/>
      <c r="M11762" s="8"/>
    </row>
    <row r="11763">
      <c r="B11763" s="8"/>
      <c r="G11763" s="8"/>
      <c r="M11763" s="8"/>
    </row>
    <row r="11764">
      <c r="B11764" s="8"/>
      <c r="G11764" s="8"/>
      <c r="M11764" s="8"/>
    </row>
    <row r="11765">
      <c r="B11765" s="8"/>
      <c r="G11765" s="8"/>
      <c r="M11765" s="8"/>
    </row>
    <row r="11766">
      <c r="B11766" s="8"/>
      <c r="G11766" s="8"/>
      <c r="M11766" s="8"/>
    </row>
    <row r="11767">
      <c r="B11767" s="8"/>
      <c r="G11767" s="8"/>
      <c r="M11767" s="8"/>
    </row>
    <row r="11768">
      <c r="B11768" s="8"/>
      <c r="G11768" s="8"/>
      <c r="M11768" s="8"/>
    </row>
    <row r="11769">
      <c r="B11769" s="8"/>
      <c r="G11769" s="8"/>
      <c r="M11769" s="8"/>
    </row>
    <row r="11770">
      <c r="B11770" s="8"/>
      <c r="G11770" s="8"/>
      <c r="M11770" s="8"/>
    </row>
    <row r="11771">
      <c r="B11771" s="8"/>
      <c r="G11771" s="8"/>
      <c r="M11771" s="8"/>
    </row>
    <row r="11772">
      <c r="B11772" s="8"/>
      <c r="G11772" s="8"/>
      <c r="M11772" s="8"/>
    </row>
    <row r="11773">
      <c r="B11773" s="8"/>
      <c r="G11773" s="8"/>
      <c r="M11773" s="8"/>
    </row>
    <row r="11774">
      <c r="B11774" s="8"/>
      <c r="G11774" s="8"/>
      <c r="M11774" s="8"/>
    </row>
    <row r="11775">
      <c r="B11775" s="8"/>
      <c r="G11775" s="8"/>
      <c r="M11775" s="8"/>
    </row>
    <row r="11776">
      <c r="B11776" s="8"/>
      <c r="G11776" s="8"/>
      <c r="M11776" s="8"/>
    </row>
    <row r="11777">
      <c r="B11777" s="8"/>
      <c r="G11777" s="8"/>
      <c r="M11777" s="8"/>
    </row>
    <row r="11778">
      <c r="B11778" s="8"/>
      <c r="G11778" s="8"/>
      <c r="M11778" s="8"/>
    </row>
    <row r="11779">
      <c r="B11779" s="8"/>
      <c r="G11779" s="8"/>
      <c r="M11779" s="8"/>
    </row>
    <row r="11780">
      <c r="B11780" s="8"/>
      <c r="G11780" s="8"/>
      <c r="M11780" s="8"/>
    </row>
    <row r="11781">
      <c r="B11781" s="8"/>
      <c r="G11781" s="8"/>
      <c r="M11781" s="8"/>
    </row>
    <row r="11782">
      <c r="B11782" s="8"/>
      <c r="G11782" s="8"/>
      <c r="M11782" s="8"/>
    </row>
    <row r="11783">
      <c r="B11783" s="8"/>
      <c r="G11783" s="8"/>
      <c r="M11783" s="8"/>
    </row>
    <row r="11784">
      <c r="B11784" s="8"/>
      <c r="G11784" s="8"/>
      <c r="M11784" s="8"/>
    </row>
    <row r="11785">
      <c r="B11785" s="8"/>
      <c r="G11785" s="8"/>
      <c r="M11785" s="8"/>
    </row>
    <row r="11786">
      <c r="B11786" s="8"/>
      <c r="G11786" s="8"/>
      <c r="M11786" s="8"/>
    </row>
    <row r="11787">
      <c r="B11787" s="8"/>
      <c r="G11787" s="8"/>
      <c r="M11787" s="8"/>
    </row>
    <row r="11788">
      <c r="B11788" s="8"/>
      <c r="G11788" s="8"/>
      <c r="M11788" s="8"/>
    </row>
    <row r="11789">
      <c r="B11789" s="8"/>
      <c r="G11789" s="8"/>
      <c r="M11789" s="8"/>
    </row>
    <row r="11790">
      <c r="B11790" s="8"/>
      <c r="G11790" s="8"/>
      <c r="M11790" s="8"/>
    </row>
    <row r="11791">
      <c r="B11791" s="8"/>
      <c r="G11791" s="8"/>
      <c r="M11791" s="8"/>
    </row>
    <row r="11792">
      <c r="B11792" s="8"/>
      <c r="G11792" s="8"/>
      <c r="M11792" s="8"/>
    </row>
    <row r="11793">
      <c r="B11793" s="8"/>
      <c r="G11793" s="8"/>
      <c r="M11793" s="8"/>
    </row>
    <row r="11794">
      <c r="B11794" s="8"/>
      <c r="G11794" s="8"/>
      <c r="M11794" s="8"/>
    </row>
    <row r="11795">
      <c r="B11795" s="8"/>
      <c r="G11795" s="8"/>
      <c r="M11795" s="8"/>
    </row>
    <row r="11796">
      <c r="B11796" s="8"/>
      <c r="G11796" s="8"/>
      <c r="M11796" s="8"/>
    </row>
    <row r="11797">
      <c r="B11797" s="8"/>
      <c r="G11797" s="8"/>
      <c r="M11797" s="8"/>
    </row>
    <row r="11798">
      <c r="B11798" s="8"/>
      <c r="G11798" s="8"/>
      <c r="M11798" s="8"/>
    </row>
    <row r="11799">
      <c r="B11799" s="8"/>
      <c r="G11799" s="8"/>
      <c r="M11799" s="8"/>
    </row>
    <row r="11800">
      <c r="B11800" s="8"/>
      <c r="G11800" s="8"/>
      <c r="M11800" s="8"/>
    </row>
    <row r="11801">
      <c r="B11801" s="8"/>
      <c r="G11801" s="8"/>
      <c r="M11801" s="8"/>
    </row>
    <row r="11802">
      <c r="B11802" s="8"/>
      <c r="G11802" s="8"/>
      <c r="M11802" s="8"/>
    </row>
    <row r="11803">
      <c r="B11803" s="8"/>
      <c r="G11803" s="8"/>
      <c r="M11803" s="8"/>
    </row>
    <row r="11804">
      <c r="B11804" s="8"/>
      <c r="G11804" s="8"/>
      <c r="M11804" s="8"/>
    </row>
    <row r="11805">
      <c r="B11805" s="8"/>
      <c r="G11805" s="8"/>
      <c r="M11805" s="8"/>
    </row>
    <row r="11806">
      <c r="B11806" s="8"/>
      <c r="G11806" s="8"/>
      <c r="M11806" s="8"/>
    </row>
    <row r="11807">
      <c r="B11807" s="8"/>
      <c r="G11807" s="8"/>
      <c r="M11807" s="8"/>
    </row>
    <row r="11808">
      <c r="B11808" s="8"/>
      <c r="G11808" s="8"/>
      <c r="M11808" s="8"/>
    </row>
    <row r="11809">
      <c r="B11809" s="8"/>
      <c r="G11809" s="8"/>
      <c r="M11809" s="8"/>
    </row>
    <row r="11810">
      <c r="B11810" s="8"/>
      <c r="G11810" s="8"/>
      <c r="M11810" s="8"/>
    </row>
    <row r="11811">
      <c r="B11811" s="8"/>
      <c r="G11811" s="8"/>
      <c r="M11811" s="8"/>
    </row>
    <row r="11812">
      <c r="B11812" s="8"/>
      <c r="G11812" s="8"/>
      <c r="M11812" s="8"/>
    </row>
    <row r="11813">
      <c r="B11813" s="8"/>
      <c r="G11813" s="8"/>
      <c r="M11813" s="8"/>
    </row>
    <row r="11814">
      <c r="B11814" s="8"/>
      <c r="G11814" s="8"/>
      <c r="M11814" s="8"/>
    </row>
    <row r="11815">
      <c r="B11815" s="8"/>
      <c r="G11815" s="8"/>
      <c r="M11815" s="8"/>
    </row>
    <row r="11816">
      <c r="B11816" s="8"/>
      <c r="G11816" s="8"/>
      <c r="M11816" s="8"/>
    </row>
    <row r="11817">
      <c r="B11817" s="8"/>
      <c r="G11817" s="8"/>
      <c r="M11817" s="8"/>
    </row>
    <row r="11818">
      <c r="B11818" s="8"/>
      <c r="G11818" s="8"/>
      <c r="M11818" s="8"/>
    </row>
    <row r="11819">
      <c r="B11819" s="8"/>
      <c r="G11819" s="8"/>
      <c r="M11819" s="8"/>
    </row>
    <row r="11820">
      <c r="B11820" s="8"/>
      <c r="G11820" s="8"/>
      <c r="M11820" s="8"/>
    </row>
    <row r="11821">
      <c r="B11821" s="8"/>
      <c r="G11821" s="8"/>
      <c r="M11821" s="8"/>
    </row>
    <row r="11822">
      <c r="B11822" s="8"/>
      <c r="G11822" s="8"/>
      <c r="M11822" s="8"/>
    </row>
    <row r="11823">
      <c r="B11823" s="8"/>
      <c r="G11823" s="8"/>
      <c r="M11823" s="8"/>
    </row>
    <row r="11824">
      <c r="B11824" s="8"/>
      <c r="G11824" s="8"/>
      <c r="M11824" s="8"/>
    </row>
    <row r="11825">
      <c r="B11825" s="8"/>
      <c r="G11825" s="8"/>
      <c r="M11825" s="8"/>
    </row>
    <row r="11826">
      <c r="B11826" s="8"/>
      <c r="G11826" s="8"/>
      <c r="M11826" s="8"/>
    </row>
    <row r="11827">
      <c r="B11827" s="8"/>
      <c r="G11827" s="8"/>
      <c r="M11827" s="8"/>
    </row>
    <row r="11828">
      <c r="B11828" s="8"/>
      <c r="G11828" s="8"/>
      <c r="M11828" s="8"/>
    </row>
    <row r="11829">
      <c r="B11829" s="8"/>
      <c r="G11829" s="8"/>
      <c r="M11829" s="8"/>
    </row>
    <row r="11830">
      <c r="B11830" s="8"/>
      <c r="G11830" s="8"/>
      <c r="M11830" s="8"/>
    </row>
    <row r="11831">
      <c r="B11831" s="8"/>
      <c r="G11831" s="8"/>
      <c r="M11831" s="8"/>
    </row>
    <row r="11832">
      <c r="B11832" s="8"/>
      <c r="G11832" s="8"/>
      <c r="M11832" s="8"/>
    </row>
    <row r="11833">
      <c r="B11833" s="8"/>
      <c r="G11833" s="8"/>
      <c r="M11833" s="8"/>
    </row>
    <row r="11834">
      <c r="B11834" s="8"/>
      <c r="G11834" s="8"/>
      <c r="M11834" s="8"/>
    </row>
    <row r="11835">
      <c r="B11835" s="8"/>
      <c r="G11835" s="8"/>
      <c r="M11835" s="8"/>
    </row>
    <row r="11836">
      <c r="B11836" s="8"/>
      <c r="G11836" s="8"/>
      <c r="M11836" s="8"/>
    </row>
    <row r="11837">
      <c r="B11837" s="8"/>
      <c r="G11837" s="8"/>
      <c r="M11837" s="8"/>
    </row>
    <row r="11838">
      <c r="B11838" s="8"/>
      <c r="G11838" s="8"/>
      <c r="M11838" s="8"/>
    </row>
    <row r="11839">
      <c r="B11839" s="8"/>
      <c r="G11839" s="8"/>
      <c r="M11839" s="8"/>
    </row>
    <row r="11840">
      <c r="B11840" s="8"/>
      <c r="G11840" s="8"/>
      <c r="M11840" s="8"/>
    </row>
    <row r="11841">
      <c r="B11841" s="8"/>
      <c r="G11841" s="8"/>
      <c r="M11841" s="8"/>
    </row>
    <row r="11842">
      <c r="B11842" s="8"/>
      <c r="G11842" s="8"/>
      <c r="M11842" s="8"/>
    </row>
    <row r="11843">
      <c r="B11843" s="8"/>
      <c r="G11843" s="8"/>
      <c r="M11843" s="8"/>
    </row>
    <row r="11844">
      <c r="B11844" s="8"/>
      <c r="G11844" s="8"/>
      <c r="M11844" s="8"/>
    </row>
    <row r="11845">
      <c r="B11845" s="8"/>
      <c r="G11845" s="8"/>
      <c r="M11845" s="8"/>
    </row>
    <row r="11846">
      <c r="B11846" s="8"/>
      <c r="G11846" s="8"/>
      <c r="M11846" s="8"/>
    </row>
    <row r="11847">
      <c r="B11847" s="8"/>
      <c r="G11847" s="8"/>
      <c r="M11847" s="8"/>
    </row>
    <row r="11848">
      <c r="B11848" s="8"/>
      <c r="G11848" s="8"/>
      <c r="M11848" s="8"/>
    </row>
    <row r="11849">
      <c r="B11849" s="8"/>
      <c r="G11849" s="8"/>
      <c r="M11849" s="8"/>
    </row>
    <row r="11850">
      <c r="B11850" s="8"/>
      <c r="G11850" s="8"/>
      <c r="M11850" s="8"/>
    </row>
    <row r="11851">
      <c r="B11851" s="8"/>
      <c r="G11851" s="8"/>
      <c r="M11851" s="8"/>
    </row>
    <row r="11852">
      <c r="B11852" s="8"/>
      <c r="G11852" s="8"/>
      <c r="M11852" s="8"/>
    </row>
    <row r="11853">
      <c r="B11853" s="8"/>
      <c r="G11853" s="8"/>
      <c r="M11853" s="8"/>
    </row>
    <row r="11854">
      <c r="B11854" s="8"/>
      <c r="G11854" s="8"/>
      <c r="M11854" s="8"/>
    </row>
    <row r="11855">
      <c r="B11855" s="8"/>
      <c r="G11855" s="8"/>
      <c r="M11855" s="8"/>
    </row>
    <row r="11856">
      <c r="B11856" s="8"/>
      <c r="G11856" s="8"/>
      <c r="M11856" s="8"/>
    </row>
    <row r="11857">
      <c r="B11857" s="8"/>
      <c r="G11857" s="8"/>
      <c r="M11857" s="8"/>
    </row>
    <row r="11858">
      <c r="B11858" s="8"/>
      <c r="G11858" s="8"/>
      <c r="M11858" s="8"/>
    </row>
    <row r="11859">
      <c r="B11859" s="8"/>
      <c r="G11859" s="8"/>
      <c r="M11859" s="8"/>
    </row>
    <row r="11860">
      <c r="B11860" s="8"/>
      <c r="G11860" s="8"/>
      <c r="M11860" s="8"/>
    </row>
    <row r="11861">
      <c r="B11861" s="8"/>
      <c r="G11861" s="8"/>
      <c r="M11861" s="8"/>
    </row>
    <row r="11862">
      <c r="B11862" s="8"/>
      <c r="G11862" s="8"/>
      <c r="M11862" s="8"/>
    </row>
    <row r="11863">
      <c r="B11863" s="8"/>
      <c r="G11863" s="8"/>
      <c r="M11863" s="8"/>
    </row>
    <row r="11864">
      <c r="B11864" s="8"/>
      <c r="G11864" s="8"/>
      <c r="M11864" s="8"/>
    </row>
    <row r="11865">
      <c r="B11865" s="8"/>
      <c r="G11865" s="8"/>
      <c r="M11865" s="8"/>
    </row>
    <row r="11866">
      <c r="B11866" s="8"/>
      <c r="G11866" s="8"/>
      <c r="M11866" s="8"/>
    </row>
    <row r="11867">
      <c r="B11867" s="8"/>
      <c r="G11867" s="8"/>
      <c r="M11867" s="8"/>
    </row>
    <row r="11868">
      <c r="B11868" s="8"/>
      <c r="G11868" s="8"/>
      <c r="M11868" s="8"/>
    </row>
    <row r="11869">
      <c r="B11869" s="8"/>
      <c r="G11869" s="8"/>
      <c r="M11869" s="8"/>
    </row>
    <row r="11870">
      <c r="B11870" s="8"/>
      <c r="G11870" s="8"/>
      <c r="M11870" s="8"/>
    </row>
    <row r="11871">
      <c r="B11871" s="8"/>
      <c r="G11871" s="8"/>
      <c r="M11871" s="8"/>
    </row>
    <row r="11872">
      <c r="B11872" s="8"/>
      <c r="G11872" s="8"/>
      <c r="M11872" s="8"/>
    </row>
    <row r="11873">
      <c r="B11873" s="8"/>
      <c r="G11873" s="8"/>
      <c r="M11873" s="8"/>
    </row>
    <row r="11874">
      <c r="B11874" s="8"/>
      <c r="G11874" s="8"/>
      <c r="M11874" s="8"/>
    </row>
    <row r="11875">
      <c r="B11875" s="8"/>
      <c r="G11875" s="8"/>
      <c r="M11875" s="8"/>
    </row>
    <row r="11876">
      <c r="B11876" s="8"/>
      <c r="G11876" s="8"/>
      <c r="M11876" s="8"/>
    </row>
    <row r="11877">
      <c r="B11877" s="8"/>
      <c r="G11877" s="8"/>
      <c r="M11877" s="8"/>
    </row>
    <row r="11878">
      <c r="B11878" s="8"/>
      <c r="G11878" s="8"/>
      <c r="M11878" s="8"/>
    </row>
    <row r="11879">
      <c r="B11879" s="8"/>
      <c r="G11879" s="8"/>
      <c r="M11879" s="8"/>
    </row>
    <row r="11880">
      <c r="B11880" s="8"/>
      <c r="G11880" s="8"/>
      <c r="M11880" s="8"/>
    </row>
    <row r="11881">
      <c r="B11881" s="8"/>
      <c r="G11881" s="8"/>
      <c r="M11881" s="8"/>
    </row>
    <row r="11882">
      <c r="B11882" s="8"/>
      <c r="G11882" s="8"/>
      <c r="M11882" s="8"/>
    </row>
    <row r="11883">
      <c r="B11883" s="8"/>
      <c r="G11883" s="8"/>
      <c r="M11883" s="8"/>
    </row>
    <row r="11884">
      <c r="B11884" s="8"/>
      <c r="G11884" s="8"/>
      <c r="M11884" s="8"/>
    </row>
    <row r="11885">
      <c r="B11885" s="8"/>
      <c r="G11885" s="8"/>
      <c r="M11885" s="8"/>
    </row>
    <row r="11886">
      <c r="B11886" s="8"/>
      <c r="G11886" s="8"/>
      <c r="M11886" s="8"/>
    </row>
    <row r="11887">
      <c r="B11887" s="8"/>
      <c r="G11887" s="8"/>
      <c r="M11887" s="8"/>
    </row>
    <row r="11888">
      <c r="B11888" s="8"/>
      <c r="G11888" s="8"/>
      <c r="M11888" s="8"/>
    </row>
    <row r="11889">
      <c r="B11889" s="8"/>
      <c r="G11889" s="8"/>
      <c r="M11889" s="8"/>
    </row>
    <row r="11890">
      <c r="B11890" s="8"/>
      <c r="G11890" s="8"/>
      <c r="M11890" s="8"/>
    </row>
    <row r="11891">
      <c r="B11891" s="8"/>
      <c r="G11891" s="8"/>
      <c r="M11891" s="8"/>
    </row>
    <row r="11892">
      <c r="B11892" s="8"/>
      <c r="G11892" s="8"/>
      <c r="M11892" s="8"/>
    </row>
    <row r="11893">
      <c r="B11893" s="8"/>
      <c r="G11893" s="8"/>
      <c r="M11893" s="8"/>
    </row>
    <row r="11894">
      <c r="B11894" s="8"/>
      <c r="G11894" s="8"/>
      <c r="M11894" s="8"/>
    </row>
    <row r="11895">
      <c r="B11895" s="8"/>
      <c r="G11895" s="8"/>
      <c r="M11895" s="8"/>
    </row>
    <row r="11896">
      <c r="B11896" s="8"/>
      <c r="G11896" s="8"/>
      <c r="M11896" s="8"/>
    </row>
    <row r="11897">
      <c r="B11897" s="8"/>
      <c r="G11897" s="8"/>
      <c r="M11897" s="8"/>
    </row>
    <row r="11898">
      <c r="B11898" s="8"/>
      <c r="G11898" s="8"/>
      <c r="M11898" s="8"/>
    </row>
    <row r="11899">
      <c r="B11899" s="8"/>
      <c r="G11899" s="8"/>
      <c r="M11899" s="8"/>
    </row>
    <row r="11900">
      <c r="B11900" s="8"/>
      <c r="G11900" s="8"/>
      <c r="M11900" s="8"/>
    </row>
    <row r="11901">
      <c r="B11901" s="8"/>
      <c r="G11901" s="8"/>
      <c r="M11901" s="8"/>
    </row>
    <row r="11902">
      <c r="B11902" s="8"/>
      <c r="G11902" s="8"/>
      <c r="M11902" s="8"/>
    </row>
    <row r="11903">
      <c r="B11903" s="8"/>
      <c r="G11903" s="8"/>
      <c r="M11903" s="8"/>
    </row>
    <row r="11904">
      <c r="B11904" s="8"/>
      <c r="G11904" s="8"/>
      <c r="M11904" s="8"/>
    </row>
    <row r="11905">
      <c r="B11905" s="8"/>
      <c r="G11905" s="8"/>
      <c r="M11905" s="8"/>
    </row>
    <row r="11906">
      <c r="B11906" s="8"/>
      <c r="G11906" s="8"/>
      <c r="M11906" s="8"/>
    </row>
    <row r="11907">
      <c r="B11907" s="8"/>
      <c r="G11907" s="8"/>
      <c r="M11907" s="8"/>
    </row>
    <row r="11908">
      <c r="B11908" s="8"/>
      <c r="G11908" s="8"/>
      <c r="M11908" s="8"/>
    </row>
    <row r="11909">
      <c r="B11909" s="8"/>
      <c r="G11909" s="8"/>
      <c r="M11909" s="8"/>
    </row>
    <row r="11910">
      <c r="B11910" s="8"/>
      <c r="G11910" s="8"/>
      <c r="M11910" s="8"/>
    </row>
    <row r="11911">
      <c r="B11911" s="8"/>
      <c r="G11911" s="8"/>
      <c r="M11911" s="8"/>
    </row>
    <row r="11912">
      <c r="B11912" s="8"/>
      <c r="G11912" s="8"/>
      <c r="M11912" s="8"/>
    </row>
    <row r="11913">
      <c r="B11913" s="8"/>
      <c r="G11913" s="8"/>
      <c r="M11913" s="8"/>
    </row>
    <row r="11914">
      <c r="B11914" s="8"/>
      <c r="G11914" s="8"/>
      <c r="M11914" s="8"/>
    </row>
    <row r="11915">
      <c r="B11915" s="8"/>
      <c r="G11915" s="8"/>
      <c r="M11915" s="8"/>
    </row>
    <row r="11916">
      <c r="B11916" s="8"/>
      <c r="G11916" s="8"/>
      <c r="M11916" s="8"/>
    </row>
    <row r="11917">
      <c r="B11917" s="8"/>
      <c r="G11917" s="8"/>
      <c r="M11917" s="8"/>
    </row>
    <row r="11918">
      <c r="B11918" s="8"/>
      <c r="G11918" s="8"/>
      <c r="M11918" s="8"/>
    </row>
    <row r="11919">
      <c r="B11919" s="8"/>
      <c r="G11919" s="8"/>
      <c r="M11919" s="8"/>
    </row>
    <row r="11920">
      <c r="B11920" s="8"/>
      <c r="G11920" s="8"/>
      <c r="M11920" s="8"/>
    </row>
    <row r="11921">
      <c r="B11921" s="8"/>
      <c r="G11921" s="8"/>
      <c r="M11921" s="8"/>
    </row>
    <row r="11922">
      <c r="B11922" s="8"/>
      <c r="G11922" s="8"/>
      <c r="M11922" s="8"/>
    </row>
    <row r="11923">
      <c r="B11923" s="8"/>
      <c r="G11923" s="8"/>
      <c r="M11923" s="8"/>
    </row>
    <row r="11924">
      <c r="B11924" s="8"/>
      <c r="G11924" s="8"/>
      <c r="M11924" s="8"/>
    </row>
    <row r="11925">
      <c r="B11925" s="8"/>
      <c r="G11925" s="8"/>
      <c r="M11925" s="8"/>
    </row>
    <row r="11926">
      <c r="B11926" s="8"/>
      <c r="G11926" s="8"/>
      <c r="M11926" s="8"/>
    </row>
    <row r="11927">
      <c r="B11927" s="8"/>
      <c r="G11927" s="8"/>
      <c r="M11927" s="8"/>
    </row>
    <row r="11928">
      <c r="B11928" s="8"/>
      <c r="G11928" s="8"/>
      <c r="M11928" s="8"/>
    </row>
    <row r="11929">
      <c r="B11929" s="8"/>
      <c r="G11929" s="8"/>
      <c r="M11929" s="8"/>
    </row>
    <row r="11930">
      <c r="B11930" s="8"/>
      <c r="G11930" s="8"/>
      <c r="M11930" s="8"/>
    </row>
    <row r="11931">
      <c r="B11931" s="8"/>
      <c r="G11931" s="8"/>
      <c r="M11931" s="8"/>
    </row>
    <row r="11932">
      <c r="B11932" s="8"/>
      <c r="G11932" s="8"/>
      <c r="M11932" s="8"/>
    </row>
    <row r="11933">
      <c r="B11933" s="8"/>
      <c r="G11933" s="8"/>
      <c r="M11933" s="8"/>
    </row>
    <row r="11934">
      <c r="B11934" s="8"/>
      <c r="G11934" s="8"/>
      <c r="M11934" s="8"/>
    </row>
    <row r="11935">
      <c r="B11935" s="8"/>
      <c r="G11935" s="8"/>
      <c r="M11935" s="8"/>
    </row>
    <row r="11936">
      <c r="B11936" s="8"/>
      <c r="G11936" s="8"/>
      <c r="M11936" s="8"/>
    </row>
    <row r="11937">
      <c r="B11937" s="8"/>
      <c r="G11937" s="8"/>
      <c r="M11937" s="8"/>
    </row>
    <row r="11938">
      <c r="B11938" s="8"/>
      <c r="G11938" s="8"/>
      <c r="M11938" s="8"/>
    </row>
    <row r="11939">
      <c r="B11939" s="8"/>
      <c r="G11939" s="8"/>
      <c r="M11939" s="8"/>
    </row>
    <row r="11940">
      <c r="B11940" s="8"/>
      <c r="G11940" s="8"/>
      <c r="M11940" s="8"/>
    </row>
    <row r="11941">
      <c r="B11941" s="8"/>
      <c r="G11941" s="8"/>
      <c r="M11941" s="8"/>
    </row>
    <row r="11942">
      <c r="B11942" s="8"/>
      <c r="G11942" s="8"/>
      <c r="M11942" s="8"/>
    </row>
    <row r="11943">
      <c r="B11943" s="8"/>
      <c r="G11943" s="8"/>
      <c r="M11943" s="8"/>
    </row>
    <row r="11944">
      <c r="B11944" s="8"/>
      <c r="G11944" s="8"/>
      <c r="M11944" s="8"/>
    </row>
    <row r="11945">
      <c r="B11945" s="8"/>
      <c r="G11945" s="8"/>
      <c r="M11945" s="8"/>
    </row>
    <row r="11946">
      <c r="B11946" s="8"/>
      <c r="G11946" s="8"/>
      <c r="M11946" s="8"/>
    </row>
    <row r="11947">
      <c r="B11947" s="8"/>
      <c r="G11947" s="8"/>
      <c r="M11947" s="8"/>
    </row>
    <row r="11948">
      <c r="B11948" s="8"/>
      <c r="G11948" s="8"/>
      <c r="M11948" s="8"/>
    </row>
    <row r="11949">
      <c r="B11949" s="8"/>
      <c r="G11949" s="8"/>
      <c r="M11949" s="8"/>
    </row>
    <row r="11950">
      <c r="B11950" s="8"/>
      <c r="G11950" s="8"/>
      <c r="M11950" s="8"/>
    </row>
    <row r="11951">
      <c r="B11951" s="8"/>
      <c r="G11951" s="8"/>
      <c r="M11951" s="8"/>
    </row>
    <row r="11952">
      <c r="B11952" s="8"/>
      <c r="G11952" s="8"/>
      <c r="M11952" s="8"/>
    </row>
    <row r="11953">
      <c r="B11953" s="8"/>
      <c r="G11953" s="8"/>
      <c r="M11953" s="8"/>
    </row>
    <row r="11954">
      <c r="B11954" s="8"/>
      <c r="G11954" s="8"/>
      <c r="M11954" s="8"/>
    </row>
    <row r="11955">
      <c r="B11955" s="8"/>
      <c r="G11955" s="8"/>
      <c r="M11955" s="8"/>
    </row>
    <row r="11956">
      <c r="B11956" s="8"/>
      <c r="G11956" s="8"/>
      <c r="M11956" s="8"/>
    </row>
    <row r="11957">
      <c r="B11957" s="8"/>
      <c r="G11957" s="8"/>
      <c r="M11957" s="8"/>
    </row>
    <row r="11958">
      <c r="B11958" s="8"/>
      <c r="G11958" s="8"/>
      <c r="M11958" s="8"/>
    </row>
    <row r="11959">
      <c r="B11959" s="8"/>
      <c r="G11959" s="8"/>
      <c r="M11959" s="8"/>
    </row>
    <row r="11960">
      <c r="B11960" s="8"/>
      <c r="G11960" s="8"/>
      <c r="M11960" s="8"/>
    </row>
    <row r="11961">
      <c r="B11961" s="8"/>
      <c r="G11961" s="8"/>
      <c r="M11961" s="8"/>
    </row>
    <row r="11962">
      <c r="B11962" s="8"/>
      <c r="G11962" s="8"/>
      <c r="M11962" s="8"/>
    </row>
    <row r="11963">
      <c r="B11963" s="8"/>
      <c r="G11963" s="8"/>
      <c r="M11963" s="8"/>
    </row>
    <row r="11964">
      <c r="B11964" s="8"/>
      <c r="G11964" s="8"/>
      <c r="M11964" s="8"/>
    </row>
    <row r="11965">
      <c r="B11965" s="8"/>
      <c r="G11965" s="8"/>
      <c r="M11965" s="8"/>
    </row>
    <row r="11966">
      <c r="B11966" s="8"/>
      <c r="G11966" s="8"/>
      <c r="M11966" s="8"/>
    </row>
    <row r="11967">
      <c r="B11967" s="8"/>
      <c r="G11967" s="8"/>
      <c r="M11967" s="8"/>
    </row>
    <row r="11968">
      <c r="B11968" s="8"/>
      <c r="G11968" s="8"/>
      <c r="M11968" s="8"/>
    </row>
    <row r="11969">
      <c r="B11969" s="8"/>
      <c r="G11969" s="8"/>
      <c r="M11969" s="8"/>
    </row>
    <row r="11970">
      <c r="B11970" s="8"/>
      <c r="G11970" s="8"/>
      <c r="M11970" s="8"/>
    </row>
    <row r="11971">
      <c r="B11971" s="8"/>
      <c r="G11971" s="8"/>
      <c r="M11971" s="8"/>
    </row>
    <row r="11972">
      <c r="B11972" s="8"/>
      <c r="G11972" s="8"/>
      <c r="M11972" s="8"/>
    </row>
    <row r="11973">
      <c r="B11973" s="8"/>
      <c r="G11973" s="8"/>
      <c r="M11973" s="8"/>
    </row>
    <row r="11974">
      <c r="B11974" s="8"/>
      <c r="G11974" s="8"/>
      <c r="M11974" s="8"/>
    </row>
    <row r="11975">
      <c r="B11975" s="8"/>
      <c r="G11975" s="8"/>
      <c r="M11975" s="8"/>
    </row>
    <row r="11976">
      <c r="B11976" s="8"/>
      <c r="G11976" s="8"/>
      <c r="M11976" s="8"/>
    </row>
    <row r="11977">
      <c r="B11977" s="8"/>
      <c r="G11977" s="8"/>
      <c r="M11977" s="8"/>
    </row>
    <row r="11978">
      <c r="B11978" s="8"/>
      <c r="G11978" s="8"/>
      <c r="M11978" s="8"/>
    </row>
    <row r="11979">
      <c r="B11979" s="8"/>
      <c r="G11979" s="8"/>
      <c r="M11979" s="8"/>
    </row>
    <row r="11980">
      <c r="B11980" s="8"/>
      <c r="G11980" s="8"/>
      <c r="M11980" s="8"/>
    </row>
    <row r="11981">
      <c r="B11981" s="8"/>
      <c r="G11981" s="8"/>
      <c r="M11981" s="8"/>
    </row>
    <row r="11982">
      <c r="B11982" s="8"/>
      <c r="G11982" s="8"/>
      <c r="M11982" s="8"/>
    </row>
    <row r="11983">
      <c r="B11983" s="8"/>
      <c r="G11983" s="8"/>
      <c r="M11983" s="8"/>
    </row>
    <row r="11984">
      <c r="B11984" s="8"/>
      <c r="G11984" s="8"/>
      <c r="M11984" s="8"/>
    </row>
    <row r="11985">
      <c r="B11985" s="8"/>
      <c r="G11985" s="8"/>
      <c r="M11985" s="8"/>
    </row>
    <row r="11986">
      <c r="B11986" s="8"/>
      <c r="G11986" s="8"/>
      <c r="M11986" s="8"/>
    </row>
    <row r="11987">
      <c r="B11987" s="8"/>
      <c r="G11987" s="8"/>
      <c r="M11987" s="8"/>
    </row>
    <row r="11988">
      <c r="B11988" s="8"/>
      <c r="G11988" s="8"/>
      <c r="M11988" s="8"/>
    </row>
    <row r="11989">
      <c r="B11989" s="8"/>
      <c r="G11989" s="8"/>
      <c r="M11989" s="8"/>
    </row>
    <row r="11990">
      <c r="B11990" s="8"/>
      <c r="G11990" s="8"/>
      <c r="M11990" s="8"/>
    </row>
    <row r="11991">
      <c r="B11991" s="8"/>
      <c r="G11991" s="8"/>
      <c r="M11991" s="8"/>
    </row>
    <row r="11992">
      <c r="B11992" s="8"/>
      <c r="G11992" s="8"/>
      <c r="M11992" s="8"/>
    </row>
    <row r="11993">
      <c r="B11993" s="8"/>
      <c r="G11993" s="8"/>
      <c r="M11993" s="8"/>
    </row>
    <row r="11994">
      <c r="B11994" s="8"/>
      <c r="G11994" s="8"/>
      <c r="M11994" s="8"/>
    </row>
    <row r="11995">
      <c r="B11995" s="8"/>
      <c r="G11995" s="8"/>
      <c r="M11995" s="8"/>
    </row>
    <row r="11996">
      <c r="B11996" s="8"/>
      <c r="G11996" s="8"/>
      <c r="M11996" s="8"/>
    </row>
    <row r="11997">
      <c r="B11997" s="8"/>
      <c r="G11997" s="8"/>
      <c r="M11997" s="8"/>
    </row>
    <row r="11998">
      <c r="B11998" s="8"/>
      <c r="G11998" s="8"/>
      <c r="M11998" s="8"/>
    </row>
    <row r="11999">
      <c r="B11999" s="8"/>
      <c r="G11999" s="8"/>
      <c r="M11999" s="8"/>
    </row>
    <row r="12000">
      <c r="B12000" s="8"/>
      <c r="G12000" s="8"/>
      <c r="M12000" s="8"/>
    </row>
    <row r="12001">
      <c r="B12001" s="8"/>
      <c r="G12001" s="8"/>
      <c r="M12001" s="8"/>
    </row>
    <row r="12002">
      <c r="B12002" s="8"/>
      <c r="G12002" s="8"/>
      <c r="M12002" s="8"/>
    </row>
    <row r="12003">
      <c r="B12003" s="8"/>
      <c r="G12003" s="8"/>
      <c r="M12003" s="8"/>
    </row>
    <row r="12004">
      <c r="B12004" s="8"/>
      <c r="G12004" s="8"/>
      <c r="M12004" s="8"/>
    </row>
    <row r="12005">
      <c r="B12005" s="8"/>
      <c r="G12005" s="8"/>
      <c r="M12005" s="8"/>
    </row>
    <row r="12006">
      <c r="B12006" s="8"/>
      <c r="G12006" s="8"/>
      <c r="M12006" s="8"/>
    </row>
    <row r="12007">
      <c r="B12007" s="8"/>
      <c r="G12007" s="8"/>
      <c r="M12007" s="8"/>
    </row>
    <row r="12008">
      <c r="B12008" s="8"/>
      <c r="G12008" s="8"/>
      <c r="M12008" s="8"/>
    </row>
    <row r="12009">
      <c r="B12009" s="8"/>
      <c r="G12009" s="8"/>
      <c r="M12009" s="8"/>
    </row>
    <row r="12010">
      <c r="B12010" s="8"/>
      <c r="G12010" s="8"/>
      <c r="M12010" s="8"/>
    </row>
    <row r="12011">
      <c r="B12011" s="8"/>
      <c r="G12011" s="8"/>
      <c r="M12011" s="8"/>
    </row>
    <row r="12012">
      <c r="B12012" s="8"/>
      <c r="G12012" s="8"/>
      <c r="M12012" s="8"/>
    </row>
    <row r="12013">
      <c r="B12013" s="8"/>
      <c r="G12013" s="8"/>
      <c r="M12013" s="8"/>
    </row>
    <row r="12014">
      <c r="B12014" s="8"/>
      <c r="G12014" s="8"/>
      <c r="M12014" s="8"/>
    </row>
    <row r="12015">
      <c r="B12015" s="8"/>
      <c r="G12015" s="8"/>
      <c r="M12015" s="8"/>
    </row>
    <row r="12016">
      <c r="B12016" s="8"/>
      <c r="G12016" s="8"/>
      <c r="M12016" s="8"/>
    </row>
    <row r="12017">
      <c r="B12017" s="8"/>
      <c r="G12017" s="8"/>
      <c r="M12017" s="8"/>
    </row>
    <row r="12018">
      <c r="B12018" s="8"/>
      <c r="G12018" s="8"/>
      <c r="M12018" s="8"/>
    </row>
    <row r="12019">
      <c r="B12019" s="8"/>
      <c r="G12019" s="8"/>
      <c r="M12019" s="8"/>
    </row>
    <row r="12020">
      <c r="B12020" s="8"/>
      <c r="G12020" s="8"/>
      <c r="M12020" s="8"/>
    </row>
    <row r="12021">
      <c r="B12021" s="8"/>
      <c r="G12021" s="8"/>
      <c r="M12021" s="8"/>
    </row>
    <row r="12022">
      <c r="B12022" s="8"/>
      <c r="G12022" s="8"/>
      <c r="M12022" s="8"/>
    </row>
    <row r="12023">
      <c r="B12023" s="8"/>
      <c r="G12023" s="8"/>
      <c r="M12023" s="8"/>
    </row>
    <row r="12024">
      <c r="B12024" s="8"/>
      <c r="G12024" s="8"/>
      <c r="M12024" s="8"/>
    </row>
    <row r="12025">
      <c r="B12025" s="8"/>
      <c r="G12025" s="8"/>
      <c r="M12025" s="8"/>
    </row>
    <row r="12026">
      <c r="B12026" s="8"/>
      <c r="G12026" s="8"/>
      <c r="M12026" s="8"/>
    </row>
    <row r="12027">
      <c r="B12027" s="8"/>
      <c r="G12027" s="8"/>
      <c r="M12027" s="8"/>
    </row>
    <row r="12028">
      <c r="B12028" s="8"/>
      <c r="G12028" s="8"/>
      <c r="M12028" s="8"/>
    </row>
    <row r="12029">
      <c r="B12029" s="8"/>
      <c r="G12029" s="8"/>
      <c r="M12029" s="8"/>
    </row>
    <row r="12030">
      <c r="B12030" s="8"/>
      <c r="G12030" s="8"/>
      <c r="M12030" s="8"/>
    </row>
    <row r="12031">
      <c r="B12031" s="8"/>
      <c r="G12031" s="8"/>
      <c r="M12031" s="8"/>
    </row>
    <row r="12032">
      <c r="B12032" s="8"/>
      <c r="G12032" s="8"/>
      <c r="M12032" s="8"/>
    </row>
    <row r="12033">
      <c r="B12033" s="8"/>
      <c r="G12033" s="8"/>
      <c r="M12033" s="8"/>
    </row>
    <row r="12034">
      <c r="B12034" s="8"/>
      <c r="G12034" s="8"/>
      <c r="M12034" s="8"/>
    </row>
    <row r="12035">
      <c r="B12035" s="8"/>
      <c r="G12035" s="8"/>
      <c r="M12035" s="8"/>
    </row>
    <row r="12036">
      <c r="B12036" s="8"/>
      <c r="G12036" s="8"/>
      <c r="M12036" s="8"/>
    </row>
    <row r="12037">
      <c r="B12037" s="8"/>
      <c r="G12037" s="8"/>
      <c r="M12037" s="8"/>
    </row>
    <row r="12038">
      <c r="B12038" s="8"/>
      <c r="G12038" s="8"/>
      <c r="M12038" s="8"/>
    </row>
    <row r="12039">
      <c r="B12039" s="8"/>
      <c r="G12039" s="8"/>
      <c r="M12039" s="8"/>
    </row>
    <row r="12040">
      <c r="B12040" s="8"/>
      <c r="G12040" s="8"/>
      <c r="M12040" s="8"/>
    </row>
    <row r="12041">
      <c r="B12041" s="8"/>
      <c r="G12041" s="8"/>
      <c r="M12041" s="8"/>
    </row>
    <row r="12042">
      <c r="B12042" s="8"/>
      <c r="G12042" s="8"/>
      <c r="M12042" s="8"/>
    </row>
    <row r="12043">
      <c r="B12043" s="8"/>
      <c r="G12043" s="8"/>
      <c r="M12043" s="8"/>
    </row>
    <row r="12044">
      <c r="B12044" s="8"/>
      <c r="G12044" s="8"/>
      <c r="M12044" s="8"/>
    </row>
    <row r="12045">
      <c r="B12045" s="8"/>
      <c r="G12045" s="8"/>
      <c r="M12045" s="8"/>
    </row>
    <row r="12046">
      <c r="B12046" s="8"/>
      <c r="G12046" s="8"/>
      <c r="M12046" s="8"/>
    </row>
    <row r="12047">
      <c r="B12047" s="8"/>
      <c r="G12047" s="8"/>
      <c r="M12047" s="8"/>
    </row>
    <row r="12048">
      <c r="B12048" s="8"/>
      <c r="G12048" s="8"/>
      <c r="M12048" s="8"/>
    </row>
    <row r="12049">
      <c r="B12049" s="8"/>
      <c r="G12049" s="8"/>
      <c r="M12049" s="8"/>
    </row>
    <row r="12050">
      <c r="B12050" s="8"/>
      <c r="G12050" s="8"/>
      <c r="M12050" s="8"/>
    </row>
    <row r="12051">
      <c r="B12051" s="8"/>
      <c r="G12051" s="8"/>
      <c r="M12051" s="8"/>
    </row>
    <row r="12052">
      <c r="B12052" s="8"/>
      <c r="G12052" s="8"/>
      <c r="M12052" s="8"/>
    </row>
    <row r="12053">
      <c r="B12053" s="8"/>
      <c r="G12053" s="8"/>
      <c r="M12053" s="8"/>
    </row>
    <row r="12054">
      <c r="B12054" s="8"/>
      <c r="G12054" s="8"/>
      <c r="M12054" s="8"/>
    </row>
    <row r="12055">
      <c r="B12055" s="8"/>
      <c r="G12055" s="8"/>
      <c r="M12055" s="8"/>
    </row>
    <row r="12056">
      <c r="B12056" s="8"/>
      <c r="G12056" s="8"/>
      <c r="M12056" s="8"/>
    </row>
    <row r="12057">
      <c r="B12057" s="8"/>
      <c r="G12057" s="8"/>
      <c r="M12057" s="8"/>
    </row>
    <row r="12058">
      <c r="B12058" s="8"/>
      <c r="G12058" s="8"/>
      <c r="M12058" s="8"/>
    </row>
    <row r="12059">
      <c r="B12059" s="8"/>
      <c r="G12059" s="8"/>
      <c r="M12059" s="8"/>
    </row>
    <row r="12060">
      <c r="B12060" s="8"/>
      <c r="G12060" s="8"/>
      <c r="M12060" s="8"/>
    </row>
    <row r="12061">
      <c r="B12061" s="8"/>
      <c r="G12061" s="8"/>
      <c r="M12061" s="8"/>
    </row>
    <row r="12062">
      <c r="B12062" s="8"/>
      <c r="G12062" s="8"/>
      <c r="M12062" s="8"/>
    </row>
    <row r="12063">
      <c r="B12063" s="8"/>
      <c r="G12063" s="8"/>
      <c r="M12063" s="8"/>
    </row>
    <row r="12064">
      <c r="B12064" s="8"/>
      <c r="G12064" s="8"/>
      <c r="M12064" s="8"/>
    </row>
    <row r="12065">
      <c r="B12065" s="8"/>
      <c r="G12065" s="8"/>
      <c r="M12065" s="8"/>
    </row>
    <row r="12066">
      <c r="B12066" s="8"/>
      <c r="G12066" s="8"/>
      <c r="M12066" s="8"/>
    </row>
    <row r="12067">
      <c r="B12067" s="8"/>
      <c r="G12067" s="8"/>
      <c r="M12067" s="8"/>
    </row>
    <row r="12068">
      <c r="B12068" s="8"/>
      <c r="G12068" s="8"/>
      <c r="M12068" s="8"/>
    </row>
    <row r="12069">
      <c r="B12069" s="8"/>
      <c r="G12069" s="8"/>
      <c r="M12069" s="8"/>
    </row>
    <row r="12070">
      <c r="B12070" s="8"/>
      <c r="G12070" s="8"/>
      <c r="M12070" s="8"/>
    </row>
    <row r="12071">
      <c r="B12071" s="8"/>
      <c r="G12071" s="8"/>
      <c r="M12071" s="8"/>
    </row>
    <row r="12072">
      <c r="B12072" s="8"/>
      <c r="G12072" s="8"/>
      <c r="M12072" s="8"/>
    </row>
    <row r="12073">
      <c r="B12073" s="8"/>
      <c r="G12073" s="8"/>
      <c r="M12073" s="8"/>
    </row>
    <row r="12074">
      <c r="B12074" s="8"/>
      <c r="G12074" s="8"/>
      <c r="M12074" s="8"/>
    </row>
    <row r="12075">
      <c r="B12075" s="8"/>
      <c r="G12075" s="8"/>
      <c r="M12075" s="8"/>
    </row>
    <row r="12076">
      <c r="B12076" s="8"/>
      <c r="G12076" s="8"/>
      <c r="M12076" s="8"/>
    </row>
    <row r="12077">
      <c r="B12077" s="8"/>
      <c r="G12077" s="8"/>
      <c r="M12077" s="8"/>
    </row>
    <row r="12078">
      <c r="B12078" s="8"/>
      <c r="G12078" s="8"/>
      <c r="M12078" s="8"/>
    </row>
    <row r="12079">
      <c r="B12079" s="8"/>
      <c r="G12079" s="8"/>
      <c r="M12079" s="8"/>
    </row>
    <row r="12080">
      <c r="B12080" s="8"/>
      <c r="G12080" s="8"/>
      <c r="M12080" s="8"/>
    </row>
    <row r="12081">
      <c r="B12081" s="8"/>
      <c r="G12081" s="8"/>
      <c r="M12081" s="8"/>
    </row>
    <row r="12082">
      <c r="B12082" s="8"/>
      <c r="G12082" s="8"/>
      <c r="M12082" s="8"/>
    </row>
    <row r="12083">
      <c r="B12083" s="8"/>
      <c r="G12083" s="8"/>
      <c r="M12083" s="8"/>
    </row>
    <row r="12084">
      <c r="B12084" s="8"/>
      <c r="G12084" s="8"/>
      <c r="M12084" s="8"/>
    </row>
    <row r="12085">
      <c r="B12085" s="8"/>
      <c r="G12085" s="8"/>
      <c r="M12085" s="8"/>
    </row>
    <row r="12086">
      <c r="B12086" s="8"/>
      <c r="G12086" s="8"/>
      <c r="M12086" s="8"/>
    </row>
    <row r="12087">
      <c r="B12087" s="8"/>
      <c r="G12087" s="8"/>
      <c r="M12087" s="8"/>
    </row>
    <row r="12088">
      <c r="B12088" s="8"/>
      <c r="G12088" s="8"/>
      <c r="M12088" s="8"/>
    </row>
    <row r="12089">
      <c r="B12089" s="8"/>
      <c r="G12089" s="8"/>
      <c r="M12089" s="8"/>
    </row>
    <row r="12090">
      <c r="B12090" s="8"/>
      <c r="G12090" s="8"/>
      <c r="M12090" s="8"/>
    </row>
    <row r="12091">
      <c r="B12091" s="8"/>
      <c r="G12091" s="8"/>
      <c r="M12091" s="8"/>
    </row>
    <row r="12092">
      <c r="B12092" s="8"/>
      <c r="G12092" s="8"/>
      <c r="M12092" s="8"/>
    </row>
    <row r="12093">
      <c r="B12093" s="8"/>
      <c r="G12093" s="8"/>
      <c r="M12093" s="8"/>
    </row>
    <row r="12094">
      <c r="B12094" s="8"/>
      <c r="G12094" s="8"/>
      <c r="M12094" s="8"/>
    </row>
    <row r="12095">
      <c r="B12095" s="8"/>
      <c r="G12095" s="8"/>
      <c r="M12095" s="8"/>
    </row>
    <row r="12096">
      <c r="B12096" s="8"/>
      <c r="G12096" s="8"/>
      <c r="M12096" s="8"/>
    </row>
    <row r="12097">
      <c r="B12097" s="8"/>
      <c r="G12097" s="8"/>
      <c r="M12097" s="8"/>
    </row>
    <row r="12098">
      <c r="B12098" s="8"/>
      <c r="G12098" s="8"/>
      <c r="M12098" s="8"/>
    </row>
    <row r="12099">
      <c r="B12099" s="8"/>
      <c r="G12099" s="8"/>
      <c r="M12099" s="8"/>
    </row>
    <row r="12100">
      <c r="B12100" s="8"/>
      <c r="G12100" s="8"/>
      <c r="M12100" s="8"/>
    </row>
    <row r="12101">
      <c r="B12101" s="8"/>
      <c r="G12101" s="8"/>
      <c r="M12101" s="8"/>
    </row>
    <row r="12102">
      <c r="B12102" s="8"/>
      <c r="G12102" s="8"/>
      <c r="M12102" s="8"/>
    </row>
    <row r="12103">
      <c r="B12103" s="8"/>
      <c r="G12103" s="8"/>
      <c r="M12103" s="8"/>
    </row>
    <row r="12104">
      <c r="B12104" s="8"/>
      <c r="G12104" s="8"/>
      <c r="M12104" s="8"/>
    </row>
    <row r="12105">
      <c r="B12105" s="8"/>
      <c r="G12105" s="8"/>
      <c r="M12105" s="8"/>
    </row>
    <row r="12106">
      <c r="B12106" s="8"/>
      <c r="G12106" s="8"/>
      <c r="M12106" s="8"/>
    </row>
    <row r="12107">
      <c r="B12107" s="8"/>
      <c r="G12107" s="8"/>
      <c r="M12107" s="8"/>
    </row>
    <row r="12108">
      <c r="B12108" s="8"/>
      <c r="G12108" s="8"/>
      <c r="M12108" s="8"/>
    </row>
    <row r="12109">
      <c r="B12109" s="8"/>
      <c r="G12109" s="8"/>
      <c r="M12109" s="8"/>
    </row>
    <row r="12110">
      <c r="B12110" s="8"/>
      <c r="G12110" s="8"/>
      <c r="M12110" s="8"/>
    </row>
    <row r="12111">
      <c r="B12111" s="8"/>
      <c r="G12111" s="8"/>
      <c r="M12111" s="8"/>
    </row>
    <row r="12112">
      <c r="B12112" s="8"/>
      <c r="G12112" s="8"/>
      <c r="M12112" s="8"/>
    </row>
    <row r="12113">
      <c r="B12113" s="8"/>
      <c r="G12113" s="8"/>
      <c r="M12113" s="8"/>
    </row>
    <row r="12114">
      <c r="B12114" s="8"/>
      <c r="G12114" s="8"/>
      <c r="M12114" s="8"/>
    </row>
    <row r="12115">
      <c r="B12115" s="8"/>
      <c r="G12115" s="8"/>
      <c r="M12115" s="8"/>
    </row>
    <row r="12116">
      <c r="B12116" s="8"/>
      <c r="G12116" s="8"/>
      <c r="M12116" s="8"/>
    </row>
    <row r="12117">
      <c r="B12117" s="8"/>
      <c r="G12117" s="8"/>
      <c r="M12117" s="8"/>
    </row>
    <row r="12118">
      <c r="B12118" s="8"/>
      <c r="G12118" s="8"/>
      <c r="M12118" s="8"/>
    </row>
    <row r="12119">
      <c r="B12119" s="8"/>
      <c r="G12119" s="8"/>
      <c r="M12119" s="8"/>
    </row>
    <row r="12120">
      <c r="B12120" s="8"/>
      <c r="G12120" s="8"/>
      <c r="M12120" s="8"/>
    </row>
    <row r="12121">
      <c r="B12121" s="8"/>
      <c r="G12121" s="8"/>
      <c r="M12121" s="8"/>
    </row>
    <row r="12122">
      <c r="B12122" s="8"/>
      <c r="G12122" s="8"/>
      <c r="M12122" s="8"/>
    </row>
    <row r="12123">
      <c r="B12123" s="8"/>
      <c r="G12123" s="8"/>
      <c r="M12123" s="8"/>
    </row>
    <row r="12124">
      <c r="B12124" s="8"/>
      <c r="G12124" s="8"/>
      <c r="M12124" s="8"/>
    </row>
    <row r="12125">
      <c r="B12125" s="8"/>
      <c r="G12125" s="8"/>
      <c r="M12125" s="8"/>
    </row>
    <row r="12126">
      <c r="B12126" s="8"/>
      <c r="G12126" s="8"/>
      <c r="M12126" s="8"/>
    </row>
    <row r="12127">
      <c r="B12127" s="8"/>
      <c r="G12127" s="8"/>
      <c r="M12127" s="8"/>
    </row>
    <row r="12128">
      <c r="B12128" s="8"/>
      <c r="G12128" s="8"/>
      <c r="M12128" s="8"/>
    </row>
    <row r="12129">
      <c r="B12129" s="8"/>
      <c r="G12129" s="8"/>
      <c r="M12129" s="8"/>
    </row>
    <row r="12130">
      <c r="B12130" s="8"/>
      <c r="G12130" s="8"/>
      <c r="M12130" s="8"/>
    </row>
    <row r="12131">
      <c r="B12131" s="8"/>
      <c r="G12131" s="8"/>
      <c r="M12131" s="8"/>
    </row>
    <row r="12132">
      <c r="B12132" s="8"/>
      <c r="G12132" s="8"/>
      <c r="M12132" s="8"/>
    </row>
    <row r="12133">
      <c r="B12133" s="8"/>
      <c r="G12133" s="8"/>
      <c r="M12133" s="8"/>
    </row>
    <row r="12134">
      <c r="B12134" s="8"/>
      <c r="G12134" s="8"/>
      <c r="M12134" s="8"/>
    </row>
    <row r="12135">
      <c r="B12135" s="8"/>
      <c r="G12135" s="8"/>
      <c r="M12135" s="8"/>
    </row>
    <row r="12136">
      <c r="B12136" s="8"/>
      <c r="G12136" s="8"/>
      <c r="M12136" s="8"/>
    </row>
    <row r="12137">
      <c r="B12137" s="8"/>
      <c r="G12137" s="8"/>
      <c r="M12137" s="8"/>
    </row>
    <row r="12138">
      <c r="B12138" s="8"/>
      <c r="G12138" s="8"/>
      <c r="M12138" s="8"/>
    </row>
    <row r="12139">
      <c r="B12139" s="8"/>
      <c r="G12139" s="8"/>
      <c r="M12139" s="8"/>
    </row>
    <row r="12140">
      <c r="B12140" s="8"/>
      <c r="G12140" s="8"/>
      <c r="M12140" s="8"/>
    </row>
    <row r="12141">
      <c r="B12141" s="8"/>
      <c r="G12141" s="8"/>
      <c r="M12141" s="8"/>
    </row>
    <row r="12142">
      <c r="B12142" s="8"/>
      <c r="G12142" s="8"/>
      <c r="M12142" s="8"/>
    </row>
    <row r="12143">
      <c r="B12143" s="8"/>
      <c r="G12143" s="8"/>
      <c r="M12143" s="8"/>
    </row>
    <row r="12144">
      <c r="B12144" s="8"/>
      <c r="G12144" s="8"/>
      <c r="M12144" s="8"/>
    </row>
    <row r="12145">
      <c r="B12145" s="8"/>
      <c r="G12145" s="8"/>
      <c r="M12145" s="8"/>
    </row>
    <row r="12146">
      <c r="B12146" s="8"/>
      <c r="G12146" s="8"/>
      <c r="M12146" s="8"/>
    </row>
    <row r="12147">
      <c r="B12147" s="8"/>
      <c r="G12147" s="8"/>
      <c r="M12147" s="8"/>
    </row>
    <row r="12148">
      <c r="B12148" s="8"/>
      <c r="G12148" s="8"/>
      <c r="M12148" s="8"/>
    </row>
    <row r="12149">
      <c r="B12149" s="8"/>
      <c r="G12149" s="8"/>
      <c r="M12149" s="8"/>
    </row>
    <row r="12150">
      <c r="B12150" s="8"/>
      <c r="G12150" s="8"/>
      <c r="M12150" s="8"/>
    </row>
    <row r="12151">
      <c r="B12151" s="8"/>
      <c r="G12151" s="8"/>
      <c r="M12151" s="8"/>
    </row>
    <row r="12152">
      <c r="B12152" s="8"/>
      <c r="G12152" s="8"/>
      <c r="M12152" s="8"/>
    </row>
    <row r="12153">
      <c r="B12153" s="8"/>
      <c r="G12153" s="8"/>
      <c r="M12153" s="8"/>
    </row>
    <row r="12154">
      <c r="B12154" s="8"/>
      <c r="G12154" s="8"/>
      <c r="M12154" s="8"/>
    </row>
    <row r="12155">
      <c r="B12155" s="8"/>
      <c r="G12155" s="8"/>
      <c r="M12155" s="8"/>
    </row>
    <row r="12156">
      <c r="B12156" s="8"/>
      <c r="G12156" s="8"/>
      <c r="M12156" s="8"/>
    </row>
    <row r="12157">
      <c r="B12157" s="8"/>
      <c r="G12157" s="8"/>
      <c r="M12157" s="8"/>
    </row>
    <row r="12158">
      <c r="B12158" s="8"/>
      <c r="G12158" s="8"/>
      <c r="M12158" s="8"/>
    </row>
    <row r="12159">
      <c r="B12159" s="8"/>
      <c r="G12159" s="8"/>
      <c r="M12159" s="8"/>
    </row>
    <row r="12160">
      <c r="B12160" s="8"/>
      <c r="G12160" s="8"/>
      <c r="M12160" s="8"/>
    </row>
    <row r="12161">
      <c r="B12161" s="8"/>
      <c r="G12161" s="8"/>
      <c r="M12161" s="8"/>
    </row>
    <row r="12162">
      <c r="B12162" s="8"/>
      <c r="G12162" s="8"/>
      <c r="M12162" s="8"/>
    </row>
    <row r="12163">
      <c r="B12163" s="8"/>
      <c r="G12163" s="8"/>
      <c r="M12163" s="8"/>
    </row>
    <row r="12164">
      <c r="B12164" s="8"/>
      <c r="G12164" s="8"/>
      <c r="M12164" s="8"/>
    </row>
    <row r="12165">
      <c r="B12165" s="8"/>
      <c r="G12165" s="8"/>
      <c r="M12165" s="8"/>
    </row>
    <row r="12166">
      <c r="B12166" s="8"/>
      <c r="G12166" s="8"/>
      <c r="M12166" s="8"/>
    </row>
    <row r="12167">
      <c r="B12167" s="8"/>
      <c r="G12167" s="8"/>
      <c r="M12167" s="8"/>
    </row>
    <row r="12168">
      <c r="B12168" s="8"/>
      <c r="G12168" s="8"/>
      <c r="M12168" s="8"/>
    </row>
    <row r="12169">
      <c r="B12169" s="8"/>
      <c r="G12169" s="8"/>
      <c r="M12169" s="8"/>
    </row>
    <row r="12170">
      <c r="B12170" s="8"/>
      <c r="G12170" s="8"/>
      <c r="M12170" s="8"/>
    </row>
    <row r="12171">
      <c r="B12171" s="8"/>
      <c r="G12171" s="8"/>
      <c r="M12171" s="8"/>
    </row>
    <row r="12172">
      <c r="B12172" s="8"/>
      <c r="G12172" s="8"/>
      <c r="M12172" s="8"/>
    </row>
    <row r="12173">
      <c r="B12173" s="8"/>
      <c r="G12173" s="8"/>
      <c r="M12173" s="8"/>
    </row>
    <row r="12174">
      <c r="B12174" s="8"/>
      <c r="G12174" s="8"/>
      <c r="M12174" s="8"/>
    </row>
    <row r="12175">
      <c r="B12175" s="8"/>
      <c r="G12175" s="8"/>
      <c r="M12175" s="8"/>
    </row>
    <row r="12176">
      <c r="B12176" s="8"/>
      <c r="G12176" s="8"/>
      <c r="M12176" s="8"/>
    </row>
    <row r="12177">
      <c r="B12177" s="8"/>
      <c r="G12177" s="8"/>
      <c r="M12177" s="8"/>
    </row>
    <row r="12178">
      <c r="B12178" s="8"/>
      <c r="G12178" s="8"/>
      <c r="M12178" s="8"/>
    </row>
    <row r="12179">
      <c r="B12179" s="8"/>
      <c r="G12179" s="8"/>
      <c r="M12179" s="8"/>
    </row>
    <row r="12180">
      <c r="B12180" s="8"/>
      <c r="G12180" s="8"/>
      <c r="M12180" s="8"/>
    </row>
    <row r="12181">
      <c r="B12181" s="8"/>
      <c r="G12181" s="8"/>
      <c r="M12181" s="8"/>
    </row>
    <row r="12182">
      <c r="B12182" s="8"/>
      <c r="G12182" s="8"/>
      <c r="M12182" s="8"/>
    </row>
    <row r="12183">
      <c r="B12183" s="8"/>
      <c r="G12183" s="8"/>
      <c r="M12183" s="8"/>
    </row>
    <row r="12184">
      <c r="B12184" s="8"/>
      <c r="G12184" s="8"/>
      <c r="M12184" s="8"/>
    </row>
    <row r="12185">
      <c r="B12185" s="8"/>
      <c r="G12185" s="8"/>
      <c r="M12185" s="8"/>
    </row>
    <row r="12186">
      <c r="B12186" s="8"/>
      <c r="G12186" s="8"/>
      <c r="M12186" s="8"/>
    </row>
    <row r="12187">
      <c r="B12187" s="8"/>
      <c r="G12187" s="8"/>
      <c r="M12187" s="8"/>
    </row>
    <row r="12188">
      <c r="B12188" s="8"/>
      <c r="G12188" s="8"/>
      <c r="M12188" s="8"/>
    </row>
    <row r="12189">
      <c r="B12189" s="8"/>
      <c r="G12189" s="8"/>
      <c r="M12189" s="8"/>
    </row>
    <row r="12190">
      <c r="B12190" s="8"/>
      <c r="G12190" s="8"/>
      <c r="M12190" s="8"/>
    </row>
    <row r="12191">
      <c r="B12191" s="8"/>
      <c r="G12191" s="8"/>
      <c r="M12191" s="8"/>
    </row>
    <row r="12192">
      <c r="B12192" s="8"/>
      <c r="G12192" s="8"/>
      <c r="M12192" s="8"/>
    </row>
    <row r="12193">
      <c r="B12193" s="8"/>
      <c r="G12193" s="8"/>
      <c r="M12193" s="8"/>
    </row>
    <row r="12194">
      <c r="B12194" s="8"/>
      <c r="G12194" s="8"/>
      <c r="M12194" s="8"/>
    </row>
    <row r="12195">
      <c r="B12195" s="8"/>
      <c r="G12195" s="8"/>
      <c r="M12195" s="8"/>
    </row>
    <row r="12196">
      <c r="B12196" s="8"/>
      <c r="G12196" s="8"/>
      <c r="M12196" s="8"/>
    </row>
    <row r="12197">
      <c r="B12197" s="8"/>
      <c r="G12197" s="8"/>
      <c r="M12197" s="8"/>
    </row>
    <row r="12198">
      <c r="B12198" s="8"/>
      <c r="G12198" s="8"/>
      <c r="M12198" s="8"/>
    </row>
    <row r="12199">
      <c r="B12199" s="8"/>
      <c r="G12199" s="8"/>
      <c r="M12199" s="8"/>
    </row>
    <row r="12200">
      <c r="B12200" s="8"/>
      <c r="G12200" s="8"/>
      <c r="M12200" s="8"/>
    </row>
    <row r="12201">
      <c r="B12201" s="8"/>
      <c r="G12201" s="8"/>
      <c r="M12201" s="8"/>
    </row>
    <row r="12202">
      <c r="B12202" s="8"/>
      <c r="G12202" s="8"/>
      <c r="M12202" s="8"/>
    </row>
    <row r="12203">
      <c r="B12203" s="8"/>
      <c r="G12203" s="8"/>
      <c r="M12203" s="8"/>
    </row>
    <row r="12204">
      <c r="B12204" s="8"/>
      <c r="G12204" s="8"/>
      <c r="M12204" s="8"/>
    </row>
    <row r="12205">
      <c r="B12205" s="8"/>
      <c r="G12205" s="8"/>
      <c r="M12205" s="8"/>
    </row>
    <row r="12206">
      <c r="B12206" s="8"/>
      <c r="G12206" s="8"/>
      <c r="M12206" s="8"/>
    </row>
    <row r="12207">
      <c r="B12207" s="8"/>
      <c r="G12207" s="8"/>
      <c r="M12207" s="8"/>
    </row>
    <row r="12208">
      <c r="B12208" s="8"/>
      <c r="G12208" s="8"/>
      <c r="M12208" s="8"/>
    </row>
    <row r="12209">
      <c r="B12209" s="8"/>
      <c r="G12209" s="8"/>
      <c r="M12209" s="8"/>
    </row>
    <row r="12210">
      <c r="B12210" s="8"/>
      <c r="G12210" s="8"/>
      <c r="M12210" s="8"/>
    </row>
    <row r="12211">
      <c r="B12211" s="8"/>
      <c r="G12211" s="8"/>
      <c r="M12211" s="8"/>
    </row>
    <row r="12212">
      <c r="B12212" s="8"/>
      <c r="G12212" s="8"/>
      <c r="M12212" s="8"/>
    </row>
    <row r="12213">
      <c r="B12213" s="8"/>
      <c r="G12213" s="8"/>
      <c r="M12213" s="8"/>
    </row>
    <row r="12214">
      <c r="B12214" s="8"/>
      <c r="G12214" s="8"/>
      <c r="M12214" s="8"/>
    </row>
    <row r="12215">
      <c r="B12215" s="8"/>
      <c r="G12215" s="8"/>
      <c r="M12215" s="8"/>
    </row>
    <row r="12216">
      <c r="B12216" s="8"/>
      <c r="G12216" s="8"/>
      <c r="M12216" s="8"/>
    </row>
    <row r="12217">
      <c r="B12217" s="8"/>
      <c r="G12217" s="8"/>
      <c r="M12217" s="8"/>
    </row>
    <row r="12218">
      <c r="B12218" s="8"/>
      <c r="G12218" s="8"/>
      <c r="M12218" s="8"/>
    </row>
    <row r="12219">
      <c r="B12219" s="8"/>
      <c r="G12219" s="8"/>
      <c r="M12219" s="8"/>
    </row>
    <row r="12220">
      <c r="B12220" s="8"/>
      <c r="G12220" s="8"/>
      <c r="M12220" s="8"/>
    </row>
    <row r="12221">
      <c r="B12221" s="8"/>
      <c r="G12221" s="8"/>
      <c r="M12221" s="8"/>
    </row>
    <row r="12222">
      <c r="B12222" s="8"/>
      <c r="G12222" s="8"/>
      <c r="M12222" s="8"/>
    </row>
    <row r="12223">
      <c r="B12223" s="8"/>
      <c r="G12223" s="8"/>
      <c r="M12223" s="8"/>
    </row>
    <row r="12224">
      <c r="B12224" s="8"/>
      <c r="G12224" s="8"/>
      <c r="M12224" s="8"/>
    </row>
    <row r="12225">
      <c r="B12225" s="8"/>
      <c r="G12225" s="8"/>
      <c r="M12225" s="8"/>
    </row>
    <row r="12226">
      <c r="B12226" s="8"/>
      <c r="G12226" s="8"/>
      <c r="M12226" s="8"/>
    </row>
    <row r="12227">
      <c r="B12227" s="8"/>
      <c r="G12227" s="8"/>
      <c r="M12227" s="8"/>
    </row>
    <row r="12228">
      <c r="B12228" s="8"/>
      <c r="G12228" s="8"/>
      <c r="M12228" s="8"/>
    </row>
    <row r="12229">
      <c r="B12229" s="8"/>
      <c r="G12229" s="8"/>
      <c r="M12229" s="8"/>
    </row>
    <row r="12230">
      <c r="B12230" s="8"/>
      <c r="G12230" s="8"/>
      <c r="M12230" s="8"/>
    </row>
    <row r="12231">
      <c r="B12231" s="8"/>
      <c r="G12231" s="8"/>
      <c r="M12231" s="8"/>
    </row>
    <row r="12232">
      <c r="B12232" s="8"/>
      <c r="G12232" s="8"/>
      <c r="M12232" s="8"/>
    </row>
    <row r="12233">
      <c r="B12233" s="8"/>
      <c r="G12233" s="8"/>
      <c r="M12233" s="8"/>
    </row>
    <row r="12234">
      <c r="B12234" s="8"/>
      <c r="G12234" s="8"/>
      <c r="M12234" s="8"/>
    </row>
    <row r="12235">
      <c r="B12235" s="8"/>
      <c r="G12235" s="8"/>
      <c r="M12235" s="8"/>
    </row>
    <row r="12236">
      <c r="B12236" s="8"/>
      <c r="G12236" s="8"/>
      <c r="M12236" s="8"/>
    </row>
    <row r="12237">
      <c r="B12237" s="8"/>
      <c r="G12237" s="8"/>
      <c r="M12237" s="8"/>
    </row>
    <row r="12238">
      <c r="B12238" s="8"/>
      <c r="G12238" s="8"/>
      <c r="M12238" s="8"/>
    </row>
    <row r="12239">
      <c r="B12239" s="8"/>
      <c r="G12239" s="8"/>
      <c r="M12239" s="8"/>
    </row>
    <row r="12240">
      <c r="B12240" s="8"/>
      <c r="G12240" s="8"/>
      <c r="M12240" s="8"/>
    </row>
    <row r="12241">
      <c r="B12241" s="8"/>
      <c r="G12241" s="8"/>
      <c r="M12241" s="8"/>
    </row>
    <row r="12242">
      <c r="B12242" s="8"/>
      <c r="G12242" s="8"/>
      <c r="M12242" s="8"/>
    </row>
    <row r="12243">
      <c r="B12243" s="8"/>
      <c r="G12243" s="8"/>
      <c r="M12243" s="8"/>
    </row>
    <row r="12244">
      <c r="B12244" s="8"/>
      <c r="G12244" s="8"/>
      <c r="M12244" s="8"/>
    </row>
    <row r="12245">
      <c r="B12245" s="8"/>
      <c r="G12245" s="8"/>
      <c r="M12245" s="8"/>
    </row>
    <row r="12246">
      <c r="B12246" s="8"/>
      <c r="G12246" s="8"/>
      <c r="M12246" s="8"/>
    </row>
    <row r="12247">
      <c r="B12247" s="8"/>
      <c r="G12247" s="8"/>
      <c r="M12247" s="8"/>
    </row>
    <row r="12248">
      <c r="B12248" s="8"/>
      <c r="G12248" s="8"/>
      <c r="M12248" s="8"/>
    </row>
    <row r="12249">
      <c r="B12249" s="8"/>
      <c r="G12249" s="8"/>
      <c r="M12249" s="8"/>
    </row>
    <row r="12250">
      <c r="B12250" s="8"/>
      <c r="G12250" s="8"/>
      <c r="M12250" s="8"/>
    </row>
    <row r="12251">
      <c r="B12251" s="8"/>
      <c r="G12251" s="8"/>
      <c r="M12251" s="8"/>
    </row>
    <row r="12252">
      <c r="B12252" s="8"/>
      <c r="G12252" s="8"/>
      <c r="M12252" s="8"/>
    </row>
    <row r="12253">
      <c r="B12253" s="8"/>
      <c r="G12253" s="8"/>
      <c r="M12253" s="8"/>
    </row>
    <row r="12254">
      <c r="B12254" s="8"/>
      <c r="G12254" s="8"/>
      <c r="M12254" s="8"/>
    </row>
    <row r="12255">
      <c r="B12255" s="8"/>
      <c r="G12255" s="8"/>
      <c r="M12255" s="8"/>
    </row>
    <row r="12256">
      <c r="B12256" s="8"/>
      <c r="G12256" s="8"/>
      <c r="M12256" s="8"/>
    </row>
    <row r="12257">
      <c r="B12257" s="8"/>
      <c r="G12257" s="8"/>
      <c r="M12257" s="8"/>
    </row>
    <row r="12258">
      <c r="B12258" s="8"/>
      <c r="G12258" s="8"/>
      <c r="M12258" s="8"/>
    </row>
    <row r="12259">
      <c r="B12259" s="8"/>
      <c r="G12259" s="8"/>
      <c r="M12259" s="8"/>
    </row>
    <row r="12260">
      <c r="B12260" s="8"/>
      <c r="G12260" s="8"/>
      <c r="M12260" s="8"/>
    </row>
    <row r="12261">
      <c r="B12261" s="8"/>
      <c r="G12261" s="8"/>
      <c r="M12261" s="8"/>
    </row>
    <row r="12262">
      <c r="B12262" s="8"/>
      <c r="G12262" s="8"/>
      <c r="M12262" s="8"/>
    </row>
    <row r="12263">
      <c r="B12263" s="8"/>
      <c r="G12263" s="8"/>
      <c r="M12263" s="8"/>
    </row>
    <row r="12264">
      <c r="B12264" s="8"/>
      <c r="G12264" s="8"/>
      <c r="M12264" s="8"/>
    </row>
    <row r="12265">
      <c r="B12265" s="8"/>
      <c r="G12265" s="8"/>
      <c r="M12265" s="8"/>
    </row>
    <row r="12266">
      <c r="B12266" s="8"/>
      <c r="G12266" s="8"/>
      <c r="M12266" s="8"/>
    </row>
    <row r="12267">
      <c r="B12267" s="8"/>
      <c r="G12267" s="8"/>
      <c r="M12267" s="8"/>
    </row>
    <row r="12268">
      <c r="B12268" s="8"/>
      <c r="G12268" s="8"/>
      <c r="M12268" s="8"/>
    </row>
    <row r="12269">
      <c r="B12269" s="8"/>
      <c r="G12269" s="8"/>
      <c r="M12269" s="8"/>
    </row>
    <row r="12270">
      <c r="B12270" s="8"/>
      <c r="G12270" s="8"/>
      <c r="M12270" s="8"/>
    </row>
    <row r="12271">
      <c r="B12271" s="8"/>
      <c r="G12271" s="8"/>
      <c r="M12271" s="8"/>
    </row>
    <row r="12272">
      <c r="B12272" s="8"/>
      <c r="G12272" s="8"/>
      <c r="M12272" s="8"/>
    </row>
    <row r="12273">
      <c r="B12273" s="8"/>
      <c r="G12273" s="8"/>
      <c r="M12273" s="8"/>
    </row>
    <row r="12274">
      <c r="B12274" s="8"/>
      <c r="G12274" s="8"/>
      <c r="M12274" s="8"/>
    </row>
    <row r="12275">
      <c r="B12275" s="8"/>
      <c r="G12275" s="8"/>
      <c r="M12275" s="8"/>
    </row>
    <row r="12276">
      <c r="B12276" s="8"/>
      <c r="G12276" s="8"/>
      <c r="M12276" s="8"/>
    </row>
    <row r="12277">
      <c r="B12277" s="8"/>
      <c r="G12277" s="8"/>
      <c r="M12277" s="8"/>
    </row>
    <row r="12278">
      <c r="B12278" s="8"/>
      <c r="G12278" s="8"/>
      <c r="M12278" s="8"/>
    </row>
    <row r="12279">
      <c r="B12279" s="8"/>
      <c r="G12279" s="8"/>
      <c r="M12279" s="8"/>
    </row>
    <row r="12280">
      <c r="B12280" s="8"/>
      <c r="G12280" s="8"/>
      <c r="M12280" s="8"/>
    </row>
    <row r="12281">
      <c r="B12281" s="8"/>
      <c r="G12281" s="8"/>
      <c r="M12281" s="8"/>
    </row>
    <row r="12282">
      <c r="B12282" s="8"/>
      <c r="G12282" s="8"/>
      <c r="M12282" s="8"/>
    </row>
    <row r="12283">
      <c r="B12283" s="8"/>
      <c r="G12283" s="8"/>
      <c r="M12283" s="8"/>
    </row>
    <row r="12284">
      <c r="B12284" s="8"/>
      <c r="G12284" s="8"/>
      <c r="M12284" s="8"/>
    </row>
    <row r="12285">
      <c r="B12285" s="8"/>
      <c r="G12285" s="8"/>
      <c r="M12285" s="8"/>
    </row>
    <row r="12286">
      <c r="B12286" s="8"/>
      <c r="G12286" s="8"/>
      <c r="M12286" s="8"/>
    </row>
    <row r="12287">
      <c r="B12287" s="8"/>
      <c r="G12287" s="8"/>
      <c r="M12287" s="8"/>
    </row>
    <row r="12288">
      <c r="B12288" s="8"/>
      <c r="G12288" s="8"/>
      <c r="M12288" s="8"/>
    </row>
    <row r="12289">
      <c r="B12289" s="8"/>
      <c r="G12289" s="8"/>
      <c r="M12289" s="8"/>
    </row>
    <row r="12290">
      <c r="B12290" s="8"/>
      <c r="G12290" s="8"/>
      <c r="M12290" s="8"/>
    </row>
    <row r="12291">
      <c r="B12291" s="8"/>
      <c r="G12291" s="8"/>
      <c r="M12291" s="8"/>
    </row>
    <row r="12292">
      <c r="B12292" s="8"/>
      <c r="G12292" s="8"/>
      <c r="M12292" s="8"/>
    </row>
    <row r="12293">
      <c r="B12293" s="8"/>
      <c r="G12293" s="8"/>
      <c r="M12293" s="8"/>
    </row>
    <row r="12294">
      <c r="B12294" s="8"/>
      <c r="G12294" s="8"/>
      <c r="M12294" s="8"/>
    </row>
    <row r="12295">
      <c r="B12295" s="8"/>
      <c r="G12295" s="8"/>
      <c r="M12295" s="8"/>
    </row>
    <row r="12296">
      <c r="B12296" s="8"/>
      <c r="G12296" s="8"/>
      <c r="M12296" s="8"/>
    </row>
    <row r="12297">
      <c r="B12297" s="8"/>
      <c r="G12297" s="8"/>
      <c r="M12297" s="8"/>
    </row>
    <row r="12298">
      <c r="B12298" s="8"/>
      <c r="G12298" s="8"/>
      <c r="M12298" s="8"/>
    </row>
    <row r="12299">
      <c r="B12299" s="8"/>
      <c r="G12299" s="8"/>
      <c r="M12299" s="8"/>
    </row>
    <row r="12300">
      <c r="B12300" s="8"/>
      <c r="G12300" s="8"/>
      <c r="M12300" s="8"/>
    </row>
    <row r="12301">
      <c r="B12301" s="8"/>
      <c r="G12301" s="8"/>
      <c r="M12301" s="8"/>
    </row>
    <row r="12302">
      <c r="B12302" s="8"/>
      <c r="G12302" s="8"/>
      <c r="M12302" s="8"/>
    </row>
    <row r="12303">
      <c r="B12303" s="8"/>
      <c r="G12303" s="8"/>
      <c r="M12303" s="8"/>
    </row>
    <row r="12304">
      <c r="B12304" s="8"/>
      <c r="G12304" s="8"/>
      <c r="M12304" s="8"/>
    </row>
    <row r="12305">
      <c r="B12305" s="8"/>
      <c r="G12305" s="8"/>
      <c r="M12305" s="8"/>
    </row>
    <row r="12306">
      <c r="B12306" s="8"/>
      <c r="G12306" s="8"/>
      <c r="M12306" s="8"/>
    </row>
    <row r="12307">
      <c r="B12307" s="8"/>
      <c r="G12307" s="8"/>
      <c r="M12307" s="8"/>
    </row>
    <row r="12308">
      <c r="B12308" s="8"/>
      <c r="G12308" s="8"/>
      <c r="M12308" s="8"/>
    </row>
    <row r="12309">
      <c r="B12309" s="8"/>
      <c r="G12309" s="8"/>
      <c r="M12309" s="8"/>
    </row>
    <row r="12310">
      <c r="B12310" s="8"/>
      <c r="G12310" s="8"/>
      <c r="M12310" s="8"/>
    </row>
    <row r="12311">
      <c r="B12311" s="8"/>
      <c r="G12311" s="8"/>
      <c r="M12311" s="8"/>
    </row>
    <row r="12312">
      <c r="B12312" s="8"/>
      <c r="G12312" s="8"/>
      <c r="M12312" s="8"/>
    </row>
    <row r="12313">
      <c r="B12313" s="8"/>
      <c r="G12313" s="8"/>
      <c r="M12313" s="8"/>
    </row>
    <row r="12314">
      <c r="B12314" s="8"/>
      <c r="G12314" s="8"/>
      <c r="M12314" s="8"/>
    </row>
    <row r="12315">
      <c r="B12315" s="8"/>
      <c r="G12315" s="8"/>
      <c r="M12315" s="8"/>
    </row>
    <row r="12316">
      <c r="B12316" s="8"/>
      <c r="G12316" s="8"/>
      <c r="M12316" s="8"/>
    </row>
    <row r="12317">
      <c r="B12317" s="8"/>
      <c r="G12317" s="8"/>
      <c r="M12317" s="8"/>
    </row>
    <row r="12318">
      <c r="B12318" s="8"/>
      <c r="G12318" s="8"/>
      <c r="M12318" s="8"/>
    </row>
    <row r="12319">
      <c r="B12319" s="8"/>
      <c r="G12319" s="8"/>
      <c r="M12319" s="8"/>
    </row>
    <row r="12320">
      <c r="B12320" s="8"/>
      <c r="G12320" s="8"/>
      <c r="M12320" s="8"/>
    </row>
    <row r="12321">
      <c r="B12321" s="8"/>
      <c r="G12321" s="8"/>
      <c r="M12321" s="8"/>
    </row>
    <row r="12322">
      <c r="B12322" s="8"/>
      <c r="G12322" s="8"/>
      <c r="M12322" s="8"/>
    </row>
    <row r="12323">
      <c r="B12323" s="8"/>
      <c r="G12323" s="8"/>
      <c r="M12323" s="8"/>
    </row>
    <row r="12324">
      <c r="B12324" s="8"/>
      <c r="G12324" s="8"/>
      <c r="M12324" s="8"/>
    </row>
    <row r="12325">
      <c r="B12325" s="8"/>
      <c r="G12325" s="8"/>
      <c r="M12325" s="8"/>
    </row>
    <row r="12326">
      <c r="B12326" s="8"/>
      <c r="G12326" s="8"/>
      <c r="M12326" s="8"/>
    </row>
    <row r="12327">
      <c r="B12327" s="8"/>
      <c r="G12327" s="8"/>
      <c r="M12327" s="8"/>
    </row>
    <row r="12328">
      <c r="B12328" s="8"/>
      <c r="G12328" s="8"/>
      <c r="M12328" s="8"/>
    </row>
    <row r="12329">
      <c r="B12329" s="8"/>
      <c r="G12329" s="8"/>
      <c r="M12329" s="8"/>
    </row>
    <row r="12330">
      <c r="B12330" s="8"/>
      <c r="G12330" s="8"/>
      <c r="M12330" s="8"/>
    </row>
    <row r="12331">
      <c r="B12331" s="8"/>
      <c r="G12331" s="8"/>
      <c r="M12331" s="8"/>
    </row>
    <row r="12332">
      <c r="B12332" s="8"/>
      <c r="G12332" s="8"/>
      <c r="M12332" s="8"/>
    </row>
    <row r="12333">
      <c r="B12333" s="8"/>
      <c r="G12333" s="8"/>
      <c r="M12333" s="8"/>
    </row>
    <row r="12334">
      <c r="B12334" s="8"/>
      <c r="G12334" s="8"/>
      <c r="M12334" s="8"/>
    </row>
    <row r="12335">
      <c r="B12335" s="8"/>
      <c r="G12335" s="8"/>
      <c r="M12335" s="8"/>
    </row>
    <row r="12336">
      <c r="B12336" s="8"/>
      <c r="G12336" s="8"/>
      <c r="M12336" s="8"/>
    </row>
    <row r="12337">
      <c r="B12337" s="8"/>
      <c r="G12337" s="8"/>
      <c r="M12337" s="8"/>
    </row>
    <row r="12338">
      <c r="B12338" s="8"/>
      <c r="G12338" s="8"/>
      <c r="M12338" s="8"/>
    </row>
    <row r="12339">
      <c r="B12339" s="8"/>
      <c r="G12339" s="8"/>
      <c r="M12339" s="8"/>
    </row>
    <row r="12340">
      <c r="B12340" s="8"/>
      <c r="G12340" s="8"/>
      <c r="M12340" s="8"/>
    </row>
    <row r="12341">
      <c r="B12341" s="8"/>
      <c r="G12341" s="8"/>
      <c r="M12341" s="8"/>
    </row>
    <row r="12342">
      <c r="B12342" s="8"/>
      <c r="G12342" s="8"/>
      <c r="M12342" s="8"/>
    </row>
    <row r="12343">
      <c r="B12343" s="8"/>
      <c r="G12343" s="8"/>
      <c r="M12343" s="8"/>
    </row>
    <row r="12344">
      <c r="B12344" s="8"/>
      <c r="G12344" s="8"/>
      <c r="M12344" s="8"/>
    </row>
    <row r="12345">
      <c r="B12345" s="8"/>
      <c r="G12345" s="8"/>
      <c r="M12345" s="8"/>
    </row>
    <row r="12346">
      <c r="B12346" s="8"/>
      <c r="G12346" s="8"/>
      <c r="M12346" s="8"/>
    </row>
    <row r="12347">
      <c r="B12347" s="8"/>
      <c r="G12347" s="8"/>
      <c r="M12347" s="8"/>
    </row>
    <row r="12348">
      <c r="B12348" s="8"/>
      <c r="G12348" s="8"/>
      <c r="M12348" s="8"/>
    </row>
    <row r="12349">
      <c r="B12349" s="8"/>
      <c r="G12349" s="8"/>
      <c r="M12349" s="8"/>
    </row>
    <row r="12350">
      <c r="B12350" s="8"/>
      <c r="G12350" s="8"/>
      <c r="M12350" s="8"/>
    </row>
    <row r="12351">
      <c r="B12351" s="8"/>
      <c r="G12351" s="8"/>
      <c r="M12351" s="8"/>
    </row>
    <row r="12352">
      <c r="B12352" s="8"/>
      <c r="G12352" s="8"/>
      <c r="M12352" s="8"/>
    </row>
    <row r="12353">
      <c r="B12353" s="8"/>
      <c r="G12353" s="8"/>
      <c r="M12353" s="8"/>
    </row>
    <row r="12354">
      <c r="B12354" s="8"/>
      <c r="G12354" s="8"/>
      <c r="M12354" s="8"/>
    </row>
    <row r="12355">
      <c r="B12355" s="8"/>
      <c r="G12355" s="8"/>
      <c r="M12355" s="8"/>
    </row>
    <row r="12356">
      <c r="B12356" s="8"/>
      <c r="G12356" s="8"/>
      <c r="M12356" s="8"/>
    </row>
    <row r="12357">
      <c r="B12357" s="8"/>
      <c r="G12357" s="8"/>
      <c r="M12357" s="8"/>
    </row>
    <row r="12358">
      <c r="B12358" s="8"/>
      <c r="G12358" s="8"/>
      <c r="M12358" s="8"/>
    </row>
    <row r="12359">
      <c r="B12359" s="8"/>
      <c r="G12359" s="8"/>
      <c r="M12359" s="8"/>
    </row>
    <row r="12360">
      <c r="B12360" s="8"/>
      <c r="G12360" s="8"/>
      <c r="M12360" s="8"/>
    </row>
    <row r="12361">
      <c r="B12361" s="8"/>
      <c r="G12361" s="8"/>
      <c r="M12361" s="8"/>
    </row>
    <row r="12362">
      <c r="B12362" s="8"/>
      <c r="G12362" s="8"/>
      <c r="M12362" s="8"/>
    </row>
    <row r="12363">
      <c r="B12363" s="8"/>
      <c r="G12363" s="8"/>
      <c r="M12363" s="8"/>
    </row>
    <row r="12364">
      <c r="B12364" s="8"/>
      <c r="G12364" s="8"/>
      <c r="M12364" s="8"/>
    </row>
    <row r="12365">
      <c r="B12365" s="8"/>
      <c r="G12365" s="8"/>
      <c r="M12365" s="8"/>
    </row>
    <row r="12366">
      <c r="B12366" s="8"/>
      <c r="G12366" s="8"/>
      <c r="M12366" s="8"/>
    </row>
    <row r="12367">
      <c r="B12367" s="8"/>
      <c r="G12367" s="8"/>
      <c r="M12367" s="8"/>
    </row>
    <row r="12368">
      <c r="B12368" s="8"/>
      <c r="G12368" s="8"/>
      <c r="M12368" s="8"/>
    </row>
    <row r="12369">
      <c r="B12369" s="8"/>
      <c r="G12369" s="8"/>
      <c r="M12369" s="8"/>
    </row>
    <row r="12370">
      <c r="B12370" s="8"/>
      <c r="G12370" s="8"/>
      <c r="M12370" s="8"/>
    </row>
    <row r="12371">
      <c r="B12371" s="8"/>
      <c r="G12371" s="8"/>
      <c r="M12371" s="8"/>
    </row>
    <row r="12372">
      <c r="B12372" s="8"/>
      <c r="G12372" s="8"/>
      <c r="M12372" s="8"/>
    </row>
    <row r="12373">
      <c r="B12373" s="8"/>
      <c r="G12373" s="8"/>
      <c r="M12373" s="8"/>
    </row>
    <row r="12374">
      <c r="B12374" s="8"/>
      <c r="G12374" s="8"/>
      <c r="M12374" s="8"/>
    </row>
    <row r="12375">
      <c r="B12375" s="8"/>
      <c r="G12375" s="8"/>
      <c r="M12375" s="8"/>
    </row>
    <row r="12376">
      <c r="B12376" s="8"/>
      <c r="G12376" s="8"/>
      <c r="M12376" s="8"/>
    </row>
    <row r="12377">
      <c r="B12377" s="8"/>
      <c r="G12377" s="8"/>
      <c r="M12377" s="8"/>
    </row>
    <row r="12378">
      <c r="B12378" s="8"/>
      <c r="G12378" s="8"/>
      <c r="M12378" s="8"/>
    </row>
    <row r="12379">
      <c r="B12379" s="8"/>
      <c r="G12379" s="8"/>
      <c r="M12379" s="8"/>
    </row>
    <row r="12380">
      <c r="B12380" s="8"/>
      <c r="G12380" s="8"/>
      <c r="M12380" s="8"/>
    </row>
    <row r="12381">
      <c r="B12381" s="8"/>
      <c r="G12381" s="8"/>
      <c r="M12381" s="8"/>
    </row>
    <row r="12382">
      <c r="B12382" s="8"/>
      <c r="G12382" s="8"/>
      <c r="M12382" s="8"/>
    </row>
    <row r="12383">
      <c r="B12383" s="8"/>
      <c r="G12383" s="8"/>
      <c r="M12383" s="8"/>
    </row>
    <row r="12384">
      <c r="B12384" s="8"/>
      <c r="G12384" s="8"/>
      <c r="M12384" s="8"/>
    </row>
    <row r="12385">
      <c r="B12385" s="8"/>
      <c r="G12385" s="8"/>
      <c r="M12385" s="8"/>
    </row>
    <row r="12386">
      <c r="B12386" s="8"/>
      <c r="G12386" s="8"/>
      <c r="M12386" s="8"/>
    </row>
    <row r="12387">
      <c r="B12387" s="8"/>
      <c r="G12387" s="8"/>
      <c r="M12387" s="8"/>
    </row>
    <row r="12388">
      <c r="B12388" s="8"/>
      <c r="G12388" s="8"/>
      <c r="M12388" s="8"/>
    </row>
    <row r="12389">
      <c r="B12389" s="8"/>
      <c r="G12389" s="8"/>
      <c r="M12389" s="8"/>
    </row>
    <row r="12390">
      <c r="B12390" s="8"/>
      <c r="G12390" s="8"/>
      <c r="M12390" s="8"/>
    </row>
    <row r="12391">
      <c r="B12391" s="8"/>
      <c r="G12391" s="8"/>
      <c r="M12391" s="8"/>
    </row>
    <row r="12392">
      <c r="B12392" s="8"/>
      <c r="G12392" s="8"/>
      <c r="M12392" s="8"/>
    </row>
    <row r="12393">
      <c r="B12393" s="8"/>
      <c r="G12393" s="8"/>
      <c r="M12393" s="8"/>
    </row>
    <row r="12394">
      <c r="B12394" s="8"/>
      <c r="G12394" s="8"/>
      <c r="M12394" s="8"/>
    </row>
    <row r="12395">
      <c r="B12395" s="8"/>
      <c r="G12395" s="8"/>
      <c r="M12395" s="8"/>
    </row>
    <row r="12396">
      <c r="B12396" s="8"/>
      <c r="G12396" s="8"/>
      <c r="M12396" s="8"/>
    </row>
    <row r="12397">
      <c r="B12397" s="8"/>
      <c r="G12397" s="8"/>
      <c r="M12397" s="8"/>
    </row>
    <row r="12398">
      <c r="B12398" s="8"/>
      <c r="G12398" s="8"/>
      <c r="M12398" s="8"/>
    </row>
    <row r="12399">
      <c r="B12399" s="8"/>
      <c r="G12399" s="8"/>
      <c r="M12399" s="8"/>
    </row>
    <row r="12400">
      <c r="B12400" s="8"/>
      <c r="G12400" s="8"/>
      <c r="M12400" s="8"/>
    </row>
    <row r="12401">
      <c r="B12401" s="8"/>
      <c r="G12401" s="8"/>
      <c r="M12401" s="8"/>
    </row>
    <row r="12402">
      <c r="B12402" s="8"/>
      <c r="G12402" s="8"/>
      <c r="M12402" s="8"/>
    </row>
    <row r="12403">
      <c r="B12403" s="8"/>
      <c r="G12403" s="8"/>
      <c r="M12403" s="8"/>
    </row>
    <row r="12404">
      <c r="B12404" s="8"/>
      <c r="G12404" s="8"/>
      <c r="M12404" s="8"/>
    </row>
    <row r="12405">
      <c r="B12405" s="8"/>
      <c r="G12405" s="8"/>
      <c r="M12405" s="8"/>
    </row>
    <row r="12406">
      <c r="B12406" s="8"/>
      <c r="G12406" s="8"/>
      <c r="M12406" s="8"/>
    </row>
    <row r="12407">
      <c r="B12407" s="8"/>
      <c r="G12407" s="8"/>
      <c r="M12407" s="8"/>
    </row>
    <row r="12408">
      <c r="B12408" s="8"/>
      <c r="G12408" s="8"/>
      <c r="M12408" s="8"/>
    </row>
    <row r="12409">
      <c r="B12409" s="8"/>
      <c r="G12409" s="8"/>
      <c r="M12409" s="8"/>
    </row>
    <row r="12410">
      <c r="B12410" s="8"/>
      <c r="G12410" s="8"/>
      <c r="M12410" s="8"/>
    </row>
    <row r="12411">
      <c r="B12411" s="8"/>
      <c r="G12411" s="8"/>
      <c r="M12411" s="8"/>
    </row>
    <row r="12412">
      <c r="B12412" s="8"/>
      <c r="G12412" s="8"/>
      <c r="M12412" s="8"/>
    </row>
    <row r="12413">
      <c r="B12413" s="8"/>
      <c r="G12413" s="8"/>
      <c r="M12413" s="8"/>
    </row>
    <row r="12414">
      <c r="B12414" s="8"/>
      <c r="G12414" s="8"/>
      <c r="M12414" s="8"/>
    </row>
    <row r="12415">
      <c r="B12415" s="8"/>
      <c r="G12415" s="8"/>
      <c r="M12415" s="8"/>
    </row>
    <row r="12416">
      <c r="B12416" s="8"/>
      <c r="G12416" s="8"/>
      <c r="M12416" s="8"/>
    </row>
    <row r="12417">
      <c r="B12417" s="8"/>
      <c r="G12417" s="8"/>
      <c r="M12417" s="8"/>
    </row>
    <row r="12418">
      <c r="B12418" s="8"/>
      <c r="G12418" s="8"/>
      <c r="M12418" s="8"/>
    </row>
    <row r="12419">
      <c r="B12419" s="8"/>
      <c r="G12419" s="8"/>
      <c r="M12419" s="8"/>
    </row>
    <row r="12420">
      <c r="B12420" s="8"/>
      <c r="G12420" s="8"/>
      <c r="M12420" s="8"/>
    </row>
    <row r="12421">
      <c r="B12421" s="8"/>
      <c r="G12421" s="8"/>
      <c r="M12421" s="8"/>
    </row>
    <row r="12422">
      <c r="B12422" s="8"/>
      <c r="G12422" s="8"/>
      <c r="M12422" s="8"/>
    </row>
    <row r="12423">
      <c r="B12423" s="8"/>
      <c r="G12423" s="8"/>
      <c r="M12423" s="8"/>
    </row>
    <row r="12424">
      <c r="B12424" s="8"/>
      <c r="G12424" s="8"/>
      <c r="M12424" s="8"/>
    </row>
    <row r="12425">
      <c r="B12425" s="8"/>
      <c r="G12425" s="8"/>
      <c r="M12425" s="8"/>
    </row>
    <row r="12426">
      <c r="B12426" s="8"/>
      <c r="G12426" s="8"/>
      <c r="M12426" s="8"/>
    </row>
    <row r="12427">
      <c r="B12427" s="8"/>
      <c r="G12427" s="8"/>
      <c r="M12427" s="8"/>
    </row>
    <row r="12428">
      <c r="B12428" s="8"/>
      <c r="G12428" s="8"/>
      <c r="M12428" s="8"/>
    </row>
    <row r="12429">
      <c r="B12429" s="8"/>
      <c r="G12429" s="8"/>
      <c r="M12429" s="8"/>
    </row>
    <row r="12430">
      <c r="B12430" s="8"/>
      <c r="G12430" s="8"/>
      <c r="M12430" s="8"/>
    </row>
    <row r="12431">
      <c r="B12431" s="8"/>
      <c r="G12431" s="8"/>
      <c r="M12431" s="8"/>
    </row>
    <row r="12432">
      <c r="B12432" s="8"/>
      <c r="G12432" s="8"/>
      <c r="M12432" s="8"/>
    </row>
    <row r="12433">
      <c r="B12433" s="8"/>
      <c r="G12433" s="8"/>
      <c r="M12433" s="8"/>
    </row>
    <row r="12434">
      <c r="B12434" s="8"/>
      <c r="G12434" s="8"/>
      <c r="M12434" s="8"/>
    </row>
    <row r="12435">
      <c r="B12435" s="8"/>
      <c r="G12435" s="8"/>
      <c r="M12435" s="8"/>
    </row>
    <row r="12436">
      <c r="B12436" s="8"/>
      <c r="G12436" s="8"/>
      <c r="M12436" s="8"/>
    </row>
    <row r="12437">
      <c r="B12437" s="8"/>
      <c r="G12437" s="8"/>
      <c r="M12437" s="8"/>
    </row>
    <row r="12438">
      <c r="B12438" s="8"/>
      <c r="G12438" s="8"/>
      <c r="M12438" s="8"/>
    </row>
    <row r="12439">
      <c r="B12439" s="8"/>
      <c r="G12439" s="8"/>
      <c r="M12439" s="8"/>
    </row>
    <row r="12440">
      <c r="B12440" s="8"/>
      <c r="G12440" s="8"/>
      <c r="M12440" s="8"/>
    </row>
    <row r="12441">
      <c r="B12441" s="8"/>
      <c r="G12441" s="8"/>
      <c r="M12441" s="8"/>
    </row>
    <row r="12442">
      <c r="B12442" s="8"/>
      <c r="G12442" s="8"/>
      <c r="M12442" s="8"/>
    </row>
    <row r="12443">
      <c r="B12443" s="8"/>
      <c r="G12443" s="8"/>
      <c r="M12443" s="8"/>
    </row>
    <row r="12444">
      <c r="B12444" s="8"/>
      <c r="G12444" s="8"/>
      <c r="M12444" s="8"/>
    </row>
    <row r="12445">
      <c r="B12445" s="8"/>
      <c r="G12445" s="8"/>
      <c r="M12445" s="8"/>
    </row>
    <row r="12446">
      <c r="B12446" s="8"/>
      <c r="G12446" s="8"/>
      <c r="M12446" s="8"/>
    </row>
    <row r="12447">
      <c r="B12447" s="8"/>
      <c r="G12447" s="8"/>
      <c r="M12447" s="8"/>
    </row>
    <row r="12448">
      <c r="B12448" s="8"/>
      <c r="G12448" s="8"/>
      <c r="M12448" s="8"/>
    </row>
    <row r="12449">
      <c r="B12449" s="8"/>
      <c r="G12449" s="8"/>
      <c r="M12449" s="8"/>
    </row>
    <row r="12450">
      <c r="B12450" s="8"/>
      <c r="G12450" s="8"/>
      <c r="M12450" s="8"/>
    </row>
    <row r="12451">
      <c r="B12451" s="8"/>
      <c r="G12451" s="8"/>
      <c r="M12451" s="8"/>
    </row>
    <row r="12452">
      <c r="B12452" s="8"/>
      <c r="G12452" s="8"/>
      <c r="M12452" s="8"/>
    </row>
    <row r="12453">
      <c r="B12453" s="8"/>
      <c r="G12453" s="8"/>
      <c r="M12453" s="8"/>
    </row>
    <row r="12454">
      <c r="B12454" s="8"/>
      <c r="G12454" s="8"/>
      <c r="M12454" s="8"/>
    </row>
    <row r="12455">
      <c r="B12455" s="8"/>
      <c r="G12455" s="8"/>
      <c r="M12455" s="8"/>
    </row>
    <row r="12456">
      <c r="B12456" s="8"/>
      <c r="G12456" s="8"/>
      <c r="M12456" s="8"/>
    </row>
    <row r="12457">
      <c r="B12457" s="8"/>
      <c r="G12457" s="8"/>
      <c r="M12457" s="8"/>
    </row>
    <row r="12458">
      <c r="B12458" s="8"/>
      <c r="G12458" s="8"/>
      <c r="M12458" s="8"/>
    </row>
    <row r="12459">
      <c r="B12459" s="8"/>
      <c r="G12459" s="8"/>
      <c r="M12459" s="8"/>
    </row>
    <row r="12460">
      <c r="B12460" s="8"/>
      <c r="G12460" s="8"/>
      <c r="M12460" s="8"/>
    </row>
    <row r="12461">
      <c r="B12461" s="8"/>
      <c r="G12461" s="8"/>
      <c r="M12461" s="8"/>
    </row>
    <row r="12462">
      <c r="B12462" s="8"/>
      <c r="G12462" s="8"/>
      <c r="M12462" s="8"/>
    </row>
    <row r="12463">
      <c r="B12463" s="8"/>
      <c r="G12463" s="8"/>
      <c r="M12463" s="8"/>
    </row>
    <row r="12464">
      <c r="B12464" s="8"/>
      <c r="G12464" s="8"/>
      <c r="M12464" s="8"/>
    </row>
    <row r="12465">
      <c r="B12465" s="8"/>
      <c r="G12465" s="8"/>
      <c r="M12465" s="8"/>
    </row>
    <row r="12466">
      <c r="B12466" s="8"/>
      <c r="G12466" s="8"/>
      <c r="M12466" s="8"/>
    </row>
    <row r="12467">
      <c r="B12467" s="8"/>
      <c r="G12467" s="8"/>
      <c r="M12467" s="8"/>
    </row>
    <row r="12468">
      <c r="B12468" s="8"/>
      <c r="G12468" s="8"/>
      <c r="M12468" s="8"/>
    </row>
    <row r="12469">
      <c r="B12469" s="8"/>
      <c r="G12469" s="8"/>
      <c r="M12469" s="8"/>
    </row>
    <row r="12470">
      <c r="B12470" s="8"/>
      <c r="G12470" s="8"/>
      <c r="M12470" s="8"/>
    </row>
    <row r="12471">
      <c r="B12471" s="8"/>
      <c r="G12471" s="8"/>
      <c r="M12471" s="8"/>
    </row>
    <row r="12472">
      <c r="B12472" s="8"/>
      <c r="G12472" s="8"/>
      <c r="M12472" s="8"/>
    </row>
    <row r="12473">
      <c r="B12473" s="8"/>
      <c r="G12473" s="8"/>
      <c r="M12473" s="8"/>
    </row>
    <row r="12474">
      <c r="B12474" s="8"/>
      <c r="G12474" s="8"/>
      <c r="M12474" s="8"/>
    </row>
    <row r="12475">
      <c r="B12475" s="8"/>
      <c r="G12475" s="8"/>
      <c r="M12475" s="8"/>
    </row>
    <row r="12476">
      <c r="B12476" s="8"/>
      <c r="G12476" s="8"/>
      <c r="M12476" s="8"/>
    </row>
    <row r="12477">
      <c r="B12477" s="8"/>
      <c r="G12477" s="8"/>
      <c r="M12477" s="8"/>
    </row>
    <row r="12478">
      <c r="B12478" s="8"/>
      <c r="G12478" s="8"/>
      <c r="M12478" s="8"/>
    </row>
    <row r="12479">
      <c r="B12479" s="8"/>
      <c r="G12479" s="8"/>
      <c r="M12479" s="8"/>
    </row>
    <row r="12480">
      <c r="B12480" s="8"/>
      <c r="G12480" s="8"/>
      <c r="M12480" s="8"/>
    </row>
    <row r="12481">
      <c r="B12481" s="8"/>
      <c r="G12481" s="8"/>
      <c r="M12481" s="8"/>
    </row>
    <row r="12482">
      <c r="B12482" s="8"/>
      <c r="G12482" s="8"/>
      <c r="M12482" s="8"/>
    </row>
    <row r="12483">
      <c r="B12483" s="8"/>
      <c r="G12483" s="8"/>
      <c r="M12483" s="8"/>
    </row>
    <row r="12484">
      <c r="B12484" s="8"/>
      <c r="G12484" s="8"/>
      <c r="M12484" s="8"/>
    </row>
    <row r="12485">
      <c r="B12485" s="8"/>
      <c r="G12485" s="8"/>
      <c r="M12485" s="8"/>
    </row>
    <row r="12486">
      <c r="B12486" s="8"/>
      <c r="G12486" s="8"/>
      <c r="M12486" s="8"/>
    </row>
    <row r="12487">
      <c r="B12487" s="8"/>
      <c r="G12487" s="8"/>
      <c r="M12487" s="8"/>
    </row>
    <row r="12488">
      <c r="B12488" s="8"/>
      <c r="G12488" s="8"/>
      <c r="M12488" s="8"/>
    </row>
    <row r="12489">
      <c r="B12489" s="8"/>
      <c r="G12489" s="8"/>
      <c r="M12489" s="8"/>
    </row>
    <row r="12490">
      <c r="B12490" s="8"/>
      <c r="G12490" s="8"/>
      <c r="M12490" s="8"/>
    </row>
    <row r="12491">
      <c r="B12491" s="8"/>
      <c r="G12491" s="8"/>
      <c r="M12491" s="8"/>
    </row>
    <row r="12492">
      <c r="B12492" s="8"/>
      <c r="G12492" s="8"/>
      <c r="M12492" s="8"/>
    </row>
    <row r="12493">
      <c r="B12493" s="8"/>
      <c r="G12493" s="8"/>
      <c r="M12493" s="8"/>
    </row>
    <row r="12494">
      <c r="B12494" s="8"/>
      <c r="G12494" s="8"/>
      <c r="M12494" s="8"/>
    </row>
    <row r="12495">
      <c r="B12495" s="8"/>
      <c r="G12495" s="8"/>
      <c r="M12495" s="8"/>
    </row>
    <row r="12496">
      <c r="B12496" s="8"/>
      <c r="G12496" s="8"/>
      <c r="M12496" s="8"/>
    </row>
    <row r="12497">
      <c r="B12497" s="8"/>
      <c r="G12497" s="8"/>
      <c r="M12497" s="8"/>
    </row>
    <row r="12498">
      <c r="B12498" s="8"/>
      <c r="G12498" s="8"/>
      <c r="M12498" s="8"/>
    </row>
    <row r="12499">
      <c r="B12499" s="8"/>
      <c r="G12499" s="8"/>
      <c r="M12499" s="8"/>
    </row>
    <row r="12500">
      <c r="B12500" s="8"/>
      <c r="G12500" s="8"/>
      <c r="M12500" s="8"/>
    </row>
    <row r="12501">
      <c r="B12501" s="8"/>
      <c r="G12501" s="8"/>
      <c r="M12501" s="8"/>
    </row>
    <row r="12502">
      <c r="B12502" s="8"/>
      <c r="G12502" s="8"/>
      <c r="M12502" s="8"/>
    </row>
    <row r="12503">
      <c r="B12503" s="8"/>
      <c r="G12503" s="8"/>
      <c r="M12503" s="8"/>
    </row>
    <row r="12504">
      <c r="B12504" s="8"/>
      <c r="G12504" s="8"/>
      <c r="M12504" s="8"/>
    </row>
    <row r="12505">
      <c r="B12505" s="8"/>
      <c r="G12505" s="8"/>
      <c r="M12505" s="8"/>
    </row>
    <row r="12506">
      <c r="B12506" s="8"/>
      <c r="G12506" s="8"/>
      <c r="M12506" s="8"/>
    </row>
    <row r="12507">
      <c r="B12507" s="8"/>
      <c r="G12507" s="8"/>
      <c r="M12507" s="8"/>
    </row>
    <row r="12508">
      <c r="B12508" s="8"/>
      <c r="G12508" s="8"/>
      <c r="M12508" s="8"/>
    </row>
    <row r="12509">
      <c r="B12509" s="8"/>
      <c r="G12509" s="8"/>
      <c r="M12509" s="8"/>
    </row>
    <row r="12510">
      <c r="B12510" s="8"/>
      <c r="G12510" s="8"/>
      <c r="M12510" s="8"/>
    </row>
    <row r="12511">
      <c r="B12511" s="8"/>
      <c r="G12511" s="8"/>
      <c r="M12511" s="8"/>
    </row>
    <row r="12512">
      <c r="B12512" s="8"/>
      <c r="G12512" s="8"/>
      <c r="M12512" s="8"/>
    </row>
    <row r="12513">
      <c r="B12513" s="8"/>
      <c r="G12513" s="8"/>
      <c r="M12513" s="8"/>
    </row>
    <row r="12514">
      <c r="B12514" s="8"/>
      <c r="G12514" s="8"/>
      <c r="M12514" s="8"/>
    </row>
    <row r="12515">
      <c r="B12515" s="8"/>
      <c r="G12515" s="8"/>
      <c r="M12515" s="8"/>
    </row>
    <row r="12516">
      <c r="B12516" s="8"/>
      <c r="G12516" s="8"/>
      <c r="M12516" s="8"/>
    </row>
    <row r="12517">
      <c r="B12517" s="8"/>
      <c r="G12517" s="8"/>
      <c r="M12517" s="8"/>
    </row>
    <row r="12518">
      <c r="B12518" s="8"/>
      <c r="G12518" s="8"/>
      <c r="M12518" s="8"/>
    </row>
    <row r="12519">
      <c r="B12519" s="8"/>
      <c r="G12519" s="8"/>
      <c r="M12519" s="8"/>
    </row>
    <row r="12520">
      <c r="B12520" s="8"/>
      <c r="G12520" s="8"/>
      <c r="M12520" s="8"/>
    </row>
    <row r="12521">
      <c r="B12521" s="8"/>
      <c r="G12521" s="8"/>
      <c r="M12521" s="8"/>
    </row>
    <row r="12522">
      <c r="B12522" s="8"/>
      <c r="G12522" s="8"/>
      <c r="M12522" s="8"/>
    </row>
    <row r="12523">
      <c r="B12523" s="8"/>
      <c r="G12523" s="8"/>
      <c r="M12523" s="8"/>
    </row>
    <row r="12524">
      <c r="B12524" s="8"/>
      <c r="G12524" s="8"/>
      <c r="M12524" s="8"/>
    </row>
    <row r="12525">
      <c r="B12525" s="8"/>
      <c r="G12525" s="8"/>
      <c r="M12525" s="8"/>
    </row>
    <row r="12526">
      <c r="B12526" s="8"/>
      <c r="G12526" s="8"/>
      <c r="M12526" s="8"/>
    </row>
    <row r="12527">
      <c r="B12527" s="8"/>
      <c r="G12527" s="8"/>
      <c r="M12527" s="8"/>
    </row>
    <row r="12528">
      <c r="B12528" s="8"/>
      <c r="G12528" s="8"/>
      <c r="M12528" s="8"/>
    </row>
    <row r="12529">
      <c r="B12529" s="8"/>
      <c r="G12529" s="8"/>
      <c r="M12529" s="8"/>
    </row>
    <row r="12530">
      <c r="B12530" s="8"/>
      <c r="G12530" s="8"/>
      <c r="M12530" s="8"/>
    </row>
    <row r="12531">
      <c r="B12531" s="8"/>
      <c r="G12531" s="8"/>
      <c r="M12531" s="8"/>
    </row>
    <row r="12532">
      <c r="B12532" s="8"/>
      <c r="G12532" s="8"/>
      <c r="M12532" s="8"/>
    </row>
    <row r="12533">
      <c r="B12533" s="8"/>
      <c r="G12533" s="8"/>
      <c r="M12533" s="8"/>
    </row>
    <row r="12534">
      <c r="B12534" s="8"/>
      <c r="G12534" s="8"/>
      <c r="M12534" s="8"/>
    </row>
    <row r="12535">
      <c r="B12535" s="8"/>
      <c r="G12535" s="8"/>
      <c r="M12535" s="8"/>
    </row>
    <row r="12536">
      <c r="B12536" s="8"/>
      <c r="G12536" s="8"/>
      <c r="M12536" s="8"/>
    </row>
    <row r="12537">
      <c r="B12537" s="8"/>
      <c r="G12537" s="8"/>
      <c r="M12537" s="8"/>
    </row>
    <row r="12538">
      <c r="B12538" s="8"/>
      <c r="G12538" s="8"/>
      <c r="M12538" s="8"/>
    </row>
    <row r="12539">
      <c r="B12539" s="8"/>
      <c r="G12539" s="8"/>
      <c r="M12539" s="8"/>
    </row>
    <row r="12540">
      <c r="B12540" s="8"/>
      <c r="G12540" s="8"/>
      <c r="M12540" s="8"/>
    </row>
    <row r="12541">
      <c r="B12541" s="8"/>
      <c r="G12541" s="8"/>
      <c r="M12541" s="8"/>
    </row>
    <row r="12542">
      <c r="B12542" s="8"/>
      <c r="G12542" s="8"/>
      <c r="M12542" s="8"/>
    </row>
    <row r="12543">
      <c r="B12543" s="8"/>
      <c r="G12543" s="8"/>
      <c r="M12543" s="8"/>
    </row>
    <row r="12544">
      <c r="B12544" s="8"/>
      <c r="G12544" s="8"/>
      <c r="M12544" s="8"/>
    </row>
    <row r="12545">
      <c r="B12545" s="8"/>
      <c r="G12545" s="8"/>
      <c r="M12545" s="8"/>
    </row>
    <row r="12546">
      <c r="B12546" s="8"/>
      <c r="G12546" s="8"/>
      <c r="M12546" s="8"/>
    </row>
    <row r="12547">
      <c r="B12547" s="8"/>
      <c r="G12547" s="8"/>
      <c r="M12547" s="8"/>
    </row>
    <row r="12548">
      <c r="B12548" s="8"/>
      <c r="G12548" s="8"/>
      <c r="M12548" s="8"/>
    </row>
    <row r="12549">
      <c r="B12549" s="8"/>
      <c r="G12549" s="8"/>
      <c r="M12549" s="8"/>
    </row>
    <row r="12550">
      <c r="B12550" s="8"/>
      <c r="G12550" s="8"/>
      <c r="M12550" s="8"/>
    </row>
    <row r="12551">
      <c r="B12551" s="8"/>
      <c r="G12551" s="8"/>
      <c r="M12551" s="8"/>
    </row>
    <row r="12552">
      <c r="B12552" s="8"/>
      <c r="G12552" s="8"/>
      <c r="M12552" s="8"/>
    </row>
    <row r="12553">
      <c r="B12553" s="8"/>
      <c r="G12553" s="8"/>
      <c r="M12553" s="8"/>
    </row>
    <row r="12554">
      <c r="B12554" s="8"/>
      <c r="G12554" s="8"/>
      <c r="M12554" s="8"/>
    </row>
    <row r="12555">
      <c r="B12555" s="8"/>
      <c r="G12555" s="8"/>
      <c r="M12555" s="8"/>
    </row>
    <row r="12556">
      <c r="B12556" s="8"/>
      <c r="G12556" s="8"/>
      <c r="M12556" s="8"/>
    </row>
    <row r="12557">
      <c r="B12557" s="8"/>
      <c r="G12557" s="8"/>
      <c r="M12557" s="8"/>
    </row>
    <row r="12558">
      <c r="B12558" s="8"/>
      <c r="G12558" s="8"/>
      <c r="M12558" s="8"/>
    </row>
    <row r="12559">
      <c r="B12559" s="8"/>
      <c r="G12559" s="8"/>
      <c r="M12559" s="8"/>
    </row>
    <row r="12560">
      <c r="B12560" s="8"/>
      <c r="G12560" s="8"/>
      <c r="M12560" s="8"/>
    </row>
    <row r="12561">
      <c r="B12561" s="8"/>
      <c r="G12561" s="8"/>
      <c r="M12561" s="8"/>
    </row>
    <row r="12562">
      <c r="B12562" s="8"/>
      <c r="G12562" s="8"/>
      <c r="M12562" s="8"/>
    </row>
    <row r="12563">
      <c r="B12563" s="8"/>
      <c r="G12563" s="8"/>
      <c r="M12563" s="8"/>
    </row>
    <row r="12564">
      <c r="B12564" s="8"/>
      <c r="G12564" s="8"/>
      <c r="M12564" s="8"/>
    </row>
    <row r="12565">
      <c r="B12565" s="8"/>
      <c r="G12565" s="8"/>
      <c r="M12565" s="8"/>
    </row>
    <row r="12566">
      <c r="B12566" s="8"/>
      <c r="G12566" s="8"/>
      <c r="M12566" s="8"/>
    </row>
    <row r="12567">
      <c r="B12567" s="8"/>
      <c r="G12567" s="8"/>
      <c r="M12567" s="8"/>
    </row>
    <row r="12568">
      <c r="B12568" s="8"/>
      <c r="G12568" s="8"/>
      <c r="M12568" s="8"/>
    </row>
    <row r="12569">
      <c r="B12569" s="8"/>
      <c r="G12569" s="8"/>
      <c r="M12569" s="8"/>
    </row>
    <row r="12570">
      <c r="B12570" s="8"/>
      <c r="G12570" s="8"/>
      <c r="M12570" s="8"/>
    </row>
    <row r="12571">
      <c r="B12571" s="8"/>
      <c r="G12571" s="8"/>
      <c r="M12571" s="8"/>
    </row>
    <row r="12572">
      <c r="B12572" s="8"/>
      <c r="G12572" s="8"/>
      <c r="M12572" s="8"/>
    </row>
    <row r="12573">
      <c r="B12573" s="8"/>
      <c r="G12573" s="8"/>
      <c r="M12573" s="8"/>
    </row>
    <row r="12574">
      <c r="B12574" s="8"/>
      <c r="G12574" s="8"/>
      <c r="M12574" s="8"/>
    </row>
    <row r="12575">
      <c r="B12575" s="8"/>
      <c r="G12575" s="8"/>
      <c r="M12575" s="8"/>
    </row>
    <row r="12576">
      <c r="B12576" s="8"/>
      <c r="G12576" s="8"/>
      <c r="M12576" s="8"/>
    </row>
    <row r="12577">
      <c r="B12577" s="8"/>
      <c r="G12577" s="8"/>
      <c r="M12577" s="8"/>
    </row>
    <row r="12578">
      <c r="B12578" s="8"/>
      <c r="G12578" s="8"/>
      <c r="M12578" s="8"/>
    </row>
    <row r="12579">
      <c r="B12579" s="8"/>
      <c r="G12579" s="8"/>
      <c r="M12579" s="8"/>
    </row>
    <row r="12580">
      <c r="B12580" s="8"/>
      <c r="G12580" s="8"/>
      <c r="M12580" s="8"/>
    </row>
    <row r="12581">
      <c r="B12581" s="8"/>
      <c r="G12581" s="8"/>
      <c r="M12581" s="8"/>
    </row>
    <row r="12582">
      <c r="B12582" s="8"/>
      <c r="G12582" s="8"/>
      <c r="M12582" s="8"/>
    </row>
    <row r="12583">
      <c r="B12583" s="8"/>
      <c r="G12583" s="8"/>
      <c r="M12583" s="8"/>
    </row>
    <row r="12584">
      <c r="B12584" s="8"/>
      <c r="G12584" s="8"/>
      <c r="M12584" s="8"/>
    </row>
    <row r="12585">
      <c r="B12585" s="8"/>
      <c r="G12585" s="8"/>
      <c r="M12585" s="8"/>
    </row>
    <row r="12586">
      <c r="B12586" s="8"/>
      <c r="G12586" s="8"/>
      <c r="M12586" s="8"/>
    </row>
    <row r="12587">
      <c r="B12587" s="8"/>
      <c r="G12587" s="8"/>
      <c r="M12587" s="8"/>
    </row>
    <row r="12588">
      <c r="B12588" s="8"/>
      <c r="G12588" s="8"/>
      <c r="M12588" s="8"/>
    </row>
    <row r="12589">
      <c r="B12589" s="8"/>
      <c r="G12589" s="8"/>
      <c r="M12589" s="8"/>
    </row>
    <row r="12590">
      <c r="B12590" s="8"/>
      <c r="G12590" s="8"/>
      <c r="M12590" s="8"/>
    </row>
    <row r="12591">
      <c r="B12591" s="8"/>
      <c r="G12591" s="8"/>
      <c r="M12591" s="8"/>
    </row>
    <row r="12592">
      <c r="B12592" s="8"/>
      <c r="G12592" s="8"/>
      <c r="M12592" s="8"/>
    </row>
    <row r="12593">
      <c r="B12593" s="8"/>
      <c r="G12593" s="8"/>
      <c r="M12593" s="8"/>
    </row>
    <row r="12594">
      <c r="B12594" s="8"/>
      <c r="G12594" s="8"/>
      <c r="M12594" s="8"/>
    </row>
    <row r="12595">
      <c r="B12595" s="8"/>
      <c r="G12595" s="8"/>
      <c r="M12595" s="8"/>
    </row>
    <row r="12596">
      <c r="B12596" s="8"/>
      <c r="G12596" s="8"/>
      <c r="M12596" s="8"/>
    </row>
    <row r="12597">
      <c r="B12597" s="8"/>
      <c r="G12597" s="8"/>
      <c r="M12597" s="8"/>
    </row>
    <row r="12598">
      <c r="B12598" s="8"/>
      <c r="G12598" s="8"/>
      <c r="M12598" s="8"/>
    </row>
    <row r="12599">
      <c r="B12599" s="8"/>
      <c r="G12599" s="8"/>
      <c r="M12599" s="8"/>
    </row>
    <row r="12600">
      <c r="B12600" s="8"/>
      <c r="G12600" s="8"/>
      <c r="M12600" s="8"/>
    </row>
    <row r="12601">
      <c r="B12601" s="8"/>
      <c r="G12601" s="8"/>
      <c r="M12601" s="8"/>
    </row>
    <row r="12602">
      <c r="B12602" s="8"/>
      <c r="G12602" s="8"/>
      <c r="M12602" s="8"/>
    </row>
    <row r="12603">
      <c r="B12603" s="8"/>
      <c r="G12603" s="8"/>
      <c r="M12603" s="8"/>
    </row>
    <row r="12604">
      <c r="B12604" s="8"/>
      <c r="G12604" s="8"/>
      <c r="M12604" s="8"/>
    </row>
    <row r="12605">
      <c r="B12605" s="8"/>
      <c r="G12605" s="8"/>
      <c r="M12605" s="8"/>
    </row>
    <row r="12606">
      <c r="B12606" s="8"/>
      <c r="G12606" s="8"/>
      <c r="M12606" s="8"/>
    </row>
    <row r="12607">
      <c r="B12607" s="8"/>
      <c r="G12607" s="8"/>
      <c r="M12607" s="8"/>
    </row>
    <row r="12608">
      <c r="B12608" s="8"/>
      <c r="G12608" s="8"/>
      <c r="M12608" s="8"/>
    </row>
    <row r="12609">
      <c r="B12609" s="8"/>
      <c r="G12609" s="8"/>
      <c r="M12609" s="8"/>
    </row>
    <row r="12610">
      <c r="B12610" s="8"/>
      <c r="G12610" s="8"/>
      <c r="M12610" s="8"/>
    </row>
    <row r="12611">
      <c r="B12611" s="8"/>
      <c r="G12611" s="8"/>
      <c r="M12611" s="8"/>
    </row>
    <row r="12612">
      <c r="B12612" s="8"/>
      <c r="G12612" s="8"/>
      <c r="M12612" s="8"/>
    </row>
    <row r="12613">
      <c r="B12613" s="8"/>
      <c r="G12613" s="8"/>
      <c r="M12613" s="8"/>
    </row>
    <row r="12614">
      <c r="B12614" s="8"/>
      <c r="G12614" s="8"/>
      <c r="M12614" s="8"/>
    </row>
    <row r="12615">
      <c r="B12615" s="8"/>
      <c r="G12615" s="8"/>
      <c r="M12615" s="8"/>
    </row>
    <row r="12616">
      <c r="B12616" s="8"/>
      <c r="G12616" s="8"/>
      <c r="M12616" s="8"/>
    </row>
    <row r="12617">
      <c r="B12617" s="8"/>
      <c r="G12617" s="8"/>
      <c r="M12617" s="8"/>
    </row>
    <row r="12618">
      <c r="B12618" s="8"/>
      <c r="G12618" s="8"/>
      <c r="M12618" s="8"/>
    </row>
    <row r="12619">
      <c r="B12619" s="8"/>
      <c r="G12619" s="8"/>
      <c r="M12619" s="8"/>
    </row>
    <row r="12620">
      <c r="B12620" s="8"/>
      <c r="G12620" s="8"/>
      <c r="M12620" s="8"/>
    </row>
    <row r="12621">
      <c r="B12621" s="8"/>
      <c r="G12621" s="8"/>
      <c r="M12621" s="8"/>
    </row>
    <row r="12622">
      <c r="B12622" s="8"/>
      <c r="G12622" s="8"/>
      <c r="M12622" s="8"/>
    </row>
    <row r="12623">
      <c r="B12623" s="8"/>
      <c r="G12623" s="8"/>
      <c r="M12623" s="8"/>
    </row>
    <row r="12624">
      <c r="B12624" s="8"/>
      <c r="G12624" s="8"/>
      <c r="M12624" s="8"/>
    </row>
    <row r="12625">
      <c r="B12625" s="8"/>
      <c r="G12625" s="8"/>
      <c r="M12625" s="8"/>
    </row>
    <row r="12626">
      <c r="B12626" s="8"/>
      <c r="G12626" s="8"/>
      <c r="M12626" s="8"/>
    </row>
    <row r="12627">
      <c r="B12627" s="8"/>
      <c r="G12627" s="8"/>
      <c r="M12627" s="8"/>
    </row>
    <row r="12628">
      <c r="B12628" s="8"/>
      <c r="G12628" s="8"/>
      <c r="M12628" s="8"/>
    </row>
    <row r="12629">
      <c r="B12629" s="8"/>
      <c r="G12629" s="8"/>
      <c r="M12629" s="8"/>
    </row>
    <row r="12630">
      <c r="B12630" s="8"/>
      <c r="G12630" s="8"/>
      <c r="M12630" s="8"/>
    </row>
    <row r="12631">
      <c r="B12631" s="8"/>
      <c r="G12631" s="8"/>
      <c r="M12631" s="8"/>
    </row>
    <row r="12632">
      <c r="B12632" s="8"/>
      <c r="G12632" s="8"/>
      <c r="M12632" s="8"/>
    </row>
    <row r="12633">
      <c r="B12633" s="8"/>
      <c r="G12633" s="8"/>
      <c r="M12633" s="8"/>
    </row>
    <row r="12634">
      <c r="B12634" s="8"/>
      <c r="G12634" s="8"/>
      <c r="M12634" s="8"/>
    </row>
    <row r="12635">
      <c r="B12635" s="8"/>
      <c r="G12635" s="8"/>
      <c r="M12635" s="8"/>
    </row>
    <row r="12636">
      <c r="B12636" s="8"/>
      <c r="G12636" s="8"/>
      <c r="M12636" s="8"/>
    </row>
    <row r="12637">
      <c r="B12637" s="8"/>
      <c r="G12637" s="8"/>
      <c r="M12637" s="8"/>
    </row>
    <row r="12638">
      <c r="B12638" s="8"/>
      <c r="G12638" s="8"/>
      <c r="M12638" s="8"/>
    </row>
    <row r="12639">
      <c r="B12639" s="8"/>
      <c r="G12639" s="8"/>
      <c r="M12639" s="8"/>
    </row>
    <row r="12640">
      <c r="B12640" s="8"/>
      <c r="G12640" s="8"/>
      <c r="M12640" s="8"/>
    </row>
    <row r="12641">
      <c r="B12641" s="8"/>
      <c r="G12641" s="8"/>
      <c r="M12641" s="8"/>
    </row>
    <row r="12642">
      <c r="B12642" s="8"/>
      <c r="G12642" s="8"/>
      <c r="M12642" s="8"/>
    </row>
    <row r="12643">
      <c r="B12643" s="8"/>
      <c r="G12643" s="8"/>
      <c r="M12643" s="8"/>
    </row>
    <row r="12644">
      <c r="B12644" s="8"/>
      <c r="G12644" s="8"/>
      <c r="M12644" s="8"/>
    </row>
    <row r="12645">
      <c r="B12645" s="8"/>
      <c r="G12645" s="8"/>
      <c r="M12645" s="8"/>
    </row>
    <row r="12646">
      <c r="B12646" s="8"/>
      <c r="G12646" s="8"/>
      <c r="M12646" s="8"/>
    </row>
    <row r="12647">
      <c r="B12647" s="8"/>
      <c r="G12647" s="8"/>
      <c r="M12647" s="8"/>
    </row>
    <row r="12648">
      <c r="B12648" s="8"/>
      <c r="G12648" s="8"/>
      <c r="M12648" s="8"/>
    </row>
    <row r="12649">
      <c r="B12649" s="8"/>
      <c r="G12649" s="8"/>
      <c r="M12649" s="8"/>
    </row>
    <row r="12650">
      <c r="B12650" s="8"/>
      <c r="G12650" s="8"/>
      <c r="M12650" s="8"/>
    </row>
    <row r="12651">
      <c r="B12651" s="8"/>
      <c r="G12651" s="8"/>
      <c r="M12651" s="8"/>
    </row>
    <row r="12652">
      <c r="B12652" s="8"/>
      <c r="G12652" s="8"/>
      <c r="M12652" s="8"/>
    </row>
    <row r="12653">
      <c r="B12653" s="8"/>
      <c r="G12653" s="8"/>
      <c r="M12653" s="8"/>
    </row>
    <row r="12654">
      <c r="B12654" s="8"/>
      <c r="G12654" s="8"/>
      <c r="M12654" s="8"/>
    </row>
    <row r="12655">
      <c r="B12655" s="8"/>
      <c r="G12655" s="8"/>
      <c r="M12655" s="8"/>
    </row>
    <row r="12656">
      <c r="B12656" s="8"/>
      <c r="G12656" s="8"/>
      <c r="M12656" s="8"/>
    </row>
    <row r="12657">
      <c r="B12657" s="8"/>
      <c r="G12657" s="8"/>
      <c r="M12657" s="8"/>
    </row>
    <row r="12658">
      <c r="B12658" s="8"/>
      <c r="G12658" s="8"/>
      <c r="M12658" s="8"/>
    </row>
    <row r="12659">
      <c r="B12659" s="8"/>
      <c r="G12659" s="8"/>
      <c r="M12659" s="8"/>
    </row>
    <row r="12660">
      <c r="B12660" s="8"/>
      <c r="G12660" s="8"/>
      <c r="M12660" s="8"/>
    </row>
    <row r="12661">
      <c r="B12661" s="8"/>
      <c r="G12661" s="8"/>
      <c r="M12661" s="8"/>
    </row>
    <row r="12662">
      <c r="B12662" s="8"/>
      <c r="G12662" s="8"/>
      <c r="M12662" s="8"/>
    </row>
    <row r="12663">
      <c r="B12663" s="8"/>
      <c r="G12663" s="8"/>
      <c r="M12663" s="8"/>
    </row>
    <row r="12664">
      <c r="B12664" s="8"/>
      <c r="G12664" s="8"/>
      <c r="M12664" s="8"/>
    </row>
    <row r="12665">
      <c r="B12665" s="8"/>
      <c r="G12665" s="8"/>
      <c r="M12665" s="8"/>
    </row>
    <row r="12666">
      <c r="B12666" s="8"/>
      <c r="G12666" s="8"/>
      <c r="M12666" s="8"/>
    </row>
    <row r="12667">
      <c r="B12667" s="8"/>
      <c r="G12667" s="8"/>
      <c r="M12667" s="8"/>
    </row>
    <row r="12668">
      <c r="B12668" s="8"/>
      <c r="G12668" s="8"/>
      <c r="M12668" s="8"/>
    </row>
    <row r="12669">
      <c r="B12669" s="8"/>
      <c r="G12669" s="8"/>
      <c r="M12669" s="8"/>
    </row>
    <row r="12670">
      <c r="B12670" s="8"/>
      <c r="G12670" s="8"/>
      <c r="M12670" s="8"/>
    </row>
    <row r="12671">
      <c r="B12671" s="8"/>
      <c r="G12671" s="8"/>
      <c r="M12671" s="8"/>
    </row>
    <row r="12672">
      <c r="B12672" s="8"/>
      <c r="G12672" s="8"/>
      <c r="M12672" s="8"/>
    </row>
    <row r="12673">
      <c r="B12673" s="8"/>
      <c r="G12673" s="8"/>
      <c r="M12673" s="8"/>
    </row>
    <row r="12674">
      <c r="B12674" s="8"/>
      <c r="G12674" s="8"/>
      <c r="M12674" s="8"/>
    </row>
    <row r="12675">
      <c r="B12675" s="8"/>
      <c r="G12675" s="8"/>
      <c r="M12675" s="8"/>
    </row>
    <row r="12676">
      <c r="B12676" s="8"/>
      <c r="G12676" s="8"/>
      <c r="M12676" s="8"/>
    </row>
    <row r="12677">
      <c r="B12677" s="8"/>
      <c r="G12677" s="8"/>
      <c r="M12677" s="8"/>
    </row>
    <row r="12678">
      <c r="B12678" s="8"/>
      <c r="G12678" s="8"/>
      <c r="M12678" s="8"/>
    </row>
    <row r="12679">
      <c r="B12679" s="8"/>
      <c r="G12679" s="8"/>
      <c r="M12679" s="8"/>
    </row>
    <row r="12680">
      <c r="B12680" s="8"/>
      <c r="G12680" s="8"/>
      <c r="M12680" s="8"/>
    </row>
    <row r="12681">
      <c r="B12681" s="8"/>
      <c r="G12681" s="8"/>
      <c r="M12681" s="8"/>
    </row>
    <row r="12682">
      <c r="B12682" s="8"/>
      <c r="G12682" s="8"/>
      <c r="M12682" s="8"/>
    </row>
    <row r="12683">
      <c r="B12683" s="8"/>
      <c r="G12683" s="8"/>
      <c r="M12683" s="8"/>
    </row>
    <row r="12684">
      <c r="B12684" s="8"/>
      <c r="G12684" s="8"/>
      <c r="M12684" s="8"/>
    </row>
    <row r="12685">
      <c r="B12685" s="8"/>
      <c r="G12685" s="8"/>
      <c r="M12685" s="8"/>
    </row>
    <row r="12686">
      <c r="B12686" s="8"/>
      <c r="G12686" s="8"/>
      <c r="M12686" s="8"/>
    </row>
    <row r="12687">
      <c r="B12687" s="8"/>
      <c r="G12687" s="8"/>
      <c r="M12687" s="8"/>
    </row>
    <row r="12688">
      <c r="B12688" s="8"/>
      <c r="G12688" s="8"/>
      <c r="M12688" s="8"/>
    </row>
    <row r="12689">
      <c r="B12689" s="8"/>
      <c r="G12689" s="8"/>
      <c r="M12689" s="8"/>
    </row>
    <row r="12690">
      <c r="B12690" s="8"/>
      <c r="G12690" s="8"/>
      <c r="M12690" s="8"/>
    </row>
    <row r="12691">
      <c r="B12691" s="8"/>
      <c r="G12691" s="8"/>
      <c r="M12691" s="8"/>
    </row>
    <row r="12692">
      <c r="B12692" s="8"/>
      <c r="G12692" s="8"/>
      <c r="M12692" s="8"/>
    </row>
    <row r="12693">
      <c r="B12693" s="8"/>
      <c r="G12693" s="8"/>
      <c r="M12693" s="8"/>
    </row>
    <row r="12694">
      <c r="B12694" s="8"/>
      <c r="G12694" s="8"/>
      <c r="M12694" s="8"/>
    </row>
    <row r="12695">
      <c r="B12695" s="8"/>
      <c r="G12695" s="8"/>
      <c r="M12695" s="8"/>
    </row>
    <row r="12696">
      <c r="B12696" s="8"/>
      <c r="G12696" s="8"/>
      <c r="M12696" s="8"/>
    </row>
    <row r="12697">
      <c r="B12697" s="8"/>
      <c r="G12697" s="8"/>
      <c r="M12697" s="8"/>
    </row>
    <row r="12698">
      <c r="B12698" s="8"/>
      <c r="G12698" s="8"/>
      <c r="M12698" s="8"/>
    </row>
    <row r="12699">
      <c r="B12699" s="8"/>
      <c r="G12699" s="8"/>
      <c r="M12699" s="8"/>
    </row>
    <row r="12700">
      <c r="B12700" s="8"/>
      <c r="G12700" s="8"/>
      <c r="M12700" s="8"/>
    </row>
    <row r="12701">
      <c r="B12701" s="8"/>
      <c r="G12701" s="8"/>
      <c r="M12701" s="8"/>
    </row>
    <row r="12702">
      <c r="B12702" s="8"/>
      <c r="G12702" s="8"/>
      <c r="M12702" s="8"/>
    </row>
    <row r="12703">
      <c r="B12703" s="8"/>
      <c r="G12703" s="8"/>
      <c r="M12703" s="8"/>
    </row>
    <row r="12704">
      <c r="B12704" s="8"/>
      <c r="G12704" s="8"/>
      <c r="M12704" s="8"/>
    </row>
    <row r="12705">
      <c r="B12705" s="8"/>
      <c r="G12705" s="8"/>
      <c r="M12705" s="8"/>
    </row>
    <row r="12706">
      <c r="B12706" s="8"/>
      <c r="G12706" s="8"/>
      <c r="M12706" s="8"/>
    </row>
    <row r="12707">
      <c r="B12707" s="8"/>
      <c r="G12707" s="8"/>
      <c r="M12707" s="8"/>
    </row>
    <row r="12708">
      <c r="B12708" s="8"/>
      <c r="G12708" s="8"/>
      <c r="M12708" s="8"/>
    </row>
    <row r="12709">
      <c r="B12709" s="8"/>
      <c r="G12709" s="8"/>
      <c r="M12709" s="8"/>
    </row>
    <row r="12710">
      <c r="B12710" s="8"/>
      <c r="G12710" s="8"/>
      <c r="M12710" s="8"/>
    </row>
    <row r="12711">
      <c r="B12711" s="8"/>
      <c r="G12711" s="8"/>
      <c r="M12711" s="8"/>
    </row>
    <row r="12712">
      <c r="B12712" s="8"/>
      <c r="G12712" s="8"/>
      <c r="M12712" s="8"/>
    </row>
    <row r="12713">
      <c r="B12713" s="8"/>
      <c r="G12713" s="8"/>
      <c r="M12713" s="8"/>
    </row>
    <row r="12714">
      <c r="B12714" s="8"/>
      <c r="G12714" s="8"/>
      <c r="M12714" s="8"/>
    </row>
    <row r="12715">
      <c r="B12715" s="8"/>
      <c r="G12715" s="8"/>
      <c r="M12715" s="8"/>
    </row>
    <row r="12716">
      <c r="B12716" s="8"/>
      <c r="G12716" s="8"/>
      <c r="M12716" s="8"/>
    </row>
    <row r="12717">
      <c r="B12717" s="8"/>
      <c r="G12717" s="8"/>
      <c r="M12717" s="8"/>
    </row>
    <row r="12718">
      <c r="B12718" s="8"/>
      <c r="G12718" s="8"/>
      <c r="M12718" s="8"/>
    </row>
    <row r="12719">
      <c r="B12719" s="8"/>
      <c r="G12719" s="8"/>
      <c r="M12719" s="8"/>
    </row>
    <row r="12720">
      <c r="B12720" s="8"/>
      <c r="G12720" s="8"/>
      <c r="M12720" s="8"/>
    </row>
    <row r="12721">
      <c r="B12721" s="8"/>
      <c r="G12721" s="8"/>
      <c r="M12721" s="8"/>
    </row>
    <row r="12722">
      <c r="B12722" s="8"/>
      <c r="G12722" s="8"/>
      <c r="M12722" s="8"/>
    </row>
    <row r="12723">
      <c r="B12723" s="8"/>
      <c r="G12723" s="8"/>
      <c r="M12723" s="8"/>
    </row>
    <row r="12724">
      <c r="B12724" s="8"/>
      <c r="G12724" s="8"/>
      <c r="M12724" s="8"/>
    </row>
    <row r="12725">
      <c r="B12725" s="8"/>
      <c r="G12725" s="8"/>
      <c r="M12725" s="8"/>
    </row>
    <row r="12726">
      <c r="B12726" s="8"/>
      <c r="G12726" s="8"/>
      <c r="M12726" s="8"/>
    </row>
    <row r="12727">
      <c r="B12727" s="8"/>
      <c r="G12727" s="8"/>
      <c r="M12727" s="8"/>
    </row>
    <row r="12728">
      <c r="B12728" s="8"/>
      <c r="G12728" s="8"/>
      <c r="M12728" s="8"/>
    </row>
    <row r="12729">
      <c r="B12729" s="8"/>
      <c r="G12729" s="8"/>
      <c r="M12729" s="8"/>
    </row>
    <row r="12730">
      <c r="B12730" s="8"/>
      <c r="G12730" s="8"/>
      <c r="M12730" s="8"/>
    </row>
    <row r="12731">
      <c r="B12731" s="8"/>
      <c r="G12731" s="8"/>
      <c r="M12731" s="8"/>
    </row>
    <row r="12732">
      <c r="B12732" s="8"/>
      <c r="G12732" s="8"/>
      <c r="M12732" s="8"/>
    </row>
    <row r="12733">
      <c r="B12733" s="8"/>
      <c r="G12733" s="8"/>
      <c r="M12733" s="8"/>
    </row>
    <row r="12734">
      <c r="B12734" s="8"/>
      <c r="G12734" s="8"/>
      <c r="M12734" s="8"/>
    </row>
    <row r="12735">
      <c r="B12735" s="8"/>
      <c r="G12735" s="8"/>
      <c r="M12735" s="8"/>
    </row>
    <row r="12736">
      <c r="B12736" s="8"/>
      <c r="G12736" s="8"/>
      <c r="M12736" s="8"/>
    </row>
    <row r="12737">
      <c r="B12737" s="8"/>
      <c r="G12737" s="8"/>
      <c r="M12737" s="8"/>
    </row>
    <row r="12738">
      <c r="B12738" s="8"/>
      <c r="G12738" s="8"/>
      <c r="M12738" s="8"/>
    </row>
    <row r="12739">
      <c r="B12739" s="8"/>
      <c r="G12739" s="8"/>
      <c r="M12739" s="8"/>
    </row>
    <row r="12740">
      <c r="B12740" s="8"/>
      <c r="G12740" s="8"/>
      <c r="M12740" s="8"/>
    </row>
    <row r="12741">
      <c r="B12741" s="8"/>
      <c r="G12741" s="8"/>
      <c r="M12741" s="8"/>
    </row>
    <row r="12742">
      <c r="B12742" s="8"/>
      <c r="G12742" s="8"/>
      <c r="M12742" s="8"/>
    </row>
    <row r="12743">
      <c r="B12743" s="8"/>
      <c r="G12743" s="8"/>
      <c r="M12743" s="8"/>
    </row>
    <row r="12744">
      <c r="B12744" s="8"/>
      <c r="G12744" s="8"/>
      <c r="M12744" s="8"/>
    </row>
    <row r="12745">
      <c r="B12745" s="8"/>
      <c r="G12745" s="8"/>
      <c r="M12745" s="8"/>
    </row>
    <row r="12746">
      <c r="B12746" s="8"/>
      <c r="G12746" s="8"/>
      <c r="M12746" s="8"/>
    </row>
    <row r="12747">
      <c r="B12747" s="8"/>
      <c r="G12747" s="8"/>
      <c r="M12747" s="8"/>
    </row>
    <row r="12748">
      <c r="B12748" s="8"/>
      <c r="G12748" s="8"/>
      <c r="M12748" s="8"/>
    </row>
    <row r="12749">
      <c r="B12749" s="8"/>
      <c r="G12749" s="8"/>
      <c r="M12749" s="8"/>
    </row>
    <row r="12750">
      <c r="B12750" s="8"/>
      <c r="G12750" s="8"/>
      <c r="M12750" s="8"/>
    </row>
    <row r="12751">
      <c r="B12751" s="8"/>
      <c r="G12751" s="8"/>
      <c r="M12751" s="8"/>
    </row>
    <row r="12752">
      <c r="B12752" s="8"/>
      <c r="G12752" s="8"/>
      <c r="M12752" s="8"/>
    </row>
    <row r="12753">
      <c r="B12753" s="8"/>
      <c r="G12753" s="8"/>
      <c r="M12753" s="8"/>
    </row>
    <row r="12754">
      <c r="B12754" s="8"/>
      <c r="G12754" s="8"/>
      <c r="M12754" s="8"/>
    </row>
    <row r="12755">
      <c r="B12755" s="8"/>
      <c r="G12755" s="8"/>
      <c r="M12755" s="8"/>
    </row>
    <row r="12756">
      <c r="B12756" s="8"/>
      <c r="G12756" s="8"/>
      <c r="M12756" s="8"/>
    </row>
    <row r="12757">
      <c r="B12757" s="8"/>
      <c r="G12757" s="8"/>
      <c r="M12757" s="8"/>
    </row>
    <row r="12758">
      <c r="B12758" s="8"/>
      <c r="G12758" s="8"/>
      <c r="M12758" s="8"/>
    </row>
    <row r="12759">
      <c r="B12759" s="8"/>
      <c r="G12759" s="8"/>
      <c r="M12759" s="8"/>
    </row>
    <row r="12760">
      <c r="B12760" s="8"/>
      <c r="G12760" s="8"/>
      <c r="M12760" s="8"/>
    </row>
    <row r="12761">
      <c r="B12761" s="8"/>
      <c r="G12761" s="8"/>
      <c r="M12761" s="8"/>
    </row>
    <row r="12762">
      <c r="B12762" s="8"/>
      <c r="G12762" s="8"/>
      <c r="M12762" s="8"/>
    </row>
    <row r="12763">
      <c r="B12763" s="8"/>
      <c r="G12763" s="8"/>
      <c r="M12763" s="8"/>
    </row>
    <row r="12764">
      <c r="B12764" s="8"/>
      <c r="G12764" s="8"/>
      <c r="M12764" s="8"/>
    </row>
    <row r="12765">
      <c r="B12765" s="8"/>
      <c r="G12765" s="8"/>
      <c r="M12765" s="8"/>
    </row>
    <row r="12766">
      <c r="B12766" s="8"/>
      <c r="G12766" s="8"/>
      <c r="M12766" s="8"/>
    </row>
    <row r="12767">
      <c r="B12767" s="8"/>
      <c r="G12767" s="8"/>
      <c r="M12767" s="8"/>
    </row>
    <row r="12768">
      <c r="B12768" s="8"/>
      <c r="G12768" s="8"/>
      <c r="M12768" s="8"/>
    </row>
    <row r="12769">
      <c r="B12769" s="8"/>
      <c r="G12769" s="8"/>
      <c r="M12769" s="8"/>
    </row>
    <row r="12770">
      <c r="B12770" s="8"/>
      <c r="G12770" s="8"/>
      <c r="M12770" s="8"/>
    </row>
    <row r="12771">
      <c r="B12771" s="8"/>
      <c r="G12771" s="8"/>
      <c r="M12771" s="8"/>
    </row>
    <row r="12772">
      <c r="B12772" s="8"/>
      <c r="G12772" s="8"/>
      <c r="M12772" s="8"/>
    </row>
    <row r="12773">
      <c r="B12773" s="8"/>
      <c r="G12773" s="8"/>
      <c r="M12773" s="8"/>
    </row>
    <row r="12774">
      <c r="B12774" s="8"/>
      <c r="G12774" s="8"/>
      <c r="M12774" s="8"/>
    </row>
    <row r="12775">
      <c r="B12775" s="8"/>
      <c r="G12775" s="8"/>
      <c r="M12775" s="8"/>
    </row>
    <row r="12776">
      <c r="B12776" s="8"/>
      <c r="G12776" s="8"/>
      <c r="M12776" s="8"/>
    </row>
    <row r="12777">
      <c r="B12777" s="8"/>
      <c r="G12777" s="8"/>
      <c r="M12777" s="8"/>
    </row>
    <row r="12778">
      <c r="B12778" s="8"/>
      <c r="G12778" s="8"/>
      <c r="M12778" s="8"/>
    </row>
    <row r="12779">
      <c r="B12779" s="8"/>
      <c r="G12779" s="8"/>
      <c r="M12779" s="8"/>
    </row>
    <row r="12780">
      <c r="B12780" s="8"/>
      <c r="G12780" s="8"/>
      <c r="M12780" s="8"/>
    </row>
    <row r="12781">
      <c r="B12781" s="8"/>
      <c r="G12781" s="8"/>
      <c r="M12781" s="8"/>
    </row>
    <row r="12782">
      <c r="B12782" s="8"/>
      <c r="G12782" s="8"/>
      <c r="M12782" s="8"/>
    </row>
    <row r="12783">
      <c r="B12783" s="8"/>
      <c r="G12783" s="8"/>
      <c r="M12783" s="8"/>
    </row>
    <row r="12784">
      <c r="B12784" s="8"/>
      <c r="G12784" s="8"/>
      <c r="M12784" s="8"/>
    </row>
    <row r="12785">
      <c r="B12785" s="8"/>
      <c r="G12785" s="8"/>
      <c r="M12785" s="8"/>
    </row>
    <row r="12786">
      <c r="B12786" s="8"/>
      <c r="G12786" s="8"/>
      <c r="M12786" s="8"/>
    </row>
    <row r="12787">
      <c r="B12787" s="8"/>
      <c r="G12787" s="8"/>
      <c r="M12787" s="8"/>
    </row>
    <row r="12788">
      <c r="B12788" s="8"/>
      <c r="G12788" s="8"/>
      <c r="M12788" s="8"/>
    </row>
    <row r="12789">
      <c r="B12789" s="8"/>
      <c r="G12789" s="8"/>
      <c r="M12789" s="8"/>
    </row>
    <row r="12790">
      <c r="B12790" s="8"/>
      <c r="G12790" s="8"/>
      <c r="M12790" s="8"/>
    </row>
    <row r="12791">
      <c r="B12791" s="8"/>
      <c r="G12791" s="8"/>
      <c r="M12791" s="8"/>
    </row>
    <row r="12792">
      <c r="B12792" s="8"/>
      <c r="G12792" s="8"/>
      <c r="M12792" s="8"/>
    </row>
    <row r="12793">
      <c r="B12793" s="8"/>
      <c r="G12793" s="8"/>
      <c r="M12793" s="8"/>
    </row>
    <row r="12794">
      <c r="B12794" s="8"/>
      <c r="G12794" s="8"/>
      <c r="M12794" s="8"/>
    </row>
    <row r="12795">
      <c r="B12795" s="8"/>
      <c r="G12795" s="8"/>
      <c r="M12795" s="8"/>
    </row>
    <row r="12796">
      <c r="B12796" s="8"/>
      <c r="G12796" s="8"/>
      <c r="M12796" s="8"/>
    </row>
    <row r="12797">
      <c r="B12797" s="8"/>
      <c r="G12797" s="8"/>
      <c r="M12797" s="8"/>
    </row>
    <row r="12798">
      <c r="B12798" s="8"/>
      <c r="G12798" s="8"/>
      <c r="M12798" s="8"/>
    </row>
    <row r="12799">
      <c r="B12799" s="8"/>
      <c r="G12799" s="8"/>
      <c r="M12799" s="8"/>
    </row>
    <row r="12800">
      <c r="B12800" s="8"/>
      <c r="G12800" s="8"/>
      <c r="M12800" s="8"/>
    </row>
    <row r="12801">
      <c r="B12801" s="8"/>
      <c r="G12801" s="8"/>
      <c r="M12801" s="8"/>
    </row>
    <row r="12802">
      <c r="B12802" s="8"/>
      <c r="G12802" s="8"/>
      <c r="M12802" s="8"/>
    </row>
    <row r="12803">
      <c r="B12803" s="8"/>
      <c r="G12803" s="8"/>
      <c r="M12803" s="8"/>
    </row>
    <row r="12804">
      <c r="B12804" s="8"/>
      <c r="G12804" s="8"/>
      <c r="M12804" s="8"/>
    </row>
    <row r="12805">
      <c r="B12805" s="8"/>
      <c r="G12805" s="8"/>
      <c r="M12805" s="8"/>
    </row>
    <row r="12806">
      <c r="B12806" s="8"/>
      <c r="G12806" s="8"/>
      <c r="M12806" s="8"/>
    </row>
    <row r="12807">
      <c r="B12807" s="8"/>
      <c r="G12807" s="8"/>
      <c r="M12807" s="8"/>
    </row>
    <row r="12808">
      <c r="B12808" s="8"/>
      <c r="G12808" s="8"/>
      <c r="M12808" s="8"/>
    </row>
    <row r="12809">
      <c r="B12809" s="8"/>
      <c r="G12809" s="8"/>
      <c r="M12809" s="8"/>
    </row>
    <row r="12810">
      <c r="B12810" s="8"/>
      <c r="G12810" s="8"/>
      <c r="M12810" s="8"/>
    </row>
    <row r="12811">
      <c r="B12811" s="8"/>
      <c r="G12811" s="8"/>
      <c r="M12811" s="8"/>
    </row>
    <row r="12812">
      <c r="B12812" s="8"/>
      <c r="G12812" s="8"/>
      <c r="M12812" s="8"/>
    </row>
    <row r="12813">
      <c r="B12813" s="8"/>
      <c r="G12813" s="8"/>
      <c r="M12813" s="8"/>
    </row>
    <row r="12814">
      <c r="B12814" s="8"/>
      <c r="G12814" s="8"/>
      <c r="M12814" s="8"/>
    </row>
    <row r="12815">
      <c r="B12815" s="8"/>
      <c r="G12815" s="8"/>
      <c r="M12815" s="8"/>
    </row>
    <row r="12816">
      <c r="B12816" s="8"/>
      <c r="G12816" s="8"/>
      <c r="M12816" s="8"/>
    </row>
    <row r="12817">
      <c r="B12817" s="8"/>
      <c r="G12817" s="8"/>
      <c r="M12817" s="8"/>
    </row>
    <row r="12818">
      <c r="B12818" s="8"/>
      <c r="G12818" s="8"/>
      <c r="M12818" s="8"/>
    </row>
    <row r="12819">
      <c r="B12819" s="8"/>
      <c r="G12819" s="8"/>
      <c r="M12819" s="8"/>
    </row>
    <row r="12820">
      <c r="B12820" s="8"/>
      <c r="G12820" s="8"/>
      <c r="M12820" s="8"/>
    </row>
    <row r="12821">
      <c r="B12821" s="8"/>
      <c r="G12821" s="8"/>
      <c r="M12821" s="8"/>
    </row>
    <row r="12822">
      <c r="B12822" s="8"/>
      <c r="G12822" s="8"/>
      <c r="M12822" s="8"/>
    </row>
    <row r="12823">
      <c r="B12823" s="8"/>
      <c r="G12823" s="8"/>
      <c r="M12823" s="8"/>
    </row>
    <row r="12824">
      <c r="B12824" s="8"/>
      <c r="G12824" s="8"/>
      <c r="M12824" s="8"/>
    </row>
    <row r="12825">
      <c r="B12825" s="8"/>
      <c r="G12825" s="8"/>
      <c r="M12825" s="8"/>
    </row>
    <row r="12826">
      <c r="B12826" s="8"/>
      <c r="G12826" s="8"/>
      <c r="M12826" s="8"/>
    </row>
    <row r="12827">
      <c r="B12827" s="8"/>
      <c r="G12827" s="8"/>
      <c r="M12827" s="8"/>
    </row>
    <row r="12828">
      <c r="B12828" s="8"/>
      <c r="G12828" s="8"/>
      <c r="M12828" s="8"/>
    </row>
    <row r="12829">
      <c r="B12829" s="8"/>
      <c r="G12829" s="8"/>
      <c r="M12829" s="8"/>
    </row>
    <row r="12830">
      <c r="B12830" s="8"/>
      <c r="G12830" s="8"/>
      <c r="M12830" s="8"/>
    </row>
    <row r="12831">
      <c r="B12831" s="8"/>
      <c r="G12831" s="8"/>
      <c r="M12831" s="8"/>
    </row>
    <row r="12832">
      <c r="B12832" s="8"/>
      <c r="G12832" s="8"/>
      <c r="M12832" s="8"/>
    </row>
    <row r="12833">
      <c r="B12833" s="8"/>
      <c r="G12833" s="8"/>
      <c r="M12833" s="8"/>
    </row>
    <row r="12834">
      <c r="B12834" s="8"/>
      <c r="G12834" s="8"/>
      <c r="M12834" s="8"/>
    </row>
    <row r="12835">
      <c r="B12835" s="8"/>
      <c r="G12835" s="8"/>
      <c r="M12835" s="8"/>
    </row>
    <row r="12836">
      <c r="B12836" s="8"/>
      <c r="G12836" s="8"/>
      <c r="M12836" s="8"/>
    </row>
    <row r="12837">
      <c r="B12837" s="8"/>
      <c r="G12837" s="8"/>
      <c r="M12837" s="8"/>
    </row>
    <row r="12838">
      <c r="B12838" s="8"/>
      <c r="G12838" s="8"/>
      <c r="M12838" s="8"/>
    </row>
    <row r="12839">
      <c r="B12839" s="8"/>
      <c r="G12839" s="8"/>
      <c r="M12839" s="8"/>
    </row>
    <row r="12840">
      <c r="B12840" s="8"/>
      <c r="G12840" s="8"/>
      <c r="M12840" s="8"/>
    </row>
    <row r="12841">
      <c r="B12841" s="8"/>
      <c r="G12841" s="8"/>
      <c r="M12841" s="8"/>
    </row>
    <row r="12842">
      <c r="B12842" s="8"/>
      <c r="G12842" s="8"/>
      <c r="M12842" s="8"/>
    </row>
    <row r="12843">
      <c r="B12843" s="8"/>
      <c r="G12843" s="8"/>
      <c r="M12843" s="8"/>
    </row>
    <row r="12844">
      <c r="B12844" s="8"/>
      <c r="G12844" s="8"/>
      <c r="M12844" s="8"/>
    </row>
    <row r="12845">
      <c r="B12845" s="8"/>
      <c r="G12845" s="8"/>
      <c r="M12845" s="8"/>
    </row>
    <row r="12846">
      <c r="B12846" s="8"/>
      <c r="G12846" s="8"/>
      <c r="M12846" s="8"/>
    </row>
    <row r="12847">
      <c r="B12847" s="8"/>
      <c r="G12847" s="8"/>
      <c r="M12847" s="8"/>
    </row>
    <row r="12848">
      <c r="B12848" s="8"/>
      <c r="G12848" s="8"/>
      <c r="M12848" s="8"/>
    </row>
    <row r="12849">
      <c r="B12849" s="8"/>
      <c r="G12849" s="8"/>
      <c r="M12849" s="8"/>
    </row>
    <row r="12850">
      <c r="B12850" s="8"/>
      <c r="G12850" s="8"/>
      <c r="M12850" s="8"/>
    </row>
    <row r="12851">
      <c r="B12851" s="8"/>
      <c r="G12851" s="8"/>
      <c r="M12851" s="8"/>
    </row>
    <row r="12852">
      <c r="B12852" s="8"/>
      <c r="G12852" s="8"/>
      <c r="M12852" s="8"/>
    </row>
    <row r="12853">
      <c r="B12853" s="8"/>
      <c r="G12853" s="8"/>
      <c r="M12853" s="8"/>
    </row>
    <row r="12854">
      <c r="B12854" s="8"/>
      <c r="G12854" s="8"/>
      <c r="M12854" s="8"/>
    </row>
    <row r="12855">
      <c r="B12855" s="8"/>
      <c r="G12855" s="8"/>
      <c r="M12855" s="8"/>
    </row>
    <row r="12856">
      <c r="B12856" s="8"/>
      <c r="G12856" s="8"/>
      <c r="M12856" s="8"/>
    </row>
    <row r="12857">
      <c r="B12857" s="8"/>
      <c r="G12857" s="8"/>
      <c r="M12857" s="8"/>
    </row>
    <row r="12858">
      <c r="B12858" s="8"/>
      <c r="G12858" s="8"/>
      <c r="M12858" s="8"/>
    </row>
    <row r="12859">
      <c r="B12859" s="8"/>
      <c r="G12859" s="8"/>
      <c r="M12859" s="8"/>
    </row>
    <row r="12860">
      <c r="B12860" s="8"/>
      <c r="G12860" s="8"/>
      <c r="M12860" s="8"/>
    </row>
    <row r="12861">
      <c r="B12861" s="8"/>
      <c r="G12861" s="8"/>
      <c r="M12861" s="8"/>
    </row>
    <row r="12862">
      <c r="B12862" s="8"/>
      <c r="G12862" s="8"/>
      <c r="M12862" s="8"/>
    </row>
    <row r="12863">
      <c r="B12863" s="8"/>
      <c r="G12863" s="8"/>
      <c r="M12863" s="8"/>
    </row>
    <row r="12864">
      <c r="B12864" s="8"/>
      <c r="G12864" s="8"/>
      <c r="M12864" s="8"/>
    </row>
    <row r="12865">
      <c r="B12865" s="8"/>
      <c r="G12865" s="8"/>
      <c r="M12865" s="8"/>
    </row>
    <row r="12866">
      <c r="B12866" s="8"/>
      <c r="G12866" s="8"/>
      <c r="M12866" s="8"/>
    </row>
    <row r="12867">
      <c r="B12867" s="8"/>
      <c r="G12867" s="8"/>
      <c r="M12867" s="8"/>
    </row>
    <row r="12868">
      <c r="B12868" s="8"/>
      <c r="G12868" s="8"/>
      <c r="M12868" s="8"/>
    </row>
    <row r="12869">
      <c r="B12869" s="8"/>
      <c r="G12869" s="8"/>
      <c r="M12869" s="8"/>
    </row>
    <row r="12870">
      <c r="B12870" s="8"/>
      <c r="G12870" s="8"/>
      <c r="M12870" s="8"/>
    </row>
    <row r="12871">
      <c r="B12871" s="8"/>
      <c r="G12871" s="8"/>
      <c r="M12871" s="8"/>
    </row>
    <row r="12872">
      <c r="B12872" s="8"/>
      <c r="G12872" s="8"/>
      <c r="M12872" s="8"/>
    </row>
    <row r="12873">
      <c r="B12873" s="8"/>
      <c r="G12873" s="8"/>
      <c r="M12873" s="8"/>
    </row>
    <row r="12874">
      <c r="B12874" s="8"/>
      <c r="G12874" s="8"/>
      <c r="M12874" s="8"/>
    </row>
    <row r="12875">
      <c r="B12875" s="8"/>
      <c r="G12875" s="8"/>
      <c r="M12875" s="8"/>
    </row>
    <row r="12876">
      <c r="B12876" s="8"/>
      <c r="G12876" s="8"/>
      <c r="M12876" s="8"/>
    </row>
    <row r="12877">
      <c r="B12877" s="8"/>
      <c r="G12877" s="8"/>
      <c r="M12877" s="8"/>
    </row>
    <row r="12878">
      <c r="B12878" s="8"/>
      <c r="G12878" s="8"/>
      <c r="M12878" s="8"/>
    </row>
    <row r="12879">
      <c r="B12879" s="8"/>
      <c r="G12879" s="8"/>
      <c r="M12879" s="8"/>
    </row>
    <row r="12880">
      <c r="B12880" s="8"/>
      <c r="G12880" s="8"/>
      <c r="M12880" s="8"/>
    </row>
    <row r="12881">
      <c r="B12881" s="8"/>
      <c r="G12881" s="8"/>
      <c r="M12881" s="8"/>
    </row>
    <row r="12882">
      <c r="B12882" s="8"/>
      <c r="G12882" s="8"/>
      <c r="M12882" s="8"/>
    </row>
    <row r="12883">
      <c r="B12883" s="8"/>
      <c r="G12883" s="8"/>
      <c r="M12883" s="8"/>
    </row>
    <row r="12884">
      <c r="B12884" s="8"/>
      <c r="G12884" s="8"/>
      <c r="M12884" s="8"/>
    </row>
    <row r="12885">
      <c r="B12885" s="8"/>
      <c r="G12885" s="8"/>
      <c r="M12885" s="8"/>
    </row>
    <row r="12886">
      <c r="B12886" s="8"/>
      <c r="G12886" s="8"/>
      <c r="M12886" s="8"/>
    </row>
    <row r="12887">
      <c r="B12887" s="8"/>
      <c r="G12887" s="8"/>
      <c r="M12887" s="8"/>
    </row>
    <row r="12888">
      <c r="B12888" s="8"/>
      <c r="G12888" s="8"/>
      <c r="M12888" s="8"/>
    </row>
    <row r="12889">
      <c r="B12889" s="8"/>
      <c r="G12889" s="8"/>
      <c r="M12889" s="8"/>
    </row>
    <row r="12890">
      <c r="B12890" s="8"/>
      <c r="G12890" s="8"/>
      <c r="M12890" s="8"/>
    </row>
    <row r="12891">
      <c r="B12891" s="8"/>
      <c r="G12891" s="8"/>
      <c r="M12891" s="8"/>
    </row>
    <row r="12892">
      <c r="B12892" s="8"/>
      <c r="G12892" s="8"/>
      <c r="M12892" s="8"/>
    </row>
    <row r="12893">
      <c r="B12893" s="8"/>
      <c r="G12893" s="8"/>
      <c r="M12893" s="8"/>
    </row>
    <row r="12894">
      <c r="B12894" s="8"/>
      <c r="G12894" s="8"/>
      <c r="M12894" s="8"/>
    </row>
    <row r="12895">
      <c r="B12895" s="8"/>
      <c r="G12895" s="8"/>
      <c r="M12895" s="8"/>
    </row>
    <row r="12896">
      <c r="B12896" s="8"/>
      <c r="G12896" s="8"/>
      <c r="M12896" s="8"/>
    </row>
    <row r="12897">
      <c r="B12897" s="8"/>
      <c r="G12897" s="8"/>
      <c r="M12897" s="8"/>
    </row>
    <row r="12898">
      <c r="B12898" s="8"/>
      <c r="G12898" s="8"/>
      <c r="M12898" s="8"/>
    </row>
    <row r="12899">
      <c r="B12899" s="8"/>
      <c r="G12899" s="8"/>
      <c r="M12899" s="8"/>
    </row>
    <row r="12900">
      <c r="B12900" s="8"/>
      <c r="G12900" s="8"/>
      <c r="M12900" s="8"/>
    </row>
    <row r="12901">
      <c r="B12901" s="8"/>
      <c r="G12901" s="8"/>
      <c r="M12901" s="8"/>
    </row>
    <row r="12902">
      <c r="B12902" s="8"/>
      <c r="G12902" s="8"/>
      <c r="M12902" s="8"/>
    </row>
    <row r="12903">
      <c r="B12903" s="8"/>
      <c r="G12903" s="8"/>
      <c r="M12903" s="8"/>
    </row>
    <row r="12904">
      <c r="B12904" s="8"/>
      <c r="G12904" s="8"/>
      <c r="M12904" s="8"/>
    </row>
    <row r="12905">
      <c r="B12905" s="8"/>
      <c r="G12905" s="8"/>
      <c r="M12905" s="8"/>
    </row>
    <row r="12906">
      <c r="B12906" s="8"/>
      <c r="G12906" s="8"/>
      <c r="M12906" s="8"/>
    </row>
    <row r="12907">
      <c r="B12907" s="8"/>
      <c r="G12907" s="8"/>
      <c r="M12907" s="8"/>
    </row>
    <row r="12908">
      <c r="B12908" s="8"/>
      <c r="G12908" s="8"/>
      <c r="M12908" s="8"/>
    </row>
    <row r="12909">
      <c r="B12909" s="8"/>
      <c r="G12909" s="8"/>
      <c r="M12909" s="8"/>
    </row>
    <row r="12910">
      <c r="B12910" s="8"/>
      <c r="G12910" s="8"/>
      <c r="M12910" s="8"/>
    </row>
    <row r="12911">
      <c r="B12911" s="8"/>
      <c r="G12911" s="8"/>
      <c r="M12911" s="8"/>
    </row>
    <row r="12912">
      <c r="B12912" s="8"/>
      <c r="G12912" s="8"/>
      <c r="M12912" s="8"/>
    </row>
    <row r="12913">
      <c r="B12913" s="8"/>
      <c r="G12913" s="8"/>
      <c r="M12913" s="8"/>
    </row>
    <row r="12914">
      <c r="B12914" s="8"/>
      <c r="G12914" s="8"/>
      <c r="M12914" s="8"/>
    </row>
    <row r="12915">
      <c r="B12915" s="8"/>
      <c r="G12915" s="8"/>
      <c r="M12915" s="8"/>
    </row>
    <row r="12916">
      <c r="B12916" s="8"/>
      <c r="G12916" s="8"/>
      <c r="M12916" s="8"/>
    </row>
    <row r="12917">
      <c r="B12917" s="8"/>
      <c r="G12917" s="8"/>
      <c r="M12917" s="8"/>
    </row>
    <row r="12918">
      <c r="B12918" s="8"/>
      <c r="G12918" s="8"/>
      <c r="M12918" s="8"/>
    </row>
    <row r="12919">
      <c r="B12919" s="8"/>
      <c r="G12919" s="8"/>
      <c r="M12919" s="8"/>
    </row>
    <row r="12920">
      <c r="B12920" s="8"/>
      <c r="G12920" s="8"/>
      <c r="M12920" s="8"/>
    </row>
    <row r="12921">
      <c r="B12921" s="8"/>
      <c r="G12921" s="8"/>
      <c r="M12921" s="8"/>
    </row>
    <row r="12922">
      <c r="B12922" s="8"/>
      <c r="G12922" s="8"/>
      <c r="M12922" s="8"/>
    </row>
    <row r="12923">
      <c r="B12923" s="8"/>
      <c r="G12923" s="8"/>
      <c r="M12923" s="8"/>
    </row>
    <row r="12924">
      <c r="B12924" s="8"/>
      <c r="G12924" s="8"/>
      <c r="M12924" s="8"/>
    </row>
    <row r="12925">
      <c r="B12925" s="8"/>
      <c r="G12925" s="8"/>
      <c r="M12925" s="8"/>
    </row>
    <row r="12926">
      <c r="B12926" s="8"/>
      <c r="G12926" s="8"/>
      <c r="M12926" s="8"/>
    </row>
    <row r="12927">
      <c r="B12927" s="8"/>
      <c r="G12927" s="8"/>
      <c r="M12927" s="8"/>
    </row>
    <row r="12928">
      <c r="B12928" s="8"/>
      <c r="G12928" s="8"/>
      <c r="M12928" s="8"/>
    </row>
    <row r="12929">
      <c r="B12929" s="8"/>
      <c r="G12929" s="8"/>
      <c r="M12929" s="8"/>
    </row>
    <row r="12930">
      <c r="B12930" s="8"/>
      <c r="G12930" s="8"/>
      <c r="M12930" s="8"/>
    </row>
    <row r="12931">
      <c r="B12931" s="8"/>
      <c r="G12931" s="8"/>
      <c r="M12931" s="8"/>
    </row>
    <row r="12932">
      <c r="B12932" s="8"/>
      <c r="G12932" s="8"/>
      <c r="M12932" s="8"/>
    </row>
    <row r="12933">
      <c r="B12933" s="8"/>
      <c r="G12933" s="8"/>
      <c r="M12933" s="8"/>
    </row>
    <row r="12934">
      <c r="B12934" s="8"/>
      <c r="G12934" s="8"/>
      <c r="M12934" s="8"/>
    </row>
    <row r="12935">
      <c r="B12935" s="8"/>
      <c r="G12935" s="8"/>
      <c r="M12935" s="8"/>
    </row>
    <row r="12936">
      <c r="B12936" s="8"/>
      <c r="G12936" s="8"/>
      <c r="M12936" s="8"/>
    </row>
    <row r="12937">
      <c r="B12937" s="8"/>
      <c r="G12937" s="8"/>
      <c r="M12937" s="8"/>
    </row>
    <row r="12938">
      <c r="B12938" s="8"/>
      <c r="G12938" s="8"/>
      <c r="M12938" s="8"/>
    </row>
    <row r="12939">
      <c r="B12939" s="8"/>
      <c r="G12939" s="8"/>
      <c r="M12939" s="8"/>
    </row>
    <row r="12940">
      <c r="B12940" s="8"/>
      <c r="G12940" s="8"/>
      <c r="M12940" s="8"/>
    </row>
    <row r="12941">
      <c r="B12941" s="8"/>
      <c r="G12941" s="8"/>
      <c r="M12941" s="8"/>
    </row>
    <row r="12942">
      <c r="B12942" s="8"/>
      <c r="G12942" s="8"/>
      <c r="M12942" s="8"/>
    </row>
    <row r="12943">
      <c r="B12943" s="8"/>
      <c r="G12943" s="8"/>
      <c r="M12943" s="8"/>
    </row>
    <row r="12944">
      <c r="B12944" s="8"/>
      <c r="G12944" s="8"/>
      <c r="M12944" s="8"/>
    </row>
    <row r="12945">
      <c r="B12945" s="8"/>
      <c r="G12945" s="8"/>
      <c r="M12945" s="8"/>
    </row>
    <row r="12946">
      <c r="B12946" s="8"/>
      <c r="G12946" s="8"/>
      <c r="M12946" s="8"/>
    </row>
    <row r="12947">
      <c r="B12947" s="8"/>
      <c r="G12947" s="8"/>
      <c r="M12947" s="8"/>
    </row>
    <row r="12948">
      <c r="B12948" s="8"/>
      <c r="G12948" s="8"/>
      <c r="M12948" s="8"/>
    </row>
    <row r="12949">
      <c r="B12949" s="8"/>
      <c r="G12949" s="8"/>
      <c r="M12949" s="8"/>
    </row>
    <row r="12950">
      <c r="B12950" s="8"/>
      <c r="G12950" s="8"/>
      <c r="M12950" s="8"/>
    </row>
    <row r="12951">
      <c r="B12951" s="8"/>
      <c r="G12951" s="8"/>
      <c r="M12951" s="8"/>
    </row>
    <row r="12952">
      <c r="B12952" s="8"/>
      <c r="G12952" s="8"/>
      <c r="M12952" s="8"/>
    </row>
    <row r="12953">
      <c r="B12953" s="8"/>
      <c r="G12953" s="8"/>
      <c r="M12953" s="8"/>
    </row>
    <row r="12954">
      <c r="B12954" s="8"/>
      <c r="G12954" s="8"/>
      <c r="M12954" s="8"/>
    </row>
    <row r="12955">
      <c r="B12955" s="8"/>
      <c r="G12955" s="8"/>
      <c r="M12955" s="8"/>
    </row>
    <row r="12956">
      <c r="B12956" s="8"/>
      <c r="G12956" s="8"/>
      <c r="M12956" s="8"/>
    </row>
    <row r="12957">
      <c r="B12957" s="8"/>
      <c r="G12957" s="8"/>
      <c r="M12957" s="8"/>
    </row>
    <row r="12958">
      <c r="B12958" s="8"/>
      <c r="G12958" s="8"/>
      <c r="M12958" s="8"/>
    </row>
    <row r="12959">
      <c r="B12959" s="8"/>
      <c r="G12959" s="8"/>
      <c r="M12959" s="8"/>
    </row>
    <row r="12960">
      <c r="B12960" s="8"/>
      <c r="G12960" s="8"/>
      <c r="M12960" s="8"/>
    </row>
    <row r="12961">
      <c r="B12961" s="8"/>
      <c r="G12961" s="8"/>
      <c r="M12961" s="8"/>
    </row>
    <row r="12962">
      <c r="B12962" s="8"/>
      <c r="G12962" s="8"/>
      <c r="M12962" s="8"/>
    </row>
    <row r="12963">
      <c r="B12963" s="8"/>
      <c r="G12963" s="8"/>
      <c r="M12963" s="8"/>
    </row>
    <row r="12964">
      <c r="B12964" s="8"/>
      <c r="G12964" s="8"/>
      <c r="M12964" s="8"/>
    </row>
    <row r="12965">
      <c r="B12965" s="8"/>
      <c r="G12965" s="8"/>
      <c r="M12965" s="8"/>
    </row>
    <row r="12966">
      <c r="B12966" s="8"/>
      <c r="G12966" s="8"/>
      <c r="M12966" s="8"/>
    </row>
    <row r="12967">
      <c r="B12967" s="8"/>
      <c r="G12967" s="8"/>
      <c r="M12967" s="8"/>
    </row>
    <row r="12968">
      <c r="B12968" s="8"/>
      <c r="G12968" s="8"/>
      <c r="M12968" s="8"/>
    </row>
    <row r="12969">
      <c r="B12969" s="8"/>
      <c r="G12969" s="8"/>
      <c r="M12969" s="8"/>
    </row>
    <row r="12970">
      <c r="B12970" s="8"/>
      <c r="G12970" s="8"/>
      <c r="M12970" s="8"/>
    </row>
    <row r="12971">
      <c r="B12971" s="8"/>
      <c r="G12971" s="8"/>
      <c r="M12971" s="8"/>
    </row>
    <row r="12972">
      <c r="B12972" s="8"/>
      <c r="G12972" s="8"/>
      <c r="M12972" s="8"/>
    </row>
    <row r="12973">
      <c r="B12973" s="8"/>
      <c r="G12973" s="8"/>
      <c r="M12973" s="8"/>
    </row>
    <row r="12974">
      <c r="B12974" s="8"/>
      <c r="G12974" s="8"/>
      <c r="M12974" s="8"/>
    </row>
    <row r="12975">
      <c r="B12975" s="8"/>
      <c r="G12975" s="8"/>
      <c r="M12975" s="8"/>
    </row>
    <row r="12976">
      <c r="B12976" s="8"/>
      <c r="G12976" s="8"/>
      <c r="M12976" s="8"/>
    </row>
    <row r="12977">
      <c r="B12977" s="8"/>
      <c r="G12977" s="8"/>
      <c r="M12977" s="8"/>
    </row>
    <row r="12978">
      <c r="B12978" s="8"/>
      <c r="G12978" s="8"/>
      <c r="M12978" s="8"/>
    </row>
    <row r="12979">
      <c r="B12979" s="8"/>
      <c r="G12979" s="8"/>
      <c r="M12979" s="8"/>
    </row>
    <row r="12980">
      <c r="B12980" s="8"/>
      <c r="G12980" s="8"/>
      <c r="M12980" s="8"/>
    </row>
    <row r="12981">
      <c r="B12981" s="8"/>
      <c r="G12981" s="8"/>
      <c r="M12981" s="8"/>
    </row>
    <row r="12982">
      <c r="B12982" s="8"/>
      <c r="G12982" s="8"/>
      <c r="M12982" s="8"/>
    </row>
    <row r="12983">
      <c r="B12983" s="8"/>
      <c r="G12983" s="8"/>
      <c r="M12983" s="8"/>
    </row>
    <row r="12984">
      <c r="B12984" s="8"/>
      <c r="G12984" s="8"/>
      <c r="M12984" s="8"/>
    </row>
    <row r="12985">
      <c r="B12985" s="8"/>
      <c r="G12985" s="8"/>
      <c r="M12985" s="8"/>
    </row>
    <row r="12986">
      <c r="B12986" s="8"/>
      <c r="G12986" s="8"/>
      <c r="M12986" s="8"/>
    </row>
    <row r="12987">
      <c r="B12987" s="8"/>
      <c r="G12987" s="8"/>
      <c r="M12987" s="8"/>
    </row>
    <row r="12988">
      <c r="B12988" s="8"/>
      <c r="G12988" s="8"/>
      <c r="M12988" s="8"/>
    </row>
    <row r="12989">
      <c r="B12989" s="8"/>
      <c r="G12989" s="8"/>
      <c r="M12989" s="8"/>
    </row>
    <row r="12990">
      <c r="B12990" s="8"/>
      <c r="G12990" s="8"/>
      <c r="M12990" s="8"/>
    </row>
    <row r="12991">
      <c r="B12991" s="8"/>
      <c r="G12991" s="8"/>
      <c r="M12991" s="8"/>
    </row>
    <row r="12992">
      <c r="B12992" s="8"/>
      <c r="G12992" s="8"/>
      <c r="M12992" s="8"/>
    </row>
    <row r="12993">
      <c r="B12993" s="8"/>
      <c r="G12993" s="8"/>
      <c r="M12993" s="8"/>
    </row>
    <row r="12994">
      <c r="B12994" s="8"/>
      <c r="G12994" s="8"/>
      <c r="M12994" s="8"/>
    </row>
    <row r="12995">
      <c r="B12995" s="8"/>
      <c r="G12995" s="8"/>
      <c r="M12995" s="8"/>
    </row>
    <row r="12996">
      <c r="B12996" s="8"/>
      <c r="G12996" s="8"/>
      <c r="M12996" s="8"/>
    </row>
    <row r="12997">
      <c r="B12997" s="8"/>
      <c r="G12997" s="8"/>
      <c r="M12997" s="8"/>
    </row>
    <row r="12998">
      <c r="B12998" s="8"/>
      <c r="G12998" s="8"/>
      <c r="M12998" s="8"/>
    </row>
    <row r="12999">
      <c r="B12999" s="8"/>
      <c r="G12999" s="8"/>
      <c r="M12999" s="8"/>
    </row>
    <row r="13000">
      <c r="B13000" s="8"/>
      <c r="G13000" s="8"/>
      <c r="M13000" s="8"/>
    </row>
    <row r="13001">
      <c r="B13001" s="8"/>
      <c r="G13001" s="8"/>
      <c r="M13001" s="8"/>
    </row>
    <row r="13002">
      <c r="B13002" s="8"/>
      <c r="G13002" s="8"/>
      <c r="M13002" s="8"/>
    </row>
    <row r="13003">
      <c r="B13003" s="8"/>
      <c r="G13003" s="8"/>
      <c r="M13003" s="8"/>
    </row>
    <row r="13004">
      <c r="B13004" s="8"/>
      <c r="G13004" s="8"/>
      <c r="M13004" s="8"/>
    </row>
    <row r="13005">
      <c r="B13005" s="8"/>
      <c r="G13005" s="8"/>
      <c r="M13005" s="8"/>
    </row>
    <row r="13006">
      <c r="B13006" s="8"/>
      <c r="G13006" s="8"/>
      <c r="M13006" s="8"/>
    </row>
    <row r="13007">
      <c r="B13007" s="8"/>
      <c r="G13007" s="8"/>
      <c r="M13007" s="8"/>
    </row>
    <row r="13008">
      <c r="B13008" s="8"/>
      <c r="G13008" s="8"/>
      <c r="M13008" s="8"/>
    </row>
    <row r="13009">
      <c r="B13009" s="8"/>
      <c r="G13009" s="8"/>
      <c r="M13009" s="8"/>
    </row>
    <row r="13010">
      <c r="B13010" s="8"/>
      <c r="G13010" s="8"/>
      <c r="M13010" s="8"/>
    </row>
    <row r="13011">
      <c r="B13011" s="8"/>
      <c r="G13011" s="8"/>
      <c r="M13011" s="8"/>
    </row>
    <row r="13012">
      <c r="B13012" s="8"/>
      <c r="G13012" s="8"/>
      <c r="M13012" s="8"/>
    </row>
    <row r="13013">
      <c r="B13013" s="8"/>
      <c r="G13013" s="8"/>
      <c r="M13013" s="8"/>
    </row>
    <row r="13014">
      <c r="B13014" s="8"/>
      <c r="G13014" s="8"/>
      <c r="M13014" s="8"/>
    </row>
    <row r="13015">
      <c r="B13015" s="8"/>
      <c r="G13015" s="8"/>
      <c r="M13015" s="8"/>
    </row>
    <row r="13016">
      <c r="B13016" s="8"/>
      <c r="G13016" s="8"/>
      <c r="M13016" s="8"/>
    </row>
    <row r="13017">
      <c r="B13017" s="8"/>
      <c r="G13017" s="8"/>
      <c r="M13017" s="8"/>
    </row>
    <row r="13018">
      <c r="B13018" s="8"/>
      <c r="G13018" s="8"/>
      <c r="M13018" s="8"/>
    </row>
    <row r="13019">
      <c r="B13019" s="8"/>
      <c r="G13019" s="8"/>
      <c r="M13019" s="8"/>
    </row>
    <row r="13020">
      <c r="B13020" s="8"/>
      <c r="G13020" s="8"/>
      <c r="M13020" s="8"/>
    </row>
    <row r="13021">
      <c r="B13021" s="8"/>
      <c r="G13021" s="8"/>
      <c r="M13021" s="8"/>
    </row>
    <row r="13022">
      <c r="B13022" s="8"/>
      <c r="G13022" s="8"/>
      <c r="M13022" s="8"/>
    </row>
    <row r="13023">
      <c r="B13023" s="8"/>
      <c r="G13023" s="8"/>
      <c r="M13023" s="8"/>
    </row>
    <row r="13024">
      <c r="B13024" s="8"/>
      <c r="G13024" s="8"/>
      <c r="M13024" s="8"/>
    </row>
    <row r="13025">
      <c r="B13025" s="8"/>
      <c r="G13025" s="8"/>
      <c r="M13025" s="8"/>
    </row>
    <row r="13026">
      <c r="B13026" s="8"/>
      <c r="G13026" s="8"/>
      <c r="M13026" s="8"/>
    </row>
    <row r="13027">
      <c r="B13027" s="8"/>
      <c r="G13027" s="8"/>
      <c r="M13027" s="8"/>
    </row>
    <row r="13028">
      <c r="B13028" s="8"/>
      <c r="G13028" s="8"/>
      <c r="M13028" s="8"/>
    </row>
    <row r="13029">
      <c r="B13029" s="8"/>
      <c r="G13029" s="8"/>
      <c r="M13029" s="8"/>
    </row>
    <row r="13030">
      <c r="B13030" s="8"/>
      <c r="G13030" s="8"/>
      <c r="M13030" s="8"/>
    </row>
    <row r="13031">
      <c r="B13031" s="8"/>
      <c r="G13031" s="8"/>
      <c r="M13031" s="8"/>
    </row>
    <row r="13032">
      <c r="B13032" s="8"/>
      <c r="G13032" s="8"/>
      <c r="M13032" s="8"/>
    </row>
    <row r="13033">
      <c r="B13033" s="8"/>
      <c r="G13033" s="8"/>
      <c r="M13033" s="8"/>
    </row>
    <row r="13034">
      <c r="B13034" s="8"/>
      <c r="G13034" s="8"/>
      <c r="M13034" s="8"/>
    </row>
    <row r="13035">
      <c r="B13035" s="8"/>
      <c r="G13035" s="8"/>
      <c r="M13035" s="8"/>
    </row>
    <row r="13036">
      <c r="B13036" s="8"/>
      <c r="G13036" s="8"/>
      <c r="M13036" s="8"/>
    </row>
    <row r="13037">
      <c r="B13037" s="8"/>
      <c r="G13037" s="8"/>
      <c r="M13037" s="8"/>
    </row>
    <row r="13038">
      <c r="B13038" s="8"/>
      <c r="G13038" s="8"/>
      <c r="M13038" s="8"/>
    </row>
    <row r="13039">
      <c r="B13039" s="8"/>
      <c r="G13039" s="8"/>
      <c r="M13039" s="8"/>
    </row>
    <row r="13040">
      <c r="B13040" s="8"/>
      <c r="G13040" s="8"/>
      <c r="M13040" s="8"/>
    </row>
    <row r="13041">
      <c r="B13041" s="8"/>
      <c r="G13041" s="8"/>
      <c r="M13041" s="8"/>
    </row>
    <row r="13042">
      <c r="B13042" s="8"/>
      <c r="G13042" s="8"/>
      <c r="M13042" s="8"/>
    </row>
    <row r="13043">
      <c r="B13043" s="8"/>
      <c r="G13043" s="8"/>
      <c r="M13043" s="8"/>
    </row>
    <row r="13044">
      <c r="B13044" s="8"/>
      <c r="G13044" s="8"/>
      <c r="M13044" s="8"/>
    </row>
    <row r="13045">
      <c r="B13045" s="8"/>
      <c r="G13045" s="8"/>
      <c r="M13045" s="8"/>
    </row>
    <row r="13046">
      <c r="B13046" s="8"/>
      <c r="G13046" s="8"/>
      <c r="M13046" s="8"/>
    </row>
    <row r="13047">
      <c r="B13047" s="8"/>
      <c r="G13047" s="8"/>
      <c r="M13047" s="8"/>
    </row>
    <row r="13048">
      <c r="B13048" s="8"/>
      <c r="G13048" s="8"/>
      <c r="M13048" s="8"/>
    </row>
    <row r="13049">
      <c r="B13049" s="8"/>
      <c r="G13049" s="8"/>
      <c r="M13049" s="8"/>
    </row>
    <row r="13050">
      <c r="B13050" s="8"/>
      <c r="G13050" s="8"/>
      <c r="M13050" s="8"/>
    </row>
    <row r="13051">
      <c r="B13051" s="8"/>
      <c r="G13051" s="8"/>
      <c r="M13051" s="8"/>
    </row>
    <row r="13052">
      <c r="B13052" s="8"/>
      <c r="G13052" s="8"/>
      <c r="M13052" s="8"/>
    </row>
    <row r="13053">
      <c r="B13053" s="8"/>
      <c r="G13053" s="8"/>
      <c r="M13053" s="8"/>
    </row>
    <row r="13054">
      <c r="B13054" s="8"/>
      <c r="G13054" s="8"/>
      <c r="M13054" s="8"/>
    </row>
    <row r="13055">
      <c r="B13055" s="8"/>
      <c r="G13055" s="8"/>
      <c r="M13055" s="8"/>
    </row>
    <row r="13056">
      <c r="B13056" s="8"/>
      <c r="G13056" s="8"/>
      <c r="M13056" s="8"/>
    </row>
    <row r="13057">
      <c r="B13057" s="8"/>
      <c r="G13057" s="8"/>
      <c r="M13057" s="8"/>
    </row>
    <row r="13058">
      <c r="B13058" s="8"/>
      <c r="G13058" s="8"/>
      <c r="M13058" s="8"/>
    </row>
    <row r="13059">
      <c r="B13059" s="8"/>
      <c r="G13059" s="8"/>
      <c r="M13059" s="8"/>
    </row>
    <row r="13060">
      <c r="B13060" s="8"/>
      <c r="G13060" s="8"/>
      <c r="M13060" s="8"/>
    </row>
    <row r="13061">
      <c r="B13061" s="8"/>
      <c r="G13061" s="8"/>
      <c r="M13061" s="8"/>
    </row>
    <row r="13062">
      <c r="B13062" s="8"/>
      <c r="G13062" s="8"/>
      <c r="M13062" s="8"/>
    </row>
    <row r="13063">
      <c r="B13063" s="8"/>
      <c r="G13063" s="8"/>
      <c r="M13063" s="8"/>
    </row>
    <row r="13064">
      <c r="B13064" s="8"/>
      <c r="G13064" s="8"/>
      <c r="M13064" s="8"/>
    </row>
    <row r="13065">
      <c r="B13065" s="8"/>
      <c r="G13065" s="8"/>
      <c r="M13065" s="8"/>
    </row>
    <row r="13066">
      <c r="B13066" s="8"/>
      <c r="G13066" s="8"/>
      <c r="M13066" s="8"/>
    </row>
    <row r="13067">
      <c r="B13067" s="8"/>
      <c r="G13067" s="8"/>
      <c r="M13067" s="8"/>
    </row>
    <row r="13068">
      <c r="B13068" s="8"/>
      <c r="G13068" s="8"/>
      <c r="M13068" s="8"/>
    </row>
    <row r="13069">
      <c r="B13069" s="8"/>
      <c r="G13069" s="8"/>
      <c r="M13069" s="8"/>
    </row>
    <row r="13070">
      <c r="B13070" s="8"/>
      <c r="G13070" s="8"/>
      <c r="M13070" s="8"/>
    </row>
    <row r="13071">
      <c r="B13071" s="8"/>
      <c r="G13071" s="8"/>
      <c r="M13071" s="8"/>
    </row>
    <row r="13072">
      <c r="B13072" s="8"/>
      <c r="G13072" s="8"/>
      <c r="M13072" s="8"/>
    </row>
    <row r="13073">
      <c r="B13073" s="8"/>
      <c r="G13073" s="8"/>
      <c r="M13073" s="8"/>
    </row>
    <row r="13074">
      <c r="B13074" s="8"/>
      <c r="G13074" s="8"/>
      <c r="M13074" s="8"/>
    </row>
    <row r="13075">
      <c r="B13075" s="8"/>
      <c r="G13075" s="8"/>
      <c r="M13075" s="8"/>
    </row>
    <row r="13076">
      <c r="B13076" s="8"/>
      <c r="G13076" s="8"/>
      <c r="M13076" s="8"/>
    </row>
    <row r="13077">
      <c r="B13077" s="8"/>
      <c r="G13077" s="8"/>
      <c r="M13077" s="8"/>
    </row>
    <row r="13078">
      <c r="B13078" s="8"/>
      <c r="G13078" s="8"/>
      <c r="M13078" s="8"/>
    </row>
    <row r="13079">
      <c r="B13079" s="8"/>
      <c r="G13079" s="8"/>
      <c r="M13079" s="8"/>
    </row>
    <row r="13080">
      <c r="B13080" s="8"/>
      <c r="G13080" s="8"/>
      <c r="M13080" s="8"/>
    </row>
    <row r="13081">
      <c r="B13081" s="8"/>
      <c r="G13081" s="8"/>
      <c r="M13081" s="8"/>
    </row>
    <row r="13082">
      <c r="B13082" s="8"/>
      <c r="G13082" s="8"/>
      <c r="M13082" s="8"/>
    </row>
    <row r="13083">
      <c r="B13083" s="8"/>
      <c r="G13083" s="8"/>
      <c r="M13083" s="8"/>
    </row>
    <row r="13084">
      <c r="B13084" s="8"/>
      <c r="G13084" s="8"/>
      <c r="M13084" s="8"/>
    </row>
    <row r="13085">
      <c r="B13085" s="8"/>
      <c r="G13085" s="8"/>
      <c r="M13085" s="8"/>
    </row>
    <row r="13086">
      <c r="B13086" s="8"/>
      <c r="G13086" s="8"/>
      <c r="M13086" s="8"/>
    </row>
    <row r="13087">
      <c r="B13087" s="8"/>
      <c r="G13087" s="8"/>
      <c r="M13087" s="8"/>
    </row>
    <row r="13088">
      <c r="B13088" s="8"/>
      <c r="G13088" s="8"/>
      <c r="M13088" s="8"/>
    </row>
    <row r="13089">
      <c r="B13089" s="8"/>
      <c r="G13089" s="8"/>
      <c r="M13089" s="8"/>
    </row>
    <row r="13090">
      <c r="B13090" s="8"/>
      <c r="G13090" s="8"/>
      <c r="M13090" s="8"/>
    </row>
    <row r="13091">
      <c r="B13091" s="8"/>
      <c r="G13091" s="8"/>
      <c r="M13091" s="8"/>
    </row>
    <row r="13092">
      <c r="B13092" s="8"/>
      <c r="G13092" s="8"/>
      <c r="M13092" s="8"/>
    </row>
    <row r="13093">
      <c r="B13093" s="8"/>
      <c r="G13093" s="8"/>
      <c r="M13093" s="8"/>
    </row>
    <row r="13094">
      <c r="B13094" s="8"/>
      <c r="G13094" s="8"/>
      <c r="M13094" s="8"/>
    </row>
    <row r="13095">
      <c r="B13095" s="8"/>
      <c r="G13095" s="8"/>
      <c r="M13095" s="8"/>
    </row>
    <row r="13096">
      <c r="B13096" s="8"/>
      <c r="G13096" s="8"/>
      <c r="M13096" s="8"/>
    </row>
    <row r="13097">
      <c r="B13097" s="8"/>
      <c r="G13097" s="8"/>
      <c r="M13097" s="8"/>
    </row>
    <row r="13098">
      <c r="B13098" s="8"/>
      <c r="G13098" s="8"/>
      <c r="M13098" s="8"/>
    </row>
    <row r="13099">
      <c r="B13099" s="8"/>
      <c r="G13099" s="8"/>
      <c r="M13099" s="8"/>
    </row>
    <row r="13100">
      <c r="B13100" s="8"/>
      <c r="G13100" s="8"/>
      <c r="M13100" s="8"/>
    </row>
    <row r="13101">
      <c r="B13101" s="8"/>
      <c r="G13101" s="8"/>
      <c r="M13101" s="8"/>
    </row>
    <row r="13102">
      <c r="B13102" s="8"/>
      <c r="G13102" s="8"/>
      <c r="M13102" s="8"/>
    </row>
    <row r="13103">
      <c r="B13103" s="8"/>
      <c r="G13103" s="8"/>
      <c r="M13103" s="8"/>
    </row>
    <row r="13104">
      <c r="B13104" s="8"/>
      <c r="G13104" s="8"/>
      <c r="M13104" s="8"/>
    </row>
    <row r="13105">
      <c r="B13105" s="8"/>
      <c r="G13105" s="8"/>
      <c r="M13105" s="8"/>
    </row>
    <row r="13106">
      <c r="B13106" s="8"/>
      <c r="G13106" s="8"/>
      <c r="M13106" s="8"/>
    </row>
    <row r="13107">
      <c r="B13107" s="8"/>
      <c r="G13107" s="8"/>
      <c r="M13107" s="8"/>
    </row>
    <row r="13108">
      <c r="B13108" s="8"/>
      <c r="G13108" s="8"/>
      <c r="M13108" s="8"/>
    </row>
    <row r="13109">
      <c r="B13109" s="8"/>
      <c r="G13109" s="8"/>
      <c r="M13109" s="8"/>
    </row>
    <row r="13110">
      <c r="B13110" s="8"/>
      <c r="G13110" s="8"/>
      <c r="M13110" s="8"/>
    </row>
    <row r="13111">
      <c r="B13111" s="8"/>
      <c r="G13111" s="8"/>
      <c r="M13111" s="8"/>
    </row>
    <row r="13112">
      <c r="B13112" s="8"/>
      <c r="G13112" s="8"/>
      <c r="M13112" s="8"/>
    </row>
    <row r="13113">
      <c r="B13113" s="8"/>
      <c r="G13113" s="8"/>
      <c r="M13113" s="8"/>
    </row>
    <row r="13114">
      <c r="B13114" s="8"/>
      <c r="G13114" s="8"/>
      <c r="M13114" s="8"/>
    </row>
    <row r="13115">
      <c r="B13115" s="8"/>
      <c r="G13115" s="8"/>
      <c r="M13115" s="8"/>
    </row>
    <row r="13116">
      <c r="B13116" s="8"/>
      <c r="G13116" s="8"/>
      <c r="M13116" s="8"/>
    </row>
    <row r="13117">
      <c r="B13117" s="8"/>
      <c r="G13117" s="8"/>
      <c r="M13117" s="8"/>
    </row>
    <row r="13118">
      <c r="B13118" s="8"/>
      <c r="G13118" s="8"/>
      <c r="M13118" s="8"/>
    </row>
    <row r="13119">
      <c r="B13119" s="8"/>
      <c r="G13119" s="8"/>
      <c r="M13119" s="8"/>
    </row>
    <row r="13120">
      <c r="B13120" s="8"/>
      <c r="G13120" s="8"/>
      <c r="M13120" s="8"/>
    </row>
    <row r="13121">
      <c r="B13121" s="8"/>
      <c r="G13121" s="8"/>
      <c r="M13121" s="8"/>
    </row>
    <row r="13122">
      <c r="B13122" s="8"/>
      <c r="G13122" s="8"/>
      <c r="M13122" s="8"/>
    </row>
    <row r="13123">
      <c r="B13123" s="8"/>
      <c r="G13123" s="8"/>
      <c r="M13123" s="8"/>
    </row>
    <row r="13124">
      <c r="B13124" s="8"/>
      <c r="G13124" s="8"/>
      <c r="M13124" s="8"/>
    </row>
    <row r="13125">
      <c r="B13125" s="8"/>
      <c r="G13125" s="8"/>
      <c r="M13125" s="8"/>
    </row>
    <row r="13126">
      <c r="B13126" s="8"/>
      <c r="G13126" s="8"/>
      <c r="M13126" s="8"/>
    </row>
    <row r="13127">
      <c r="B13127" s="8"/>
      <c r="G13127" s="8"/>
      <c r="M13127" s="8"/>
    </row>
    <row r="13128">
      <c r="B13128" s="8"/>
      <c r="G13128" s="8"/>
      <c r="M13128" s="8"/>
    </row>
    <row r="13129">
      <c r="B13129" s="8"/>
      <c r="G13129" s="8"/>
      <c r="M13129" s="8"/>
    </row>
    <row r="13130">
      <c r="B13130" s="8"/>
      <c r="G13130" s="8"/>
      <c r="M13130" s="8"/>
    </row>
    <row r="13131">
      <c r="B13131" s="8"/>
      <c r="G13131" s="8"/>
      <c r="M13131" s="8"/>
    </row>
    <row r="13132">
      <c r="B13132" s="8"/>
      <c r="G13132" s="8"/>
      <c r="M13132" s="8"/>
    </row>
    <row r="13133">
      <c r="B13133" s="8"/>
      <c r="G13133" s="8"/>
      <c r="M13133" s="8"/>
    </row>
    <row r="13134">
      <c r="B13134" s="8"/>
      <c r="G13134" s="8"/>
      <c r="M13134" s="8"/>
    </row>
    <row r="13135">
      <c r="B13135" s="8"/>
      <c r="G13135" s="8"/>
      <c r="M13135" s="8"/>
    </row>
    <row r="13136">
      <c r="B13136" s="8"/>
      <c r="G13136" s="8"/>
      <c r="M13136" s="8"/>
    </row>
    <row r="13137">
      <c r="B13137" s="8"/>
      <c r="G13137" s="8"/>
      <c r="M13137" s="8"/>
    </row>
    <row r="13138">
      <c r="B13138" s="8"/>
      <c r="G13138" s="8"/>
      <c r="M13138" s="8"/>
    </row>
    <row r="13139">
      <c r="B13139" s="8"/>
      <c r="G13139" s="8"/>
      <c r="M13139" s="8"/>
    </row>
    <row r="13140">
      <c r="B13140" s="8"/>
      <c r="G13140" s="8"/>
      <c r="M13140" s="8"/>
    </row>
    <row r="13141">
      <c r="B13141" s="8"/>
      <c r="G13141" s="8"/>
      <c r="M13141" s="8"/>
    </row>
    <row r="13142">
      <c r="B13142" s="8"/>
      <c r="G13142" s="8"/>
      <c r="M13142" s="8"/>
    </row>
    <row r="13143">
      <c r="B13143" s="8"/>
      <c r="G13143" s="8"/>
      <c r="M13143" s="8"/>
    </row>
    <row r="13144">
      <c r="B13144" s="8"/>
      <c r="G13144" s="8"/>
      <c r="M13144" s="8"/>
    </row>
    <row r="13145">
      <c r="B13145" s="8"/>
      <c r="G13145" s="8"/>
      <c r="M13145" s="8"/>
    </row>
    <row r="13146">
      <c r="B13146" s="8"/>
      <c r="G13146" s="8"/>
      <c r="M13146" s="8"/>
    </row>
    <row r="13147">
      <c r="B13147" s="8"/>
      <c r="G13147" s="8"/>
      <c r="M13147" s="8"/>
    </row>
    <row r="13148">
      <c r="B13148" s="8"/>
      <c r="G13148" s="8"/>
      <c r="M13148" s="8"/>
    </row>
    <row r="13149">
      <c r="B13149" s="8"/>
      <c r="G13149" s="8"/>
      <c r="M13149" s="8"/>
    </row>
    <row r="13150">
      <c r="B13150" s="8"/>
      <c r="G13150" s="8"/>
      <c r="M13150" s="8"/>
    </row>
    <row r="13151">
      <c r="B13151" s="8"/>
      <c r="G13151" s="8"/>
      <c r="M13151" s="8"/>
    </row>
    <row r="13152">
      <c r="B13152" s="8"/>
      <c r="G13152" s="8"/>
      <c r="M13152" s="8"/>
    </row>
    <row r="13153">
      <c r="B13153" s="8"/>
      <c r="G13153" s="8"/>
      <c r="M13153" s="8"/>
    </row>
    <row r="13154">
      <c r="B13154" s="8"/>
      <c r="G13154" s="8"/>
      <c r="M13154" s="8"/>
    </row>
    <row r="13155">
      <c r="B13155" s="8"/>
      <c r="G13155" s="8"/>
      <c r="M13155" s="8"/>
    </row>
    <row r="13156">
      <c r="B13156" s="8"/>
      <c r="G13156" s="8"/>
      <c r="M13156" s="8"/>
    </row>
    <row r="13157">
      <c r="B13157" s="8"/>
      <c r="G13157" s="8"/>
      <c r="M13157" s="8"/>
    </row>
    <row r="13158">
      <c r="B13158" s="8"/>
      <c r="G13158" s="8"/>
      <c r="M13158" s="8"/>
    </row>
    <row r="13159">
      <c r="B13159" s="8"/>
      <c r="G13159" s="8"/>
      <c r="M13159" s="8"/>
    </row>
    <row r="13160">
      <c r="B13160" s="8"/>
      <c r="G13160" s="8"/>
      <c r="M13160" s="8"/>
    </row>
    <row r="13161">
      <c r="B13161" s="8"/>
      <c r="G13161" s="8"/>
      <c r="M13161" s="8"/>
    </row>
    <row r="13162">
      <c r="B13162" s="8"/>
      <c r="G13162" s="8"/>
      <c r="M13162" s="8"/>
    </row>
    <row r="13163">
      <c r="B13163" s="8"/>
      <c r="G13163" s="8"/>
      <c r="M13163" s="8"/>
    </row>
    <row r="13164">
      <c r="B13164" s="8"/>
      <c r="G13164" s="8"/>
      <c r="M13164" s="8"/>
    </row>
    <row r="13165">
      <c r="B13165" s="8"/>
      <c r="G13165" s="8"/>
      <c r="M13165" s="8"/>
    </row>
    <row r="13166">
      <c r="B13166" s="8"/>
      <c r="G13166" s="8"/>
      <c r="M13166" s="8"/>
    </row>
    <row r="13167">
      <c r="B13167" s="8"/>
      <c r="G13167" s="8"/>
      <c r="M13167" s="8"/>
    </row>
    <row r="13168">
      <c r="B13168" s="8"/>
      <c r="G13168" s="8"/>
      <c r="M13168" s="8"/>
    </row>
    <row r="13169">
      <c r="B13169" s="8"/>
      <c r="G13169" s="8"/>
      <c r="M13169" s="8"/>
    </row>
    <row r="13170">
      <c r="B13170" s="8"/>
      <c r="G13170" s="8"/>
      <c r="M13170" s="8"/>
    </row>
    <row r="13171">
      <c r="B13171" s="8"/>
      <c r="G13171" s="8"/>
      <c r="M13171" s="8"/>
    </row>
    <row r="13172">
      <c r="B13172" s="8"/>
      <c r="G13172" s="8"/>
      <c r="M13172" s="8"/>
    </row>
    <row r="13173">
      <c r="B13173" s="8"/>
      <c r="G13173" s="8"/>
      <c r="M13173" s="8"/>
    </row>
    <row r="13174">
      <c r="B13174" s="8"/>
      <c r="G13174" s="8"/>
      <c r="M13174" s="8"/>
    </row>
    <row r="13175">
      <c r="B13175" s="8"/>
      <c r="G13175" s="8"/>
      <c r="M13175" s="8"/>
    </row>
    <row r="13176">
      <c r="B13176" s="8"/>
      <c r="G13176" s="8"/>
      <c r="M13176" s="8"/>
    </row>
    <row r="13177">
      <c r="B13177" s="8"/>
      <c r="G13177" s="8"/>
      <c r="M13177" s="8"/>
    </row>
    <row r="13178">
      <c r="B13178" s="8"/>
      <c r="G13178" s="8"/>
      <c r="M13178" s="8"/>
    </row>
    <row r="13179">
      <c r="B13179" s="8"/>
      <c r="G13179" s="8"/>
      <c r="M13179" s="8"/>
    </row>
    <row r="13180">
      <c r="B13180" s="8"/>
      <c r="G13180" s="8"/>
      <c r="M13180" s="8"/>
    </row>
    <row r="13181">
      <c r="B13181" s="8"/>
      <c r="G13181" s="8"/>
      <c r="M13181" s="8"/>
    </row>
    <row r="13182">
      <c r="B13182" s="8"/>
      <c r="G13182" s="8"/>
      <c r="M13182" s="8"/>
    </row>
    <row r="13183">
      <c r="B13183" s="8"/>
      <c r="G13183" s="8"/>
      <c r="M13183" s="8"/>
    </row>
    <row r="13184">
      <c r="B13184" s="8"/>
      <c r="G13184" s="8"/>
      <c r="M13184" s="8"/>
    </row>
    <row r="13185">
      <c r="B13185" s="8"/>
      <c r="G13185" s="8"/>
      <c r="M13185" s="8"/>
    </row>
    <row r="13186">
      <c r="B13186" s="8"/>
      <c r="G13186" s="8"/>
      <c r="M13186" s="8"/>
    </row>
    <row r="13187">
      <c r="B13187" s="8"/>
      <c r="G13187" s="8"/>
      <c r="M13187" s="8"/>
    </row>
    <row r="13188">
      <c r="B13188" s="8"/>
      <c r="G13188" s="8"/>
      <c r="M13188" s="8"/>
    </row>
    <row r="13189">
      <c r="B13189" s="8"/>
      <c r="G13189" s="8"/>
      <c r="M13189" s="8"/>
    </row>
    <row r="13190">
      <c r="B13190" s="8"/>
      <c r="G13190" s="8"/>
      <c r="M13190" s="8"/>
    </row>
    <row r="13191">
      <c r="B13191" s="8"/>
      <c r="G13191" s="8"/>
      <c r="M13191" s="8"/>
    </row>
    <row r="13192">
      <c r="B13192" s="8"/>
      <c r="G13192" s="8"/>
      <c r="M13192" s="8"/>
    </row>
    <row r="13193">
      <c r="B13193" s="8"/>
      <c r="G13193" s="8"/>
      <c r="M13193" s="8"/>
    </row>
    <row r="13194">
      <c r="B13194" s="8"/>
      <c r="G13194" s="8"/>
      <c r="M13194" s="8"/>
    </row>
    <row r="13195">
      <c r="B13195" s="8"/>
      <c r="G13195" s="8"/>
      <c r="M13195" s="8"/>
    </row>
    <row r="13196">
      <c r="B13196" s="8"/>
      <c r="G13196" s="8"/>
      <c r="M13196" s="8"/>
    </row>
    <row r="13197">
      <c r="B13197" s="8"/>
      <c r="G13197" s="8"/>
      <c r="M13197" s="8"/>
    </row>
    <row r="13198">
      <c r="B13198" s="8"/>
      <c r="G13198" s="8"/>
      <c r="M13198" s="8"/>
    </row>
    <row r="13199">
      <c r="B13199" s="8"/>
      <c r="G13199" s="8"/>
      <c r="M13199" s="8"/>
    </row>
    <row r="13200">
      <c r="B13200" s="8"/>
      <c r="G13200" s="8"/>
      <c r="M13200" s="8"/>
    </row>
    <row r="13201">
      <c r="B13201" s="8"/>
      <c r="G13201" s="8"/>
      <c r="M13201" s="8"/>
    </row>
    <row r="13202">
      <c r="B13202" s="8"/>
      <c r="G13202" s="8"/>
      <c r="M13202" s="8"/>
    </row>
    <row r="13203">
      <c r="B13203" s="8"/>
      <c r="G13203" s="8"/>
      <c r="M13203" s="8"/>
    </row>
    <row r="13204">
      <c r="B13204" s="8"/>
      <c r="G13204" s="8"/>
      <c r="M13204" s="8"/>
    </row>
    <row r="13205">
      <c r="B13205" s="8"/>
      <c r="G13205" s="8"/>
      <c r="M13205" s="8"/>
    </row>
    <row r="13206">
      <c r="B13206" s="8"/>
      <c r="G13206" s="8"/>
      <c r="M13206" s="8"/>
    </row>
    <row r="13207">
      <c r="B13207" s="8"/>
      <c r="G13207" s="8"/>
      <c r="M13207" s="8"/>
    </row>
    <row r="13208">
      <c r="B13208" s="8"/>
      <c r="G13208" s="8"/>
      <c r="M13208" s="8"/>
    </row>
    <row r="13209">
      <c r="B13209" s="8"/>
      <c r="G13209" s="8"/>
      <c r="M13209" s="8"/>
    </row>
    <row r="13210">
      <c r="B13210" s="8"/>
      <c r="G13210" s="8"/>
      <c r="M13210" s="8"/>
    </row>
    <row r="13211">
      <c r="B13211" s="8"/>
      <c r="G13211" s="8"/>
      <c r="M13211" s="8"/>
    </row>
    <row r="13212">
      <c r="B13212" s="8"/>
      <c r="G13212" s="8"/>
      <c r="M13212" s="8"/>
    </row>
    <row r="13213">
      <c r="B13213" s="8"/>
      <c r="G13213" s="8"/>
      <c r="M13213" s="8"/>
    </row>
    <row r="13214">
      <c r="B13214" s="8"/>
      <c r="G13214" s="8"/>
      <c r="M13214" s="8"/>
    </row>
    <row r="13215">
      <c r="B13215" s="8"/>
      <c r="G13215" s="8"/>
      <c r="M13215" s="8"/>
    </row>
    <row r="13216">
      <c r="B13216" s="8"/>
      <c r="G13216" s="8"/>
      <c r="M13216" s="8"/>
    </row>
    <row r="13217">
      <c r="B13217" s="8"/>
      <c r="G13217" s="8"/>
      <c r="M13217" s="8"/>
    </row>
    <row r="13218">
      <c r="B13218" s="8"/>
      <c r="G13218" s="8"/>
      <c r="M13218" s="8"/>
    </row>
    <row r="13219">
      <c r="B13219" s="8"/>
      <c r="G13219" s="8"/>
      <c r="M13219" s="8"/>
    </row>
    <row r="13220">
      <c r="B13220" s="8"/>
      <c r="G13220" s="8"/>
      <c r="M13220" s="8"/>
    </row>
    <row r="13221">
      <c r="B13221" s="8"/>
      <c r="G13221" s="8"/>
      <c r="M13221" s="8"/>
    </row>
    <row r="13222">
      <c r="B13222" s="8"/>
      <c r="G13222" s="8"/>
      <c r="M13222" s="8"/>
    </row>
    <row r="13223">
      <c r="B13223" s="8"/>
      <c r="G13223" s="8"/>
      <c r="M13223" s="8"/>
    </row>
    <row r="13224">
      <c r="B13224" s="8"/>
      <c r="G13224" s="8"/>
      <c r="M13224" s="8"/>
    </row>
    <row r="13225">
      <c r="B13225" s="8"/>
      <c r="G13225" s="8"/>
      <c r="M13225" s="8"/>
    </row>
    <row r="13226">
      <c r="B13226" s="8"/>
      <c r="G13226" s="8"/>
      <c r="M13226" s="8"/>
    </row>
    <row r="13227">
      <c r="B13227" s="8"/>
      <c r="G13227" s="8"/>
      <c r="M13227" s="8"/>
    </row>
    <row r="13228">
      <c r="B13228" s="8"/>
      <c r="G13228" s="8"/>
      <c r="M13228" s="8"/>
    </row>
    <row r="13229">
      <c r="B13229" s="8"/>
      <c r="G13229" s="8"/>
      <c r="M13229" s="8"/>
    </row>
    <row r="13230">
      <c r="B13230" s="8"/>
      <c r="G13230" s="8"/>
      <c r="M13230" s="8"/>
    </row>
    <row r="13231">
      <c r="B13231" s="8"/>
      <c r="G13231" s="8"/>
      <c r="M13231" s="8"/>
    </row>
    <row r="13232">
      <c r="B13232" s="8"/>
      <c r="G13232" s="8"/>
      <c r="M13232" s="8"/>
    </row>
    <row r="13233">
      <c r="B13233" s="8"/>
      <c r="G13233" s="8"/>
      <c r="M13233" s="8"/>
    </row>
    <row r="13234">
      <c r="B13234" s="8"/>
      <c r="G13234" s="8"/>
      <c r="M13234" s="8"/>
    </row>
    <row r="13235">
      <c r="B13235" s="8"/>
      <c r="G13235" s="8"/>
      <c r="M13235" s="8"/>
    </row>
    <row r="13236">
      <c r="B13236" s="8"/>
      <c r="G13236" s="8"/>
      <c r="M13236" s="8"/>
    </row>
    <row r="13237">
      <c r="B13237" s="8"/>
      <c r="G13237" s="8"/>
      <c r="M13237" s="8"/>
    </row>
    <row r="13238">
      <c r="B13238" s="8"/>
      <c r="G13238" s="8"/>
      <c r="M13238" s="8"/>
    </row>
    <row r="13239">
      <c r="B13239" s="8"/>
      <c r="G13239" s="8"/>
      <c r="M13239" s="8"/>
    </row>
    <row r="13240">
      <c r="B13240" s="8"/>
      <c r="G13240" s="8"/>
      <c r="M13240" s="8"/>
    </row>
    <row r="13241">
      <c r="B13241" s="8"/>
      <c r="G13241" s="8"/>
      <c r="M13241" s="8"/>
    </row>
    <row r="13242">
      <c r="B13242" s="8"/>
      <c r="G13242" s="8"/>
      <c r="M13242" s="8"/>
    </row>
    <row r="13243">
      <c r="B13243" s="8"/>
      <c r="G13243" s="8"/>
      <c r="M13243" s="8"/>
    </row>
    <row r="13244">
      <c r="B13244" s="8"/>
      <c r="G13244" s="8"/>
      <c r="M13244" s="8"/>
    </row>
    <row r="13245">
      <c r="B13245" s="8"/>
      <c r="G13245" s="8"/>
      <c r="M13245" s="8"/>
    </row>
    <row r="13246">
      <c r="B13246" s="8"/>
      <c r="G13246" s="8"/>
      <c r="M13246" s="8"/>
    </row>
    <row r="13247">
      <c r="B13247" s="8"/>
      <c r="G13247" s="8"/>
      <c r="M13247" s="8"/>
    </row>
    <row r="13248">
      <c r="B13248" s="8"/>
      <c r="G13248" s="8"/>
      <c r="M13248" s="8"/>
    </row>
    <row r="13249">
      <c r="B13249" s="8"/>
      <c r="G13249" s="8"/>
      <c r="M13249" s="8"/>
    </row>
    <row r="13250">
      <c r="B13250" s="8"/>
      <c r="G13250" s="8"/>
      <c r="M13250" s="8"/>
    </row>
    <row r="13251">
      <c r="B13251" s="8"/>
      <c r="G13251" s="8"/>
      <c r="M13251" s="8"/>
    </row>
    <row r="13252">
      <c r="B13252" s="8"/>
      <c r="G13252" s="8"/>
      <c r="M13252" s="8"/>
    </row>
    <row r="13253">
      <c r="B13253" s="8"/>
      <c r="G13253" s="8"/>
      <c r="M13253" s="8"/>
    </row>
    <row r="13254">
      <c r="B13254" s="8"/>
      <c r="G13254" s="8"/>
      <c r="M13254" s="8"/>
    </row>
    <row r="13255">
      <c r="B13255" s="8"/>
      <c r="G13255" s="8"/>
      <c r="M13255" s="8"/>
    </row>
    <row r="13256">
      <c r="B13256" s="8"/>
      <c r="G13256" s="8"/>
      <c r="M13256" s="8"/>
    </row>
    <row r="13257">
      <c r="B13257" s="8"/>
      <c r="G13257" s="8"/>
      <c r="M13257" s="8"/>
    </row>
    <row r="13258">
      <c r="B13258" s="8"/>
      <c r="G13258" s="8"/>
      <c r="M13258" s="8"/>
    </row>
    <row r="13259">
      <c r="B13259" s="8"/>
      <c r="G13259" s="8"/>
      <c r="M13259" s="8"/>
    </row>
    <row r="13260">
      <c r="B13260" s="8"/>
      <c r="G13260" s="8"/>
      <c r="M13260" s="8"/>
    </row>
    <row r="13261">
      <c r="B13261" s="8"/>
      <c r="G13261" s="8"/>
      <c r="M13261" s="8"/>
    </row>
    <row r="13262">
      <c r="B13262" s="8"/>
      <c r="G13262" s="8"/>
      <c r="M13262" s="8"/>
    </row>
    <row r="13263">
      <c r="B13263" s="8"/>
      <c r="G13263" s="8"/>
      <c r="M13263" s="8"/>
    </row>
    <row r="13264">
      <c r="B13264" s="8"/>
      <c r="G13264" s="8"/>
      <c r="M13264" s="8"/>
    </row>
    <row r="13265">
      <c r="B13265" s="8"/>
      <c r="G13265" s="8"/>
      <c r="M13265" s="8"/>
    </row>
    <row r="13266">
      <c r="B13266" s="8"/>
      <c r="G13266" s="8"/>
      <c r="M13266" s="8"/>
    </row>
    <row r="13267">
      <c r="B13267" s="8"/>
      <c r="G13267" s="8"/>
      <c r="M13267" s="8"/>
    </row>
    <row r="13268">
      <c r="B13268" s="8"/>
      <c r="G13268" s="8"/>
      <c r="M13268" s="8"/>
    </row>
    <row r="13269">
      <c r="B13269" s="8"/>
      <c r="G13269" s="8"/>
      <c r="M13269" s="8"/>
    </row>
    <row r="13270">
      <c r="B13270" s="8"/>
      <c r="G13270" s="8"/>
      <c r="M13270" s="8"/>
    </row>
    <row r="13271">
      <c r="B13271" s="8"/>
      <c r="G13271" s="8"/>
      <c r="M13271" s="8"/>
    </row>
    <row r="13272">
      <c r="B13272" s="8"/>
      <c r="G13272" s="8"/>
      <c r="M13272" s="8"/>
    </row>
    <row r="13273">
      <c r="B13273" s="8"/>
      <c r="G13273" s="8"/>
      <c r="M13273" s="8"/>
    </row>
    <row r="13274">
      <c r="B13274" s="8"/>
      <c r="G13274" s="8"/>
      <c r="M13274" s="8"/>
    </row>
    <row r="13275">
      <c r="B13275" s="8"/>
      <c r="G13275" s="8"/>
      <c r="M13275" s="8"/>
    </row>
    <row r="13276">
      <c r="B13276" s="8"/>
      <c r="G13276" s="8"/>
      <c r="M13276" s="8"/>
    </row>
    <row r="13277">
      <c r="B13277" s="8"/>
      <c r="G13277" s="8"/>
      <c r="M13277" s="8"/>
    </row>
    <row r="13278">
      <c r="B13278" s="8"/>
      <c r="G13278" s="8"/>
      <c r="M13278" s="8"/>
    </row>
    <row r="13279">
      <c r="B13279" s="8"/>
      <c r="G13279" s="8"/>
      <c r="M13279" s="8"/>
    </row>
    <row r="13280">
      <c r="B13280" s="8"/>
      <c r="G13280" s="8"/>
      <c r="M13280" s="8"/>
    </row>
    <row r="13281">
      <c r="B13281" s="8"/>
      <c r="G13281" s="8"/>
      <c r="M13281" s="8"/>
    </row>
    <row r="13282">
      <c r="B13282" s="8"/>
      <c r="G13282" s="8"/>
      <c r="M13282" s="8"/>
    </row>
    <row r="13283">
      <c r="B13283" s="8"/>
      <c r="G13283" s="8"/>
      <c r="M13283" s="8"/>
    </row>
    <row r="13284">
      <c r="B13284" s="8"/>
      <c r="G13284" s="8"/>
      <c r="M13284" s="8"/>
    </row>
    <row r="13285">
      <c r="B13285" s="8"/>
      <c r="G13285" s="8"/>
      <c r="M13285" s="8"/>
    </row>
    <row r="13286">
      <c r="B13286" s="8"/>
      <c r="G13286" s="8"/>
      <c r="M13286" s="8"/>
    </row>
    <row r="13287">
      <c r="B13287" s="8"/>
      <c r="G13287" s="8"/>
      <c r="M13287" s="8"/>
    </row>
    <row r="13288">
      <c r="B13288" s="8"/>
      <c r="G13288" s="8"/>
      <c r="M13288" s="8"/>
    </row>
    <row r="13289">
      <c r="B13289" s="8"/>
      <c r="G13289" s="8"/>
      <c r="M13289" s="8"/>
    </row>
    <row r="13290">
      <c r="B13290" s="8"/>
      <c r="G13290" s="8"/>
      <c r="M13290" s="8"/>
    </row>
    <row r="13291">
      <c r="B13291" s="8"/>
      <c r="G13291" s="8"/>
      <c r="M13291" s="8"/>
    </row>
    <row r="13292">
      <c r="B13292" s="8"/>
      <c r="G13292" s="8"/>
      <c r="M13292" s="8"/>
    </row>
    <row r="13293">
      <c r="B13293" s="8"/>
      <c r="G13293" s="8"/>
      <c r="M13293" s="8"/>
    </row>
    <row r="13294">
      <c r="B13294" s="8"/>
      <c r="G13294" s="8"/>
      <c r="M13294" s="8"/>
    </row>
    <row r="13295">
      <c r="B13295" s="8"/>
      <c r="G13295" s="8"/>
      <c r="M13295" s="8"/>
    </row>
    <row r="13296">
      <c r="B13296" s="8"/>
      <c r="G13296" s="8"/>
      <c r="M13296" s="8"/>
    </row>
    <row r="13297">
      <c r="B13297" s="8"/>
      <c r="G13297" s="8"/>
      <c r="M13297" s="8"/>
    </row>
    <row r="13298">
      <c r="B13298" s="8"/>
      <c r="G13298" s="8"/>
      <c r="M13298" s="8"/>
    </row>
    <row r="13299">
      <c r="B13299" s="8"/>
      <c r="G13299" s="8"/>
      <c r="M13299" s="8"/>
    </row>
    <row r="13300">
      <c r="B13300" s="8"/>
      <c r="G13300" s="8"/>
      <c r="M13300" s="8"/>
    </row>
    <row r="13301">
      <c r="B13301" s="8"/>
      <c r="G13301" s="8"/>
      <c r="M13301" s="8"/>
    </row>
    <row r="13302">
      <c r="B13302" s="8"/>
      <c r="G13302" s="8"/>
      <c r="M13302" s="8"/>
    </row>
    <row r="13303">
      <c r="B13303" s="8"/>
      <c r="G13303" s="8"/>
      <c r="M13303" s="8"/>
    </row>
    <row r="13304">
      <c r="B13304" s="8"/>
      <c r="G13304" s="8"/>
      <c r="M13304" s="8"/>
    </row>
    <row r="13305">
      <c r="B13305" s="8"/>
      <c r="G13305" s="8"/>
      <c r="M13305" s="8"/>
    </row>
    <row r="13306">
      <c r="B13306" s="8"/>
      <c r="G13306" s="8"/>
      <c r="M13306" s="8"/>
    </row>
    <row r="13307">
      <c r="B13307" s="8"/>
      <c r="G13307" s="8"/>
      <c r="M13307" s="8"/>
    </row>
    <row r="13308">
      <c r="B13308" s="8"/>
      <c r="G13308" s="8"/>
      <c r="M13308" s="8"/>
    </row>
    <row r="13309">
      <c r="B13309" s="8"/>
      <c r="G13309" s="8"/>
      <c r="M13309" s="8"/>
    </row>
    <row r="13310">
      <c r="B13310" s="8"/>
      <c r="G13310" s="8"/>
      <c r="M13310" s="8"/>
    </row>
    <row r="13311">
      <c r="B13311" s="8"/>
      <c r="G13311" s="8"/>
      <c r="M13311" s="8"/>
    </row>
    <row r="13312">
      <c r="B13312" s="8"/>
      <c r="G13312" s="8"/>
      <c r="M13312" s="8"/>
    </row>
    <row r="13313">
      <c r="B13313" s="8"/>
      <c r="G13313" s="8"/>
      <c r="M13313" s="8"/>
    </row>
    <row r="13314">
      <c r="B13314" s="8"/>
      <c r="G13314" s="8"/>
      <c r="M13314" s="8"/>
    </row>
    <row r="13315">
      <c r="B13315" s="8"/>
      <c r="G13315" s="8"/>
      <c r="M13315" s="8"/>
    </row>
    <row r="13316">
      <c r="B13316" s="8"/>
      <c r="G13316" s="8"/>
      <c r="M13316" s="8"/>
    </row>
    <row r="13317">
      <c r="B13317" s="8"/>
      <c r="G13317" s="8"/>
      <c r="M13317" s="8"/>
    </row>
    <row r="13318">
      <c r="B13318" s="8"/>
      <c r="G13318" s="8"/>
      <c r="M13318" s="8"/>
    </row>
    <row r="13319">
      <c r="B13319" s="8"/>
      <c r="G13319" s="8"/>
      <c r="M13319" s="8"/>
    </row>
    <row r="13320">
      <c r="B13320" s="8"/>
      <c r="G13320" s="8"/>
      <c r="M13320" s="8"/>
    </row>
    <row r="13321">
      <c r="B13321" s="8"/>
      <c r="G13321" s="8"/>
      <c r="M13321" s="8"/>
    </row>
    <row r="13322">
      <c r="B13322" s="8"/>
      <c r="G13322" s="8"/>
      <c r="M13322" s="8"/>
    </row>
    <row r="13323">
      <c r="B13323" s="8"/>
      <c r="G13323" s="8"/>
      <c r="M13323" s="8"/>
    </row>
    <row r="13324">
      <c r="B13324" s="8"/>
      <c r="G13324" s="8"/>
      <c r="M13324" s="8"/>
    </row>
    <row r="13325">
      <c r="B13325" s="8"/>
      <c r="G13325" s="8"/>
      <c r="M13325" s="8"/>
    </row>
    <row r="13326">
      <c r="B13326" s="8"/>
      <c r="G13326" s="8"/>
      <c r="M13326" s="8"/>
    </row>
    <row r="13327">
      <c r="B13327" s="8"/>
      <c r="G13327" s="8"/>
      <c r="M13327" s="8"/>
    </row>
    <row r="13328">
      <c r="B13328" s="8"/>
      <c r="G13328" s="8"/>
      <c r="M13328" s="8"/>
    </row>
    <row r="13329">
      <c r="B13329" s="8"/>
      <c r="G13329" s="8"/>
      <c r="M13329" s="8"/>
    </row>
    <row r="13330">
      <c r="B13330" s="8"/>
      <c r="G13330" s="8"/>
      <c r="M13330" s="8"/>
    </row>
    <row r="13331">
      <c r="B13331" s="8"/>
      <c r="G13331" s="8"/>
      <c r="M13331" s="8"/>
    </row>
    <row r="13332">
      <c r="B13332" s="8"/>
      <c r="G13332" s="8"/>
      <c r="M13332" s="8"/>
    </row>
    <row r="13333">
      <c r="B13333" s="8"/>
      <c r="G13333" s="8"/>
      <c r="M13333" s="8"/>
    </row>
    <row r="13334">
      <c r="B13334" s="8"/>
      <c r="G13334" s="8"/>
      <c r="M13334" s="8"/>
    </row>
    <row r="13335">
      <c r="B13335" s="8"/>
      <c r="G13335" s="8"/>
      <c r="M13335" s="8"/>
    </row>
    <row r="13336">
      <c r="B13336" s="8"/>
      <c r="G13336" s="8"/>
      <c r="M13336" s="8"/>
    </row>
    <row r="13337">
      <c r="B13337" s="8"/>
      <c r="G13337" s="8"/>
      <c r="M13337" s="8"/>
    </row>
    <row r="13338">
      <c r="B13338" s="8"/>
      <c r="G13338" s="8"/>
      <c r="M13338" s="8"/>
    </row>
    <row r="13339">
      <c r="B13339" s="8"/>
      <c r="G13339" s="8"/>
      <c r="M13339" s="8"/>
    </row>
    <row r="13340">
      <c r="B13340" s="8"/>
      <c r="G13340" s="8"/>
      <c r="M13340" s="8"/>
    </row>
    <row r="13341">
      <c r="B13341" s="8"/>
      <c r="G13341" s="8"/>
      <c r="M13341" s="8"/>
    </row>
    <row r="13342">
      <c r="B13342" s="8"/>
      <c r="G13342" s="8"/>
      <c r="M13342" s="8"/>
    </row>
    <row r="13343">
      <c r="B13343" s="8"/>
      <c r="G13343" s="8"/>
      <c r="M13343" s="8"/>
    </row>
    <row r="13344">
      <c r="B13344" s="8"/>
      <c r="G13344" s="8"/>
      <c r="M13344" s="8"/>
    </row>
    <row r="13345">
      <c r="B13345" s="8"/>
      <c r="G13345" s="8"/>
      <c r="M13345" s="8"/>
    </row>
    <row r="13346">
      <c r="B13346" s="8"/>
      <c r="G13346" s="8"/>
      <c r="M13346" s="8"/>
    </row>
    <row r="13347">
      <c r="B13347" s="8"/>
      <c r="G13347" s="8"/>
      <c r="M13347" s="8"/>
    </row>
    <row r="13348">
      <c r="B13348" s="8"/>
      <c r="G13348" s="8"/>
      <c r="M13348" s="8"/>
    </row>
    <row r="13349">
      <c r="B13349" s="8"/>
      <c r="G13349" s="8"/>
      <c r="M13349" s="8"/>
    </row>
    <row r="13350">
      <c r="B13350" s="8"/>
      <c r="G13350" s="8"/>
      <c r="M13350" s="8"/>
    </row>
    <row r="13351">
      <c r="B13351" s="8"/>
      <c r="G13351" s="8"/>
      <c r="M13351" s="8"/>
    </row>
    <row r="13352">
      <c r="B13352" s="8"/>
      <c r="G13352" s="8"/>
      <c r="M13352" s="8"/>
    </row>
    <row r="13353">
      <c r="B13353" s="8"/>
      <c r="G13353" s="8"/>
      <c r="M13353" s="8"/>
    </row>
    <row r="13354">
      <c r="B13354" s="8"/>
      <c r="G13354" s="8"/>
      <c r="M13354" s="8"/>
    </row>
    <row r="13355">
      <c r="B13355" s="8"/>
      <c r="G13355" s="8"/>
      <c r="M13355" s="8"/>
    </row>
    <row r="13356">
      <c r="B13356" s="8"/>
      <c r="G13356" s="8"/>
      <c r="M13356" s="8"/>
    </row>
    <row r="13357">
      <c r="B13357" s="8"/>
      <c r="G13357" s="8"/>
      <c r="M13357" s="8"/>
    </row>
    <row r="13358">
      <c r="B13358" s="8"/>
      <c r="G13358" s="8"/>
      <c r="M13358" s="8"/>
    </row>
    <row r="13359">
      <c r="B13359" s="8"/>
      <c r="G13359" s="8"/>
      <c r="M13359" s="8"/>
    </row>
    <row r="13360">
      <c r="B13360" s="8"/>
      <c r="G13360" s="8"/>
      <c r="M13360" s="8"/>
    </row>
    <row r="13361">
      <c r="B13361" s="8"/>
      <c r="G13361" s="8"/>
      <c r="M13361" s="8"/>
    </row>
    <row r="13362">
      <c r="B13362" s="8"/>
      <c r="G13362" s="8"/>
      <c r="M13362" s="8"/>
    </row>
    <row r="13363">
      <c r="B13363" s="8"/>
      <c r="G13363" s="8"/>
      <c r="M13363" s="8"/>
    </row>
    <row r="13364">
      <c r="B13364" s="8"/>
      <c r="G13364" s="8"/>
      <c r="M13364" s="8"/>
    </row>
    <row r="13365">
      <c r="B13365" s="8"/>
      <c r="G13365" s="8"/>
      <c r="M13365" s="8"/>
    </row>
    <row r="13366">
      <c r="B13366" s="8"/>
      <c r="G13366" s="8"/>
      <c r="M13366" s="8"/>
    </row>
    <row r="13367">
      <c r="B13367" s="8"/>
      <c r="G13367" s="8"/>
      <c r="M13367" s="8"/>
    </row>
    <row r="13368">
      <c r="B13368" s="8"/>
      <c r="G13368" s="8"/>
      <c r="M13368" s="8"/>
    </row>
    <row r="13369">
      <c r="B13369" s="8"/>
      <c r="G13369" s="8"/>
      <c r="M13369" s="8"/>
    </row>
    <row r="13370">
      <c r="B13370" s="8"/>
      <c r="G13370" s="8"/>
      <c r="M13370" s="8"/>
    </row>
    <row r="13371">
      <c r="B13371" s="8"/>
      <c r="G13371" s="8"/>
      <c r="M13371" s="8"/>
    </row>
    <row r="13372">
      <c r="B13372" s="8"/>
      <c r="G13372" s="8"/>
      <c r="M13372" s="8"/>
    </row>
    <row r="13373">
      <c r="B13373" s="8"/>
      <c r="G13373" s="8"/>
      <c r="M13373" s="8"/>
    </row>
    <row r="13374">
      <c r="B13374" s="8"/>
      <c r="G13374" s="8"/>
      <c r="M13374" s="8"/>
    </row>
    <row r="13375">
      <c r="B13375" s="8"/>
      <c r="G13375" s="8"/>
      <c r="M13375" s="8"/>
    </row>
    <row r="13376">
      <c r="B13376" s="8"/>
      <c r="G13376" s="8"/>
      <c r="M13376" s="8"/>
    </row>
    <row r="13377">
      <c r="B13377" s="8"/>
      <c r="G13377" s="8"/>
      <c r="M13377" s="8"/>
    </row>
    <row r="13378">
      <c r="B13378" s="8"/>
      <c r="G13378" s="8"/>
      <c r="M13378" s="8"/>
    </row>
    <row r="13379">
      <c r="B13379" s="8"/>
      <c r="G13379" s="8"/>
      <c r="M13379" s="8"/>
    </row>
    <row r="13380">
      <c r="B13380" s="8"/>
      <c r="G13380" s="8"/>
      <c r="M13380" s="8"/>
    </row>
    <row r="13381">
      <c r="B13381" s="8"/>
      <c r="G13381" s="8"/>
      <c r="M13381" s="8"/>
    </row>
    <row r="13382">
      <c r="B13382" s="8"/>
      <c r="G13382" s="8"/>
      <c r="M13382" s="8"/>
    </row>
    <row r="13383">
      <c r="B13383" s="8"/>
      <c r="G13383" s="8"/>
      <c r="M13383" s="8"/>
    </row>
    <row r="13384">
      <c r="B13384" s="8"/>
      <c r="G13384" s="8"/>
      <c r="M13384" s="8"/>
    </row>
    <row r="13385">
      <c r="B13385" s="8"/>
      <c r="G13385" s="8"/>
      <c r="M13385" s="8"/>
    </row>
    <row r="13386">
      <c r="B13386" s="8"/>
      <c r="G13386" s="8"/>
      <c r="M13386" s="8"/>
    </row>
    <row r="13387">
      <c r="B13387" s="8"/>
      <c r="G13387" s="8"/>
      <c r="M13387" s="8"/>
    </row>
    <row r="13388">
      <c r="B13388" s="8"/>
      <c r="G13388" s="8"/>
      <c r="M13388" s="8"/>
    </row>
    <row r="13389">
      <c r="B13389" s="8"/>
      <c r="G13389" s="8"/>
      <c r="M13389" s="8"/>
    </row>
    <row r="13390">
      <c r="B13390" s="8"/>
      <c r="G13390" s="8"/>
      <c r="M13390" s="8"/>
    </row>
    <row r="13391">
      <c r="B13391" s="8"/>
      <c r="G13391" s="8"/>
      <c r="M13391" s="8"/>
    </row>
    <row r="13392">
      <c r="B13392" s="8"/>
      <c r="G13392" s="8"/>
      <c r="M13392" s="8"/>
    </row>
    <row r="13393">
      <c r="B13393" s="8"/>
      <c r="G13393" s="8"/>
      <c r="M13393" s="8"/>
    </row>
    <row r="13394">
      <c r="B13394" s="8"/>
      <c r="G13394" s="8"/>
      <c r="M13394" s="8"/>
    </row>
    <row r="13395">
      <c r="B13395" s="8"/>
      <c r="G13395" s="8"/>
      <c r="M13395" s="8"/>
    </row>
    <row r="13396">
      <c r="B13396" s="8"/>
      <c r="G13396" s="8"/>
      <c r="M13396" s="8"/>
    </row>
    <row r="13397">
      <c r="B13397" s="8"/>
      <c r="G13397" s="8"/>
      <c r="M13397" s="8"/>
    </row>
    <row r="13398">
      <c r="B13398" s="8"/>
      <c r="G13398" s="8"/>
      <c r="M13398" s="8"/>
    </row>
    <row r="13399">
      <c r="B13399" s="8"/>
      <c r="G13399" s="8"/>
      <c r="M13399" s="8"/>
    </row>
    <row r="13400">
      <c r="B13400" s="8"/>
      <c r="G13400" s="8"/>
      <c r="M13400" s="8"/>
    </row>
    <row r="13401">
      <c r="B13401" s="8"/>
      <c r="G13401" s="8"/>
      <c r="M13401" s="8"/>
    </row>
    <row r="13402">
      <c r="B13402" s="8"/>
      <c r="G13402" s="8"/>
      <c r="M13402" s="8"/>
    </row>
    <row r="13403">
      <c r="B13403" s="8"/>
      <c r="G13403" s="8"/>
      <c r="M13403" s="8"/>
    </row>
    <row r="13404">
      <c r="B13404" s="8"/>
      <c r="G13404" s="8"/>
      <c r="M13404" s="8"/>
    </row>
    <row r="13405">
      <c r="B13405" s="8"/>
      <c r="G13405" s="8"/>
      <c r="M13405" s="8"/>
    </row>
    <row r="13406">
      <c r="B13406" s="8"/>
      <c r="G13406" s="8"/>
      <c r="M13406" s="8"/>
    </row>
    <row r="13407">
      <c r="B13407" s="8"/>
      <c r="G13407" s="8"/>
      <c r="M13407" s="8"/>
    </row>
    <row r="13408">
      <c r="B13408" s="8"/>
      <c r="G13408" s="8"/>
      <c r="M13408" s="8"/>
    </row>
    <row r="13409">
      <c r="B13409" s="8"/>
      <c r="G13409" s="8"/>
      <c r="M13409" s="8"/>
    </row>
    <row r="13410">
      <c r="B13410" s="8"/>
      <c r="G13410" s="8"/>
      <c r="M13410" s="8"/>
    </row>
    <row r="13411">
      <c r="B13411" s="8"/>
      <c r="G13411" s="8"/>
      <c r="M13411" s="8"/>
    </row>
    <row r="13412">
      <c r="B13412" s="8"/>
      <c r="G13412" s="8"/>
      <c r="M13412" s="8"/>
    </row>
    <row r="13413">
      <c r="B13413" s="8"/>
      <c r="G13413" s="8"/>
      <c r="M13413" s="8"/>
    </row>
    <row r="13414">
      <c r="B13414" s="8"/>
      <c r="G13414" s="8"/>
      <c r="M13414" s="8"/>
    </row>
    <row r="13415">
      <c r="B13415" s="8"/>
      <c r="G13415" s="8"/>
      <c r="M13415" s="8"/>
    </row>
    <row r="13416">
      <c r="B13416" s="8"/>
      <c r="G13416" s="8"/>
      <c r="M13416" s="8"/>
    </row>
    <row r="13417">
      <c r="B13417" s="8"/>
      <c r="G13417" s="8"/>
      <c r="M13417" s="8"/>
    </row>
    <row r="13418">
      <c r="B13418" s="8"/>
      <c r="G13418" s="8"/>
      <c r="M13418" s="8"/>
    </row>
    <row r="13419">
      <c r="B13419" s="8"/>
      <c r="G13419" s="8"/>
      <c r="M13419" s="8"/>
    </row>
    <row r="13420">
      <c r="B13420" s="8"/>
      <c r="G13420" s="8"/>
      <c r="M13420" s="8"/>
    </row>
    <row r="13421">
      <c r="B13421" s="8"/>
      <c r="G13421" s="8"/>
      <c r="M13421" s="8"/>
    </row>
    <row r="13422">
      <c r="B13422" s="8"/>
      <c r="G13422" s="8"/>
      <c r="M13422" s="8"/>
    </row>
    <row r="13423">
      <c r="B13423" s="8"/>
      <c r="G13423" s="8"/>
      <c r="M13423" s="8"/>
    </row>
    <row r="13424">
      <c r="B13424" s="8"/>
      <c r="G13424" s="8"/>
      <c r="M13424" s="8"/>
    </row>
    <row r="13425">
      <c r="B13425" s="8"/>
      <c r="G13425" s="8"/>
      <c r="M13425" s="8"/>
    </row>
    <row r="13426">
      <c r="B13426" s="8"/>
      <c r="G13426" s="8"/>
      <c r="M13426" s="8"/>
    </row>
    <row r="13427">
      <c r="B13427" s="8"/>
      <c r="G13427" s="8"/>
      <c r="M13427" s="8"/>
    </row>
    <row r="13428">
      <c r="B13428" s="8"/>
      <c r="G13428" s="8"/>
      <c r="M13428" s="8"/>
    </row>
    <row r="13429">
      <c r="B13429" s="8"/>
      <c r="G13429" s="8"/>
      <c r="M13429" s="8"/>
    </row>
    <row r="13430">
      <c r="B13430" s="8"/>
      <c r="G13430" s="8"/>
      <c r="M13430" s="8"/>
    </row>
    <row r="13431">
      <c r="B13431" s="8"/>
      <c r="G13431" s="8"/>
      <c r="M13431" s="8"/>
    </row>
    <row r="13432">
      <c r="B13432" s="8"/>
      <c r="G13432" s="8"/>
      <c r="M13432" s="8"/>
    </row>
    <row r="13433">
      <c r="B13433" s="8"/>
      <c r="G13433" s="8"/>
      <c r="M13433" s="8"/>
    </row>
    <row r="13434">
      <c r="B13434" s="8"/>
      <c r="G13434" s="8"/>
      <c r="M13434" s="8"/>
    </row>
    <row r="13435">
      <c r="B13435" s="8"/>
      <c r="G13435" s="8"/>
      <c r="M13435" s="8"/>
    </row>
    <row r="13436">
      <c r="B13436" s="8"/>
      <c r="G13436" s="8"/>
      <c r="M13436" s="8"/>
    </row>
    <row r="13437">
      <c r="B13437" s="8"/>
      <c r="G13437" s="8"/>
      <c r="M13437" s="8"/>
    </row>
    <row r="13438">
      <c r="B13438" s="8"/>
      <c r="G13438" s="8"/>
      <c r="M13438" s="8"/>
    </row>
    <row r="13439">
      <c r="B13439" s="8"/>
      <c r="G13439" s="8"/>
      <c r="M13439" s="8"/>
    </row>
    <row r="13440">
      <c r="B13440" s="8"/>
      <c r="G13440" s="8"/>
      <c r="M13440" s="8"/>
    </row>
    <row r="13441">
      <c r="B13441" s="8"/>
      <c r="G13441" s="8"/>
      <c r="M13441" s="8"/>
    </row>
    <row r="13442">
      <c r="B13442" s="8"/>
      <c r="G13442" s="8"/>
      <c r="M13442" s="8"/>
    </row>
    <row r="13443">
      <c r="B13443" s="8"/>
      <c r="G13443" s="8"/>
      <c r="M13443" s="8"/>
    </row>
    <row r="13444">
      <c r="B13444" s="8"/>
      <c r="G13444" s="8"/>
      <c r="M13444" s="8"/>
    </row>
    <row r="13445">
      <c r="B13445" s="8"/>
      <c r="G13445" s="8"/>
      <c r="M13445" s="8"/>
    </row>
    <row r="13446">
      <c r="B13446" s="8"/>
      <c r="G13446" s="8"/>
      <c r="M13446" s="8"/>
    </row>
    <row r="13447">
      <c r="B13447" s="8"/>
      <c r="G13447" s="8"/>
      <c r="M13447" s="8"/>
    </row>
    <row r="13448">
      <c r="B13448" s="8"/>
      <c r="G13448" s="8"/>
      <c r="M13448" s="8"/>
    </row>
    <row r="13449">
      <c r="B13449" s="8"/>
      <c r="G13449" s="8"/>
      <c r="M13449" s="8"/>
    </row>
    <row r="13450">
      <c r="B13450" s="8"/>
      <c r="G13450" s="8"/>
      <c r="M13450" s="8"/>
    </row>
    <row r="13451">
      <c r="B13451" s="8"/>
      <c r="G13451" s="8"/>
      <c r="M13451" s="8"/>
    </row>
    <row r="13452">
      <c r="B13452" s="8"/>
      <c r="G13452" s="8"/>
      <c r="M13452" s="8"/>
    </row>
    <row r="13453">
      <c r="B13453" s="8"/>
      <c r="G13453" s="8"/>
      <c r="M13453" s="8"/>
    </row>
    <row r="13454">
      <c r="B13454" s="8"/>
      <c r="G13454" s="8"/>
      <c r="M13454" s="8"/>
    </row>
    <row r="13455">
      <c r="B13455" s="8"/>
      <c r="G13455" s="8"/>
      <c r="M13455" s="8"/>
    </row>
    <row r="13456">
      <c r="B13456" s="8"/>
      <c r="G13456" s="8"/>
      <c r="M13456" s="8"/>
    </row>
    <row r="13457">
      <c r="B13457" s="8"/>
      <c r="G13457" s="8"/>
      <c r="M13457" s="8"/>
    </row>
    <row r="13458">
      <c r="B13458" s="8"/>
      <c r="G13458" s="8"/>
      <c r="M13458" s="8"/>
    </row>
    <row r="13459">
      <c r="B13459" s="8"/>
      <c r="G13459" s="8"/>
      <c r="M13459" s="8"/>
    </row>
    <row r="13460">
      <c r="B13460" s="8"/>
      <c r="G13460" s="8"/>
      <c r="M13460" s="8"/>
    </row>
    <row r="13461">
      <c r="B13461" s="8"/>
      <c r="G13461" s="8"/>
      <c r="M13461" s="8"/>
    </row>
    <row r="13462">
      <c r="B13462" s="8"/>
      <c r="G13462" s="8"/>
      <c r="M13462" s="8"/>
    </row>
    <row r="13463">
      <c r="B13463" s="8"/>
      <c r="G13463" s="8"/>
      <c r="M13463" s="8"/>
    </row>
    <row r="13464">
      <c r="B13464" s="8"/>
      <c r="G13464" s="8"/>
      <c r="M13464" s="8"/>
    </row>
    <row r="13465">
      <c r="B13465" s="8"/>
      <c r="G13465" s="8"/>
      <c r="M13465" s="8"/>
    </row>
    <row r="13466">
      <c r="B13466" s="8"/>
      <c r="G13466" s="8"/>
      <c r="M13466" s="8"/>
    </row>
    <row r="13467">
      <c r="B13467" s="8"/>
      <c r="G13467" s="8"/>
      <c r="M13467" s="8"/>
    </row>
    <row r="13468">
      <c r="B13468" s="8"/>
      <c r="G13468" s="8"/>
      <c r="M13468" s="8"/>
    </row>
    <row r="13469">
      <c r="B13469" s="8"/>
      <c r="G13469" s="8"/>
      <c r="M13469" s="8"/>
    </row>
    <row r="13470">
      <c r="B13470" s="8"/>
      <c r="G13470" s="8"/>
      <c r="M13470" s="8"/>
    </row>
    <row r="13471">
      <c r="B13471" s="8"/>
      <c r="G13471" s="8"/>
      <c r="M13471" s="8"/>
    </row>
    <row r="13472">
      <c r="B13472" s="8"/>
      <c r="G13472" s="8"/>
      <c r="M13472" s="8"/>
    </row>
    <row r="13473">
      <c r="B13473" s="8"/>
      <c r="G13473" s="8"/>
      <c r="M13473" s="8"/>
    </row>
    <row r="13474">
      <c r="B13474" s="8"/>
      <c r="G13474" s="8"/>
      <c r="M13474" s="8"/>
    </row>
    <row r="13475">
      <c r="B13475" s="8"/>
      <c r="G13475" s="8"/>
      <c r="M13475" s="8"/>
    </row>
    <row r="13476">
      <c r="B13476" s="8"/>
      <c r="G13476" s="8"/>
      <c r="M13476" s="8"/>
    </row>
    <row r="13477">
      <c r="B13477" s="8"/>
      <c r="G13477" s="8"/>
      <c r="M13477" s="8"/>
    </row>
    <row r="13478">
      <c r="B13478" s="8"/>
      <c r="G13478" s="8"/>
      <c r="M13478" s="8"/>
    </row>
    <row r="13479">
      <c r="B13479" s="8"/>
      <c r="G13479" s="8"/>
      <c r="M13479" s="8"/>
    </row>
    <row r="13480">
      <c r="B13480" s="8"/>
      <c r="G13480" s="8"/>
      <c r="M13480" s="8"/>
    </row>
    <row r="13481">
      <c r="B13481" s="8"/>
      <c r="G13481" s="8"/>
      <c r="M13481" s="8"/>
    </row>
    <row r="13482">
      <c r="B13482" s="8"/>
      <c r="G13482" s="8"/>
      <c r="M13482" s="8"/>
    </row>
    <row r="13483">
      <c r="B13483" s="8"/>
      <c r="G13483" s="8"/>
      <c r="M13483" s="8"/>
    </row>
    <row r="13484">
      <c r="B13484" s="8"/>
      <c r="G13484" s="8"/>
      <c r="M13484" s="8"/>
    </row>
    <row r="13485">
      <c r="B13485" s="8"/>
      <c r="G13485" s="8"/>
      <c r="M13485" s="8"/>
    </row>
    <row r="13486">
      <c r="B13486" s="8"/>
      <c r="G13486" s="8"/>
      <c r="M13486" s="8"/>
    </row>
    <row r="13487">
      <c r="B13487" s="8"/>
      <c r="G13487" s="8"/>
      <c r="M13487" s="8"/>
    </row>
    <row r="13488">
      <c r="B13488" s="8"/>
      <c r="G13488" s="8"/>
      <c r="M13488" s="8"/>
    </row>
    <row r="13489">
      <c r="B13489" s="8"/>
      <c r="G13489" s="8"/>
      <c r="M13489" s="8"/>
    </row>
    <row r="13490">
      <c r="B13490" s="8"/>
      <c r="G13490" s="8"/>
      <c r="M13490" s="8"/>
    </row>
    <row r="13491">
      <c r="B13491" s="8"/>
      <c r="G13491" s="8"/>
      <c r="M13491" s="8"/>
    </row>
    <row r="13492">
      <c r="B13492" s="8"/>
      <c r="G13492" s="8"/>
      <c r="M13492" s="8"/>
    </row>
    <row r="13493">
      <c r="B13493" s="8"/>
      <c r="G13493" s="8"/>
      <c r="M13493" s="8"/>
    </row>
    <row r="13494">
      <c r="B13494" s="8"/>
      <c r="G13494" s="8"/>
      <c r="M13494" s="8"/>
    </row>
    <row r="13495">
      <c r="B13495" s="8"/>
      <c r="G13495" s="8"/>
      <c r="M13495" s="8"/>
    </row>
    <row r="13496">
      <c r="B13496" s="8"/>
      <c r="G13496" s="8"/>
      <c r="M13496" s="8"/>
    </row>
    <row r="13497">
      <c r="B13497" s="8"/>
      <c r="G13497" s="8"/>
      <c r="M13497" s="8"/>
    </row>
    <row r="13498">
      <c r="B13498" s="8"/>
      <c r="G13498" s="8"/>
      <c r="M13498" s="8"/>
    </row>
    <row r="13499">
      <c r="B13499" s="8"/>
      <c r="G13499" s="8"/>
      <c r="M13499" s="8"/>
    </row>
    <row r="13500">
      <c r="B13500" s="8"/>
      <c r="G13500" s="8"/>
      <c r="M13500" s="8"/>
    </row>
    <row r="13501">
      <c r="B13501" s="8"/>
      <c r="G13501" s="8"/>
      <c r="M13501" s="8"/>
    </row>
    <row r="13502">
      <c r="B13502" s="8"/>
      <c r="G13502" s="8"/>
      <c r="M13502" s="8"/>
    </row>
    <row r="13503">
      <c r="B13503" s="8"/>
      <c r="G13503" s="8"/>
      <c r="M13503" s="8"/>
    </row>
    <row r="13504">
      <c r="B13504" s="8"/>
      <c r="G13504" s="8"/>
      <c r="M13504" s="8"/>
    </row>
    <row r="13505">
      <c r="B13505" s="8"/>
      <c r="G13505" s="8"/>
      <c r="M13505" s="8"/>
    </row>
    <row r="13506">
      <c r="B13506" s="8"/>
      <c r="G13506" s="8"/>
      <c r="M13506" s="8"/>
    </row>
    <row r="13507">
      <c r="B13507" s="8"/>
      <c r="G13507" s="8"/>
      <c r="M13507" s="8"/>
    </row>
    <row r="13508">
      <c r="B13508" s="8"/>
      <c r="G13508" s="8"/>
      <c r="M13508" s="8"/>
    </row>
    <row r="13509">
      <c r="B13509" s="8"/>
      <c r="G13509" s="8"/>
      <c r="M13509" s="8"/>
    </row>
    <row r="13510">
      <c r="B13510" s="8"/>
      <c r="G13510" s="8"/>
      <c r="M13510" s="8"/>
    </row>
    <row r="13511">
      <c r="B13511" s="8"/>
      <c r="G13511" s="8"/>
      <c r="M13511" s="8"/>
    </row>
    <row r="13512">
      <c r="B13512" s="8"/>
      <c r="G13512" s="8"/>
      <c r="M13512" s="8"/>
    </row>
    <row r="13513">
      <c r="B13513" s="8"/>
      <c r="G13513" s="8"/>
      <c r="M13513" s="8"/>
    </row>
    <row r="13514">
      <c r="B13514" s="8"/>
      <c r="G13514" s="8"/>
      <c r="M13514" s="8"/>
    </row>
    <row r="13515">
      <c r="B13515" s="8"/>
      <c r="G13515" s="8"/>
      <c r="M13515" s="8"/>
    </row>
    <row r="13516">
      <c r="B13516" s="8"/>
      <c r="G13516" s="8"/>
      <c r="M13516" s="8"/>
    </row>
    <row r="13517">
      <c r="B13517" s="8"/>
      <c r="G13517" s="8"/>
      <c r="M13517" s="8"/>
    </row>
    <row r="13518">
      <c r="B13518" s="8"/>
      <c r="G13518" s="8"/>
      <c r="M13518" s="8"/>
    </row>
    <row r="13519">
      <c r="B13519" s="8"/>
      <c r="G13519" s="8"/>
      <c r="M13519" s="8"/>
    </row>
    <row r="13520">
      <c r="B13520" s="8"/>
      <c r="G13520" s="8"/>
      <c r="M13520" s="8"/>
    </row>
    <row r="13521">
      <c r="B13521" s="8"/>
      <c r="G13521" s="8"/>
      <c r="M13521" s="8"/>
    </row>
    <row r="13522">
      <c r="B13522" s="8"/>
      <c r="G13522" s="8"/>
      <c r="M13522" s="8"/>
    </row>
    <row r="13523">
      <c r="B13523" s="8"/>
      <c r="G13523" s="8"/>
      <c r="M13523" s="8"/>
    </row>
    <row r="13524">
      <c r="B13524" s="8"/>
      <c r="G13524" s="8"/>
      <c r="M13524" s="8"/>
    </row>
    <row r="13525">
      <c r="B13525" s="8"/>
      <c r="G13525" s="8"/>
      <c r="M13525" s="8"/>
    </row>
    <row r="13526">
      <c r="B13526" s="8"/>
      <c r="G13526" s="8"/>
      <c r="M13526" s="8"/>
    </row>
    <row r="13527">
      <c r="B13527" s="8"/>
      <c r="G13527" s="8"/>
      <c r="M13527" s="8"/>
    </row>
    <row r="13528">
      <c r="B13528" s="8"/>
      <c r="G13528" s="8"/>
      <c r="M13528" s="8"/>
    </row>
    <row r="13529">
      <c r="B13529" s="8"/>
      <c r="G13529" s="8"/>
      <c r="M13529" s="8"/>
    </row>
    <row r="13530">
      <c r="B13530" s="8"/>
      <c r="G13530" s="8"/>
      <c r="M13530" s="8"/>
    </row>
    <row r="13531">
      <c r="B13531" s="8"/>
      <c r="G13531" s="8"/>
      <c r="M13531" s="8"/>
    </row>
    <row r="13532">
      <c r="B13532" s="8"/>
      <c r="G13532" s="8"/>
      <c r="M13532" s="8"/>
    </row>
    <row r="13533">
      <c r="B13533" s="8"/>
      <c r="G13533" s="8"/>
      <c r="M13533" s="8"/>
    </row>
    <row r="13534">
      <c r="B13534" s="8"/>
      <c r="G13534" s="8"/>
      <c r="M13534" s="8"/>
    </row>
    <row r="13535">
      <c r="B13535" s="8"/>
      <c r="G13535" s="8"/>
      <c r="M13535" s="8"/>
    </row>
    <row r="13536">
      <c r="B13536" s="8"/>
      <c r="G13536" s="8"/>
      <c r="M13536" s="8"/>
    </row>
    <row r="13537">
      <c r="B13537" s="8"/>
      <c r="G13537" s="8"/>
      <c r="M13537" s="8"/>
    </row>
    <row r="13538">
      <c r="B13538" s="8"/>
      <c r="G13538" s="8"/>
      <c r="M13538" s="8"/>
    </row>
    <row r="13539">
      <c r="B13539" s="8"/>
      <c r="G13539" s="8"/>
      <c r="M13539" s="8"/>
    </row>
    <row r="13540">
      <c r="B13540" s="8"/>
      <c r="G13540" s="8"/>
      <c r="M13540" s="8"/>
    </row>
    <row r="13541">
      <c r="B13541" s="8"/>
      <c r="G13541" s="8"/>
      <c r="M13541" s="8"/>
    </row>
    <row r="13542">
      <c r="B13542" s="8"/>
      <c r="G13542" s="8"/>
      <c r="M13542" s="8"/>
    </row>
    <row r="13543">
      <c r="B13543" s="8"/>
      <c r="G13543" s="8"/>
      <c r="M13543" s="8"/>
    </row>
    <row r="13544">
      <c r="B13544" s="8"/>
      <c r="G13544" s="8"/>
      <c r="M13544" s="8"/>
    </row>
    <row r="13545">
      <c r="B13545" s="8"/>
      <c r="G13545" s="8"/>
      <c r="M13545" s="8"/>
    </row>
    <row r="13546">
      <c r="B13546" s="8"/>
      <c r="G13546" s="8"/>
      <c r="M13546" s="8"/>
    </row>
    <row r="13547">
      <c r="B13547" s="8"/>
      <c r="G13547" s="8"/>
      <c r="M13547" s="8"/>
    </row>
    <row r="13548">
      <c r="B13548" s="8"/>
      <c r="G13548" s="8"/>
      <c r="M13548" s="8"/>
    </row>
    <row r="13549">
      <c r="B13549" s="8"/>
      <c r="G13549" s="8"/>
      <c r="M13549" s="8"/>
    </row>
    <row r="13550">
      <c r="B13550" s="8"/>
      <c r="G13550" s="8"/>
      <c r="M13550" s="8"/>
    </row>
    <row r="13551">
      <c r="B13551" s="8"/>
      <c r="G13551" s="8"/>
      <c r="M13551" s="8"/>
    </row>
    <row r="13552">
      <c r="B13552" s="8"/>
      <c r="G13552" s="8"/>
      <c r="M13552" s="8"/>
    </row>
    <row r="13553">
      <c r="B13553" s="8"/>
      <c r="G13553" s="8"/>
      <c r="M13553" s="8"/>
    </row>
    <row r="13554">
      <c r="B13554" s="8"/>
      <c r="G13554" s="8"/>
      <c r="M13554" s="8"/>
    </row>
    <row r="13555">
      <c r="B13555" s="8"/>
      <c r="G13555" s="8"/>
      <c r="M13555" s="8"/>
    </row>
    <row r="13556">
      <c r="B13556" s="8"/>
      <c r="G13556" s="8"/>
      <c r="M13556" s="8"/>
    </row>
    <row r="13557">
      <c r="B13557" s="8"/>
      <c r="G13557" s="8"/>
      <c r="M13557" s="8"/>
    </row>
    <row r="13558">
      <c r="B13558" s="8"/>
      <c r="G13558" s="8"/>
      <c r="M13558" s="8"/>
    </row>
    <row r="13559">
      <c r="B13559" s="8"/>
      <c r="G13559" s="8"/>
      <c r="M13559" s="8"/>
    </row>
    <row r="13560">
      <c r="B13560" s="8"/>
      <c r="G13560" s="8"/>
      <c r="M13560" s="8"/>
    </row>
    <row r="13561">
      <c r="B13561" s="8"/>
      <c r="G13561" s="8"/>
      <c r="M13561" s="8"/>
    </row>
    <row r="13562">
      <c r="B13562" s="8"/>
      <c r="G13562" s="8"/>
      <c r="M13562" s="8"/>
    </row>
    <row r="13563">
      <c r="B13563" s="8"/>
      <c r="G13563" s="8"/>
      <c r="M13563" s="8"/>
    </row>
    <row r="13564">
      <c r="B13564" s="8"/>
      <c r="G13564" s="8"/>
      <c r="M13564" s="8"/>
    </row>
    <row r="13565">
      <c r="B13565" s="8"/>
      <c r="G13565" s="8"/>
      <c r="M13565" s="8"/>
    </row>
    <row r="13566">
      <c r="B13566" s="8"/>
      <c r="G13566" s="8"/>
      <c r="M13566" s="8"/>
    </row>
    <row r="13567">
      <c r="B13567" s="8"/>
      <c r="G13567" s="8"/>
      <c r="M13567" s="8"/>
    </row>
    <row r="13568">
      <c r="B13568" s="8"/>
      <c r="G13568" s="8"/>
      <c r="M13568" s="8"/>
    </row>
    <row r="13569">
      <c r="B13569" s="8"/>
      <c r="G13569" s="8"/>
      <c r="M13569" s="8"/>
    </row>
    <row r="13570">
      <c r="B13570" s="8"/>
      <c r="G13570" s="8"/>
      <c r="M13570" s="8"/>
    </row>
    <row r="13571">
      <c r="B13571" s="8"/>
      <c r="G13571" s="8"/>
      <c r="M13571" s="8"/>
    </row>
    <row r="13572">
      <c r="B13572" s="8"/>
      <c r="G13572" s="8"/>
      <c r="M13572" s="8"/>
    </row>
    <row r="13573">
      <c r="B13573" s="8"/>
      <c r="G13573" s="8"/>
      <c r="M13573" s="8"/>
    </row>
    <row r="13574">
      <c r="B13574" s="8"/>
      <c r="G13574" s="8"/>
      <c r="M13574" s="8"/>
    </row>
    <row r="13575">
      <c r="B13575" s="8"/>
      <c r="G13575" s="8"/>
      <c r="M13575" s="8"/>
    </row>
    <row r="13576">
      <c r="B13576" s="8"/>
      <c r="G13576" s="8"/>
      <c r="M13576" s="8"/>
    </row>
    <row r="13577">
      <c r="B13577" s="8"/>
      <c r="G13577" s="8"/>
      <c r="M13577" s="8"/>
    </row>
    <row r="13578">
      <c r="B13578" s="8"/>
      <c r="G13578" s="8"/>
      <c r="M13578" s="8"/>
    </row>
    <row r="13579">
      <c r="B13579" s="8"/>
      <c r="G13579" s="8"/>
      <c r="M13579" s="8"/>
    </row>
    <row r="13580">
      <c r="B13580" s="8"/>
      <c r="G13580" s="8"/>
      <c r="M13580" s="8"/>
    </row>
    <row r="13581">
      <c r="B13581" s="8"/>
      <c r="G13581" s="8"/>
      <c r="M13581" s="8"/>
    </row>
    <row r="13582">
      <c r="B13582" s="8"/>
      <c r="G13582" s="8"/>
      <c r="M13582" s="8"/>
    </row>
    <row r="13583">
      <c r="B13583" s="8"/>
      <c r="G13583" s="8"/>
      <c r="M13583" s="8"/>
    </row>
    <row r="13584">
      <c r="B13584" s="8"/>
      <c r="G13584" s="8"/>
      <c r="M13584" s="8"/>
    </row>
    <row r="13585">
      <c r="B13585" s="8"/>
      <c r="G13585" s="8"/>
      <c r="M13585" s="8"/>
    </row>
    <row r="13586">
      <c r="B13586" s="8"/>
      <c r="G13586" s="8"/>
      <c r="M13586" s="8"/>
    </row>
    <row r="13587">
      <c r="B13587" s="8"/>
      <c r="G13587" s="8"/>
      <c r="M13587" s="8"/>
    </row>
    <row r="13588">
      <c r="B13588" s="8"/>
      <c r="G13588" s="8"/>
      <c r="M13588" s="8"/>
    </row>
    <row r="13589">
      <c r="B13589" s="8"/>
      <c r="G13589" s="8"/>
      <c r="M13589" s="8"/>
    </row>
    <row r="13590">
      <c r="B13590" s="8"/>
      <c r="G13590" s="8"/>
      <c r="M13590" s="8"/>
    </row>
    <row r="13591">
      <c r="B13591" s="8"/>
      <c r="G13591" s="8"/>
      <c r="M13591" s="8"/>
    </row>
    <row r="13592">
      <c r="B13592" s="8"/>
      <c r="G13592" s="8"/>
      <c r="M13592" s="8"/>
    </row>
    <row r="13593">
      <c r="B13593" s="8"/>
      <c r="G13593" s="8"/>
      <c r="M13593" s="8"/>
    </row>
    <row r="13594">
      <c r="B13594" s="8"/>
      <c r="G13594" s="8"/>
      <c r="M13594" s="8"/>
    </row>
    <row r="13595">
      <c r="B13595" s="8"/>
      <c r="G13595" s="8"/>
      <c r="M13595" s="8"/>
    </row>
    <row r="13596">
      <c r="B13596" s="8"/>
      <c r="G13596" s="8"/>
      <c r="M13596" s="8"/>
    </row>
    <row r="13597">
      <c r="B13597" s="8"/>
      <c r="G13597" s="8"/>
      <c r="M13597" s="8"/>
    </row>
    <row r="13598">
      <c r="B13598" s="8"/>
      <c r="G13598" s="8"/>
      <c r="M13598" s="8"/>
    </row>
    <row r="13599">
      <c r="B13599" s="8"/>
      <c r="G13599" s="8"/>
      <c r="M13599" s="8"/>
    </row>
    <row r="13600">
      <c r="B13600" s="8"/>
      <c r="G13600" s="8"/>
      <c r="M13600" s="8"/>
    </row>
    <row r="13601">
      <c r="B13601" s="8"/>
      <c r="G13601" s="8"/>
      <c r="M13601" s="8"/>
    </row>
    <row r="13602">
      <c r="B13602" s="8"/>
      <c r="G13602" s="8"/>
      <c r="M13602" s="8"/>
    </row>
    <row r="13603">
      <c r="B13603" s="8"/>
      <c r="G13603" s="8"/>
      <c r="M13603" s="8"/>
    </row>
    <row r="13604">
      <c r="B13604" s="8"/>
      <c r="G13604" s="8"/>
      <c r="M13604" s="8"/>
    </row>
    <row r="13605">
      <c r="B13605" s="8"/>
      <c r="G13605" s="8"/>
      <c r="M13605" s="8"/>
    </row>
    <row r="13606">
      <c r="B13606" s="8"/>
      <c r="G13606" s="8"/>
      <c r="M13606" s="8"/>
    </row>
    <row r="13607">
      <c r="B13607" s="8"/>
      <c r="G13607" s="8"/>
      <c r="M13607" s="8"/>
    </row>
    <row r="13608">
      <c r="B13608" s="8"/>
      <c r="G13608" s="8"/>
      <c r="M13608" s="8"/>
    </row>
    <row r="13609">
      <c r="B13609" s="8"/>
      <c r="G13609" s="8"/>
      <c r="M13609" s="8"/>
    </row>
    <row r="13610">
      <c r="B13610" s="8"/>
      <c r="G13610" s="8"/>
      <c r="M13610" s="8"/>
    </row>
    <row r="13611">
      <c r="B13611" s="8"/>
      <c r="G13611" s="8"/>
      <c r="M13611" s="8"/>
    </row>
    <row r="13612">
      <c r="B13612" s="8"/>
      <c r="G13612" s="8"/>
      <c r="M13612" s="8"/>
    </row>
    <row r="13613">
      <c r="B13613" s="8"/>
      <c r="G13613" s="8"/>
      <c r="M13613" s="8"/>
    </row>
    <row r="13614">
      <c r="B13614" s="8"/>
      <c r="G13614" s="8"/>
      <c r="M13614" s="8"/>
    </row>
    <row r="13615">
      <c r="B13615" s="8"/>
      <c r="G13615" s="8"/>
      <c r="M13615" s="8"/>
    </row>
    <row r="13616">
      <c r="B13616" s="8"/>
      <c r="G13616" s="8"/>
      <c r="M13616" s="8"/>
    </row>
    <row r="13617">
      <c r="B13617" s="8"/>
      <c r="G13617" s="8"/>
      <c r="M13617" s="8"/>
    </row>
    <row r="13618">
      <c r="B13618" s="8"/>
      <c r="G13618" s="8"/>
      <c r="M13618" s="8"/>
    </row>
    <row r="13619">
      <c r="B13619" s="8"/>
      <c r="G13619" s="8"/>
      <c r="M13619" s="8"/>
    </row>
    <row r="13620">
      <c r="B13620" s="8"/>
      <c r="G13620" s="8"/>
      <c r="M13620" s="8"/>
    </row>
    <row r="13621">
      <c r="B13621" s="8"/>
      <c r="G13621" s="8"/>
      <c r="M13621" s="8"/>
    </row>
    <row r="13622">
      <c r="B13622" s="8"/>
      <c r="G13622" s="8"/>
      <c r="M13622" s="8"/>
    </row>
    <row r="13623">
      <c r="B13623" s="8"/>
      <c r="G13623" s="8"/>
      <c r="M13623" s="8"/>
    </row>
    <row r="13624">
      <c r="B13624" s="8"/>
      <c r="G13624" s="8"/>
      <c r="M13624" s="8"/>
    </row>
    <row r="13625">
      <c r="B13625" s="8"/>
      <c r="G13625" s="8"/>
      <c r="M13625" s="8"/>
    </row>
    <row r="13626">
      <c r="B13626" s="8"/>
      <c r="G13626" s="8"/>
      <c r="M13626" s="8"/>
    </row>
    <row r="13627">
      <c r="B13627" s="8"/>
      <c r="G13627" s="8"/>
      <c r="M13627" s="8"/>
    </row>
    <row r="13628">
      <c r="B13628" s="8"/>
      <c r="G13628" s="8"/>
      <c r="M13628" s="8"/>
    </row>
    <row r="13629">
      <c r="B13629" s="8"/>
      <c r="G13629" s="8"/>
      <c r="M13629" s="8"/>
    </row>
    <row r="13630">
      <c r="B13630" s="8"/>
      <c r="G13630" s="8"/>
      <c r="M13630" s="8"/>
    </row>
    <row r="13631">
      <c r="B13631" s="8"/>
      <c r="G13631" s="8"/>
      <c r="M13631" s="8"/>
    </row>
    <row r="13632">
      <c r="B13632" s="8"/>
      <c r="G13632" s="8"/>
      <c r="M13632" s="8"/>
    </row>
    <row r="13633">
      <c r="B13633" s="8"/>
      <c r="G13633" s="8"/>
      <c r="M13633" s="8"/>
    </row>
    <row r="13634">
      <c r="B13634" s="8"/>
      <c r="G13634" s="8"/>
      <c r="M13634" s="8"/>
    </row>
    <row r="13635">
      <c r="B13635" s="8"/>
      <c r="G13635" s="8"/>
      <c r="M13635" s="8"/>
    </row>
    <row r="13636">
      <c r="B13636" s="8"/>
      <c r="G13636" s="8"/>
      <c r="M13636" s="8"/>
    </row>
    <row r="13637">
      <c r="B13637" s="8"/>
      <c r="G13637" s="8"/>
      <c r="M13637" s="8"/>
    </row>
    <row r="13638">
      <c r="B13638" s="8"/>
      <c r="G13638" s="8"/>
      <c r="M13638" s="8"/>
    </row>
    <row r="13639">
      <c r="B13639" s="8"/>
      <c r="G13639" s="8"/>
      <c r="M13639" s="8"/>
    </row>
    <row r="13640">
      <c r="B13640" s="8"/>
      <c r="G13640" s="8"/>
      <c r="M13640" s="8"/>
    </row>
    <row r="13641">
      <c r="B13641" s="8"/>
      <c r="G13641" s="8"/>
      <c r="M13641" s="8"/>
    </row>
    <row r="13642">
      <c r="B13642" s="8"/>
      <c r="G13642" s="8"/>
      <c r="M13642" s="8"/>
    </row>
    <row r="13643">
      <c r="B13643" s="8"/>
      <c r="G13643" s="8"/>
      <c r="M13643" s="8"/>
    </row>
    <row r="13644">
      <c r="B13644" s="8"/>
      <c r="G13644" s="8"/>
      <c r="M13644" s="8"/>
    </row>
    <row r="13645">
      <c r="B13645" s="8"/>
      <c r="G13645" s="8"/>
      <c r="M13645" s="8"/>
    </row>
    <row r="13646">
      <c r="B13646" s="8"/>
      <c r="G13646" s="8"/>
      <c r="M13646" s="8"/>
    </row>
    <row r="13647">
      <c r="B13647" s="8"/>
      <c r="G13647" s="8"/>
      <c r="M13647" s="8"/>
    </row>
    <row r="13648">
      <c r="B13648" s="8"/>
      <c r="G13648" s="8"/>
      <c r="M13648" s="8"/>
    </row>
    <row r="13649">
      <c r="B13649" s="8"/>
      <c r="G13649" s="8"/>
      <c r="M13649" s="8"/>
    </row>
    <row r="13650">
      <c r="B13650" s="8"/>
      <c r="G13650" s="8"/>
      <c r="M13650" s="8"/>
    </row>
    <row r="13651">
      <c r="B13651" s="8"/>
      <c r="G13651" s="8"/>
      <c r="M13651" s="8"/>
    </row>
    <row r="13652">
      <c r="B13652" s="8"/>
      <c r="G13652" s="8"/>
      <c r="M13652" s="8"/>
    </row>
    <row r="13653">
      <c r="B13653" s="8"/>
      <c r="G13653" s="8"/>
      <c r="M13653" s="8"/>
    </row>
    <row r="13654">
      <c r="B13654" s="8"/>
      <c r="G13654" s="8"/>
      <c r="M13654" s="8"/>
    </row>
    <row r="13655">
      <c r="B13655" s="8"/>
      <c r="G13655" s="8"/>
      <c r="M13655" s="8"/>
    </row>
    <row r="13656">
      <c r="B13656" s="8"/>
      <c r="G13656" s="8"/>
      <c r="M13656" s="8"/>
    </row>
    <row r="13657">
      <c r="B13657" s="8"/>
      <c r="G13657" s="8"/>
      <c r="M13657" s="8"/>
    </row>
    <row r="13658">
      <c r="B13658" s="8"/>
      <c r="G13658" s="8"/>
      <c r="M13658" s="8"/>
    </row>
    <row r="13659">
      <c r="B13659" s="8"/>
      <c r="G13659" s="8"/>
      <c r="M13659" s="8"/>
    </row>
    <row r="13660">
      <c r="B13660" s="8"/>
      <c r="G13660" s="8"/>
      <c r="M13660" s="8"/>
    </row>
    <row r="13661">
      <c r="B13661" s="8"/>
      <c r="G13661" s="8"/>
      <c r="M13661" s="8"/>
    </row>
    <row r="13662">
      <c r="B13662" s="8"/>
      <c r="G13662" s="8"/>
      <c r="M13662" s="8"/>
    </row>
    <row r="13663">
      <c r="B13663" s="8"/>
      <c r="G13663" s="8"/>
      <c r="M13663" s="8"/>
    </row>
    <row r="13664">
      <c r="B13664" s="8"/>
      <c r="G13664" s="8"/>
      <c r="M13664" s="8"/>
    </row>
    <row r="13665">
      <c r="B13665" s="8"/>
      <c r="G13665" s="8"/>
      <c r="M13665" s="8"/>
    </row>
    <row r="13666">
      <c r="B13666" s="8"/>
      <c r="G13666" s="8"/>
      <c r="M13666" s="8"/>
    </row>
    <row r="13667">
      <c r="B13667" s="8"/>
      <c r="G13667" s="8"/>
      <c r="M13667" s="8"/>
    </row>
    <row r="13668">
      <c r="B13668" s="8"/>
      <c r="G13668" s="8"/>
      <c r="M13668" s="8"/>
    </row>
    <row r="13669">
      <c r="B13669" s="8"/>
      <c r="G13669" s="8"/>
      <c r="M13669" s="8"/>
    </row>
    <row r="13670">
      <c r="B13670" s="8"/>
      <c r="G13670" s="8"/>
      <c r="M13670" s="8"/>
    </row>
    <row r="13671">
      <c r="B13671" s="8"/>
      <c r="G13671" s="8"/>
      <c r="M13671" s="8"/>
    </row>
    <row r="13672">
      <c r="B13672" s="8"/>
      <c r="G13672" s="8"/>
      <c r="M13672" s="8"/>
    </row>
    <row r="13673">
      <c r="B13673" s="8"/>
      <c r="G13673" s="8"/>
      <c r="M13673" s="8"/>
    </row>
    <row r="13674">
      <c r="B13674" s="8"/>
      <c r="G13674" s="8"/>
      <c r="M13674" s="8"/>
    </row>
    <row r="13675">
      <c r="B13675" s="8"/>
      <c r="G13675" s="8"/>
      <c r="M13675" s="8"/>
    </row>
    <row r="13676">
      <c r="B13676" s="8"/>
      <c r="G13676" s="8"/>
      <c r="M13676" s="8"/>
    </row>
    <row r="13677">
      <c r="B13677" s="8"/>
      <c r="G13677" s="8"/>
      <c r="M13677" s="8"/>
    </row>
    <row r="13678">
      <c r="B13678" s="8"/>
      <c r="G13678" s="8"/>
      <c r="M13678" s="8"/>
    </row>
    <row r="13679">
      <c r="B13679" s="8"/>
      <c r="G13679" s="8"/>
      <c r="M13679" s="8"/>
    </row>
    <row r="13680">
      <c r="B13680" s="8"/>
      <c r="G13680" s="8"/>
      <c r="M13680" s="8"/>
    </row>
    <row r="13681">
      <c r="B13681" s="8"/>
      <c r="G13681" s="8"/>
      <c r="M13681" s="8"/>
    </row>
    <row r="13682">
      <c r="B13682" s="8"/>
      <c r="G13682" s="8"/>
      <c r="M13682" s="8"/>
    </row>
    <row r="13683">
      <c r="B13683" s="8"/>
      <c r="G13683" s="8"/>
      <c r="M13683" s="8"/>
    </row>
    <row r="13684">
      <c r="B13684" s="8"/>
      <c r="G13684" s="8"/>
      <c r="M13684" s="8"/>
    </row>
    <row r="13685">
      <c r="B13685" s="8"/>
      <c r="G13685" s="8"/>
      <c r="M13685" s="8"/>
    </row>
    <row r="13686">
      <c r="B13686" s="8"/>
      <c r="G13686" s="8"/>
      <c r="M13686" s="8"/>
    </row>
    <row r="13687">
      <c r="B13687" s="8"/>
      <c r="G13687" s="8"/>
      <c r="M13687" s="8"/>
    </row>
    <row r="13688">
      <c r="B13688" s="8"/>
      <c r="G13688" s="8"/>
      <c r="M13688" s="8"/>
    </row>
    <row r="13689">
      <c r="B13689" s="8"/>
      <c r="G13689" s="8"/>
      <c r="M13689" s="8"/>
    </row>
    <row r="13690">
      <c r="B13690" s="8"/>
      <c r="G13690" s="8"/>
      <c r="M13690" s="8"/>
    </row>
    <row r="13691">
      <c r="B13691" s="8"/>
      <c r="G13691" s="8"/>
      <c r="M13691" s="8"/>
    </row>
    <row r="13692">
      <c r="B13692" s="8"/>
      <c r="G13692" s="8"/>
      <c r="M13692" s="8"/>
    </row>
    <row r="13693">
      <c r="B13693" s="8"/>
      <c r="G13693" s="8"/>
      <c r="M13693" s="8"/>
    </row>
    <row r="13694">
      <c r="B13694" s="8"/>
      <c r="G13694" s="8"/>
      <c r="M13694" s="8"/>
    </row>
    <row r="13695">
      <c r="B13695" s="8"/>
      <c r="G13695" s="8"/>
      <c r="M13695" s="8"/>
    </row>
    <row r="13696">
      <c r="B13696" s="8"/>
      <c r="G13696" s="8"/>
      <c r="M13696" s="8"/>
    </row>
    <row r="13697">
      <c r="B13697" s="8"/>
      <c r="G13697" s="8"/>
      <c r="M13697" s="8"/>
    </row>
    <row r="13698">
      <c r="B13698" s="8"/>
      <c r="G13698" s="8"/>
      <c r="M13698" s="8"/>
    </row>
    <row r="13699">
      <c r="B13699" s="8"/>
      <c r="G13699" s="8"/>
      <c r="M13699" s="8"/>
    </row>
    <row r="13700">
      <c r="B13700" s="8"/>
      <c r="G13700" s="8"/>
      <c r="M13700" s="8"/>
    </row>
    <row r="13701">
      <c r="B13701" s="8"/>
      <c r="G13701" s="8"/>
      <c r="M13701" s="8"/>
    </row>
    <row r="13702">
      <c r="B13702" s="8"/>
      <c r="G13702" s="8"/>
      <c r="M13702" s="8"/>
    </row>
    <row r="13703">
      <c r="B13703" s="8"/>
      <c r="G13703" s="8"/>
      <c r="M13703" s="8"/>
    </row>
    <row r="13704">
      <c r="B13704" s="8"/>
      <c r="G13704" s="8"/>
      <c r="M13704" s="8"/>
    </row>
    <row r="13705">
      <c r="B13705" s="8"/>
      <c r="G13705" s="8"/>
      <c r="M13705" s="8"/>
    </row>
    <row r="13706">
      <c r="B13706" s="8"/>
      <c r="G13706" s="8"/>
      <c r="M13706" s="8"/>
    </row>
    <row r="13707">
      <c r="B13707" s="8"/>
      <c r="G13707" s="8"/>
      <c r="M13707" s="8"/>
    </row>
    <row r="13708">
      <c r="B13708" s="8"/>
      <c r="G13708" s="8"/>
      <c r="M13708" s="8"/>
    </row>
    <row r="13709">
      <c r="B13709" s="8"/>
      <c r="G13709" s="8"/>
      <c r="M13709" s="8"/>
    </row>
    <row r="13710">
      <c r="B13710" s="8"/>
      <c r="G13710" s="8"/>
      <c r="M13710" s="8"/>
    </row>
    <row r="13711">
      <c r="B13711" s="8"/>
      <c r="G13711" s="8"/>
      <c r="M13711" s="8"/>
    </row>
    <row r="13712">
      <c r="B13712" s="8"/>
      <c r="G13712" s="8"/>
      <c r="M13712" s="8"/>
    </row>
    <row r="13713">
      <c r="B13713" s="8"/>
      <c r="G13713" s="8"/>
      <c r="M13713" s="8"/>
    </row>
    <row r="13714">
      <c r="B13714" s="8"/>
      <c r="G13714" s="8"/>
      <c r="M13714" s="8"/>
    </row>
    <row r="13715">
      <c r="B13715" s="8"/>
      <c r="G13715" s="8"/>
      <c r="M13715" s="8"/>
    </row>
    <row r="13716">
      <c r="B13716" s="8"/>
      <c r="G13716" s="8"/>
      <c r="M13716" s="8"/>
    </row>
    <row r="13717">
      <c r="B13717" s="8"/>
      <c r="G13717" s="8"/>
      <c r="M13717" s="8"/>
    </row>
    <row r="13718">
      <c r="B13718" s="8"/>
      <c r="G13718" s="8"/>
      <c r="M13718" s="8"/>
    </row>
    <row r="13719">
      <c r="B13719" s="8"/>
      <c r="G13719" s="8"/>
      <c r="M13719" s="8"/>
    </row>
    <row r="13720">
      <c r="B13720" s="8"/>
      <c r="G13720" s="8"/>
      <c r="M13720" s="8"/>
    </row>
    <row r="13721">
      <c r="B13721" s="8"/>
      <c r="G13721" s="8"/>
      <c r="M13721" s="8"/>
    </row>
    <row r="13722">
      <c r="B13722" s="8"/>
      <c r="G13722" s="8"/>
      <c r="M13722" s="8"/>
    </row>
    <row r="13723">
      <c r="B13723" s="8"/>
      <c r="G13723" s="8"/>
      <c r="M13723" s="8"/>
    </row>
    <row r="13724">
      <c r="B13724" s="8"/>
      <c r="G13724" s="8"/>
      <c r="M13724" s="8"/>
    </row>
    <row r="13725">
      <c r="B13725" s="8"/>
      <c r="G13725" s="8"/>
      <c r="M13725" s="8"/>
    </row>
    <row r="13726">
      <c r="B13726" s="8"/>
      <c r="G13726" s="8"/>
      <c r="M13726" s="8"/>
    </row>
    <row r="13727">
      <c r="B13727" s="8"/>
      <c r="G13727" s="8"/>
      <c r="M13727" s="8"/>
    </row>
    <row r="13728">
      <c r="B13728" s="8"/>
      <c r="G13728" s="8"/>
      <c r="M13728" s="8"/>
    </row>
    <row r="13729">
      <c r="B13729" s="8"/>
      <c r="G13729" s="8"/>
      <c r="M13729" s="8"/>
    </row>
    <row r="13730">
      <c r="B13730" s="8"/>
      <c r="G13730" s="8"/>
      <c r="M13730" s="8"/>
    </row>
    <row r="13731">
      <c r="B13731" s="8"/>
      <c r="G13731" s="8"/>
      <c r="M13731" s="8"/>
    </row>
    <row r="13732">
      <c r="B13732" s="8"/>
      <c r="G13732" s="8"/>
      <c r="M13732" s="8"/>
    </row>
    <row r="13733">
      <c r="B13733" s="8"/>
      <c r="G13733" s="8"/>
      <c r="M13733" s="8"/>
    </row>
    <row r="13734">
      <c r="B13734" s="8"/>
      <c r="G13734" s="8"/>
      <c r="M13734" s="8"/>
    </row>
    <row r="13735">
      <c r="B13735" s="8"/>
      <c r="G13735" s="8"/>
      <c r="M13735" s="8"/>
    </row>
    <row r="13736">
      <c r="B13736" s="8"/>
      <c r="G13736" s="8"/>
      <c r="M13736" s="8"/>
    </row>
    <row r="13737">
      <c r="B13737" s="8"/>
      <c r="G13737" s="8"/>
      <c r="M13737" s="8"/>
    </row>
    <row r="13738">
      <c r="B13738" s="8"/>
      <c r="G13738" s="8"/>
      <c r="M13738" s="8"/>
    </row>
    <row r="13739">
      <c r="B13739" s="8"/>
      <c r="G13739" s="8"/>
      <c r="M13739" s="8"/>
    </row>
    <row r="13740">
      <c r="B13740" s="8"/>
      <c r="G13740" s="8"/>
      <c r="M13740" s="8"/>
    </row>
    <row r="13741">
      <c r="B13741" s="8"/>
      <c r="G13741" s="8"/>
      <c r="M13741" s="8"/>
    </row>
    <row r="13742">
      <c r="B13742" s="8"/>
      <c r="G13742" s="8"/>
      <c r="M13742" s="8"/>
    </row>
    <row r="13743">
      <c r="B13743" s="8"/>
      <c r="G13743" s="8"/>
      <c r="M13743" s="8"/>
    </row>
    <row r="13744">
      <c r="B13744" s="8"/>
      <c r="G13744" s="8"/>
      <c r="M13744" s="8"/>
    </row>
    <row r="13745">
      <c r="B13745" s="8"/>
      <c r="G13745" s="8"/>
      <c r="M13745" s="8"/>
    </row>
    <row r="13746">
      <c r="B13746" s="8"/>
      <c r="G13746" s="8"/>
      <c r="M13746" s="8"/>
    </row>
    <row r="13747">
      <c r="B13747" s="8"/>
      <c r="G13747" s="8"/>
      <c r="M13747" s="8"/>
    </row>
    <row r="13748">
      <c r="B13748" s="8"/>
      <c r="G13748" s="8"/>
      <c r="M13748" s="8"/>
    </row>
    <row r="13749">
      <c r="B13749" s="8"/>
      <c r="G13749" s="8"/>
      <c r="M13749" s="8"/>
    </row>
    <row r="13750">
      <c r="B13750" s="8"/>
      <c r="G13750" s="8"/>
      <c r="M13750" s="8"/>
    </row>
    <row r="13751">
      <c r="B13751" s="8"/>
      <c r="G13751" s="8"/>
      <c r="M13751" s="8"/>
    </row>
    <row r="13752">
      <c r="B13752" s="8"/>
      <c r="G13752" s="8"/>
      <c r="M13752" s="8"/>
    </row>
    <row r="13753">
      <c r="B13753" s="8"/>
      <c r="G13753" s="8"/>
      <c r="M13753" s="8"/>
    </row>
    <row r="13754">
      <c r="B13754" s="8"/>
      <c r="G13754" s="8"/>
      <c r="M13754" s="8"/>
    </row>
    <row r="13755">
      <c r="B13755" s="8"/>
      <c r="G13755" s="8"/>
      <c r="M13755" s="8"/>
    </row>
    <row r="13756">
      <c r="B13756" s="8"/>
      <c r="G13756" s="8"/>
      <c r="M13756" s="8"/>
    </row>
    <row r="13757">
      <c r="B13757" s="8"/>
      <c r="G13757" s="8"/>
      <c r="M13757" s="8"/>
    </row>
    <row r="13758">
      <c r="B13758" s="8"/>
      <c r="G13758" s="8"/>
      <c r="M13758" s="8"/>
    </row>
    <row r="13759">
      <c r="B13759" s="8"/>
      <c r="G13759" s="8"/>
      <c r="M13759" s="8"/>
    </row>
    <row r="13760">
      <c r="B13760" s="8"/>
      <c r="G13760" s="8"/>
      <c r="M13760" s="8"/>
    </row>
    <row r="13761">
      <c r="B13761" s="8"/>
      <c r="G13761" s="8"/>
      <c r="M13761" s="8"/>
    </row>
    <row r="13762">
      <c r="B13762" s="8"/>
      <c r="G13762" s="8"/>
      <c r="M13762" s="8"/>
    </row>
    <row r="13763">
      <c r="B13763" s="8"/>
      <c r="G13763" s="8"/>
      <c r="M13763" s="8"/>
    </row>
    <row r="13764">
      <c r="B13764" s="8"/>
      <c r="G13764" s="8"/>
      <c r="M13764" s="8"/>
    </row>
    <row r="13765">
      <c r="B13765" s="8"/>
      <c r="G13765" s="8"/>
      <c r="M13765" s="8"/>
    </row>
    <row r="13766">
      <c r="B13766" s="8"/>
      <c r="G13766" s="8"/>
      <c r="M13766" s="8"/>
    </row>
    <row r="13767">
      <c r="B13767" s="8"/>
      <c r="G13767" s="8"/>
      <c r="M13767" s="8"/>
    </row>
    <row r="13768">
      <c r="B13768" s="8"/>
      <c r="G13768" s="8"/>
      <c r="M13768" s="8"/>
    </row>
    <row r="13769">
      <c r="B13769" s="8"/>
      <c r="G13769" s="8"/>
      <c r="M13769" s="8"/>
    </row>
    <row r="13770">
      <c r="B13770" s="8"/>
      <c r="G13770" s="8"/>
      <c r="M13770" s="8"/>
    </row>
    <row r="13771">
      <c r="B13771" s="8"/>
      <c r="G13771" s="8"/>
      <c r="M13771" s="8"/>
    </row>
    <row r="13772">
      <c r="B13772" s="8"/>
      <c r="G13772" s="8"/>
      <c r="M13772" s="8"/>
    </row>
    <row r="13773">
      <c r="B13773" s="8"/>
      <c r="G13773" s="8"/>
      <c r="M13773" s="8"/>
    </row>
    <row r="13774">
      <c r="B13774" s="8"/>
      <c r="G13774" s="8"/>
      <c r="M13774" s="8"/>
    </row>
    <row r="13775">
      <c r="B13775" s="8"/>
      <c r="G13775" s="8"/>
      <c r="M13775" s="8"/>
    </row>
    <row r="13776">
      <c r="B13776" s="8"/>
      <c r="G13776" s="8"/>
      <c r="M13776" s="8"/>
    </row>
    <row r="13777">
      <c r="B13777" s="8"/>
      <c r="G13777" s="8"/>
      <c r="M13777" s="8"/>
    </row>
    <row r="13778">
      <c r="B13778" s="8"/>
      <c r="G13778" s="8"/>
      <c r="M13778" s="8"/>
    </row>
    <row r="13779">
      <c r="B13779" s="8"/>
      <c r="G13779" s="8"/>
      <c r="M13779" s="8"/>
    </row>
    <row r="13780">
      <c r="B13780" s="8"/>
      <c r="G13780" s="8"/>
      <c r="M13780" s="8"/>
    </row>
    <row r="13781">
      <c r="B13781" s="8"/>
      <c r="G13781" s="8"/>
      <c r="M13781" s="8"/>
    </row>
    <row r="13782">
      <c r="B13782" s="8"/>
      <c r="G13782" s="8"/>
      <c r="M13782" s="8"/>
    </row>
    <row r="13783">
      <c r="B13783" s="8"/>
      <c r="G13783" s="8"/>
      <c r="M13783" s="8"/>
    </row>
    <row r="13784">
      <c r="B13784" s="8"/>
      <c r="G13784" s="8"/>
      <c r="M13784" s="8"/>
    </row>
    <row r="13785">
      <c r="B13785" s="8"/>
      <c r="G13785" s="8"/>
      <c r="M13785" s="8"/>
    </row>
    <row r="13786">
      <c r="B13786" s="8"/>
      <c r="G13786" s="8"/>
      <c r="M13786" s="8"/>
    </row>
    <row r="13787">
      <c r="B13787" s="8"/>
      <c r="G13787" s="8"/>
      <c r="M13787" s="8"/>
    </row>
    <row r="13788">
      <c r="B13788" s="8"/>
      <c r="G13788" s="8"/>
      <c r="M13788" s="8"/>
    </row>
    <row r="13789">
      <c r="B13789" s="8"/>
      <c r="G13789" s="8"/>
      <c r="M13789" s="8"/>
    </row>
    <row r="13790">
      <c r="B13790" s="8"/>
      <c r="G13790" s="8"/>
      <c r="M13790" s="8"/>
    </row>
    <row r="13791">
      <c r="B13791" s="8"/>
      <c r="G13791" s="8"/>
      <c r="M13791" s="8"/>
    </row>
    <row r="13792">
      <c r="B13792" s="8"/>
      <c r="G13792" s="8"/>
      <c r="M13792" s="8"/>
    </row>
    <row r="13793">
      <c r="B13793" s="8"/>
      <c r="G13793" s="8"/>
      <c r="M13793" s="8"/>
    </row>
    <row r="13794">
      <c r="B13794" s="8"/>
      <c r="G13794" s="8"/>
      <c r="M13794" s="8"/>
    </row>
    <row r="13795">
      <c r="B13795" s="8"/>
      <c r="G13795" s="8"/>
      <c r="M13795" s="8"/>
    </row>
    <row r="13796">
      <c r="B13796" s="8"/>
      <c r="G13796" s="8"/>
      <c r="M13796" s="8"/>
    </row>
    <row r="13797">
      <c r="B13797" s="8"/>
      <c r="G13797" s="8"/>
      <c r="M13797" s="8"/>
    </row>
    <row r="13798">
      <c r="B13798" s="8"/>
      <c r="G13798" s="8"/>
      <c r="M13798" s="8"/>
    </row>
    <row r="13799">
      <c r="B13799" s="8"/>
      <c r="G13799" s="8"/>
      <c r="M13799" s="8"/>
    </row>
    <row r="13800">
      <c r="B13800" s="8"/>
      <c r="G13800" s="8"/>
      <c r="M13800" s="8"/>
    </row>
    <row r="13801">
      <c r="B13801" s="8"/>
      <c r="G13801" s="8"/>
      <c r="M13801" s="8"/>
    </row>
    <row r="13802">
      <c r="B13802" s="8"/>
      <c r="G13802" s="8"/>
      <c r="M13802" s="8"/>
    </row>
    <row r="13803">
      <c r="B13803" s="8"/>
      <c r="G13803" s="8"/>
      <c r="M13803" s="8"/>
    </row>
    <row r="13804">
      <c r="B13804" s="8"/>
      <c r="G13804" s="8"/>
      <c r="M13804" s="8"/>
    </row>
    <row r="13805">
      <c r="B13805" s="8"/>
      <c r="G13805" s="8"/>
      <c r="M13805" s="8"/>
    </row>
    <row r="13806">
      <c r="B13806" s="8"/>
      <c r="G13806" s="8"/>
      <c r="M13806" s="8"/>
    </row>
    <row r="13807">
      <c r="B13807" s="8"/>
      <c r="G13807" s="8"/>
      <c r="M13807" s="8"/>
    </row>
    <row r="13808">
      <c r="B13808" s="8"/>
      <c r="G13808" s="8"/>
      <c r="M13808" s="8"/>
    </row>
    <row r="13809">
      <c r="B13809" s="8"/>
      <c r="G13809" s="8"/>
      <c r="M13809" s="8"/>
    </row>
    <row r="13810">
      <c r="B13810" s="8"/>
      <c r="G13810" s="8"/>
      <c r="M13810" s="8"/>
    </row>
    <row r="13811">
      <c r="B13811" s="8"/>
      <c r="G13811" s="8"/>
      <c r="M13811" s="8"/>
    </row>
    <row r="13812">
      <c r="B13812" s="8"/>
      <c r="G13812" s="8"/>
      <c r="M13812" s="8"/>
    </row>
    <row r="13813">
      <c r="B13813" s="8"/>
      <c r="G13813" s="8"/>
      <c r="M13813" s="8"/>
    </row>
    <row r="13814">
      <c r="B13814" s="8"/>
      <c r="G13814" s="8"/>
      <c r="M13814" s="8"/>
    </row>
    <row r="13815">
      <c r="B13815" s="8"/>
      <c r="G13815" s="8"/>
      <c r="M13815" s="8"/>
    </row>
    <row r="13816">
      <c r="B13816" s="8"/>
      <c r="G13816" s="8"/>
      <c r="M13816" s="8"/>
    </row>
    <row r="13817">
      <c r="B13817" s="8"/>
      <c r="G13817" s="8"/>
      <c r="M13817" s="8"/>
    </row>
    <row r="13818">
      <c r="B13818" s="8"/>
      <c r="G13818" s="8"/>
      <c r="M13818" s="8"/>
    </row>
    <row r="13819">
      <c r="B13819" s="8"/>
      <c r="G13819" s="8"/>
      <c r="M13819" s="8"/>
    </row>
    <row r="13820">
      <c r="B13820" s="8"/>
      <c r="G13820" s="8"/>
      <c r="M13820" s="8"/>
    </row>
    <row r="13821">
      <c r="B13821" s="8"/>
      <c r="G13821" s="8"/>
      <c r="M13821" s="8"/>
    </row>
    <row r="13822">
      <c r="B13822" s="8"/>
      <c r="G13822" s="8"/>
      <c r="M13822" s="8"/>
    </row>
    <row r="13823">
      <c r="B13823" s="8"/>
      <c r="G13823" s="8"/>
      <c r="M13823" s="8"/>
    </row>
    <row r="13824">
      <c r="B13824" s="8"/>
      <c r="G13824" s="8"/>
      <c r="M13824" s="8"/>
    </row>
    <row r="13825">
      <c r="B13825" s="8"/>
      <c r="G13825" s="8"/>
      <c r="M13825" s="8"/>
    </row>
    <row r="13826">
      <c r="B13826" s="8"/>
      <c r="G13826" s="8"/>
      <c r="M13826" s="8"/>
    </row>
    <row r="13827">
      <c r="B13827" s="8"/>
      <c r="G13827" s="8"/>
      <c r="M13827" s="8"/>
    </row>
    <row r="13828">
      <c r="B13828" s="8"/>
      <c r="G13828" s="8"/>
      <c r="M13828" s="8"/>
    </row>
    <row r="13829">
      <c r="B13829" s="8"/>
      <c r="G13829" s="8"/>
      <c r="M13829" s="8"/>
    </row>
    <row r="13830">
      <c r="B13830" s="8"/>
      <c r="G13830" s="8"/>
      <c r="M13830" s="8"/>
    </row>
    <row r="13831">
      <c r="B13831" s="8"/>
      <c r="G13831" s="8"/>
      <c r="M13831" s="8"/>
    </row>
    <row r="13832">
      <c r="B13832" s="8"/>
      <c r="G13832" s="8"/>
      <c r="M13832" s="8"/>
    </row>
    <row r="13833">
      <c r="B13833" s="8"/>
      <c r="G13833" s="8"/>
      <c r="M13833" s="8"/>
    </row>
    <row r="13834">
      <c r="B13834" s="8"/>
      <c r="G13834" s="8"/>
      <c r="M13834" s="8"/>
    </row>
    <row r="13835">
      <c r="B13835" s="8"/>
      <c r="G13835" s="8"/>
      <c r="M13835" s="8"/>
    </row>
    <row r="13836">
      <c r="B13836" s="8"/>
      <c r="G13836" s="8"/>
      <c r="M13836" s="8"/>
    </row>
    <row r="13837">
      <c r="B13837" s="8"/>
      <c r="G13837" s="8"/>
      <c r="M13837" s="8"/>
    </row>
    <row r="13838">
      <c r="B13838" s="8"/>
      <c r="G13838" s="8"/>
      <c r="M13838" s="8"/>
    </row>
    <row r="13839">
      <c r="B13839" s="8"/>
      <c r="G13839" s="8"/>
      <c r="M13839" s="8"/>
    </row>
    <row r="13840">
      <c r="B13840" s="8"/>
      <c r="G13840" s="8"/>
      <c r="M13840" s="8"/>
    </row>
    <row r="13841">
      <c r="B13841" s="8"/>
      <c r="G13841" s="8"/>
      <c r="M13841" s="8"/>
    </row>
    <row r="13842">
      <c r="B13842" s="8"/>
      <c r="G13842" s="8"/>
      <c r="M13842" s="8"/>
    </row>
    <row r="13843">
      <c r="B13843" s="8"/>
      <c r="G13843" s="8"/>
      <c r="M13843" s="8"/>
    </row>
    <row r="13844">
      <c r="B13844" s="8"/>
      <c r="G13844" s="8"/>
      <c r="M13844" s="8"/>
    </row>
    <row r="13845">
      <c r="B13845" s="8"/>
      <c r="G13845" s="8"/>
      <c r="M13845" s="8"/>
    </row>
    <row r="13846">
      <c r="B13846" s="8"/>
      <c r="G13846" s="8"/>
      <c r="M13846" s="8"/>
    </row>
    <row r="13847">
      <c r="B13847" s="8"/>
      <c r="G13847" s="8"/>
      <c r="M13847" s="8"/>
    </row>
    <row r="13848">
      <c r="B13848" s="8"/>
      <c r="G13848" s="8"/>
      <c r="M13848" s="8"/>
    </row>
    <row r="13849">
      <c r="B13849" s="8"/>
      <c r="G13849" s="8"/>
      <c r="M13849" s="8"/>
    </row>
    <row r="13850">
      <c r="B13850" s="8"/>
      <c r="G13850" s="8"/>
      <c r="M13850" s="8"/>
    </row>
    <row r="13851">
      <c r="B13851" s="8"/>
      <c r="G13851" s="8"/>
      <c r="M13851" s="8"/>
    </row>
    <row r="13852">
      <c r="B13852" s="8"/>
      <c r="G13852" s="8"/>
      <c r="M13852" s="8"/>
    </row>
    <row r="13853">
      <c r="B13853" s="8"/>
      <c r="G13853" s="8"/>
      <c r="M13853" s="8"/>
    </row>
    <row r="13854">
      <c r="B13854" s="8"/>
      <c r="G13854" s="8"/>
      <c r="M13854" s="8"/>
    </row>
    <row r="13855">
      <c r="B13855" s="8"/>
      <c r="G13855" s="8"/>
      <c r="M13855" s="8"/>
    </row>
    <row r="13856">
      <c r="B13856" s="8"/>
      <c r="G13856" s="8"/>
      <c r="M13856" s="8"/>
    </row>
    <row r="13857">
      <c r="B13857" s="8"/>
      <c r="G13857" s="8"/>
      <c r="M13857" s="8"/>
    </row>
    <row r="13858">
      <c r="B13858" s="8"/>
      <c r="G13858" s="8"/>
      <c r="M13858" s="8"/>
    </row>
    <row r="13859">
      <c r="B13859" s="8"/>
      <c r="G13859" s="8"/>
      <c r="M13859" s="8"/>
    </row>
    <row r="13860">
      <c r="B13860" s="8"/>
      <c r="G13860" s="8"/>
      <c r="M13860" s="8"/>
    </row>
    <row r="13861">
      <c r="B13861" s="8"/>
      <c r="G13861" s="8"/>
      <c r="M13861" s="8"/>
    </row>
    <row r="13862">
      <c r="B13862" s="8"/>
      <c r="G13862" s="8"/>
      <c r="M13862" s="8"/>
    </row>
    <row r="13863">
      <c r="B13863" s="8"/>
      <c r="G13863" s="8"/>
      <c r="M13863" s="8"/>
    </row>
    <row r="13864">
      <c r="B13864" s="8"/>
      <c r="G13864" s="8"/>
      <c r="M13864" s="8"/>
    </row>
    <row r="13865">
      <c r="B13865" s="8"/>
      <c r="G13865" s="8"/>
      <c r="M13865" s="8"/>
    </row>
    <row r="13866">
      <c r="B13866" s="8"/>
      <c r="G13866" s="8"/>
      <c r="M13866" s="8"/>
    </row>
    <row r="13867">
      <c r="B13867" s="8"/>
      <c r="G13867" s="8"/>
      <c r="M13867" s="8"/>
    </row>
    <row r="13868">
      <c r="B13868" s="8"/>
      <c r="G13868" s="8"/>
      <c r="M13868" s="8"/>
    </row>
    <row r="13869">
      <c r="B13869" s="8"/>
      <c r="G13869" s="8"/>
      <c r="M13869" s="8"/>
    </row>
    <row r="13870">
      <c r="B13870" s="8"/>
      <c r="G13870" s="8"/>
      <c r="M13870" s="8"/>
    </row>
    <row r="13871">
      <c r="B13871" s="8"/>
      <c r="G13871" s="8"/>
      <c r="M13871" s="8"/>
    </row>
    <row r="13872">
      <c r="B13872" s="8"/>
      <c r="G13872" s="8"/>
      <c r="M13872" s="8"/>
    </row>
    <row r="13873">
      <c r="B13873" s="8"/>
      <c r="G13873" s="8"/>
      <c r="M13873" s="8"/>
    </row>
    <row r="13874">
      <c r="B13874" s="8"/>
      <c r="G13874" s="8"/>
      <c r="M13874" s="8"/>
    </row>
    <row r="13875">
      <c r="B13875" s="8"/>
      <c r="G13875" s="8"/>
      <c r="M13875" s="8"/>
    </row>
    <row r="13876">
      <c r="B13876" s="8"/>
      <c r="G13876" s="8"/>
      <c r="M13876" s="8"/>
    </row>
    <row r="13877">
      <c r="B13877" s="8"/>
      <c r="G13877" s="8"/>
      <c r="M13877" s="8"/>
    </row>
    <row r="13878">
      <c r="B13878" s="8"/>
      <c r="G13878" s="8"/>
      <c r="M13878" s="8"/>
    </row>
    <row r="13879">
      <c r="B13879" s="8"/>
      <c r="G13879" s="8"/>
      <c r="M13879" s="8"/>
    </row>
    <row r="13880">
      <c r="B13880" s="8"/>
      <c r="G13880" s="8"/>
      <c r="M13880" s="8"/>
    </row>
    <row r="13881">
      <c r="B13881" s="8"/>
      <c r="G13881" s="8"/>
      <c r="M13881" s="8"/>
    </row>
    <row r="13882">
      <c r="B13882" s="8"/>
      <c r="G13882" s="8"/>
      <c r="M13882" s="8"/>
    </row>
    <row r="13883">
      <c r="B13883" s="8"/>
      <c r="G13883" s="8"/>
      <c r="M13883" s="8"/>
    </row>
    <row r="13884">
      <c r="B13884" s="8"/>
      <c r="G13884" s="8"/>
      <c r="M13884" s="8"/>
    </row>
    <row r="13885">
      <c r="B13885" s="8"/>
      <c r="G13885" s="8"/>
      <c r="M13885" s="8"/>
    </row>
    <row r="13886">
      <c r="B13886" s="8"/>
      <c r="G13886" s="8"/>
      <c r="M13886" s="8"/>
    </row>
    <row r="13887">
      <c r="B13887" s="8"/>
      <c r="G13887" s="8"/>
      <c r="M13887" s="8"/>
    </row>
    <row r="13888">
      <c r="B13888" s="8"/>
      <c r="G13888" s="8"/>
      <c r="M13888" s="8"/>
    </row>
    <row r="13889">
      <c r="B13889" s="8"/>
      <c r="G13889" s="8"/>
      <c r="M13889" s="8"/>
    </row>
    <row r="13890">
      <c r="B13890" s="8"/>
      <c r="G13890" s="8"/>
      <c r="M13890" s="8"/>
    </row>
    <row r="13891">
      <c r="B13891" s="8"/>
      <c r="G13891" s="8"/>
      <c r="M13891" s="8"/>
    </row>
    <row r="13892">
      <c r="B13892" s="8"/>
      <c r="G13892" s="8"/>
      <c r="M13892" s="8"/>
    </row>
    <row r="13893">
      <c r="B13893" s="8"/>
      <c r="G13893" s="8"/>
      <c r="M13893" s="8"/>
    </row>
    <row r="13894">
      <c r="B13894" s="8"/>
      <c r="G13894" s="8"/>
      <c r="M13894" s="8"/>
    </row>
    <row r="13895">
      <c r="B13895" s="8"/>
      <c r="G13895" s="8"/>
      <c r="M13895" s="8"/>
    </row>
    <row r="13896">
      <c r="B13896" s="8"/>
      <c r="G13896" s="8"/>
      <c r="M13896" s="8"/>
    </row>
    <row r="13897">
      <c r="B13897" s="8"/>
      <c r="G13897" s="8"/>
      <c r="M13897" s="8"/>
    </row>
    <row r="13898">
      <c r="B13898" s="8"/>
      <c r="G13898" s="8"/>
      <c r="M13898" s="8"/>
    </row>
    <row r="13899">
      <c r="B13899" s="8"/>
      <c r="G13899" s="8"/>
      <c r="M13899" s="8"/>
    </row>
    <row r="13900">
      <c r="B13900" s="8"/>
      <c r="G13900" s="8"/>
      <c r="M13900" s="8"/>
    </row>
    <row r="13901">
      <c r="B13901" s="8"/>
      <c r="G13901" s="8"/>
      <c r="M13901" s="8"/>
    </row>
    <row r="13902">
      <c r="B13902" s="8"/>
      <c r="G13902" s="8"/>
      <c r="M13902" s="8"/>
    </row>
    <row r="13903">
      <c r="B13903" s="8"/>
      <c r="G13903" s="8"/>
      <c r="M13903" s="8"/>
    </row>
    <row r="13904">
      <c r="B13904" s="8"/>
      <c r="G13904" s="8"/>
      <c r="M13904" s="8"/>
    </row>
    <row r="13905">
      <c r="B13905" s="8"/>
      <c r="G13905" s="8"/>
      <c r="M13905" s="8"/>
    </row>
    <row r="13906">
      <c r="B13906" s="8"/>
      <c r="G13906" s="8"/>
      <c r="M13906" s="8"/>
    </row>
    <row r="13907">
      <c r="B13907" s="8"/>
      <c r="G13907" s="8"/>
      <c r="M13907" s="8"/>
    </row>
    <row r="13908">
      <c r="B13908" s="8"/>
      <c r="G13908" s="8"/>
      <c r="M13908" s="8"/>
    </row>
    <row r="13909">
      <c r="B13909" s="8"/>
      <c r="G13909" s="8"/>
      <c r="M13909" s="8"/>
    </row>
    <row r="13910">
      <c r="B13910" s="8"/>
      <c r="G13910" s="8"/>
      <c r="M13910" s="8"/>
    </row>
    <row r="13911">
      <c r="B13911" s="8"/>
      <c r="G13911" s="8"/>
      <c r="M13911" s="8"/>
    </row>
    <row r="13912">
      <c r="B13912" s="8"/>
      <c r="G13912" s="8"/>
      <c r="M13912" s="8"/>
    </row>
    <row r="13913">
      <c r="B13913" s="8"/>
      <c r="G13913" s="8"/>
      <c r="M13913" s="8"/>
    </row>
    <row r="13914">
      <c r="B13914" s="8"/>
      <c r="G13914" s="8"/>
      <c r="M13914" s="8"/>
    </row>
    <row r="13915">
      <c r="B13915" s="8"/>
      <c r="G13915" s="8"/>
      <c r="M13915" s="8"/>
    </row>
    <row r="13916">
      <c r="B13916" s="8"/>
      <c r="G13916" s="8"/>
      <c r="M13916" s="8"/>
    </row>
    <row r="13917">
      <c r="B13917" s="8"/>
      <c r="G13917" s="8"/>
      <c r="M13917" s="8"/>
    </row>
    <row r="13918">
      <c r="B13918" s="8"/>
      <c r="G13918" s="8"/>
      <c r="M13918" s="8"/>
    </row>
    <row r="13919">
      <c r="B13919" s="8"/>
      <c r="G13919" s="8"/>
      <c r="M13919" s="8"/>
    </row>
    <row r="13920">
      <c r="B13920" s="8"/>
      <c r="G13920" s="8"/>
      <c r="M13920" s="8"/>
    </row>
    <row r="13921">
      <c r="B13921" s="8"/>
      <c r="G13921" s="8"/>
      <c r="M13921" s="8"/>
    </row>
    <row r="13922">
      <c r="B13922" s="8"/>
      <c r="G13922" s="8"/>
      <c r="M13922" s="8"/>
    </row>
    <row r="13923">
      <c r="B13923" s="8"/>
      <c r="G13923" s="8"/>
      <c r="M13923" s="8"/>
    </row>
    <row r="13924">
      <c r="B13924" s="8"/>
      <c r="G13924" s="8"/>
      <c r="M13924" s="8"/>
    </row>
    <row r="13925">
      <c r="B13925" s="8"/>
      <c r="G13925" s="8"/>
      <c r="M13925" s="8"/>
    </row>
    <row r="13926">
      <c r="B13926" s="8"/>
      <c r="G13926" s="8"/>
      <c r="M13926" s="8"/>
    </row>
    <row r="13927">
      <c r="B13927" s="8"/>
      <c r="G13927" s="8"/>
      <c r="M13927" s="8"/>
    </row>
    <row r="13928">
      <c r="B13928" s="8"/>
      <c r="G13928" s="8"/>
      <c r="M13928" s="8"/>
    </row>
    <row r="13929">
      <c r="B13929" s="8"/>
      <c r="G13929" s="8"/>
      <c r="M13929" s="8"/>
    </row>
    <row r="13930">
      <c r="B13930" s="8"/>
      <c r="G13930" s="8"/>
      <c r="M13930" s="8"/>
    </row>
    <row r="13931">
      <c r="B13931" s="8"/>
      <c r="G13931" s="8"/>
      <c r="M13931" s="8"/>
    </row>
    <row r="13932">
      <c r="B13932" s="8"/>
      <c r="G13932" s="8"/>
      <c r="M13932" s="8"/>
    </row>
    <row r="13933">
      <c r="B13933" s="8"/>
      <c r="G13933" s="8"/>
      <c r="M13933" s="8"/>
    </row>
    <row r="13934">
      <c r="B13934" s="8"/>
      <c r="G13934" s="8"/>
      <c r="M13934" s="8"/>
    </row>
    <row r="13935">
      <c r="B13935" s="8"/>
      <c r="G13935" s="8"/>
      <c r="M13935" s="8"/>
    </row>
    <row r="13936">
      <c r="B13936" s="8"/>
      <c r="G13936" s="8"/>
      <c r="M13936" s="8"/>
    </row>
    <row r="13937">
      <c r="B13937" s="8"/>
      <c r="G13937" s="8"/>
      <c r="M13937" s="8"/>
    </row>
    <row r="13938">
      <c r="B13938" s="8"/>
      <c r="G13938" s="8"/>
      <c r="M13938" s="8"/>
    </row>
    <row r="13939">
      <c r="B13939" s="8"/>
      <c r="G13939" s="8"/>
      <c r="M13939" s="8"/>
    </row>
    <row r="13940">
      <c r="B13940" s="8"/>
      <c r="G13940" s="8"/>
      <c r="M13940" s="8"/>
    </row>
    <row r="13941">
      <c r="B13941" s="8"/>
      <c r="G13941" s="8"/>
      <c r="M13941" s="8"/>
    </row>
    <row r="13942">
      <c r="B13942" s="8"/>
      <c r="G13942" s="8"/>
      <c r="M13942" s="8"/>
    </row>
    <row r="13943">
      <c r="B13943" s="8"/>
      <c r="G13943" s="8"/>
      <c r="M13943" s="8"/>
    </row>
    <row r="13944">
      <c r="B13944" s="8"/>
      <c r="G13944" s="8"/>
      <c r="M13944" s="8"/>
    </row>
    <row r="13945">
      <c r="B13945" s="8"/>
      <c r="G13945" s="8"/>
      <c r="M13945" s="8"/>
    </row>
    <row r="13946">
      <c r="B13946" s="8"/>
      <c r="G13946" s="8"/>
      <c r="M13946" s="8"/>
    </row>
    <row r="13947">
      <c r="B13947" s="8"/>
      <c r="G13947" s="8"/>
      <c r="M13947" s="8"/>
    </row>
    <row r="13948">
      <c r="B13948" s="8"/>
      <c r="G13948" s="8"/>
      <c r="M13948" s="8"/>
    </row>
    <row r="13949">
      <c r="B13949" s="8"/>
      <c r="G13949" s="8"/>
      <c r="M13949" s="8"/>
    </row>
    <row r="13950">
      <c r="B13950" s="8"/>
      <c r="G13950" s="8"/>
      <c r="M13950" s="8"/>
    </row>
    <row r="13951">
      <c r="B13951" s="8"/>
      <c r="G13951" s="8"/>
      <c r="M13951" s="8"/>
    </row>
    <row r="13952">
      <c r="B13952" s="8"/>
      <c r="G13952" s="8"/>
      <c r="M13952" s="8"/>
    </row>
    <row r="13953">
      <c r="B13953" s="8"/>
      <c r="G13953" s="8"/>
      <c r="M13953" s="8"/>
    </row>
    <row r="13954">
      <c r="B13954" s="8"/>
      <c r="G13954" s="8"/>
      <c r="M13954" s="8"/>
    </row>
    <row r="13955">
      <c r="B13955" s="8"/>
      <c r="G13955" s="8"/>
      <c r="M13955" s="8"/>
    </row>
    <row r="13956">
      <c r="B13956" s="8"/>
      <c r="G13956" s="8"/>
      <c r="M13956" s="8"/>
    </row>
    <row r="13957">
      <c r="B13957" s="8"/>
      <c r="G13957" s="8"/>
      <c r="M13957" s="8"/>
    </row>
    <row r="13958">
      <c r="B13958" s="8"/>
      <c r="G13958" s="8"/>
      <c r="M13958" s="8"/>
    </row>
    <row r="13959">
      <c r="B13959" s="8"/>
      <c r="G13959" s="8"/>
      <c r="M13959" s="8"/>
    </row>
    <row r="13960">
      <c r="B13960" s="8"/>
      <c r="G13960" s="8"/>
      <c r="M13960" s="8"/>
    </row>
    <row r="13961">
      <c r="B13961" s="8"/>
      <c r="G13961" s="8"/>
      <c r="M13961" s="8"/>
    </row>
    <row r="13962">
      <c r="B13962" s="8"/>
      <c r="G13962" s="8"/>
      <c r="M13962" s="8"/>
    </row>
    <row r="13963">
      <c r="B13963" s="8"/>
      <c r="G13963" s="8"/>
      <c r="M13963" s="8"/>
    </row>
    <row r="13964">
      <c r="B13964" s="8"/>
      <c r="G13964" s="8"/>
      <c r="M13964" s="8"/>
    </row>
    <row r="13965">
      <c r="B13965" s="8"/>
      <c r="G13965" s="8"/>
      <c r="M13965" s="8"/>
    </row>
    <row r="13966">
      <c r="B13966" s="8"/>
      <c r="G13966" s="8"/>
      <c r="M13966" s="8"/>
    </row>
    <row r="13967">
      <c r="B13967" s="8"/>
      <c r="G13967" s="8"/>
      <c r="M13967" s="8"/>
    </row>
    <row r="13968">
      <c r="B13968" s="8"/>
      <c r="G13968" s="8"/>
      <c r="M13968" s="8"/>
    </row>
    <row r="13969">
      <c r="B13969" s="8"/>
      <c r="G13969" s="8"/>
      <c r="M13969" s="8"/>
    </row>
    <row r="13970">
      <c r="B13970" s="8"/>
      <c r="G13970" s="8"/>
      <c r="M13970" s="8"/>
    </row>
    <row r="13971">
      <c r="B13971" s="8"/>
      <c r="G13971" s="8"/>
      <c r="M13971" s="8"/>
    </row>
    <row r="13972">
      <c r="B13972" s="8"/>
      <c r="G13972" s="8"/>
      <c r="M13972" s="8"/>
    </row>
    <row r="13973">
      <c r="B13973" s="8"/>
      <c r="G13973" s="8"/>
      <c r="M13973" s="8"/>
    </row>
    <row r="13974">
      <c r="B13974" s="8"/>
      <c r="G13974" s="8"/>
      <c r="M13974" s="8"/>
    </row>
    <row r="13975">
      <c r="B13975" s="8"/>
      <c r="G13975" s="8"/>
      <c r="M13975" s="8"/>
    </row>
    <row r="13976">
      <c r="B13976" s="8"/>
      <c r="G13976" s="8"/>
      <c r="M13976" s="8"/>
    </row>
    <row r="13977">
      <c r="B13977" s="8"/>
      <c r="G13977" s="8"/>
      <c r="M13977" s="8"/>
    </row>
    <row r="13978">
      <c r="B13978" s="8"/>
      <c r="G13978" s="8"/>
      <c r="M13978" s="8"/>
    </row>
    <row r="13979">
      <c r="B13979" s="8"/>
      <c r="G13979" s="8"/>
      <c r="M13979" s="8"/>
    </row>
    <row r="13980">
      <c r="B13980" s="8"/>
      <c r="G13980" s="8"/>
      <c r="M13980" s="8"/>
    </row>
    <row r="13981">
      <c r="B13981" s="8"/>
      <c r="G13981" s="8"/>
      <c r="M13981" s="8"/>
    </row>
    <row r="13982">
      <c r="B13982" s="8"/>
      <c r="G13982" s="8"/>
      <c r="M13982" s="8"/>
    </row>
    <row r="13983">
      <c r="B13983" s="8"/>
      <c r="G13983" s="8"/>
      <c r="M13983" s="8"/>
    </row>
    <row r="13984">
      <c r="B13984" s="8"/>
      <c r="G13984" s="8"/>
      <c r="M13984" s="8"/>
    </row>
    <row r="13985">
      <c r="B13985" s="8"/>
      <c r="G13985" s="8"/>
      <c r="M13985" s="8"/>
    </row>
    <row r="13986">
      <c r="B13986" s="8"/>
      <c r="G13986" s="8"/>
      <c r="M13986" s="8"/>
    </row>
    <row r="13987">
      <c r="B13987" s="8"/>
      <c r="G13987" s="8"/>
      <c r="M13987" s="8"/>
    </row>
    <row r="13988">
      <c r="B13988" s="8"/>
      <c r="G13988" s="8"/>
      <c r="M13988" s="8"/>
    </row>
    <row r="13989">
      <c r="B13989" s="8"/>
      <c r="G13989" s="8"/>
      <c r="M13989" s="8"/>
    </row>
    <row r="13990">
      <c r="B13990" s="8"/>
      <c r="G13990" s="8"/>
      <c r="M13990" s="8"/>
    </row>
    <row r="13991">
      <c r="B13991" s="8"/>
      <c r="G13991" s="8"/>
      <c r="M13991" s="8"/>
    </row>
    <row r="13992">
      <c r="B13992" s="8"/>
      <c r="G13992" s="8"/>
      <c r="M13992" s="8"/>
    </row>
    <row r="13993">
      <c r="B13993" s="8"/>
      <c r="G13993" s="8"/>
      <c r="M13993" s="8"/>
    </row>
    <row r="13994">
      <c r="B13994" s="8"/>
      <c r="G13994" s="8"/>
      <c r="M13994" s="8"/>
    </row>
    <row r="13995">
      <c r="B13995" s="8"/>
      <c r="G13995" s="8"/>
      <c r="M13995" s="8"/>
    </row>
    <row r="13996">
      <c r="B13996" s="8"/>
      <c r="G13996" s="8"/>
      <c r="M13996" s="8"/>
    </row>
    <row r="13997">
      <c r="B13997" s="8"/>
      <c r="G13997" s="8"/>
      <c r="M13997" s="8"/>
    </row>
    <row r="13998">
      <c r="B13998" s="8"/>
      <c r="G13998" s="8"/>
      <c r="M13998" s="8"/>
    </row>
    <row r="13999">
      <c r="B13999" s="8"/>
      <c r="G13999" s="8"/>
      <c r="M13999" s="8"/>
    </row>
    <row r="14000">
      <c r="B14000" s="8"/>
      <c r="G14000" s="8"/>
      <c r="M14000" s="8"/>
    </row>
    <row r="14001">
      <c r="B14001" s="8"/>
      <c r="G14001" s="8"/>
      <c r="M14001" s="8"/>
    </row>
    <row r="14002">
      <c r="B14002" s="8"/>
      <c r="G14002" s="8"/>
      <c r="M14002" s="8"/>
    </row>
    <row r="14003">
      <c r="B14003" s="8"/>
      <c r="G14003" s="8"/>
      <c r="M14003" s="8"/>
    </row>
    <row r="14004">
      <c r="B14004" s="8"/>
      <c r="G14004" s="8"/>
      <c r="M14004" s="8"/>
    </row>
    <row r="14005">
      <c r="B14005" s="8"/>
      <c r="G14005" s="8"/>
      <c r="M14005" s="8"/>
    </row>
    <row r="14006">
      <c r="B14006" s="8"/>
      <c r="G14006" s="8"/>
      <c r="M14006" s="8"/>
    </row>
    <row r="14007">
      <c r="B14007" s="8"/>
      <c r="G14007" s="8"/>
      <c r="M14007" s="8"/>
    </row>
    <row r="14008">
      <c r="B14008" s="8"/>
      <c r="G14008" s="8"/>
      <c r="M14008" s="8"/>
    </row>
    <row r="14009">
      <c r="B14009" s="8"/>
      <c r="G14009" s="8"/>
      <c r="M14009" s="8"/>
    </row>
    <row r="14010">
      <c r="B14010" s="8"/>
      <c r="G14010" s="8"/>
      <c r="M14010" s="8"/>
    </row>
    <row r="14011">
      <c r="B14011" s="8"/>
      <c r="G14011" s="8"/>
      <c r="M14011" s="8"/>
    </row>
    <row r="14012">
      <c r="B14012" s="8"/>
      <c r="G14012" s="8"/>
      <c r="M14012" s="8"/>
    </row>
    <row r="14013">
      <c r="B14013" s="8"/>
      <c r="G14013" s="8"/>
      <c r="M14013" s="8"/>
    </row>
    <row r="14014">
      <c r="B14014" s="8"/>
      <c r="G14014" s="8"/>
      <c r="M14014" s="8"/>
    </row>
    <row r="14015">
      <c r="B14015" s="8"/>
      <c r="G14015" s="8"/>
      <c r="M14015" s="8"/>
    </row>
    <row r="14016">
      <c r="B14016" s="8"/>
      <c r="G14016" s="8"/>
      <c r="M14016" s="8"/>
    </row>
    <row r="14017">
      <c r="B14017" s="8"/>
      <c r="G14017" s="8"/>
      <c r="M14017" s="8"/>
    </row>
    <row r="14018">
      <c r="B14018" s="8"/>
      <c r="G14018" s="8"/>
      <c r="M14018" s="8"/>
    </row>
    <row r="14019">
      <c r="B14019" s="8"/>
      <c r="G14019" s="8"/>
      <c r="M14019" s="8"/>
    </row>
    <row r="14020">
      <c r="B14020" s="8"/>
      <c r="G14020" s="8"/>
      <c r="M14020" s="8"/>
    </row>
    <row r="14021">
      <c r="B14021" s="8"/>
      <c r="G14021" s="8"/>
      <c r="M14021" s="8"/>
    </row>
    <row r="14022">
      <c r="B14022" s="8"/>
      <c r="G14022" s="8"/>
      <c r="M14022" s="8"/>
    </row>
    <row r="14023">
      <c r="B14023" s="8"/>
      <c r="G14023" s="8"/>
      <c r="M14023" s="8"/>
    </row>
    <row r="14024">
      <c r="B14024" s="8"/>
      <c r="G14024" s="8"/>
      <c r="M14024" s="8"/>
    </row>
    <row r="14025">
      <c r="B14025" s="8"/>
      <c r="G14025" s="8"/>
      <c r="M14025" s="8"/>
    </row>
    <row r="14026">
      <c r="B14026" s="8"/>
      <c r="G14026" s="8"/>
      <c r="M14026" s="8"/>
    </row>
    <row r="14027">
      <c r="B14027" s="8"/>
      <c r="G14027" s="8"/>
      <c r="M14027" s="8"/>
    </row>
    <row r="14028">
      <c r="B14028" s="8"/>
      <c r="G14028" s="8"/>
      <c r="M14028" s="8"/>
    </row>
    <row r="14029">
      <c r="B14029" s="8"/>
      <c r="G14029" s="8"/>
      <c r="M14029" s="8"/>
    </row>
    <row r="14030">
      <c r="B14030" s="8"/>
      <c r="G14030" s="8"/>
      <c r="M14030" s="8"/>
    </row>
    <row r="14031">
      <c r="B14031" s="8"/>
      <c r="G14031" s="8"/>
      <c r="M14031" s="8"/>
    </row>
    <row r="14032">
      <c r="B14032" s="8"/>
      <c r="G14032" s="8"/>
      <c r="M14032" s="8"/>
    </row>
    <row r="14033">
      <c r="B14033" s="8"/>
      <c r="G14033" s="8"/>
      <c r="M14033" s="8"/>
    </row>
    <row r="14034">
      <c r="B14034" s="8"/>
      <c r="G14034" s="8"/>
      <c r="M14034" s="8"/>
    </row>
    <row r="14035">
      <c r="B14035" s="8"/>
      <c r="G14035" s="8"/>
      <c r="M14035" s="8"/>
    </row>
    <row r="14036">
      <c r="B14036" s="8"/>
      <c r="G14036" s="8"/>
      <c r="M14036" s="8"/>
    </row>
    <row r="14037">
      <c r="B14037" s="8"/>
      <c r="G14037" s="8"/>
      <c r="M14037" s="8"/>
    </row>
    <row r="14038">
      <c r="B14038" s="8"/>
      <c r="G14038" s="8"/>
      <c r="M14038" s="8"/>
    </row>
    <row r="14039">
      <c r="B14039" s="8"/>
      <c r="G14039" s="8"/>
      <c r="M14039" s="8"/>
    </row>
    <row r="14040">
      <c r="B14040" s="8"/>
      <c r="G14040" s="8"/>
      <c r="M14040" s="8"/>
    </row>
    <row r="14041">
      <c r="B14041" s="8"/>
      <c r="G14041" s="8"/>
      <c r="M14041" s="8"/>
    </row>
    <row r="14042">
      <c r="B14042" s="8"/>
      <c r="G14042" s="8"/>
      <c r="M14042" s="8"/>
    </row>
    <row r="14043">
      <c r="B14043" s="8"/>
      <c r="G14043" s="8"/>
      <c r="M14043" s="8"/>
    </row>
    <row r="14044">
      <c r="B14044" s="8"/>
      <c r="G14044" s="8"/>
      <c r="M14044" s="8"/>
    </row>
    <row r="14045">
      <c r="B14045" s="8"/>
      <c r="G14045" s="8"/>
      <c r="M14045" s="8"/>
    </row>
    <row r="14046">
      <c r="B14046" s="8"/>
      <c r="G14046" s="8"/>
      <c r="M14046" s="8"/>
    </row>
    <row r="14047">
      <c r="B14047" s="8"/>
      <c r="G14047" s="8"/>
      <c r="M14047" s="8"/>
    </row>
    <row r="14048">
      <c r="B14048" s="8"/>
      <c r="G14048" s="8"/>
      <c r="M14048" s="8"/>
    </row>
    <row r="14049">
      <c r="B14049" s="8"/>
      <c r="G14049" s="8"/>
      <c r="M14049" s="8"/>
    </row>
    <row r="14050">
      <c r="B14050" s="8"/>
      <c r="G14050" s="8"/>
      <c r="M14050" s="8"/>
    </row>
    <row r="14051">
      <c r="B14051" s="8"/>
      <c r="G14051" s="8"/>
      <c r="M14051" s="8"/>
    </row>
    <row r="14052">
      <c r="B14052" s="8"/>
      <c r="G14052" s="8"/>
      <c r="M14052" s="8"/>
    </row>
    <row r="14053">
      <c r="B14053" s="8"/>
      <c r="G14053" s="8"/>
      <c r="M14053" s="8"/>
    </row>
    <row r="14054">
      <c r="B14054" s="8"/>
      <c r="G14054" s="8"/>
      <c r="M14054" s="8"/>
    </row>
    <row r="14055">
      <c r="B14055" s="8"/>
      <c r="G14055" s="8"/>
      <c r="M14055" s="8"/>
    </row>
    <row r="14056">
      <c r="B14056" s="8"/>
      <c r="G14056" s="8"/>
      <c r="M14056" s="8"/>
    </row>
    <row r="14057">
      <c r="B14057" s="8"/>
      <c r="G14057" s="8"/>
      <c r="M14057" s="8"/>
    </row>
    <row r="14058">
      <c r="B14058" s="8"/>
      <c r="G14058" s="8"/>
      <c r="M14058" s="8"/>
    </row>
    <row r="14059">
      <c r="B14059" s="8"/>
      <c r="G14059" s="8"/>
      <c r="M14059" s="8"/>
    </row>
    <row r="14060">
      <c r="B14060" s="8"/>
      <c r="G14060" s="8"/>
      <c r="M14060" s="8"/>
    </row>
    <row r="14061">
      <c r="B14061" s="8"/>
      <c r="G14061" s="8"/>
      <c r="M14061" s="8"/>
    </row>
    <row r="14062">
      <c r="B14062" s="8"/>
      <c r="G14062" s="8"/>
      <c r="M14062" s="8"/>
    </row>
    <row r="14063">
      <c r="B14063" s="8"/>
      <c r="G14063" s="8"/>
      <c r="M14063" s="8"/>
    </row>
    <row r="14064">
      <c r="B14064" s="8"/>
      <c r="G14064" s="8"/>
      <c r="M14064" s="8"/>
    </row>
    <row r="14065">
      <c r="B14065" s="8"/>
      <c r="G14065" s="8"/>
      <c r="M14065" s="8"/>
    </row>
    <row r="14066">
      <c r="B14066" s="8"/>
      <c r="G14066" s="8"/>
      <c r="M14066" s="8"/>
    </row>
    <row r="14067">
      <c r="B14067" s="8"/>
      <c r="G14067" s="8"/>
      <c r="M14067" s="8"/>
    </row>
    <row r="14068">
      <c r="B14068" s="8"/>
      <c r="G14068" s="8"/>
      <c r="M14068" s="8"/>
    </row>
    <row r="14069">
      <c r="B14069" s="8"/>
      <c r="G14069" s="8"/>
      <c r="M14069" s="8"/>
    </row>
    <row r="14070">
      <c r="B14070" s="8"/>
      <c r="G14070" s="8"/>
      <c r="M14070" s="8"/>
    </row>
    <row r="14071">
      <c r="B14071" s="8"/>
      <c r="G14071" s="8"/>
      <c r="M14071" s="8"/>
    </row>
    <row r="14072">
      <c r="B14072" s="8"/>
      <c r="G14072" s="8"/>
      <c r="M14072" s="8"/>
    </row>
    <row r="14073">
      <c r="B14073" s="8"/>
      <c r="G14073" s="8"/>
      <c r="M14073" s="8"/>
    </row>
    <row r="14074">
      <c r="B14074" s="8"/>
      <c r="G14074" s="8"/>
      <c r="M14074" s="8"/>
    </row>
    <row r="14075">
      <c r="B14075" s="8"/>
      <c r="G14075" s="8"/>
      <c r="M14075" s="8"/>
    </row>
    <row r="14076">
      <c r="B14076" s="8"/>
      <c r="G14076" s="8"/>
      <c r="M14076" s="8"/>
    </row>
    <row r="14077">
      <c r="B14077" s="8"/>
      <c r="G14077" s="8"/>
      <c r="M14077" s="8"/>
    </row>
    <row r="14078">
      <c r="B14078" s="8"/>
      <c r="G14078" s="8"/>
      <c r="M14078" s="8"/>
    </row>
    <row r="14079">
      <c r="B14079" s="8"/>
      <c r="G14079" s="8"/>
      <c r="M14079" s="8"/>
    </row>
    <row r="14080">
      <c r="B14080" s="8"/>
      <c r="G14080" s="8"/>
      <c r="M14080" s="8"/>
    </row>
    <row r="14081">
      <c r="B14081" s="8"/>
      <c r="G14081" s="8"/>
      <c r="M14081" s="8"/>
    </row>
    <row r="14082">
      <c r="B14082" s="8"/>
      <c r="G14082" s="8"/>
      <c r="M14082" s="8"/>
    </row>
    <row r="14083">
      <c r="B14083" s="8"/>
      <c r="G14083" s="8"/>
      <c r="M14083" s="8"/>
    </row>
    <row r="14084">
      <c r="B14084" s="8"/>
      <c r="G14084" s="8"/>
      <c r="M14084" s="8"/>
    </row>
    <row r="14085">
      <c r="B14085" s="8"/>
      <c r="G14085" s="8"/>
      <c r="M14085" s="8"/>
    </row>
    <row r="14086">
      <c r="B14086" s="8"/>
      <c r="G14086" s="8"/>
      <c r="M14086" s="8"/>
    </row>
    <row r="14087">
      <c r="B14087" s="8"/>
      <c r="G14087" s="8"/>
      <c r="M14087" s="8"/>
    </row>
    <row r="14088">
      <c r="B14088" s="8"/>
      <c r="G14088" s="8"/>
      <c r="M14088" s="8"/>
    </row>
    <row r="14089">
      <c r="B14089" s="8"/>
      <c r="G14089" s="8"/>
      <c r="M14089" s="8"/>
    </row>
    <row r="14090">
      <c r="B14090" s="8"/>
      <c r="G14090" s="8"/>
      <c r="M14090" s="8"/>
    </row>
    <row r="14091">
      <c r="B14091" s="8"/>
      <c r="G14091" s="8"/>
      <c r="M14091" s="8"/>
    </row>
    <row r="14092">
      <c r="B14092" s="8"/>
      <c r="G14092" s="8"/>
      <c r="M14092" s="8"/>
    </row>
    <row r="14093">
      <c r="B14093" s="8"/>
      <c r="G14093" s="8"/>
      <c r="M14093" s="8"/>
    </row>
    <row r="14094">
      <c r="B14094" s="8"/>
      <c r="G14094" s="8"/>
      <c r="M14094" s="8"/>
    </row>
    <row r="14095">
      <c r="B14095" s="8"/>
      <c r="G14095" s="8"/>
      <c r="M14095" s="8"/>
    </row>
    <row r="14096">
      <c r="B14096" s="8"/>
      <c r="G14096" s="8"/>
      <c r="M14096" s="8"/>
    </row>
    <row r="14097">
      <c r="B14097" s="8"/>
      <c r="G14097" s="8"/>
      <c r="M14097" s="8"/>
    </row>
    <row r="14098">
      <c r="B14098" s="8"/>
      <c r="G14098" s="8"/>
      <c r="M14098" s="8"/>
    </row>
    <row r="14099">
      <c r="B14099" s="8"/>
      <c r="G14099" s="8"/>
      <c r="M14099" s="8"/>
    </row>
    <row r="14100">
      <c r="B14100" s="8"/>
      <c r="G14100" s="8"/>
      <c r="M14100" s="8"/>
    </row>
    <row r="14101">
      <c r="B14101" s="8"/>
      <c r="G14101" s="8"/>
      <c r="M14101" s="8"/>
    </row>
    <row r="14102">
      <c r="B14102" s="8"/>
      <c r="G14102" s="8"/>
      <c r="M14102" s="8"/>
    </row>
    <row r="14103">
      <c r="B14103" s="8"/>
      <c r="G14103" s="8"/>
      <c r="M14103" s="8"/>
    </row>
    <row r="14104">
      <c r="B14104" s="8"/>
      <c r="G14104" s="8"/>
      <c r="M14104" s="8"/>
    </row>
    <row r="14105">
      <c r="B14105" s="8"/>
      <c r="G14105" s="8"/>
      <c r="M14105" s="8"/>
    </row>
    <row r="14106">
      <c r="B14106" s="8"/>
      <c r="G14106" s="8"/>
      <c r="M14106" s="8"/>
    </row>
    <row r="14107">
      <c r="B14107" s="8"/>
      <c r="G14107" s="8"/>
      <c r="M14107" s="8"/>
    </row>
    <row r="14108">
      <c r="B14108" s="8"/>
      <c r="G14108" s="8"/>
      <c r="M14108" s="8"/>
    </row>
    <row r="14109">
      <c r="B14109" s="8"/>
      <c r="G14109" s="8"/>
      <c r="M14109" s="8"/>
    </row>
    <row r="14110">
      <c r="B14110" s="8"/>
      <c r="G14110" s="8"/>
      <c r="M14110" s="8"/>
    </row>
    <row r="14111">
      <c r="B14111" s="8"/>
      <c r="G14111" s="8"/>
      <c r="M14111" s="8"/>
    </row>
    <row r="14112">
      <c r="B14112" s="8"/>
      <c r="G14112" s="8"/>
      <c r="M14112" s="8"/>
    </row>
    <row r="14113">
      <c r="B14113" s="8"/>
      <c r="G14113" s="8"/>
      <c r="M14113" s="8"/>
    </row>
    <row r="14114">
      <c r="B14114" s="8"/>
      <c r="G14114" s="8"/>
      <c r="M14114" s="8"/>
    </row>
    <row r="14115">
      <c r="B14115" s="8"/>
      <c r="G14115" s="8"/>
      <c r="M14115" s="8"/>
    </row>
    <row r="14116">
      <c r="B14116" s="8"/>
      <c r="G14116" s="8"/>
      <c r="M14116" s="8"/>
    </row>
    <row r="14117">
      <c r="B14117" s="8"/>
      <c r="G14117" s="8"/>
      <c r="M14117" s="8"/>
    </row>
    <row r="14118">
      <c r="B14118" s="8"/>
      <c r="G14118" s="8"/>
      <c r="M14118" s="8"/>
    </row>
    <row r="14119">
      <c r="B14119" s="8"/>
      <c r="G14119" s="8"/>
      <c r="M14119" s="8"/>
    </row>
    <row r="14120">
      <c r="B14120" s="8"/>
      <c r="G14120" s="8"/>
      <c r="M14120" s="8"/>
    </row>
    <row r="14121">
      <c r="B14121" s="8"/>
      <c r="G14121" s="8"/>
      <c r="M14121" s="8"/>
    </row>
    <row r="14122">
      <c r="B14122" s="8"/>
      <c r="G14122" s="8"/>
      <c r="M14122" s="8"/>
    </row>
    <row r="14123">
      <c r="B14123" s="8"/>
      <c r="G14123" s="8"/>
      <c r="M14123" s="8"/>
    </row>
    <row r="14124">
      <c r="B14124" s="8"/>
      <c r="G14124" s="8"/>
      <c r="M14124" s="8"/>
    </row>
    <row r="14125">
      <c r="B14125" s="8"/>
      <c r="G14125" s="8"/>
      <c r="M14125" s="8"/>
    </row>
    <row r="14126">
      <c r="B14126" s="8"/>
      <c r="G14126" s="8"/>
      <c r="M14126" s="8"/>
    </row>
    <row r="14127">
      <c r="B14127" s="8"/>
      <c r="G14127" s="8"/>
      <c r="M14127" s="8"/>
    </row>
    <row r="14128">
      <c r="B14128" s="8"/>
      <c r="G14128" s="8"/>
      <c r="M14128" s="8"/>
    </row>
    <row r="14129">
      <c r="B14129" s="8"/>
      <c r="G14129" s="8"/>
      <c r="M14129" s="8"/>
    </row>
    <row r="14130">
      <c r="B14130" s="8"/>
      <c r="G14130" s="8"/>
      <c r="M14130" s="8"/>
    </row>
    <row r="14131">
      <c r="B14131" s="8"/>
      <c r="G14131" s="8"/>
      <c r="M14131" s="8"/>
    </row>
    <row r="14132">
      <c r="B14132" s="8"/>
      <c r="G14132" s="8"/>
      <c r="M14132" s="8"/>
    </row>
    <row r="14133">
      <c r="B14133" s="8"/>
      <c r="G14133" s="8"/>
      <c r="M14133" s="8"/>
    </row>
    <row r="14134">
      <c r="B14134" s="8"/>
      <c r="G14134" s="8"/>
      <c r="M14134" s="8"/>
    </row>
    <row r="14135">
      <c r="B14135" s="8"/>
      <c r="G14135" s="8"/>
      <c r="M14135" s="8"/>
    </row>
    <row r="14136">
      <c r="B14136" s="8"/>
      <c r="G14136" s="8"/>
      <c r="M14136" s="8"/>
    </row>
    <row r="14137">
      <c r="B14137" s="8"/>
      <c r="G14137" s="8"/>
      <c r="M14137" s="8"/>
    </row>
    <row r="14138">
      <c r="B14138" s="8"/>
      <c r="G14138" s="8"/>
      <c r="M14138" s="8"/>
    </row>
    <row r="14139">
      <c r="B14139" s="8"/>
      <c r="G14139" s="8"/>
      <c r="M14139" s="8"/>
    </row>
    <row r="14140">
      <c r="B14140" s="8"/>
      <c r="G14140" s="8"/>
      <c r="M14140" s="8"/>
    </row>
    <row r="14141">
      <c r="B14141" s="8"/>
      <c r="G14141" s="8"/>
      <c r="M14141" s="8"/>
    </row>
    <row r="14142">
      <c r="B14142" s="8"/>
      <c r="G14142" s="8"/>
      <c r="M14142" s="8"/>
    </row>
    <row r="14143">
      <c r="B14143" s="8"/>
      <c r="G14143" s="8"/>
      <c r="M14143" s="8"/>
    </row>
    <row r="14144">
      <c r="B14144" s="8"/>
      <c r="G14144" s="8"/>
      <c r="M14144" s="8"/>
    </row>
    <row r="14145">
      <c r="B14145" s="8"/>
      <c r="G14145" s="8"/>
      <c r="M14145" s="8"/>
    </row>
    <row r="14146">
      <c r="B14146" s="8"/>
      <c r="G14146" s="8"/>
      <c r="M14146" s="8"/>
    </row>
    <row r="14147">
      <c r="B14147" s="8"/>
      <c r="G14147" s="8"/>
      <c r="M14147" s="8"/>
    </row>
    <row r="14148">
      <c r="B14148" s="8"/>
      <c r="G14148" s="8"/>
      <c r="M14148" s="8"/>
    </row>
    <row r="14149">
      <c r="B14149" s="8"/>
      <c r="G14149" s="8"/>
      <c r="M14149" s="8"/>
    </row>
    <row r="14150">
      <c r="B14150" s="8"/>
      <c r="G14150" s="8"/>
      <c r="M14150" s="8"/>
    </row>
    <row r="14151">
      <c r="B14151" s="8"/>
      <c r="G14151" s="8"/>
      <c r="M14151" s="8"/>
    </row>
    <row r="14152">
      <c r="B14152" s="8"/>
      <c r="G14152" s="8"/>
      <c r="M14152" s="8"/>
    </row>
    <row r="14153">
      <c r="B14153" s="8"/>
      <c r="G14153" s="8"/>
      <c r="M14153" s="8"/>
    </row>
    <row r="14154">
      <c r="B14154" s="8"/>
      <c r="G14154" s="8"/>
      <c r="M14154" s="8"/>
    </row>
    <row r="14155">
      <c r="B14155" s="8"/>
      <c r="G14155" s="8"/>
      <c r="M14155" s="8"/>
    </row>
    <row r="14156">
      <c r="B14156" s="8"/>
      <c r="G14156" s="8"/>
      <c r="M14156" s="8"/>
    </row>
    <row r="14157">
      <c r="B14157" s="8"/>
      <c r="G14157" s="8"/>
      <c r="M14157" s="8"/>
    </row>
    <row r="14158">
      <c r="B14158" s="8"/>
      <c r="G14158" s="8"/>
      <c r="M14158" s="8"/>
    </row>
    <row r="14159">
      <c r="B14159" s="8"/>
      <c r="G14159" s="8"/>
      <c r="M14159" s="8"/>
    </row>
    <row r="14160">
      <c r="B14160" s="8"/>
      <c r="G14160" s="8"/>
      <c r="M14160" s="8"/>
    </row>
    <row r="14161">
      <c r="B14161" s="8"/>
      <c r="G14161" s="8"/>
      <c r="M14161" s="8"/>
    </row>
    <row r="14162">
      <c r="B14162" s="8"/>
      <c r="G14162" s="8"/>
      <c r="M14162" s="8"/>
    </row>
    <row r="14163">
      <c r="B14163" s="8"/>
      <c r="G14163" s="8"/>
      <c r="M14163" s="8"/>
    </row>
    <row r="14164">
      <c r="B14164" s="8"/>
      <c r="G14164" s="8"/>
      <c r="M14164" s="8"/>
    </row>
    <row r="14165">
      <c r="B14165" s="8"/>
      <c r="G14165" s="8"/>
      <c r="M14165" s="8"/>
    </row>
    <row r="14166">
      <c r="B14166" s="8"/>
      <c r="G14166" s="8"/>
      <c r="M14166" s="8"/>
    </row>
    <row r="14167">
      <c r="B14167" s="8"/>
      <c r="G14167" s="8"/>
      <c r="M14167" s="8"/>
    </row>
    <row r="14168">
      <c r="B14168" s="8"/>
      <c r="G14168" s="8"/>
      <c r="M14168" s="8"/>
    </row>
    <row r="14169">
      <c r="B14169" s="8"/>
      <c r="G14169" s="8"/>
      <c r="M14169" s="8"/>
    </row>
    <row r="14170">
      <c r="B14170" s="8"/>
      <c r="G14170" s="8"/>
      <c r="M14170" s="8"/>
    </row>
    <row r="14171">
      <c r="B14171" s="8"/>
      <c r="G14171" s="8"/>
      <c r="M14171" s="8"/>
    </row>
    <row r="14172">
      <c r="B14172" s="8"/>
      <c r="G14172" s="8"/>
      <c r="M14172" s="8"/>
    </row>
    <row r="14173">
      <c r="B14173" s="8"/>
      <c r="G14173" s="8"/>
      <c r="M14173" s="8"/>
    </row>
    <row r="14174">
      <c r="B14174" s="8"/>
      <c r="G14174" s="8"/>
      <c r="M14174" s="8"/>
    </row>
    <row r="14175">
      <c r="B14175" s="8"/>
      <c r="G14175" s="8"/>
      <c r="M14175" s="8"/>
    </row>
    <row r="14176">
      <c r="B14176" s="8"/>
      <c r="G14176" s="8"/>
      <c r="M14176" s="8"/>
    </row>
    <row r="14177">
      <c r="B14177" s="8"/>
      <c r="G14177" s="8"/>
      <c r="M14177" s="8"/>
    </row>
    <row r="14178">
      <c r="B14178" s="8"/>
      <c r="G14178" s="8"/>
      <c r="M14178" s="8"/>
    </row>
    <row r="14179">
      <c r="B14179" s="8"/>
      <c r="G14179" s="8"/>
      <c r="M14179" s="8"/>
    </row>
    <row r="14180">
      <c r="B14180" s="8"/>
      <c r="G14180" s="8"/>
      <c r="M14180" s="8"/>
    </row>
    <row r="14181">
      <c r="B14181" s="8"/>
      <c r="G14181" s="8"/>
      <c r="M14181" s="8"/>
    </row>
    <row r="14182">
      <c r="B14182" s="8"/>
      <c r="G14182" s="8"/>
      <c r="M14182" s="8"/>
    </row>
    <row r="14183">
      <c r="B14183" s="8"/>
      <c r="G14183" s="8"/>
      <c r="M14183" s="8"/>
    </row>
    <row r="14184">
      <c r="B14184" s="8"/>
      <c r="G14184" s="8"/>
      <c r="M14184" s="8"/>
    </row>
    <row r="14185">
      <c r="B14185" s="8"/>
      <c r="G14185" s="8"/>
      <c r="M14185" s="8"/>
    </row>
    <row r="14186">
      <c r="B14186" s="8"/>
      <c r="G14186" s="8"/>
      <c r="M14186" s="8"/>
    </row>
    <row r="14187">
      <c r="B14187" s="8"/>
      <c r="G14187" s="8"/>
      <c r="M14187" s="8"/>
    </row>
    <row r="14188">
      <c r="B14188" s="8"/>
      <c r="G14188" s="8"/>
      <c r="M14188" s="8"/>
    </row>
    <row r="14189">
      <c r="B14189" s="8"/>
      <c r="G14189" s="8"/>
      <c r="M14189" s="8"/>
    </row>
    <row r="14190">
      <c r="B14190" s="8"/>
      <c r="G14190" s="8"/>
      <c r="M14190" s="8"/>
    </row>
    <row r="14191">
      <c r="B14191" s="8"/>
      <c r="G14191" s="8"/>
      <c r="M14191" s="8"/>
    </row>
    <row r="14192">
      <c r="B14192" s="8"/>
      <c r="G14192" s="8"/>
      <c r="M14192" s="8"/>
    </row>
    <row r="14193">
      <c r="B14193" s="8"/>
      <c r="G14193" s="8"/>
      <c r="M14193" s="8"/>
    </row>
    <row r="14194">
      <c r="B14194" s="8"/>
      <c r="G14194" s="8"/>
      <c r="M14194" s="8"/>
    </row>
    <row r="14195">
      <c r="B14195" s="8"/>
      <c r="G14195" s="8"/>
      <c r="M14195" s="8"/>
    </row>
    <row r="14196">
      <c r="B14196" s="8"/>
      <c r="G14196" s="8"/>
      <c r="M14196" s="8"/>
    </row>
    <row r="14197">
      <c r="B14197" s="8"/>
      <c r="G14197" s="8"/>
      <c r="M14197" s="8"/>
    </row>
    <row r="14198">
      <c r="B14198" s="8"/>
      <c r="G14198" s="8"/>
      <c r="M14198" s="8"/>
    </row>
    <row r="14199">
      <c r="B14199" s="8"/>
      <c r="G14199" s="8"/>
      <c r="M14199" s="8"/>
    </row>
    <row r="14200">
      <c r="B14200" s="8"/>
      <c r="G14200" s="8"/>
      <c r="M14200" s="8"/>
    </row>
    <row r="14201">
      <c r="B14201" s="8"/>
      <c r="G14201" s="8"/>
      <c r="M14201" s="8"/>
    </row>
    <row r="14202">
      <c r="B14202" s="8"/>
      <c r="G14202" s="8"/>
      <c r="M14202" s="8"/>
    </row>
    <row r="14203">
      <c r="B14203" s="8"/>
      <c r="G14203" s="8"/>
      <c r="M14203" s="8"/>
    </row>
    <row r="14204">
      <c r="B14204" s="8"/>
      <c r="G14204" s="8"/>
      <c r="M14204" s="8"/>
    </row>
    <row r="14205">
      <c r="B14205" s="8"/>
      <c r="G14205" s="8"/>
      <c r="M14205" s="8"/>
    </row>
    <row r="14206">
      <c r="B14206" s="8"/>
      <c r="G14206" s="8"/>
      <c r="M14206" s="8"/>
    </row>
    <row r="14207">
      <c r="B14207" s="8"/>
      <c r="G14207" s="8"/>
      <c r="M14207" s="8"/>
    </row>
    <row r="14208">
      <c r="B14208" s="8"/>
      <c r="G14208" s="8"/>
      <c r="M14208" s="8"/>
    </row>
    <row r="14209">
      <c r="B14209" s="8"/>
      <c r="G14209" s="8"/>
      <c r="M14209" s="8"/>
    </row>
    <row r="14210">
      <c r="B14210" s="8"/>
      <c r="G14210" s="8"/>
      <c r="M14210" s="8"/>
    </row>
    <row r="14211">
      <c r="B14211" s="8"/>
      <c r="G14211" s="8"/>
      <c r="M14211" s="8"/>
    </row>
    <row r="14212">
      <c r="B14212" s="8"/>
      <c r="G14212" s="8"/>
      <c r="M14212" s="8"/>
    </row>
    <row r="14213">
      <c r="B14213" s="8"/>
      <c r="G14213" s="8"/>
      <c r="M14213" s="8"/>
    </row>
    <row r="14214">
      <c r="B14214" s="8"/>
      <c r="G14214" s="8"/>
      <c r="M14214" s="8"/>
    </row>
    <row r="14215">
      <c r="B14215" s="8"/>
      <c r="G14215" s="8"/>
      <c r="M14215" s="8"/>
    </row>
    <row r="14216">
      <c r="B14216" s="8"/>
      <c r="G14216" s="8"/>
      <c r="M14216" s="8"/>
    </row>
    <row r="14217">
      <c r="B14217" s="8"/>
      <c r="G14217" s="8"/>
      <c r="M14217" s="8"/>
    </row>
    <row r="14218">
      <c r="B14218" s="8"/>
      <c r="G14218" s="8"/>
      <c r="M14218" s="8"/>
    </row>
    <row r="14219">
      <c r="B14219" s="8"/>
      <c r="G14219" s="8"/>
      <c r="M14219" s="8"/>
    </row>
    <row r="14220">
      <c r="B14220" s="8"/>
      <c r="G14220" s="8"/>
      <c r="M14220" s="8"/>
    </row>
    <row r="14221">
      <c r="B14221" s="8"/>
      <c r="G14221" s="8"/>
      <c r="M14221" s="8"/>
    </row>
    <row r="14222">
      <c r="B14222" s="8"/>
      <c r="G14222" s="8"/>
      <c r="M14222" s="8"/>
    </row>
    <row r="14223">
      <c r="B14223" s="8"/>
      <c r="G14223" s="8"/>
      <c r="M14223" s="8"/>
    </row>
    <row r="14224">
      <c r="B14224" s="8"/>
      <c r="G14224" s="8"/>
      <c r="M14224" s="8"/>
    </row>
    <row r="14225">
      <c r="B14225" s="8"/>
      <c r="G14225" s="8"/>
      <c r="M14225" s="8"/>
    </row>
    <row r="14226">
      <c r="B14226" s="8"/>
      <c r="G14226" s="8"/>
      <c r="M14226" s="8"/>
    </row>
    <row r="14227">
      <c r="B14227" s="8"/>
      <c r="G14227" s="8"/>
      <c r="M14227" s="8"/>
    </row>
    <row r="14228">
      <c r="B14228" s="8"/>
      <c r="G14228" s="8"/>
      <c r="M14228" s="8"/>
    </row>
    <row r="14229">
      <c r="B14229" s="8"/>
      <c r="G14229" s="8"/>
      <c r="M14229" s="8"/>
    </row>
    <row r="14230">
      <c r="B14230" s="8"/>
      <c r="G14230" s="8"/>
      <c r="M14230" s="8"/>
    </row>
    <row r="14231">
      <c r="B14231" s="8"/>
      <c r="G14231" s="8"/>
      <c r="M14231" s="8"/>
    </row>
    <row r="14232">
      <c r="B14232" s="8"/>
      <c r="G14232" s="8"/>
      <c r="M14232" s="8"/>
    </row>
    <row r="14233">
      <c r="B14233" s="8"/>
      <c r="G14233" s="8"/>
      <c r="M14233" s="8"/>
    </row>
    <row r="14234">
      <c r="B14234" s="8"/>
      <c r="G14234" s="8"/>
      <c r="M14234" s="8"/>
    </row>
    <row r="14235">
      <c r="B14235" s="8"/>
      <c r="G14235" s="8"/>
      <c r="M14235" s="8"/>
    </row>
    <row r="14236">
      <c r="B14236" s="8"/>
      <c r="G14236" s="8"/>
      <c r="M14236" s="8"/>
    </row>
    <row r="14237">
      <c r="B14237" s="8"/>
      <c r="G14237" s="8"/>
      <c r="M14237" s="8"/>
    </row>
    <row r="14238">
      <c r="B14238" s="8"/>
      <c r="G14238" s="8"/>
      <c r="M14238" s="8"/>
    </row>
    <row r="14239">
      <c r="B14239" s="8"/>
      <c r="G14239" s="8"/>
      <c r="M14239" s="8"/>
    </row>
    <row r="14240">
      <c r="B14240" s="8"/>
      <c r="G14240" s="8"/>
      <c r="M14240" s="8"/>
    </row>
    <row r="14241">
      <c r="B14241" s="8"/>
      <c r="G14241" s="8"/>
      <c r="M14241" s="8"/>
    </row>
    <row r="14242">
      <c r="B14242" s="8"/>
      <c r="G14242" s="8"/>
      <c r="M14242" s="8"/>
    </row>
    <row r="14243">
      <c r="B14243" s="8"/>
      <c r="G14243" s="8"/>
      <c r="M14243" s="8"/>
    </row>
    <row r="14244">
      <c r="B14244" s="8"/>
      <c r="G14244" s="8"/>
      <c r="M14244" s="8"/>
    </row>
    <row r="14245">
      <c r="B14245" s="8"/>
      <c r="G14245" s="8"/>
      <c r="M14245" s="8"/>
    </row>
    <row r="14246">
      <c r="B14246" s="8"/>
      <c r="G14246" s="8"/>
      <c r="M14246" s="8"/>
    </row>
    <row r="14247">
      <c r="B14247" s="8"/>
      <c r="G14247" s="8"/>
      <c r="M14247" s="8"/>
    </row>
    <row r="14248">
      <c r="B14248" s="8"/>
      <c r="G14248" s="8"/>
      <c r="M14248" s="8"/>
    </row>
    <row r="14249">
      <c r="B14249" s="8"/>
      <c r="G14249" s="8"/>
      <c r="M14249" s="8"/>
    </row>
    <row r="14250">
      <c r="B14250" s="8"/>
      <c r="G14250" s="8"/>
      <c r="M14250" s="8"/>
    </row>
    <row r="14251">
      <c r="B14251" s="8"/>
      <c r="G14251" s="8"/>
      <c r="M14251" s="8"/>
    </row>
    <row r="14252">
      <c r="B14252" s="8"/>
      <c r="G14252" s="8"/>
      <c r="M14252" s="8"/>
    </row>
    <row r="14253">
      <c r="B14253" s="8"/>
      <c r="G14253" s="8"/>
      <c r="M14253" s="8"/>
    </row>
    <row r="14254">
      <c r="B14254" s="8"/>
      <c r="G14254" s="8"/>
      <c r="M14254" s="8"/>
    </row>
    <row r="14255">
      <c r="B14255" s="8"/>
      <c r="G14255" s="8"/>
      <c r="M14255" s="8"/>
    </row>
    <row r="14256">
      <c r="B14256" s="8"/>
      <c r="G14256" s="8"/>
      <c r="M14256" s="8"/>
    </row>
    <row r="14257">
      <c r="B14257" s="8"/>
      <c r="G14257" s="8"/>
      <c r="M14257" s="8"/>
    </row>
    <row r="14258">
      <c r="B14258" s="8"/>
      <c r="G14258" s="8"/>
      <c r="M14258" s="8"/>
    </row>
    <row r="14259">
      <c r="B14259" s="8"/>
      <c r="G14259" s="8"/>
      <c r="M14259" s="8"/>
    </row>
    <row r="14260">
      <c r="B14260" s="8"/>
      <c r="G14260" s="8"/>
      <c r="M14260" s="8"/>
    </row>
    <row r="14261">
      <c r="B14261" s="8"/>
      <c r="G14261" s="8"/>
      <c r="M14261" s="8"/>
    </row>
    <row r="14262">
      <c r="B14262" s="8"/>
      <c r="G14262" s="8"/>
      <c r="M14262" s="8"/>
    </row>
    <row r="14263">
      <c r="B14263" s="8"/>
      <c r="G14263" s="8"/>
      <c r="M14263" s="8"/>
    </row>
    <row r="14264">
      <c r="B14264" s="8"/>
      <c r="G14264" s="8"/>
      <c r="M14264" s="8"/>
    </row>
    <row r="14265">
      <c r="B14265" s="8"/>
      <c r="G14265" s="8"/>
      <c r="M14265" s="8"/>
    </row>
    <row r="14266">
      <c r="B14266" s="8"/>
      <c r="G14266" s="8"/>
      <c r="M14266" s="8"/>
    </row>
    <row r="14267">
      <c r="B14267" s="8"/>
      <c r="G14267" s="8"/>
      <c r="M14267" s="8"/>
    </row>
    <row r="14268">
      <c r="B14268" s="8"/>
      <c r="G14268" s="8"/>
      <c r="M14268" s="8"/>
    </row>
    <row r="14269">
      <c r="B14269" s="8"/>
      <c r="G14269" s="8"/>
      <c r="M14269" s="8"/>
    </row>
    <row r="14270">
      <c r="B14270" s="8"/>
      <c r="G14270" s="8"/>
      <c r="M14270" s="8"/>
    </row>
    <row r="14271">
      <c r="B14271" s="8"/>
      <c r="G14271" s="8"/>
      <c r="M14271" s="8"/>
    </row>
    <row r="14272">
      <c r="B14272" s="8"/>
      <c r="G14272" s="8"/>
      <c r="M14272" s="8"/>
    </row>
    <row r="14273">
      <c r="B14273" s="8"/>
      <c r="G14273" s="8"/>
      <c r="M14273" s="8"/>
    </row>
    <row r="14274">
      <c r="B14274" s="8"/>
      <c r="G14274" s="8"/>
      <c r="M14274" s="8"/>
    </row>
    <row r="14275">
      <c r="B14275" s="8"/>
      <c r="G14275" s="8"/>
      <c r="M14275" s="8"/>
    </row>
    <row r="14276">
      <c r="B14276" s="8"/>
      <c r="G14276" s="8"/>
      <c r="M14276" s="8"/>
    </row>
    <row r="14277">
      <c r="B14277" s="8"/>
      <c r="G14277" s="8"/>
      <c r="M14277" s="8"/>
    </row>
    <row r="14278">
      <c r="B14278" s="8"/>
      <c r="G14278" s="8"/>
      <c r="M14278" s="8"/>
    </row>
    <row r="14279">
      <c r="B14279" s="8"/>
      <c r="G14279" s="8"/>
      <c r="M14279" s="8"/>
    </row>
    <row r="14280">
      <c r="B14280" s="8"/>
      <c r="G14280" s="8"/>
      <c r="M14280" s="8"/>
    </row>
    <row r="14281">
      <c r="B14281" s="8"/>
      <c r="G14281" s="8"/>
      <c r="M14281" s="8"/>
    </row>
    <row r="14282">
      <c r="B14282" s="8"/>
      <c r="G14282" s="8"/>
      <c r="M14282" s="8"/>
    </row>
    <row r="14283">
      <c r="B14283" s="8"/>
      <c r="G14283" s="8"/>
      <c r="M14283" s="8"/>
    </row>
    <row r="14284">
      <c r="B14284" s="8"/>
      <c r="G14284" s="8"/>
      <c r="M14284" s="8"/>
    </row>
    <row r="14285">
      <c r="B14285" s="8"/>
      <c r="G14285" s="8"/>
      <c r="M14285" s="8"/>
    </row>
    <row r="14286">
      <c r="B14286" s="8"/>
      <c r="G14286" s="8"/>
      <c r="M14286" s="8"/>
    </row>
    <row r="14287">
      <c r="B14287" s="8"/>
      <c r="G14287" s="8"/>
      <c r="M14287" s="8"/>
    </row>
    <row r="14288">
      <c r="B14288" s="8"/>
      <c r="G14288" s="8"/>
      <c r="M14288" s="8"/>
    </row>
    <row r="14289">
      <c r="B14289" s="8"/>
      <c r="G14289" s="8"/>
      <c r="M14289" s="8"/>
    </row>
    <row r="14290">
      <c r="B14290" s="8"/>
      <c r="G14290" s="8"/>
      <c r="M14290" s="8"/>
    </row>
    <row r="14291">
      <c r="B14291" s="8"/>
      <c r="G14291" s="8"/>
      <c r="M14291" s="8"/>
    </row>
    <row r="14292">
      <c r="B14292" s="8"/>
      <c r="G14292" s="8"/>
      <c r="M14292" s="8"/>
    </row>
    <row r="14293">
      <c r="B14293" s="8"/>
      <c r="G14293" s="8"/>
      <c r="M14293" s="8"/>
    </row>
    <row r="14294">
      <c r="B14294" s="8"/>
      <c r="G14294" s="8"/>
      <c r="M14294" s="8"/>
    </row>
    <row r="14295">
      <c r="B14295" s="8"/>
      <c r="G14295" s="8"/>
      <c r="M14295" s="8"/>
    </row>
    <row r="14296">
      <c r="B14296" s="8"/>
      <c r="G14296" s="8"/>
      <c r="M14296" s="8"/>
    </row>
    <row r="14297">
      <c r="B14297" s="8"/>
      <c r="G14297" s="8"/>
      <c r="M14297" s="8"/>
    </row>
    <row r="14298">
      <c r="B14298" s="8"/>
      <c r="G14298" s="8"/>
      <c r="M14298" s="8"/>
    </row>
    <row r="14299">
      <c r="B14299" s="8"/>
      <c r="G14299" s="8"/>
      <c r="M14299" s="8"/>
    </row>
    <row r="14300">
      <c r="B14300" s="8"/>
      <c r="G14300" s="8"/>
      <c r="M14300" s="8"/>
    </row>
    <row r="14301">
      <c r="B14301" s="8"/>
      <c r="G14301" s="8"/>
      <c r="M14301" s="8"/>
    </row>
    <row r="14302">
      <c r="B14302" s="8"/>
      <c r="G14302" s="8"/>
      <c r="M14302" s="8"/>
    </row>
    <row r="14303">
      <c r="B14303" s="8"/>
      <c r="G14303" s="8"/>
      <c r="M14303" s="8"/>
    </row>
    <row r="14304">
      <c r="B14304" s="8"/>
      <c r="G14304" s="8"/>
      <c r="M14304" s="8"/>
    </row>
    <row r="14305">
      <c r="B14305" s="8"/>
      <c r="G14305" s="8"/>
      <c r="M14305" s="8"/>
    </row>
    <row r="14306">
      <c r="B14306" s="8"/>
      <c r="G14306" s="8"/>
      <c r="M14306" s="8"/>
    </row>
    <row r="14307">
      <c r="B14307" s="8"/>
      <c r="G14307" s="8"/>
      <c r="M14307" s="8"/>
    </row>
    <row r="14308">
      <c r="B14308" s="8"/>
      <c r="G14308" s="8"/>
      <c r="M14308" s="8"/>
    </row>
    <row r="14309">
      <c r="B14309" s="8"/>
      <c r="G14309" s="8"/>
      <c r="M14309" s="8"/>
    </row>
    <row r="14310">
      <c r="B14310" s="8"/>
      <c r="G14310" s="8"/>
      <c r="M14310" s="8"/>
    </row>
    <row r="14311">
      <c r="B14311" s="8"/>
      <c r="G14311" s="8"/>
      <c r="M14311" s="8"/>
    </row>
    <row r="14312">
      <c r="B14312" s="8"/>
      <c r="G14312" s="8"/>
      <c r="M14312" s="8"/>
    </row>
    <row r="14313">
      <c r="B14313" s="8"/>
      <c r="G14313" s="8"/>
      <c r="M14313" s="8"/>
    </row>
    <row r="14314">
      <c r="B14314" s="8"/>
      <c r="G14314" s="8"/>
      <c r="M14314" s="8"/>
    </row>
    <row r="14315">
      <c r="B14315" s="8"/>
      <c r="G14315" s="8"/>
      <c r="M14315" s="8"/>
    </row>
    <row r="14316">
      <c r="B14316" s="8"/>
      <c r="G14316" s="8"/>
      <c r="M14316" s="8"/>
    </row>
    <row r="14317">
      <c r="B14317" s="8"/>
      <c r="G14317" s="8"/>
      <c r="M14317" s="8"/>
    </row>
    <row r="14318">
      <c r="B14318" s="8"/>
      <c r="G14318" s="8"/>
      <c r="M14318" s="8"/>
    </row>
    <row r="14319">
      <c r="B14319" s="8"/>
      <c r="G14319" s="8"/>
      <c r="M14319" s="8"/>
    </row>
    <row r="14320">
      <c r="B14320" s="8"/>
      <c r="G14320" s="8"/>
      <c r="M14320" s="8"/>
    </row>
    <row r="14321">
      <c r="B14321" s="8"/>
      <c r="G14321" s="8"/>
      <c r="M14321" s="8"/>
    </row>
    <row r="14322">
      <c r="B14322" s="8"/>
      <c r="G14322" s="8"/>
      <c r="M14322" s="8"/>
    </row>
    <row r="14323">
      <c r="B14323" s="8"/>
      <c r="G14323" s="8"/>
      <c r="M14323" s="8"/>
    </row>
    <row r="14324">
      <c r="B14324" s="8"/>
      <c r="G14324" s="8"/>
      <c r="M14324" s="8"/>
    </row>
    <row r="14325">
      <c r="B14325" s="8"/>
      <c r="G14325" s="8"/>
      <c r="M14325" s="8"/>
    </row>
    <row r="14326">
      <c r="B14326" s="8"/>
      <c r="G14326" s="8"/>
      <c r="M14326" s="8"/>
    </row>
    <row r="14327">
      <c r="B14327" s="8"/>
      <c r="G14327" s="8"/>
      <c r="M14327" s="8"/>
    </row>
    <row r="14328">
      <c r="B14328" s="8"/>
      <c r="G14328" s="8"/>
      <c r="M14328" s="8"/>
    </row>
    <row r="14329">
      <c r="B14329" s="8"/>
      <c r="G14329" s="8"/>
      <c r="M14329" s="8"/>
    </row>
    <row r="14330">
      <c r="B14330" s="8"/>
      <c r="G14330" s="8"/>
      <c r="M14330" s="8"/>
    </row>
    <row r="14331">
      <c r="B14331" s="8"/>
      <c r="G14331" s="8"/>
      <c r="M14331" s="8"/>
    </row>
    <row r="14332">
      <c r="B14332" s="8"/>
      <c r="G14332" s="8"/>
      <c r="M14332" s="8"/>
    </row>
    <row r="14333">
      <c r="B14333" s="8"/>
      <c r="G14333" s="8"/>
      <c r="M14333" s="8"/>
    </row>
    <row r="14334">
      <c r="B14334" s="8"/>
      <c r="G14334" s="8"/>
      <c r="M14334" s="8"/>
    </row>
    <row r="14335">
      <c r="B14335" s="8"/>
      <c r="G14335" s="8"/>
      <c r="M14335" s="8"/>
    </row>
    <row r="14336">
      <c r="B14336" s="8"/>
      <c r="G14336" s="8"/>
      <c r="M14336" s="8"/>
    </row>
    <row r="14337">
      <c r="B14337" s="8"/>
      <c r="G14337" s="8"/>
      <c r="M14337" s="8"/>
    </row>
    <row r="14338">
      <c r="B14338" s="8"/>
      <c r="G14338" s="8"/>
      <c r="M14338" s="8"/>
    </row>
    <row r="14339">
      <c r="B14339" s="8"/>
      <c r="G14339" s="8"/>
      <c r="M14339" s="8"/>
    </row>
    <row r="14340">
      <c r="B14340" s="8"/>
      <c r="G14340" s="8"/>
      <c r="M14340" s="8"/>
    </row>
    <row r="14341">
      <c r="B14341" s="8"/>
      <c r="G14341" s="8"/>
      <c r="M14341" s="8"/>
    </row>
    <row r="14342">
      <c r="B14342" s="8"/>
      <c r="G14342" s="8"/>
      <c r="M14342" s="8"/>
    </row>
    <row r="14343">
      <c r="B14343" s="8"/>
      <c r="G14343" s="8"/>
      <c r="M14343" s="8"/>
    </row>
    <row r="14344">
      <c r="B14344" s="8"/>
      <c r="G14344" s="8"/>
      <c r="M14344" s="8"/>
    </row>
    <row r="14345">
      <c r="B14345" s="8"/>
      <c r="G14345" s="8"/>
      <c r="M14345" s="8"/>
    </row>
    <row r="14346">
      <c r="B14346" s="8"/>
      <c r="G14346" s="8"/>
      <c r="M14346" s="8"/>
    </row>
    <row r="14347">
      <c r="B14347" s="8"/>
      <c r="G14347" s="8"/>
      <c r="M14347" s="8"/>
    </row>
    <row r="14348">
      <c r="B14348" s="8"/>
      <c r="G14348" s="8"/>
      <c r="M14348" s="8"/>
    </row>
    <row r="14349">
      <c r="B14349" s="8"/>
      <c r="G14349" s="8"/>
      <c r="M14349" s="8"/>
    </row>
    <row r="14350">
      <c r="B14350" s="8"/>
      <c r="G14350" s="8"/>
      <c r="M14350" s="8"/>
    </row>
    <row r="14351">
      <c r="B14351" s="8"/>
      <c r="G14351" s="8"/>
      <c r="M14351" s="8"/>
    </row>
    <row r="14352">
      <c r="B14352" s="8"/>
      <c r="G14352" s="8"/>
      <c r="M14352" s="8"/>
    </row>
    <row r="14353">
      <c r="B14353" s="8"/>
      <c r="G14353" s="8"/>
      <c r="M14353" s="8"/>
    </row>
    <row r="14354">
      <c r="B14354" s="8"/>
      <c r="G14354" s="8"/>
      <c r="M14354" s="8"/>
    </row>
    <row r="14355">
      <c r="B14355" s="8"/>
      <c r="G14355" s="8"/>
      <c r="M14355" s="8"/>
    </row>
    <row r="14356">
      <c r="B14356" s="8"/>
      <c r="G14356" s="8"/>
      <c r="M14356" s="8"/>
    </row>
    <row r="14357">
      <c r="B14357" s="8"/>
      <c r="G14357" s="8"/>
      <c r="M14357" s="8"/>
    </row>
    <row r="14358">
      <c r="B14358" s="8"/>
      <c r="G14358" s="8"/>
      <c r="M14358" s="8"/>
    </row>
    <row r="14359">
      <c r="B14359" s="8"/>
      <c r="G14359" s="8"/>
      <c r="M14359" s="8"/>
    </row>
    <row r="14360">
      <c r="B14360" s="8"/>
      <c r="G14360" s="8"/>
      <c r="M14360" s="8"/>
    </row>
    <row r="14361">
      <c r="B14361" s="8"/>
      <c r="G14361" s="8"/>
      <c r="M14361" s="8"/>
    </row>
    <row r="14362">
      <c r="B14362" s="8"/>
      <c r="G14362" s="8"/>
      <c r="M14362" s="8"/>
    </row>
    <row r="14363">
      <c r="B14363" s="8"/>
      <c r="G14363" s="8"/>
      <c r="M14363" s="8"/>
    </row>
    <row r="14364">
      <c r="B14364" s="8"/>
      <c r="G14364" s="8"/>
      <c r="M14364" s="8"/>
    </row>
    <row r="14365">
      <c r="B14365" s="8"/>
      <c r="G14365" s="8"/>
      <c r="M14365" s="8"/>
    </row>
    <row r="14366">
      <c r="B14366" s="8"/>
      <c r="G14366" s="8"/>
      <c r="M14366" s="8"/>
    </row>
    <row r="14367">
      <c r="B14367" s="8"/>
      <c r="G14367" s="8"/>
      <c r="M14367" s="8"/>
    </row>
    <row r="14368">
      <c r="B14368" s="8"/>
      <c r="G14368" s="8"/>
      <c r="M14368" s="8"/>
    </row>
    <row r="14369">
      <c r="B14369" s="8"/>
      <c r="G14369" s="8"/>
      <c r="M14369" s="8"/>
    </row>
    <row r="14370">
      <c r="B14370" s="8"/>
      <c r="G14370" s="8"/>
      <c r="M14370" s="8"/>
    </row>
    <row r="14371">
      <c r="B14371" s="8"/>
      <c r="G14371" s="8"/>
      <c r="M14371" s="8"/>
    </row>
    <row r="14372">
      <c r="B14372" s="8"/>
      <c r="G14372" s="8"/>
      <c r="M14372" s="8"/>
    </row>
    <row r="14373">
      <c r="B14373" s="8"/>
      <c r="G14373" s="8"/>
      <c r="M14373" s="8"/>
    </row>
    <row r="14374">
      <c r="B14374" s="8"/>
      <c r="G14374" s="8"/>
      <c r="M14374" s="8"/>
    </row>
    <row r="14375">
      <c r="B14375" s="8"/>
      <c r="G14375" s="8"/>
      <c r="M14375" s="8"/>
    </row>
    <row r="14376">
      <c r="B14376" s="8"/>
      <c r="G14376" s="8"/>
      <c r="M14376" s="8"/>
    </row>
    <row r="14377">
      <c r="B14377" s="8"/>
      <c r="G14377" s="8"/>
      <c r="M14377" s="8"/>
    </row>
    <row r="14378">
      <c r="B14378" s="8"/>
      <c r="G14378" s="8"/>
      <c r="M14378" s="8"/>
    </row>
    <row r="14379">
      <c r="B14379" s="8"/>
      <c r="G14379" s="8"/>
      <c r="M14379" s="8"/>
    </row>
    <row r="14380">
      <c r="B14380" s="8"/>
      <c r="G14380" s="8"/>
      <c r="M14380" s="8"/>
    </row>
    <row r="14381">
      <c r="B14381" s="8"/>
      <c r="G14381" s="8"/>
      <c r="M14381" s="8"/>
    </row>
    <row r="14382">
      <c r="B14382" s="8"/>
      <c r="G14382" s="8"/>
      <c r="M14382" s="8"/>
    </row>
    <row r="14383">
      <c r="B14383" s="8"/>
      <c r="G14383" s="8"/>
      <c r="M14383" s="8"/>
    </row>
    <row r="14384">
      <c r="B14384" s="8"/>
      <c r="G14384" s="8"/>
      <c r="M14384" s="8"/>
    </row>
    <row r="14385">
      <c r="B14385" s="8"/>
      <c r="G14385" s="8"/>
      <c r="M14385" s="8"/>
    </row>
    <row r="14386">
      <c r="B14386" s="8"/>
      <c r="G14386" s="8"/>
      <c r="M14386" s="8"/>
    </row>
    <row r="14387">
      <c r="B14387" s="8"/>
      <c r="G14387" s="8"/>
      <c r="M14387" s="8"/>
    </row>
    <row r="14388">
      <c r="B14388" s="8"/>
      <c r="G14388" s="8"/>
      <c r="M14388" s="8"/>
    </row>
    <row r="14389">
      <c r="B14389" s="8"/>
      <c r="G14389" s="8"/>
      <c r="M14389" s="8"/>
    </row>
    <row r="14390">
      <c r="B14390" s="8"/>
      <c r="G14390" s="8"/>
      <c r="M14390" s="8"/>
    </row>
    <row r="14391">
      <c r="B14391" s="8"/>
      <c r="G14391" s="8"/>
      <c r="M14391" s="8"/>
    </row>
    <row r="14392">
      <c r="B14392" s="8"/>
      <c r="G14392" s="8"/>
      <c r="M14392" s="8"/>
    </row>
    <row r="14393">
      <c r="B14393" s="8"/>
      <c r="G14393" s="8"/>
      <c r="M14393" s="8"/>
    </row>
    <row r="14394">
      <c r="B14394" s="8"/>
      <c r="G14394" s="8"/>
      <c r="M14394" s="8"/>
    </row>
    <row r="14395">
      <c r="B14395" s="8"/>
      <c r="G14395" s="8"/>
      <c r="M14395" s="8"/>
    </row>
    <row r="14396">
      <c r="B14396" s="8"/>
      <c r="G14396" s="8"/>
      <c r="M14396" s="8"/>
    </row>
    <row r="14397">
      <c r="B14397" s="8"/>
      <c r="G14397" s="8"/>
      <c r="M14397" s="8"/>
    </row>
    <row r="14398">
      <c r="B14398" s="8"/>
      <c r="G14398" s="8"/>
      <c r="M14398" s="8"/>
    </row>
    <row r="14399">
      <c r="B14399" s="8"/>
      <c r="G14399" s="8"/>
      <c r="M14399" s="8"/>
    </row>
    <row r="14400">
      <c r="B14400" s="8"/>
      <c r="G14400" s="8"/>
      <c r="M14400" s="8"/>
    </row>
    <row r="14401">
      <c r="B14401" s="8"/>
      <c r="G14401" s="8"/>
      <c r="M14401" s="8"/>
    </row>
    <row r="14402">
      <c r="B14402" s="8"/>
      <c r="G14402" s="8"/>
      <c r="M14402" s="8"/>
    </row>
    <row r="14403">
      <c r="B14403" s="8"/>
      <c r="G14403" s="8"/>
      <c r="M14403" s="8"/>
    </row>
    <row r="14404">
      <c r="B14404" s="8"/>
      <c r="G14404" s="8"/>
      <c r="M14404" s="8"/>
    </row>
    <row r="14405">
      <c r="B14405" s="8"/>
      <c r="G14405" s="8"/>
      <c r="M14405" s="8"/>
    </row>
    <row r="14406">
      <c r="B14406" s="8"/>
      <c r="G14406" s="8"/>
      <c r="M14406" s="8"/>
    </row>
    <row r="14407">
      <c r="B14407" s="8"/>
      <c r="G14407" s="8"/>
      <c r="M14407" s="8"/>
    </row>
    <row r="14408">
      <c r="B14408" s="8"/>
      <c r="G14408" s="8"/>
      <c r="M14408" s="8"/>
    </row>
    <row r="14409">
      <c r="B14409" s="8"/>
      <c r="G14409" s="8"/>
      <c r="M14409" s="8"/>
    </row>
    <row r="14410">
      <c r="B14410" s="8"/>
      <c r="G14410" s="8"/>
      <c r="M14410" s="8"/>
    </row>
    <row r="14411">
      <c r="B14411" s="8"/>
      <c r="G14411" s="8"/>
      <c r="M14411" s="8"/>
    </row>
    <row r="14412">
      <c r="B14412" s="8"/>
      <c r="G14412" s="8"/>
      <c r="M14412" s="8"/>
    </row>
    <row r="14413">
      <c r="B14413" s="8"/>
      <c r="G14413" s="8"/>
      <c r="M14413" s="8"/>
    </row>
    <row r="14414">
      <c r="B14414" s="8"/>
      <c r="G14414" s="8"/>
      <c r="M14414" s="8"/>
    </row>
    <row r="14415">
      <c r="B14415" s="8"/>
      <c r="G14415" s="8"/>
      <c r="M14415" s="8"/>
    </row>
    <row r="14416">
      <c r="B14416" s="8"/>
      <c r="G14416" s="8"/>
      <c r="M14416" s="8"/>
    </row>
    <row r="14417">
      <c r="B14417" s="8"/>
      <c r="G14417" s="8"/>
      <c r="M14417" s="8"/>
    </row>
    <row r="14418">
      <c r="B14418" s="8"/>
      <c r="G14418" s="8"/>
      <c r="M14418" s="8"/>
    </row>
    <row r="14419">
      <c r="B14419" s="8"/>
      <c r="G14419" s="8"/>
      <c r="M14419" s="8"/>
    </row>
    <row r="14420">
      <c r="B14420" s="8"/>
      <c r="G14420" s="8"/>
      <c r="M14420" s="8"/>
    </row>
    <row r="14421">
      <c r="B14421" s="8"/>
      <c r="G14421" s="8"/>
      <c r="M14421" s="8"/>
    </row>
    <row r="14422">
      <c r="B14422" s="8"/>
      <c r="G14422" s="8"/>
      <c r="M14422" s="8"/>
    </row>
    <row r="14423">
      <c r="B14423" s="8"/>
      <c r="G14423" s="8"/>
      <c r="M14423" s="8"/>
    </row>
    <row r="14424">
      <c r="B14424" s="8"/>
      <c r="G14424" s="8"/>
      <c r="M14424" s="8"/>
    </row>
    <row r="14425">
      <c r="B14425" s="8"/>
      <c r="G14425" s="8"/>
      <c r="M14425" s="8"/>
    </row>
    <row r="14426">
      <c r="B14426" s="8"/>
      <c r="G14426" s="8"/>
      <c r="M14426" s="8"/>
    </row>
    <row r="14427">
      <c r="B14427" s="8"/>
      <c r="G14427" s="8"/>
      <c r="M14427" s="8"/>
    </row>
    <row r="14428">
      <c r="B14428" s="8"/>
      <c r="G14428" s="8"/>
      <c r="M14428" s="8"/>
    </row>
    <row r="14429">
      <c r="B14429" s="8"/>
      <c r="G14429" s="8"/>
      <c r="M14429" s="8"/>
    </row>
    <row r="14430">
      <c r="B14430" s="8"/>
      <c r="G14430" s="8"/>
      <c r="M14430" s="8"/>
    </row>
    <row r="14431">
      <c r="B14431" s="8"/>
      <c r="G14431" s="8"/>
      <c r="M14431" s="8"/>
    </row>
    <row r="14432">
      <c r="B14432" s="8"/>
      <c r="G14432" s="8"/>
      <c r="M14432" s="8"/>
    </row>
    <row r="14433">
      <c r="B14433" s="8"/>
      <c r="G14433" s="8"/>
      <c r="M14433" s="8"/>
    </row>
    <row r="14434">
      <c r="B14434" s="8"/>
      <c r="G14434" s="8"/>
      <c r="M14434" s="8"/>
    </row>
    <row r="14435">
      <c r="B14435" s="8"/>
      <c r="G14435" s="8"/>
      <c r="M14435" s="8"/>
    </row>
    <row r="14436">
      <c r="B14436" s="8"/>
      <c r="G14436" s="8"/>
      <c r="M14436" s="8"/>
    </row>
    <row r="14437">
      <c r="B14437" s="8"/>
      <c r="G14437" s="8"/>
      <c r="M14437" s="8"/>
    </row>
    <row r="14438">
      <c r="B14438" s="8"/>
      <c r="G14438" s="8"/>
      <c r="M14438" s="8"/>
    </row>
    <row r="14439">
      <c r="B14439" s="8"/>
      <c r="G14439" s="8"/>
      <c r="M14439" s="8"/>
    </row>
    <row r="14440">
      <c r="B14440" s="8"/>
      <c r="G14440" s="8"/>
      <c r="M14440" s="8"/>
    </row>
    <row r="14441">
      <c r="B14441" s="8"/>
      <c r="G14441" s="8"/>
      <c r="M14441" s="8"/>
    </row>
    <row r="14442">
      <c r="B14442" s="8"/>
      <c r="G14442" s="8"/>
      <c r="M14442" s="8"/>
    </row>
    <row r="14443">
      <c r="B14443" s="8"/>
      <c r="G14443" s="8"/>
      <c r="M14443" s="8"/>
    </row>
    <row r="14444">
      <c r="B14444" s="8"/>
      <c r="G14444" s="8"/>
      <c r="M14444" s="8"/>
    </row>
    <row r="14445">
      <c r="B14445" s="8"/>
      <c r="G14445" s="8"/>
      <c r="M14445" s="8"/>
    </row>
    <row r="14446">
      <c r="B14446" s="8"/>
      <c r="G14446" s="8"/>
      <c r="M14446" s="8"/>
    </row>
    <row r="14447">
      <c r="B14447" s="8"/>
      <c r="G14447" s="8"/>
      <c r="M14447" s="8"/>
    </row>
    <row r="14448">
      <c r="B14448" s="8"/>
      <c r="G14448" s="8"/>
      <c r="M14448" s="8"/>
    </row>
    <row r="14449">
      <c r="B14449" s="8"/>
      <c r="G14449" s="8"/>
      <c r="M14449" s="8"/>
    </row>
    <row r="14450">
      <c r="B14450" s="8"/>
      <c r="G14450" s="8"/>
      <c r="M14450" s="8"/>
    </row>
    <row r="14451">
      <c r="B14451" s="8"/>
      <c r="G14451" s="8"/>
      <c r="M14451" s="8"/>
    </row>
    <row r="14452">
      <c r="B14452" s="8"/>
      <c r="G14452" s="8"/>
      <c r="M14452" s="8"/>
    </row>
    <row r="14453">
      <c r="B14453" s="8"/>
      <c r="G14453" s="8"/>
      <c r="M14453" s="8"/>
    </row>
    <row r="14454">
      <c r="B14454" s="8"/>
      <c r="G14454" s="8"/>
      <c r="M14454" s="8"/>
    </row>
    <row r="14455">
      <c r="B14455" s="8"/>
      <c r="G14455" s="8"/>
      <c r="M14455" s="8"/>
    </row>
    <row r="14456">
      <c r="B14456" s="8"/>
      <c r="G14456" s="8"/>
      <c r="M14456" s="8"/>
    </row>
    <row r="14457">
      <c r="B14457" s="8"/>
      <c r="G14457" s="8"/>
      <c r="M14457" s="8"/>
    </row>
    <row r="14458">
      <c r="B14458" s="8"/>
      <c r="G14458" s="8"/>
      <c r="M14458" s="8"/>
    </row>
    <row r="14459">
      <c r="B14459" s="8"/>
      <c r="G14459" s="8"/>
      <c r="M14459" s="8"/>
    </row>
    <row r="14460">
      <c r="B14460" s="8"/>
      <c r="G14460" s="8"/>
      <c r="M14460" s="8"/>
    </row>
    <row r="14461">
      <c r="B14461" s="8"/>
      <c r="G14461" s="8"/>
      <c r="M14461" s="8"/>
    </row>
    <row r="14462">
      <c r="B14462" s="8"/>
      <c r="G14462" s="8"/>
      <c r="M14462" s="8"/>
    </row>
    <row r="14463">
      <c r="B14463" s="8"/>
      <c r="G14463" s="8"/>
      <c r="M14463" s="8"/>
    </row>
    <row r="14464">
      <c r="B14464" s="8"/>
      <c r="G14464" s="8"/>
      <c r="M14464" s="8"/>
    </row>
    <row r="14465">
      <c r="B14465" s="8"/>
      <c r="G14465" s="8"/>
      <c r="M14465" s="8"/>
    </row>
    <row r="14466">
      <c r="B14466" s="8"/>
      <c r="G14466" s="8"/>
      <c r="M14466" s="8"/>
    </row>
    <row r="14467">
      <c r="B14467" s="8"/>
      <c r="G14467" s="8"/>
      <c r="M14467" s="8"/>
    </row>
    <row r="14468">
      <c r="B14468" s="8"/>
      <c r="G14468" s="8"/>
      <c r="M14468" s="8"/>
    </row>
    <row r="14469">
      <c r="B14469" s="8"/>
      <c r="G14469" s="8"/>
      <c r="M14469" s="8"/>
    </row>
    <row r="14470">
      <c r="B14470" s="8"/>
      <c r="G14470" s="8"/>
      <c r="M14470" s="8"/>
    </row>
    <row r="14471">
      <c r="B14471" s="8"/>
      <c r="G14471" s="8"/>
      <c r="M14471" s="8"/>
    </row>
    <row r="14472">
      <c r="B14472" s="8"/>
      <c r="G14472" s="8"/>
      <c r="M14472" s="8"/>
    </row>
    <row r="14473">
      <c r="B14473" s="8"/>
      <c r="G14473" s="8"/>
      <c r="M14473" s="8"/>
    </row>
    <row r="14474">
      <c r="B14474" s="8"/>
      <c r="G14474" s="8"/>
      <c r="M14474" s="8"/>
    </row>
    <row r="14475">
      <c r="B14475" s="8"/>
      <c r="G14475" s="8"/>
      <c r="M14475" s="8"/>
    </row>
    <row r="14476">
      <c r="B14476" s="8"/>
      <c r="G14476" s="8"/>
      <c r="M14476" s="8"/>
    </row>
    <row r="14477">
      <c r="B14477" s="8"/>
      <c r="G14477" s="8"/>
      <c r="M14477" s="8"/>
    </row>
    <row r="14478">
      <c r="B14478" s="8"/>
      <c r="G14478" s="8"/>
      <c r="M14478" s="8"/>
    </row>
    <row r="14479">
      <c r="B14479" s="8"/>
      <c r="G14479" s="8"/>
      <c r="M14479" s="8"/>
    </row>
    <row r="14480">
      <c r="B14480" s="8"/>
      <c r="G14480" s="8"/>
      <c r="M14480" s="8"/>
    </row>
    <row r="14481">
      <c r="B14481" s="8"/>
      <c r="G14481" s="8"/>
      <c r="M14481" s="8"/>
    </row>
    <row r="14482">
      <c r="B14482" s="8"/>
      <c r="G14482" s="8"/>
      <c r="M14482" s="8"/>
    </row>
    <row r="14483">
      <c r="B14483" s="8"/>
      <c r="G14483" s="8"/>
      <c r="M14483" s="8"/>
    </row>
    <row r="14484">
      <c r="B14484" s="8"/>
      <c r="G14484" s="8"/>
      <c r="M14484" s="8"/>
    </row>
    <row r="14485">
      <c r="B14485" s="8"/>
      <c r="G14485" s="8"/>
      <c r="M14485" s="8"/>
    </row>
    <row r="14486">
      <c r="B14486" s="8"/>
      <c r="G14486" s="8"/>
      <c r="M14486" s="8"/>
    </row>
    <row r="14487">
      <c r="B14487" s="8"/>
      <c r="G14487" s="8"/>
      <c r="M14487" s="8"/>
    </row>
    <row r="14488">
      <c r="B14488" s="8"/>
      <c r="G14488" s="8"/>
      <c r="M14488" s="8"/>
    </row>
    <row r="14489">
      <c r="B14489" s="8"/>
      <c r="G14489" s="8"/>
      <c r="M14489" s="8"/>
    </row>
    <row r="14490">
      <c r="B14490" s="8"/>
      <c r="G14490" s="8"/>
      <c r="M14490" s="8"/>
    </row>
    <row r="14491">
      <c r="B14491" s="8"/>
      <c r="G14491" s="8"/>
      <c r="M14491" s="8"/>
    </row>
    <row r="14492">
      <c r="B14492" s="8"/>
      <c r="G14492" s="8"/>
      <c r="M14492" s="8"/>
    </row>
    <row r="14493">
      <c r="B14493" s="8"/>
      <c r="G14493" s="8"/>
      <c r="M14493" s="8"/>
    </row>
    <row r="14494">
      <c r="B14494" s="8"/>
      <c r="G14494" s="8"/>
      <c r="M14494" s="8"/>
    </row>
    <row r="14495">
      <c r="B14495" s="8"/>
      <c r="G14495" s="8"/>
      <c r="M14495" s="8"/>
    </row>
    <row r="14496">
      <c r="B14496" s="8"/>
      <c r="G14496" s="8"/>
      <c r="M14496" s="8"/>
    </row>
    <row r="14497">
      <c r="B14497" s="8"/>
      <c r="G14497" s="8"/>
      <c r="M14497" s="8"/>
    </row>
    <row r="14498">
      <c r="B14498" s="8"/>
      <c r="G14498" s="8"/>
      <c r="M14498" s="8"/>
    </row>
    <row r="14499">
      <c r="B14499" s="8"/>
      <c r="G14499" s="8"/>
      <c r="M14499" s="8"/>
    </row>
    <row r="14500">
      <c r="B14500" s="8"/>
      <c r="G14500" s="8"/>
      <c r="M14500" s="8"/>
    </row>
    <row r="14501">
      <c r="B14501" s="8"/>
      <c r="G14501" s="8"/>
      <c r="M14501" s="8"/>
    </row>
    <row r="14502">
      <c r="B14502" s="8"/>
      <c r="G14502" s="8"/>
      <c r="M14502" s="8"/>
    </row>
    <row r="14503">
      <c r="B14503" s="8"/>
      <c r="G14503" s="8"/>
      <c r="M14503" s="8"/>
    </row>
    <row r="14504">
      <c r="B14504" s="8"/>
      <c r="G14504" s="8"/>
      <c r="M14504" s="8"/>
    </row>
    <row r="14505">
      <c r="B14505" s="8"/>
      <c r="G14505" s="8"/>
      <c r="M14505" s="8"/>
    </row>
    <row r="14506">
      <c r="B14506" s="8"/>
      <c r="G14506" s="8"/>
      <c r="M14506" s="8"/>
    </row>
    <row r="14507">
      <c r="B14507" s="8"/>
      <c r="G14507" s="8"/>
      <c r="M14507" s="8"/>
    </row>
    <row r="14508">
      <c r="B14508" s="8"/>
      <c r="G14508" s="8"/>
      <c r="M14508" s="8"/>
    </row>
    <row r="14509">
      <c r="B14509" s="8"/>
      <c r="G14509" s="8"/>
      <c r="M14509" s="8"/>
    </row>
    <row r="14510">
      <c r="B14510" s="8"/>
      <c r="G14510" s="8"/>
      <c r="M14510" s="8"/>
    </row>
    <row r="14511">
      <c r="B14511" s="8"/>
      <c r="G14511" s="8"/>
      <c r="M14511" s="8"/>
    </row>
    <row r="14512">
      <c r="B14512" s="8"/>
      <c r="G14512" s="8"/>
      <c r="M14512" s="8"/>
    </row>
    <row r="14513">
      <c r="B14513" s="8"/>
      <c r="G14513" s="8"/>
      <c r="M14513" s="8"/>
    </row>
    <row r="14514">
      <c r="B14514" s="8"/>
      <c r="G14514" s="8"/>
      <c r="M14514" s="8"/>
    </row>
    <row r="14515">
      <c r="B14515" s="8"/>
      <c r="G14515" s="8"/>
      <c r="M14515" s="8"/>
    </row>
    <row r="14516">
      <c r="B14516" s="8"/>
      <c r="G14516" s="8"/>
      <c r="M14516" s="8"/>
    </row>
    <row r="14517">
      <c r="B14517" s="8"/>
      <c r="G14517" s="8"/>
      <c r="M14517" s="8"/>
    </row>
    <row r="14518">
      <c r="B14518" s="8"/>
      <c r="G14518" s="8"/>
      <c r="M14518" s="8"/>
    </row>
    <row r="14519">
      <c r="B14519" s="8"/>
      <c r="G14519" s="8"/>
      <c r="M14519" s="8"/>
    </row>
    <row r="14520">
      <c r="B14520" s="8"/>
      <c r="G14520" s="8"/>
      <c r="M14520" s="8"/>
    </row>
    <row r="14521">
      <c r="B14521" s="8"/>
      <c r="G14521" s="8"/>
      <c r="M14521" s="8"/>
    </row>
    <row r="14522">
      <c r="B14522" s="8"/>
      <c r="G14522" s="8"/>
      <c r="M14522" s="8"/>
    </row>
    <row r="14523">
      <c r="B14523" s="8"/>
      <c r="G14523" s="8"/>
      <c r="M14523" s="8"/>
    </row>
    <row r="14524">
      <c r="B14524" s="8"/>
      <c r="G14524" s="8"/>
      <c r="M14524" s="8"/>
    </row>
    <row r="14525">
      <c r="B14525" s="8"/>
      <c r="G14525" s="8"/>
      <c r="M14525" s="8"/>
    </row>
    <row r="14526">
      <c r="B14526" s="8"/>
      <c r="G14526" s="8"/>
      <c r="M14526" s="8"/>
    </row>
    <row r="14527">
      <c r="B14527" s="8"/>
      <c r="G14527" s="8"/>
      <c r="M14527" s="8"/>
    </row>
    <row r="14528">
      <c r="B14528" s="8"/>
      <c r="G14528" s="8"/>
      <c r="M14528" s="8"/>
    </row>
    <row r="14529">
      <c r="B14529" s="8"/>
      <c r="G14529" s="8"/>
      <c r="M14529" s="8"/>
    </row>
    <row r="14530">
      <c r="B14530" s="8"/>
      <c r="G14530" s="8"/>
      <c r="M14530" s="8"/>
    </row>
    <row r="14531">
      <c r="B14531" s="8"/>
      <c r="G14531" s="8"/>
      <c r="M14531" s="8"/>
    </row>
    <row r="14532">
      <c r="B14532" s="8"/>
      <c r="G14532" s="8"/>
      <c r="M14532" s="8"/>
    </row>
    <row r="14533">
      <c r="B14533" s="8"/>
      <c r="G14533" s="8"/>
      <c r="M14533" s="8"/>
    </row>
    <row r="14534">
      <c r="B14534" s="8"/>
      <c r="G14534" s="8"/>
      <c r="M14534" s="8"/>
    </row>
    <row r="14535">
      <c r="B14535" s="8"/>
      <c r="G14535" s="8"/>
      <c r="M14535" s="8"/>
    </row>
    <row r="14536">
      <c r="B14536" s="8"/>
      <c r="G14536" s="8"/>
      <c r="M14536" s="8"/>
    </row>
    <row r="14537">
      <c r="B14537" s="8"/>
      <c r="G14537" s="8"/>
      <c r="M14537" s="8"/>
    </row>
    <row r="14538">
      <c r="B14538" s="8"/>
      <c r="G14538" s="8"/>
      <c r="M14538" s="8"/>
    </row>
    <row r="14539">
      <c r="B14539" s="8"/>
      <c r="G14539" s="8"/>
      <c r="M14539" s="8"/>
    </row>
    <row r="14540">
      <c r="B14540" s="8"/>
      <c r="G14540" s="8"/>
      <c r="M14540" s="8"/>
    </row>
    <row r="14541">
      <c r="B14541" s="8"/>
      <c r="G14541" s="8"/>
      <c r="M14541" s="8"/>
    </row>
    <row r="14542">
      <c r="B14542" s="8"/>
      <c r="G14542" s="8"/>
      <c r="M14542" s="8"/>
    </row>
    <row r="14543">
      <c r="B14543" s="8"/>
      <c r="G14543" s="8"/>
      <c r="M14543" s="8"/>
    </row>
    <row r="14544">
      <c r="B14544" s="8"/>
      <c r="G14544" s="8"/>
      <c r="M14544" s="8"/>
    </row>
    <row r="14545">
      <c r="B14545" s="8"/>
      <c r="G14545" s="8"/>
      <c r="M14545" s="8"/>
    </row>
    <row r="14546">
      <c r="B14546" s="8"/>
      <c r="G14546" s="8"/>
      <c r="M14546" s="8"/>
    </row>
    <row r="14547">
      <c r="B14547" s="8"/>
      <c r="G14547" s="8"/>
      <c r="M14547" s="8"/>
    </row>
    <row r="14548">
      <c r="B14548" s="8"/>
      <c r="G14548" s="8"/>
      <c r="M14548" s="8"/>
    </row>
    <row r="14549">
      <c r="B14549" s="8"/>
      <c r="G14549" s="8"/>
      <c r="M14549" s="8"/>
    </row>
    <row r="14550">
      <c r="B14550" s="8"/>
      <c r="G14550" s="8"/>
      <c r="M14550" s="8"/>
    </row>
    <row r="14551">
      <c r="B14551" s="8"/>
      <c r="G14551" s="8"/>
      <c r="M14551" s="8"/>
    </row>
    <row r="14552">
      <c r="B14552" s="8"/>
      <c r="G14552" s="8"/>
      <c r="M14552" s="8"/>
    </row>
    <row r="14553">
      <c r="B14553" s="8"/>
      <c r="G14553" s="8"/>
      <c r="M14553" s="8"/>
    </row>
    <row r="14554">
      <c r="B14554" s="8"/>
      <c r="G14554" s="8"/>
      <c r="M14554" s="8"/>
    </row>
    <row r="14555">
      <c r="B14555" s="8"/>
      <c r="G14555" s="8"/>
      <c r="M14555" s="8"/>
    </row>
    <row r="14556">
      <c r="B14556" s="8"/>
      <c r="G14556" s="8"/>
      <c r="M14556" s="8"/>
    </row>
    <row r="14557">
      <c r="B14557" s="8"/>
      <c r="G14557" s="8"/>
      <c r="M14557" s="8"/>
    </row>
    <row r="14558">
      <c r="B14558" s="8"/>
      <c r="G14558" s="8"/>
      <c r="M14558" s="8"/>
    </row>
    <row r="14559">
      <c r="B14559" s="8"/>
      <c r="G14559" s="8"/>
      <c r="M14559" s="8"/>
    </row>
    <row r="14560">
      <c r="B14560" s="8"/>
      <c r="G14560" s="8"/>
      <c r="M14560" s="8"/>
    </row>
    <row r="14561">
      <c r="B14561" s="8"/>
      <c r="G14561" s="8"/>
      <c r="M14561" s="8"/>
    </row>
    <row r="14562">
      <c r="B14562" s="8"/>
      <c r="G14562" s="8"/>
      <c r="M14562" s="8"/>
    </row>
    <row r="14563">
      <c r="B14563" s="8"/>
      <c r="G14563" s="8"/>
      <c r="M14563" s="8"/>
    </row>
    <row r="14564">
      <c r="B14564" s="8"/>
      <c r="G14564" s="8"/>
      <c r="M14564" s="8"/>
    </row>
    <row r="14565">
      <c r="B14565" s="8"/>
      <c r="G14565" s="8"/>
      <c r="M14565" s="8"/>
    </row>
    <row r="14566">
      <c r="B14566" s="8"/>
      <c r="G14566" s="8"/>
      <c r="M14566" s="8"/>
    </row>
    <row r="14567">
      <c r="B14567" s="8"/>
      <c r="G14567" s="8"/>
      <c r="M14567" s="8"/>
    </row>
    <row r="14568">
      <c r="B14568" s="8"/>
      <c r="G14568" s="8"/>
      <c r="M14568" s="8"/>
    </row>
    <row r="14569">
      <c r="B14569" s="8"/>
      <c r="G14569" s="8"/>
      <c r="M14569" s="8"/>
    </row>
    <row r="14570">
      <c r="B14570" s="8"/>
      <c r="G14570" s="8"/>
      <c r="M14570" s="8"/>
    </row>
    <row r="14571">
      <c r="B14571" s="8"/>
      <c r="G14571" s="8"/>
      <c r="M14571" s="8"/>
    </row>
    <row r="14572">
      <c r="B14572" s="8"/>
      <c r="G14572" s="8"/>
      <c r="M14572" s="8"/>
    </row>
    <row r="14573">
      <c r="B14573" s="8"/>
      <c r="G14573" s="8"/>
      <c r="M14573" s="8"/>
    </row>
    <row r="14574">
      <c r="B14574" s="8"/>
      <c r="G14574" s="8"/>
      <c r="M14574" s="8"/>
    </row>
    <row r="14575">
      <c r="B14575" s="8"/>
      <c r="G14575" s="8"/>
      <c r="M14575" s="8"/>
    </row>
    <row r="14576">
      <c r="B14576" s="8"/>
      <c r="G14576" s="8"/>
      <c r="M14576" s="8"/>
    </row>
    <row r="14577">
      <c r="B14577" s="8"/>
      <c r="G14577" s="8"/>
      <c r="M14577" s="8"/>
    </row>
    <row r="14578">
      <c r="B14578" s="8"/>
      <c r="G14578" s="8"/>
      <c r="M14578" s="8"/>
    </row>
    <row r="14579">
      <c r="B14579" s="8"/>
      <c r="G14579" s="8"/>
      <c r="M14579" s="8"/>
    </row>
    <row r="14580">
      <c r="B14580" s="8"/>
      <c r="G14580" s="8"/>
      <c r="M14580" s="8"/>
    </row>
    <row r="14581">
      <c r="B14581" s="8"/>
      <c r="G14581" s="8"/>
      <c r="M14581" s="8"/>
    </row>
    <row r="14582">
      <c r="B14582" s="8"/>
      <c r="G14582" s="8"/>
      <c r="M14582" s="8"/>
    </row>
    <row r="14583">
      <c r="B14583" s="8"/>
      <c r="G14583" s="8"/>
      <c r="M14583" s="8"/>
    </row>
    <row r="14584">
      <c r="B14584" s="8"/>
      <c r="G14584" s="8"/>
      <c r="M14584" s="8"/>
    </row>
    <row r="14585">
      <c r="B14585" s="8"/>
      <c r="G14585" s="8"/>
      <c r="M14585" s="8"/>
    </row>
    <row r="14586">
      <c r="B14586" s="8"/>
      <c r="G14586" s="8"/>
      <c r="M14586" s="8"/>
    </row>
    <row r="14587">
      <c r="B14587" s="8"/>
      <c r="G14587" s="8"/>
      <c r="M14587" s="8"/>
    </row>
    <row r="14588">
      <c r="B14588" s="8"/>
      <c r="G14588" s="8"/>
      <c r="M14588" s="8"/>
    </row>
    <row r="14589">
      <c r="B14589" s="8"/>
      <c r="G14589" s="8"/>
      <c r="M14589" s="8"/>
    </row>
    <row r="14590">
      <c r="B14590" s="8"/>
      <c r="G14590" s="8"/>
      <c r="M14590" s="8"/>
    </row>
    <row r="14591">
      <c r="B14591" s="8"/>
      <c r="G14591" s="8"/>
      <c r="M14591" s="8"/>
    </row>
    <row r="14592">
      <c r="B14592" s="8"/>
      <c r="G14592" s="8"/>
      <c r="M14592" s="8"/>
    </row>
    <row r="14593">
      <c r="B14593" s="8"/>
      <c r="G14593" s="8"/>
      <c r="M14593" s="8"/>
    </row>
    <row r="14594">
      <c r="B14594" s="8"/>
      <c r="G14594" s="8"/>
      <c r="M14594" s="8"/>
    </row>
    <row r="14595">
      <c r="B14595" s="8"/>
      <c r="G14595" s="8"/>
      <c r="M14595" s="8"/>
    </row>
    <row r="14596">
      <c r="B14596" s="8"/>
      <c r="G14596" s="8"/>
      <c r="M14596" s="8"/>
    </row>
    <row r="14597">
      <c r="B14597" s="8"/>
      <c r="G14597" s="8"/>
      <c r="M14597" s="8"/>
    </row>
    <row r="14598">
      <c r="B14598" s="8"/>
      <c r="G14598" s="8"/>
      <c r="M14598" s="8"/>
    </row>
    <row r="14599">
      <c r="B14599" s="8"/>
      <c r="G14599" s="8"/>
      <c r="M14599" s="8"/>
    </row>
    <row r="14600">
      <c r="B14600" s="8"/>
      <c r="G14600" s="8"/>
      <c r="M14600" s="8"/>
    </row>
    <row r="14601">
      <c r="B14601" s="8"/>
      <c r="G14601" s="8"/>
      <c r="M14601" s="8"/>
    </row>
    <row r="14602">
      <c r="B14602" s="8"/>
      <c r="G14602" s="8"/>
      <c r="M14602" s="8"/>
    </row>
    <row r="14603">
      <c r="B14603" s="8"/>
      <c r="G14603" s="8"/>
      <c r="M14603" s="8"/>
    </row>
    <row r="14604">
      <c r="B14604" s="8"/>
      <c r="G14604" s="8"/>
      <c r="M14604" s="8"/>
    </row>
    <row r="14605">
      <c r="B14605" s="8"/>
      <c r="G14605" s="8"/>
      <c r="M14605" s="8"/>
    </row>
    <row r="14606">
      <c r="B14606" s="8"/>
      <c r="G14606" s="8"/>
      <c r="M14606" s="8"/>
    </row>
    <row r="14607">
      <c r="B14607" s="8"/>
      <c r="G14607" s="8"/>
      <c r="M14607" s="8"/>
    </row>
    <row r="14608">
      <c r="B14608" s="8"/>
      <c r="G14608" s="8"/>
      <c r="M14608" s="8"/>
    </row>
    <row r="14609">
      <c r="B14609" s="8"/>
      <c r="G14609" s="8"/>
      <c r="M14609" s="8"/>
    </row>
    <row r="14610">
      <c r="B14610" s="8"/>
      <c r="G14610" s="8"/>
      <c r="M14610" s="8"/>
    </row>
    <row r="14611">
      <c r="B14611" s="8"/>
      <c r="G14611" s="8"/>
      <c r="M14611" s="8"/>
    </row>
    <row r="14612">
      <c r="B14612" s="8"/>
      <c r="G14612" s="8"/>
      <c r="M14612" s="8"/>
    </row>
    <row r="14613">
      <c r="B14613" s="8"/>
      <c r="G14613" s="8"/>
      <c r="M14613" s="8"/>
    </row>
    <row r="14614">
      <c r="B14614" s="8"/>
      <c r="G14614" s="8"/>
      <c r="M14614" s="8"/>
    </row>
    <row r="14615">
      <c r="B14615" s="8"/>
      <c r="G14615" s="8"/>
      <c r="M14615" s="8"/>
    </row>
    <row r="14616">
      <c r="B14616" s="8"/>
      <c r="G14616" s="8"/>
      <c r="M14616" s="8"/>
    </row>
    <row r="14617">
      <c r="B14617" s="8"/>
      <c r="G14617" s="8"/>
      <c r="M14617" s="8"/>
    </row>
    <row r="14618">
      <c r="B14618" s="8"/>
      <c r="G14618" s="8"/>
      <c r="M14618" s="8"/>
    </row>
    <row r="14619">
      <c r="B14619" s="8"/>
      <c r="G14619" s="8"/>
      <c r="M14619" s="8"/>
    </row>
    <row r="14620">
      <c r="B14620" s="8"/>
      <c r="G14620" s="8"/>
      <c r="M14620" s="8"/>
    </row>
    <row r="14621">
      <c r="B14621" s="8"/>
      <c r="G14621" s="8"/>
      <c r="M14621" s="8"/>
    </row>
    <row r="14622">
      <c r="B14622" s="8"/>
      <c r="G14622" s="8"/>
      <c r="M14622" s="8"/>
    </row>
    <row r="14623">
      <c r="B14623" s="8"/>
      <c r="G14623" s="8"/>
      <c r="M14623" s="8"/>
    </row>
    <row r="14624">
      <c r="B14624" s="8"/>
      <c r="G14624" s="8"/>
      <c r="M14624" s="8"/>
    </row>
    <row r="14625">
      <c r="B14625" s="8"/>
      <c r="G14625" s="8"/>
      <c r="M14625" s="8"/>
    </row>
    <row r="14626">
      <c r="B14626" s="8"/>
      <c r="G14626" s="8"/>
      <c r="M14626" s="8"/>
    </row>
    <row r="14627">
      <c r="B14627" s="8"/>
      <c r="G14627" s="8"/>
      <c r="M14627" s="8"/>
    </row>
    <row r="14628">
      <c r="B14628" s="8"/>
      <c r="G14628" s="8"/>
      <c r="M14628" s="8"/>
    </row>
    <row r="14629">
      <c r="B14629" s="8"/>
      <c r="G14629" s="8"/>
      <c r="M14629" s="8"/>
    </row>
    <row r="14630">
      <c r="B14630" s="8"/>
      <c r="G14630" s="8"/>
      <c r="M14630" s="8"/>
    </row>
    <row r="14631">
      <c r="B14631" s="8"/>
      <c r="G14631" s="8"/>
      <c r="M14631" s="8"/>
    </row>
    <row r="14632">
      <c r="B14632" s="8"/>
      <c r="G14632" s="8"/>
      <c r="M14632" s="8"/>
    </row>
    <row r="14633">
      <c r="B14633" s="8"/>
      <c r="G14633" s="8"/>
      <c r="M14633" s="8"/>
    </row>
    <row r="14634">
      <c r="B14634" s="8"/>
      <c r="G14634" s="8"/>
      <c r="M14634" s="8"/>
    </row>
    <row r="14635">
      <c r="B14635" s="8"/>
      <c r="G14635" s="8"/>
      <c r="M14635" s="8"/>
    </row>
    <row r="14636">
      <c r="B14636" s="8"/>
      <c r="G14636" s="8"/>
      <c r="M14636" s="8"/>
    </row>
    <row r="14637">
      <c r="B14637" s="8"/>
      <c r="G14637" s="8"/>
      <c r="M14637" s="8"/>
    </row>
    <row r="14638">
      <c r="B14638" s="8"/>
      <c r="G14638" s="8"/>
      <c r="M14638" s="8"/>
    </row>
    <row r="14639">
      <c r="B14639" s="8"/>
      <c r="G14639" s="8"/>
      <c r="M14639" s="8"/>
    </row>
    <row r="14640">
      <c r="B14640" s="8"/>
      <c r="G14640" s="8"/>
      <c r="M14640" s="8"/>
    </row>
    <row r="14641">
      <c r="B14641" s="8"/>
      <c r="G14641" s="8"/>
      <c r="M14641" s="8"/>
    </row>
    <row r="14642">
      <c r="B14642" s="8"/>
      <c r="G14642" s="8"/>
      <c r="M14642" s="8"/>
    </row>
    <row r="14643">
      <c r="B14643" s="8"/>
      <c r="G14643" s="8"/>
      <c r="M14643" s="8"/>
    </row>
    <row r="14644">
      <c r="B14644" s="8"/>
      <c r="G14644" s="8"/>
      <c r="M14644" s="8"/>
    </row>
    <row r="14645">
      <c r="B14645" s="8"/>
      <c r="G14645" s="8"/>
      <c r="M14645" s="8"/>
    </row>
    <row r="14646">
      <c r="B14646" s="8"/>
      <c r="G14646" s="8"/>
      <c r="M14646" s="8"/>
    </row>
    <row r="14647">
      <c r="B14647" s="8"/>
      <c r="G14647" s="8"/>
      <c r="M14647" s="8"/>
    </row>
    <row r="14648">
      <c r="B14648" s="8"/>
      <c r="G14648" s="8"/>
      <c r="M14648" s="8"/>
    </row>
    <row r="14649">
      <c r="B14649" s="8"/>
      <c r="G14649" s="8"/>
      <c r="M14649" s="8"/>
    </row>
    <row r="14650">
      <c r="B14650" s="8"/>
      <c r="G14650" s="8"/>
      <c r="M14650" s="8"/>
    </row>
    <row r="14651">
      <c r="B14651" s="8"/>
      <c r="G14651" s="8"/>
      <c r="M14651" s="8"/>
    </row>
    <row r="14652">
      <c r="B14652" s="8"/>
      <c r="G14652" s="8"/>
      <c r="M14652" s="8"/>
    </row>
    <row r="14653">
      <c r="B14653" s="8"/>
      <c r="G14653" s="8"/>
      <c r="M14653" s="8"/>
    </row>
    <row r="14654">
      <c r="B14654" s="8"/>
      <c r="G14654" s="8"/>
      <c r="M14654" s="8"/>
    </row>
    <row r="14655">
      <c r="B14655" s="8"/>
      <c r="G14655" s="8"/>
      <c r="M14655" s="8"/>
    </row>
    <row r="14656">
      <c r="B14656" s="8"/>
      <c r="G14656" s="8"/>
      <c r="M14656" s="8"/>
    </row>
    <row r="14657">
      <c r="B14657" s="8"/>
      <c r="G14657" s="8"/>
      <c r="M14657" s="8"/>
    </row>
    <row r="14658">
      <c r="B14658" s="8"/>
      <c r="G14658" s="8"/>
      <c r="M14658" s="8"/>
    </row>
    <row r="14659">
      <c r="B14659" s="8"/>
      <c r="G14659" s="8"/>
      <c r="M14659" s="8"/>
    </row>
    <row r="14660">
      <c r="B14660" s="8"/>
      <c r="G14660" s="8"/>
      <c r="M14660" s="8"/>
    </row>
    <row r="14661">
      <c r="B14661" s="8"/>
      <c r="G14661" s="8"/>
      <c r="M14661" s="8"/>
    </row>
    <row r="14662">
      <c r="B14662" s="8"/>
      <c r="G14662" s="8"/>
      <c r="M14662" s="8"/>
    </row>
    <row r="14663">
      <c r="B14663" s="8"/>
      <c r="G14663" s="8"/>
      <c r="M14663" s="8"/>
    </row>
    <row r="14664">
      <c r="B14664" s="8"/>
      <c r="G14664" s="8"/>
      <c r="M14664" s="8"/>
    </row>
    <row r="14665">
      <c r="B14665" s="8"/>
      <c r="G14665" s="8"/>
      <c r="M14665" s="8"/>
    </row>
    <row r="14666">
      <c r="B14666" s="8"/>
      <c r="G14666" s="8"/>
      <c r="M14666" s="8"/>
    </row>
    <row r="14667">
      <c r="B14667" s="8"/>
      <c r="G14667" s="8"/>
      <c r="M14667" s="8"/>
    </row>
    <row r="14668">
      <c r="B14668" s="8"/>
      <c r="G14668" s="8"/>
      <c r="M14668" s="8"/>
    </row>
    <row r="14669">
      <c r="B14669" s="8"/>
      <c r="G14669" s="8"/>
      <c r="M14669" s="8"/>
    </row>
    <row r="14670">
      <c r="B14670" s="8"/>
      <c r="G14670" s="8"/>
      <c r="M14670" s="8"/>
    </row>
    <row r="14671">
      <c r="B14671" s="8"/>
      <c r="G14671" s="8"/>
      <c r="M14671" s="8"/>
    </row>
    <row r="14672">
      <c r="B14672" s="8"/>
      <c r="G14672" s="8"/>
      <c r="M14672" s="8"/>
    </row>
    <row r="14673">
      <c r="B14673" s="8"/>
      <c r="G14673" s="8"/>
      <c r="M14673" s="8"/>
    </row>
    <row r="14674">
      <c r="B14674" s="8"/>
      <c r="G14674" s="8"/>
      <c r="M14674" s="8"/>
    </row>
    <row r="14675">
      <c r="B14675" s="8"/>
      <c r="G14675" s="8"/>
      <c r="M14675" s="8"/>
    </row>
    <row r="14676">
      <c r="B14676" s="8"/>
      <c r="G14676" s="8"/>
      <c r="M14676" s="8"/>
    </row>
    <row r="14677">
      <c r="B14677" s="8"/>
      <c r="G14677" s="8"/>
      <c r="M14677" s="8"/>
    </row>
    <row r="14678">
      <c r="B14678" s="8"/>
      <c r="G14678" s="8"/>
      <c r="M14678" s="8"/>
    </row>
    <row r="14679">
      <c r="B14679" s="8"/>
      <c r="G14679" s="8"/>
      <c r="M14679" s="8"/>
    </row>
    <row r="14680">
      <c r="B14680" s="8"/>
      <c r="G14680" s="8"/>
      <c r="M14680" s="8"/>
    </row>
    <row r="14681">
      <c r="B14681" s="8"/>
      <c r="G14681" s="8"/>
      <c r="M14681" s="8"/>
    </row>
    <row r="14682">
      <c r="B14682" s="8"/>
      <c r="G14682" s="8"/>
      <c r="M14682" s="8"/>
    </row>
    <row r="14683">
      <c r="B14683" s="8"/>
      <c r="G14683" s="8"/>
      <c r="M14683" s="8"/>
    </row>
    <row r="14684">
      <c r="B14684" s="8"/>
      <c r="G14684" s="8"/>
      <c r="M14684" s="8"/>
    </row>
    <row r="14685">
      <c r="B14685" s="8"/>
      <c r="G14685" s="8"/>
      <c r="M14685" s="8"/>
    </row>
    <row r="14686">
      <c r="B14686" s="8"/>
      <c r="G14686" s="8"/>
      <c r="M14686" s="8"/>
    </row>
    <row r="14687">
      <c r="B14687" s="8"/>
      <c r="G14687" s="8"/>
      <c r="M14687" s="8"/>
    </row>
    <row r="14688">
      <c r="B14688" s="8"/>
      <c r="G14688" s="8"/>
      <c r="M14688" s="8"/>
    </row>
    <row r="14689">
      <c r="B14689" s="8"/>
      <c r="G14689" s="8"/>
      <c r="M14689" s="8"/>
    </row>
    <row r="14690">
      <c r="B14690" s="8"/>
      <c r="G14690" s="8"/>
      <c r="M14690" s="8"/>
    </row>
    <row r="14691">
      <c r="B14691" s="8"/>
      <c r="G14691" s="8"/>
      <c r="M14691" s="8"/>
    </row>
    <row r="14692">
      <c r="B14692" s="8"/>
      <c r="G14692" s="8"/>
      <c r="M14692" s="8"/>
    </row>
    <row r="14693">
      <c r="B14693" s="8"/>
      <c r="G14693" s="8"/>
      <c r="M14693" s="8"/>
    </row>
    <row r="14694">
      <c r="B14694" s="8"/>
      <c r="G14694" s="8"/>
      <c r="M14694" s="8"/>
    </row>
    <row r="14695">
      <c r="B14695" s="8"/>
      <c r="G14695" s="8"/>
      <c r="M14695" s="8"/>
    </row>
    <row r="14696">
      <c r="B14696" s="8"/>
      <c r="G14696" s="8"/>
      <c r="M14696" s="8"/>
    </row>
    <row r="14697">
      <c r="B14697" s="8"/>
      <c r="G14697" s="8"/>
      <c r="M14697" s="8"/>
    </row>
    <row r="14698">
      <c r="B14698" s="8"/>
      <c r="G14698" s="8"/>
      <c r="M14698" s="8"/>
    </row>
    <row r="14699">
      <c r="B14699" s="8"/>
      <c r="G14699" s="8"/>
      <c r="M14699" s="8"/>
    </row>
    <row r="14700">
      <c r="B14700" s="8"/>
      <c r="G14700" s="8"/>
      <c r="M14700" s="8"/>
    </row>
    <row r="14701">
      <c r="B14701" s="8"/>
      <c r="G14701" s="8"/>
      <c r="M14701" s="8"/>
    </row>
    <row r="14702">
      <c r="B14702" s="8"/>
      <c r="G14702" s="8"/>
      <c r="M14702" s="8"/>
    </row>
    <row r="14703">
      <c r="B14703" s="8"/>
      <c r="G14703" s="8"/>
      <c r="M14703" s="8"/>
    </row>
    <row r="14704">
      <c r="B14704" s="8"/>
      <c r="G14704" s="8"/>
      <c r="M14704" s="8"/>
    </row>
    <row r="14705">
      <c r="B14705" s="8"/>
      <c r="G14705" s="8"/>
      <c r="M14705" s="8"/>
    </row>
    <row r="14706">
      <c r="B14706" s="8"/>
      <c r="G14706" s="8"/>
      <c r="M14706" s="8"/>
    </row>
    <row r="14707">
      <c r="B14707" s="8"/>
      <c r="G14707" s="8"/>
      <c r="M14707" s="8"/>
    </row>
    <row r="14708">
      <c r="B14708" s="8"/>
      <c r="G14708" s="8"/>
      <c r="M14708" s="8"/>
    </row>
    <row r="14709">
      <c r="B14709" s="8"/>
      <c r="G14709" s="8"/>
      <c r="M14709" s="8"/>
    </row>
    <row r="14710">
      <c r="B14710" s="8"/>
      <c r="G14710" s="8"/>
      <c r="M14710" s="8"/>
    </row>
    <row r="14711">
      <c r="B14711" s="8"/>
      <c r="G14711" s="8"/>
      <c r="M14711" s="8"/>
    </row>
    <row r="14712">
      <c r="B14712" s="8"/>
      <c r="G14712" s="8"/>
      <c r="M14712" s="8"/>
    </row>
    <row r="14713">
      <c r="B14713" s="8"/>
      <c r="G14713" s="8"/>
      <c r="M14713" s="8"/>
    </row>
    <row r="14714">
      <c r="B14714" s="8"/>
      <c r="G14714" s="8"/>
      <c r="M14714" s="8"/>
    </row>
    <row r="14715">
      <c r="B14715" s="8"/>
      <c r="G14715" s="8"/>
      <c r="M14715" s="8"/>
    </row>
    <row r="14716">
      <c r="B14716" s="8"/>
      <c r="G14716" s="8"/>
      <c r="M14716" s="8"/>
    </row>
    <row r="14717">
      <c r="B14717" s="8"/>
      <c r="G14717" s="8"/>
      <c r="M14717" s="8"/>
    </row>
    <row r="14718">
      <c r="B14718" s="8"/>
      <c r="G14718" s="8"/>
      <c r="M14718" s="8"/>
    </row>
    <row r="14719">
      <c r="B14719" s="8"/>
      <c r="G14719" s="8"/>
      <c r="M14719" s="8"/>
    </row>
    <row r="14720">
      <c r="B14720" s="8"/>
      <c r="G14720" s="8"/>
      <c r="M14720" s="8"/>
    </row>
    <row r="14721">
      <c r="B14721" s="8"/>
      <c r="G14721" s="8"/>
      <c r="M14721" s="8"/>
    </row>
    <row r="14722">
      <c r="B14722" s="8"/>
      <c r="G14722" s="8"/>
      <c r="M14722" s="8"/>
    </row>
    <row r="14723">
      <c r="B14723" s="8"/>
      <c r="G14723" s="8"/>
      <c r="M14723" s="8"/>
    </row>
    <row r="14724">
      <c r="B14724" s="8"/>
      <c r="G14724" s="8"/>
      <c r="M14724" s="8"/>
    </row>
    <row r="14725">
      <c r="B14725" s="8"/>
      <c r="G14725" s="8"/>
      <c r="M14725" s="8"/>
    </row>
    <row r="14726">
      <c r="B14726" s="8"/>
      <c r="G14726" s="8"/>
      <c r="M14726" s="8"/>
    </row>
    <row r="14727">
      <c r="B14727" s="8"/>
      <c r="G14727" s="8"/>
      <c r="M14727" s="8"/>
    </row>
    <row r="14728">
      <c r="B14728" s="8"/>
      <c r="G14728" s="8"/>
      <c r="M14728" s="8"/>
    </row>
    <row r="14729">
      <c r="B14729" s="8"/>
      <c r="G14729" s="8"/>
      <c r="M14729" s="8"/>
    </row>
    <row r="14730">
      <c r="B14730" s="8"/>
      <c r="G14730" s="8"/>
      <c r="M14730" s="8"/>
    </row>
    <row r="14731">
      <c r="B14731" s="8"/>
      <c r="G14731" s="8"/>
      <c r="M14731" s="8"/>
    </row>
    <row r="14732">
      <c r="B14732" s="8"/>
      <c r="G14732" s="8"/>
      <c r="M14732" s="8"/>
    </row>
    <row r="14733">
      <c r="B14733" s="8"/>
      <c r="G14733" s="8"/>
      <c r="M14733" s="8"/>
    </row>
    <row r="14734">
      <c r="B14734" s="8"/>
      <c r="G14734" s="8"/>
      <c r="M14734" s="8"/>
    </row>
    <row r="14735">
      <c r="B14735" s="8"/>
      <c r="G14735" s="8"/>
      <c r="M14735" s="8"/>
    </row>
    <row r="14736">
      <c r="B14736" s="8"/>
      <c r="G14736" s="8"/>
      <c r="M14736" s="8"/>
    </row>
    <row r="14737">
      <c r="B14737" s="8"/>
      <c r="G14737" s="8"/>
      <c r="M14737" s="8"/>
    </row>
    <row r="14738">
      <c r="B14738" s="8"/>
      <c r="G14738" s="8"/>
      <c r="M14738" s="8"/>
    </row>
    <row r="14739">
      <c r="B14739" s="8"/>
      <c r="G14739" s="8"/>
      <c r="M14739" s="8"/>
    </row>
    <row r="14740">
      <c r="B14740" s="8"/>
      <c r="G14740" s="8"/>
      <c r="M14740" s="8"/>
    </row>
    <row r="14741">
      <c r="B14741" s="8"/>
      <c r="G14741" s="8"/>
      <c r="M14741" s="8"/>
    </row>
    <row r="14742">
      <c r="B14742" s="8"/>
      <c r="G14742" s="8"/>
      <c r="M14742" s="8"/>
    </row>
    <row r="14743">
      <c r="B14743" s="8"/>
      <c r="G14743" s="8"/>
      <c r="M14743" s="8"/>
    </row>
    <row r="14744">
      <c r="B14744" s="8"/>
      <c r="G14744" s="8"/>
      <c r="M14744" s="8"/>
    </row>
    <row r="14745">
      <c r="B14745" s="8"/>
      <c r="G14745" s="8"/>
      <c r="M14745" s="8"/>
    </row>
    <row r="14746">
      <c r="B14746" s="8"/>
      <c r="G14746" s="8"/>
      <c r="M14746" s="8"/>
    </row>
    <row r="14747">
      <c r="B14747" s="8"/>
      <c r="G14747" s="8"/>
      <c r="M14747" s="8"/>
    </row>
    <row r="14748">
      <c r="B14748" s="8"/>
      <c r="G14748" s="8"/>
      <c r="M14748" s="8"/>
    </row>
    <row r="14749">
      <c r="B14749" s="8"/>
      <c r="G14749" s="8"/>
      <c r="M14749" s="8"/>
    </row>
    <row r="14750">
      <c r="B14750" s="8"/>
      <c r="G14750" s="8"/>
      <c r="M14750" s="8"/>
    </row>
    <row r="14751">
      <c r="B14751" s="8"/>
      <c r="G14751" s="8"/>
      <c r="M14751" s="8"/>
    </row>
    <row r="14752">
      <c r="B14752" s="8"/>
      <c r="G14752" s="8"/>
      <c r="M14752" s="8"/>
    </row>
    <row r="14753">
      <c r="B14753" s="8"/>
      <c r="G14753" s="8"/>
      <c r="M14753" s="8"/>
    </row>
    <row r="14754">
      <c r="B14754" s="8"/>
      <c r="G14754" s="8"/>
      <c r="M14754" s="8"/>
    </row>
    <row r="14755">
      <c r="B14755" s="8"/>
      <c r="G14755" s="8"/>
      <c r="M14755" s="8"/>
    </row>
    <row r="14756">
      <c r="B14756" s="8"/>
      <c r="G14756" s="8"/>
      <c r="M14756" s="8"/>
    </row>
    <row r="14757">
      <c r="B14757" s="8"/>
      <c r="G14757" s="8"/>
      <c r="M14757" s="8"/>
    </row>
    <row r="14758">
      <c r="B14758" s="8"/>
      <c r="G14758" s="8"/>
      <c r="M14758" s="8"/>
    </row>
    <row r="14759">
      <c r="B14759" s="8"/>
      <c r="G14759" s="8"/>
      <c r="M14759" s="8"/>
    </row>
    <row r="14760">
      <c r="B14760" s="8"/>
      <c r="G14760" s="8"/>
      <c r="M14760" s="8"/>
    </row>
    <row r="14761">
      <c r="B14761" s="8"/>
      <c r="G14761" s="8"/>
      <c r="M14761" s="8"/>
    </row>
    <row r="14762">
      <c r="B14762" s="8"/>
      <c r="G14762" s="8"/>
      <c r="M14762" s="8"/>
    </row>
    <row r="14763">
      <c r="B14763" s="8"/>
      <c r="G14763" s="8"/>
      <c r="M14763" s="8"/>
    </row>
    <row r="14764">
      <c r="B14764" s="8"/>
      <c r="G14764" s="8"/>
      <c r="M14764" s="8"/>
    </row>
    <row r="14765">
      <c r="B14765" s="8"/>
      <c r="G14765" s="8"/>
      <c r="M14765" s="8"/>
    </row>
    <row r="14766">
      <c r="B14766" s="8"/>
      <c r="G14766" s="8"/>
      <c r="M14766" s="8"/>
    </row>
    <row r="14767">
      <c r="B14767" s="8"/>
      <c r="G14767" s="8"/>
      <c r="M14767" s="8"/>
    </row>
    <row r="14768">
      <c r="B14768" s="8"/>
      <c r="G14768" s="8"/>
      <c r="M14768" s="8"/>
    </row>
    <row r="14769">
      <c r="B14769" s="8"/>
      <c r="G14769" s="8"/>
      <c r="M14769" s="8"/>
    </row>
    <row r="14770">
      <c r="B14770" s="8"/>
      <c r="G14770" s="8"/>
      <c r="M14770" s="8"/>
    </row>
    <row r="14771">
      <c r="B14771" s="8"/>
      <c r="G14771" s="8"/>
      <c r="M14771" s="8"/>
    </row>
    <row r="14772">
      <c r="B14772" s="8"/>
      <c r="G14772" s="8"/>
      <c r="M14772" s="8"/>
    </row>
    <row r="14773">
      <c r="B14773" s="8"/>
      <c r="G14773" s="8"/>
      <c r="M14773" s="8"/>
    </row>
    <row r="14774">
      <c r="B14774" s="8"/>
      <c r="G14774" s="8"/>
      <c r="M14774" s="8"/>
    </row>
    <row r="14775">
      <c r="B14775" s="8"/>
      <c r="G14775" s="8"/>
      <c r="M14775" s="8"/>
    </row>
    <row r="14776">
      <c r="B14776" s="8"/>
      <c r="G14776" s="8"/>
      <c r="M14776" s="8"/>
    </row>
    <row r="14777">
      <c r="B14777" s="8"/>
      <c r="G14777" s="8"/>
      <c r="M14777" s="8"/>
    </row>
    <row r="14778">
      <c r="B14778" s="8"/>
      <c r="G14778" s="8"/>
      <c r="M14778" s="8"/>
    </row>
    <row r="14779">
      <c r="B14779" s="8"/>
      <c r="G14779" s="8"/>
      <c r="M14779" s="8"/>
    </row>
    <row r="14780">
      <c r="B14780" s="8"/>
      <c r="G14780" s="8"/>
      <c r="M14780" s="8"/>
    </row>
    <row r="14781">
      <c r="B14781" s="8"/>
      <c r="G14781" s="8"/>
      <c r="M14781" s="8"/>
    </row>
    <row r="14782">
      <c r="B14782" s="8"/>
      <c r="G14782" s="8"/>
      <c r="M14782" s="8"/>
    </row>
    <row r="14783">
      <c r="B14783" s="8"/>
      <c r="G14783" s="8"/>
      <c r="M14783" s="8"/>
    </row>
    <row r="14784">
      <c r="B14784" s="8"/>
      <c r="G14784" s="8"/>
      <c r="M14784" s="8"/>
    </row>
    <row r="14785">
      <c r="B14785" s="8"/>
      <c r="G14785" s="8"/>
      <c r="M14785" s="8"/>
    </row>
    <row r="14786">
      <c r="B14786" s="8"/>
      <c r="G14786" s="8"/>
      <c r="M14786" s="8"/>
    </row>
    <row r="14787">
      <c r="B14787" s="8"/>
      <c r="G14787" s="8"/>
      <c r="M14787" s="8"/>
    </row>
    <row r="14788">
      <c r="B14788" s="8"/>
      <c r="G14788" s="8"/>
      <c r="M14788" s="8"/>
    </row>
    <row r="14789">
      <c r="B14789" s="8"/>
      <c r="G14789" s="8"/>
      <c r="M14789" s="8"/>
    </row>
    <row r="14790">
      <c r="B14790" s="8"/>
      <c r="G14790" s="8"/>
      <c r="M14790" s="8"/>
    </row>
    <row r="14791">
      <c r="B14791" s="8"/>
      <c r="G14791" s="8"/>
      <c r="M14791" s="8"/>
    </row>
    <row r="14792">
      <c r="B14792" s="8"/>
      <c r="G14792" s="8"/>
      <c r="M14792" s="8"/>
    </row>
    <row r="14793">
      <c r="B14793" s="8"/>
      <c r="G14793" s="8"/>
      <c r="M14793" s="8"/>
    </row>
    <row r="14794">
      <c r="B14794" s="8"/>
      <c r="G14794" s="8"/>
      <c r="M14794" s="8"/>
    </row>
    <row r="14795">
      <c r="B14795" s="8"/>
      <c r="G14795" s="8"/>
      <c r="M14795" s="8"/>
    </row>
    <row r="14796">
      <c r="B14796" s="8"/>
      <c r="G14796" s="8"/>
      <c r="M14796" s="8"/>
    </row>
    <row r="14797">
      <c r="B14797" s="8"/>
      <c r="G14797" s="8"/>
      <c r="M14797" s="8"/>
    </row>
    <row r="14798">
      <c r="B14798" s="8"/>
      <c r="G14798" s="8"/>
      <c r="M14798" s="8"/>
    </row>
    <row r="14799">
      <c r="B14799" s="8"/>
      <c r="G14799" s="8"/>
      <c r="M14799" s="8"/>
    </row>
    <row r="14800">
      <c r="B14800" s="8"/>
      <c r="G14800" s="8"/>
      <c r="M14800" s="8"/>
    </row>
    <row r="14801">
      <c r="B14801" s="8"/>
      <c r="G14801" s="8"/>
      <c r="M14801" s="8"/>
    </row>
    <row r="14802">
      <c r="B14802" s="8"/>
      <c r="G14802" s="8"/>
      <c r="M14802" s="8"/>
    </row>
    <row r="14803">
      <c r="B14803" s="8"/>
      <c r="G14803" s="8"/>
      <c r="M14803" s="8"/>
    </row>
    <row r="14804">
      <c r="B14804" s="8"/>
      <c r="G14804" s="8"/>
      <c r="M14804" s="8"/>
    </row>
    <row r="14805">
      <c r="B14805" s="8"/>
      <c r="G14805" s="8"/>
      <c r="M14805" s="8"/>
    </row>
    <row r="14806">
      <c r="B14806" s="8"/>
      <c r="G14806" s="8"/>
      <c r="M14806" s="8"/>
    </row>
    <row r="14807">
      <c r="B14807" s="8"/>
      <c r="G14807" s="8"/>
      <c r="M14807" s="8"/>
    </row>
    <row r="14808">
      <c r="B14808" s="8"/>
      <c r="G14808" s="8"/>
      <c r="M14808" s="8"/>
    </row>
    <row r="14809">
      <c r="B14809" s="8"/>
      <c r="G14809" s="8"/>
      <c r="M14809" s="8"/>
    </row>
    <row r="14810">
      <c r="B14810" s="8"/>
      <c r="G14810" s="8"/>
      <c r="M14810" s="8"/>
    </row>
    <row r="14811">
      <c r="B14811" s="8"/>
      <c r="G14811" s="8"/>
      <c r="M14811" s="8"/>
    </row>
    <row r="14812">
      <c r="B14812" s="8"/>
      <c r="G14812" s="8"/>
      <c r="M14812" s="8"/>
    </row>
    <row r="14813">
      <c r="B14813" s="8"/>
      <c r="G14813" s="8"/>
      <c r="M14813" s="8"/>
    </row>
    <row r="14814">
      <c r="B14814" s="8"/>
      <c r="G14814" s="8"/>
      <c r="M14814" s="8"/>
    </row>
    <row r="14815">
      <c r="B14815" s="8"/>
      <c r="G14815" s="8"/>
      <c r="M14815" s="8"/>
    </row>
    <row r="14816">
      <c r="B14816" s="8"/>
      <c r="G14816" s="8"/>
      <c r="M14816" s="8"/>
    </row>
    <row r="14817">
      <c r="B14817" s="8"/>
      <c r="G14817" s="8"/>
      <c r="M14817" s="8"/>
    </row>
    <row r="14818">
      <c r="B14818" s="8"/>
      <c r="G14818" s="8"/>
      <c r="M14818" s="8"/>
    </row>
    <row r="14819">
      <c r="B14819" s="8"/>
      <c r="G14819" s="8"/>
      <c r="M14819" s="8"/>
    </row>
    <row r="14820">
      <c r="B14820" s="8"/>
      <c r="G14820" s="8"/>
      <c r="M14820" s="8"/>
    </row>
    <row r="14821">
      <c r="B14821" s="8"/>
      <c r="G14821" s="8"/>
      <c r="M14821" s="8"/>
    </row>
    <row r="14822">
      <c r="B14822" s="8"/>
      <c r="G14822" s="8"/>
      <c r="M14822" s="8"/>
    </row>
    <row r="14823">
      <c r="B14823" s="8"/>
      <c r="G14823" s="8"/>
      <c r="M14823" s="8"/>
    </row>
    <row r="14824">
      <c r="B14824" s="8"/>
      <c r="G14824" s="8"/>
      <c r="M14824" s="8"/>
    </row>
    <row r="14825">
      <c r="B14825" s="8"/>
      <c r="G14825" s="8"/>
      <c r="M14825" s="8"/>
    </row>
    <row r="14826">
      <c r="B14826" s="8"/>
      <c r="G14826" s="8"/>
      <c r="M14826" s="8"/>
    </row>
    <row r="14827">
      <c r="B14827" s="8"/>
      <c r="G14827" s="8"/>
      <c r="M14827" s="8"/>
    </row>
    <row r="14828">
      <c r="B14828" s="8"/>
      <c r="G14828" s="8"/>
      <c r="M14828" s="8"/>
    </row>
    <row r="14829">
      <c r="B14829" s="8"/>
      <c r="G14829" s="8"/>
      <c r="M14829" s="8"/>
    </row>
    <row r="14830">
      <c r="B14830" s="8"/>
      <c r="G14830" s="8"/>
      <c r="M14830" s="8"/>
    </row>
    <row r="14831">
      <c r="B14831" s="8"/>
      <c r="G14831" s="8"/>
      <c r="M14831" s="8"/>
    </row>
    <row r="14832">
      <c r="B14832" s="8"/>
      <c r="G14832" s="8"/>
      <c r="M14832" s="8"/>
    </row>
    <row r="14833">
      <c r="B14833" s="8"/>
      <c r="G14833" s="8"/>
      <c r="M14833" s="8"/>
    </row>
    <row r="14834">
      <c r="B14834" s="8"/>
      <c r="G14834" s="8"/>
      <c r="M14834" s="8"/>
    </row>
    <row r="14835">
      <c r="B14835" s="8"/>
      <c r="G14835" s="8"/>
      <c r="M14835" s="8"/>
    </row>
    <row r="14836">
      <c r="B14836" s="8"/>
      <c r="G14836" s="8"/>
      <c r="M14836" s="8"/>
    </row>
    <row r="14837">
      <c r="B14837" s="8"/>
      <c r="G14837" s="8"/>
      <c r="M14837" s="8"/>
    </row>
    <row r="14838">
      <c r="B14838" s="8"/>
      <c r="G14838" s="8"/>
      <c r="M14838" s="8"/>
    </row>
    <row r="14839">
      <c r="B14839" s="8"/>
      <c r="G14839" s="8"/>
      <c r="M14839" s="8"/>
    </row>
    <row r="14840">
      <c r="B14840" s="8"/>
      <c r="G14840" s="8"/>
      <c r="M14840" s="8"/>
    </row>
    <row r="14841">
      <c r="B14841" s="8"/>
      <c r="G14841" s="8"/>
      <c r="M14841" s="8"/>
    </row>
    <row r="14842">
      <c r="B14842" s="8"/>
      <c r="G14842" s="8"/>
      <c r="M14842" s="8"/>
    </row>
    <row r="14843">
      <c r="B14843" s="8"/>
      <c r="G14843" s="8"/>
      <c r="M14843" s="8"/>
    </row>
    <row r="14844">
      <c r="B14844" s="8"/>
      <c r="G14844" s="8"/>
      <c r="M14844" s="8"/>
    </row>
    <row r="14845">
      <c r="B14845" s="8"/>
      <c r="G14845" s="8"/>
      <c r="M14845" s="8"/>
    </row>
    <row r="14846">
      <c r="B14846" s="8"/>
      <c r="G14846" s="8"/>
      <c r="M14846" s="8"/>
    </row>
    <row r="14847">
      <c r="B14847" s="8"/>
      <c r="G14847" s="8"/>
      <c r="M14847" s="8"/>
    </row>
    <row r="14848">
      <c r="B14848" s="8"/>
      <c r="G14848" s="8"/>
      <c r="M14848" s="8"/>
    </row>
    <row r="14849">
      <c r="B14849" s="8"/>
      <c r="G14849" s="8"/>
      <c r="M14849" s="8"/>
    </row>
    <row r="14850">
      <c r="B14850" s="8"/>
      <c r="G14850" s="8"/>
      <c r="M14850" s="8"/>
    </row>
    <row r="14851">
      <c r="B14851" s="8"/>
      <c r="G14851" s="8"/>
      <c r="M14851" s="8"/>
    </row>
    <row r="14852">
      <c r="B14852" s="8"/>
      <c r="G14852" s="8"/>
      <c r="M14852" s="8"/>
    </row>
    <row r="14853">
      <c r="B14853" s="8"/>
      <c r="G14853" s="8"/>
      <c r="M14853" s="8"/>
    </row>
    <row r="14854">
      <c r="B14854" s="8"/>
      <c r="G14854" s="8"/>
      <c r="M14854" s="8"/>
    </row>
    <row r="14855">
      <c r="B14855" s="8"/>
      <c r="G14855" s="8"/>
      <c r="M14855" s="8"/>
    </row>
    <row r="14856">
      <c r="B14856" s="8"/>
      <c r="G14856" s="8"/>
      <c r="M14856" s="8"/>
    </row>
    <row r="14857">
      <c r="B14857" s="8"/>
      <c r="G14857" s="8"/>
      <c r="M14857" s="8"/>
    </row>
    <row r="14858">
      <c r="B14858" s="8"/>
      <c r="G14858" s="8"/>
      <c r="M14858" s="8"/>
    </row>
    <row r="14859">
      <c r="B14859" s="8"/>
      <c r="G14859" s="8"/>
      <c r="M14859" s="8"/>
    </row>
    <row r="14860">
      <c r="B14860" s="8"/>
      <c r="G14860" s="8"/>
      <c r="M14860" s="8"/>
    </row>
    <row r="14861">
      <c r="B14861" s="8"/>
      <c r="G14861" s="8"/>
      <c r="M14861" s="8"/>
    </row>
    <row r="14862">
      <c r="B14862" s="8"/>
      <c r="G14862" s="8"/>
      <c r="M14862" s="8"/>
    </row>
    <row r="14863">
      <c r="B14863" s="8"/>
      <c r="G14863" s="8"/>
      <c r="M14863" s="8"/>
    </row>
    <row r="14864">
      <c r="B14864" s="8"/>
      <c r="G14864" s="8"/>
      <c r="M14864" s="8"/>
    </row>
    <row r="14865">
      <c r="B14865" s="8"/>
      <c r="G14865" s="8"/>
      <c r="M14865" s="8"/>
    </row>
    <row r="14866">
      <c r="B14866" s="8"/>
      <c r="G14866" s="8"/>
      <c r="M14866" s="8"/>
    </row>
    <row r="14867">
      <c r="B14867" s="8"/>
      <c r="G14867" s="8"/>
      <c r="M14867" s="8"/>
    </row>
    <row r="14868">
      <c r="B14868" s="8"/>
      <c r="G14868" s="8"/>
      <c r="M14868" s="8"/>
    </row>
    <row r="14869">
      <c r="B14869" s="8"/>
      <c r="G14869" s="8"/>
      <c r="M14869" s="8"/>
    </row>
    <row r="14870">
      <c r="B14870" s="8"/>
      <c r="G14870" s="8"/>
      <c r="M14870" s="8"/>
    </row>
    <row r="14871">
      <c r="B14871" s="8"/>
      <c r="G14871" s="8"/>
      <c r="M14871" s="8"/>
    </row>
    <row r="14872">
      <c r="B14872" s="8"/>
      <c r="G14872" s="8"/>
      <c r="M14872" s="8"/>
    </row>
    <row r="14873">
      <c r="B14873" s="8"/>
      <c r="G14873" s="8"/>
      <c r="M14873" s="8"/>
    </row>
    <row r="14874">
      <c r="B14874" s="8"/>
      <c r="G14874" s="8"/>
      <c r="M14874" s="8"/>
    </row>
    <row r="14875">
      <c r="B14875" s="8"/>
      <c r="G14875" s="8"/>
      <c r="M14875" s="8"/>
    </row>
    <row r="14876">
      <c r="B14876" s="8"/>
      <c r="G14876" s="8"/>
      <c r="M14876" s="8"/>
    </row>
    <row r="14877">
      <c r="B14877" s="8"/>
      <c r="G14877" s="8"/>
      <c r="M14877" s="8"/>
    </row>
    <row r="14878">
      <c r="B14878" s="8"/>
      <c r="G14878" s="8"/>
      <c r="M14878" s="8"/>
    </row>
    <row r="14879">
      <c r="B14879" s="8"/>
      <c r="G14879" s="8"/>
      <c r="M14879" s="8"/>
    </row>
    <row r="14880">
      <c r="B14880" s="8"/>
      <c r="G14880" s="8"/>
      <c r="M14880" s="8"/>
    </row>
    <row r="14881">
      <c r="B14881" s="8"/>
      <c r="G14881" s="8"/>
      <c r="M14881" s="8"/>
    </row>
    <row r="14882">
      <c r="B14882" s="8"/>
      <c r="G14882" s="8"/>
      <c r="M14882" s="8"/>
    </row>
    <row r="14883">
      <c r="B14883" s="8"/>
      <c r="G14883" s="8"/>
      <c r="M14883" s="8"/>
    </row>
    <row r="14884">
      <c r="B14884" s="8"/>
      <c r="G14884" s="8"/>
      <c r="M14884" s="8"/>
    </row>
    <row r="14885">
      <c r="B14885" s="8"/>
      <c r="G14885" s="8"/>
      <c r="M14885" s="8"/>
    </row>
    <row r="14886">
      <c r="B14886" s="8"/>
      <c r="G14886" s="8"/>
      <c r="M14886" s="8"/>
    </row>
    <row r="14887">
      <c r="B14887" s="8"/>
      <c r="G14887" s="8"/>
      <c r="M14887" s="8"/>
    </row>
    <row r="14888">
      <c r="B14888" s="8"/>
      <c r="G14888" s="8"/>
      <c r="M14888" s="8"/>
    </row>
    <row r="14889">
      <c r="B14889" s="8"/>
      <c r="G14889" s="8"/>
      <c r="M14889" s="8"/>
    </row>
    <row r="14890">
      <c r="B14890" s="8"/>
      <c r="G14890" s="8"/>
      <c r="M14890" s="8"/>
    </row>
    <row r="14891">
      <c r="B14891" s="8"/>
      <c r="G14891" s="8"/>
      <c r="M14891" s="8"/>
    </row>
    <row r="14892">
      <c r="B14892" s="8"/>
      <c r="G14892" s="8"/>
      <c r="M14892" s="8"/>
    </row>
    <row r="14893">
      <c r="B14893" s="8"/>
      <c r="G14893" s="8"/>
      <c r="M14893" s="8"/>
    </row>
    <row r="14894">
      <c r="B14894" s="8"/>
      <c r="G14894" s="8"/>
      <c r="M14894" s="8"/>
    </row>
    <row r="14895">
      <c r="B14895" s="8"/>
      <c r="G14895" s="8"/>
      <c r="M14895" s="8"/>
    </row>
    <row r="14896">
      <c r="B14896" s="8"/>
      <c r="G14896" s="8"/>
      <c r="M14896" s="8"/>
    </row>
    <row r="14897">
      <c r="B14897" s="8"/>
      <c r="G14897" s="8"/>
      <c r="M14897" s="8"/>
    </row>
    <row r="14898">
      <c r="B14898" s="8"/>
      <c r="G14898" s="8"/>
      <c r="M14898" s="8"/>
    </row>
    <row r="14899">
      <c r="B14899" s="8"/>
      <c r="G14899" s="8"/>
      <c r="M14899" s="8"/>
    </row>
    <row r="14900">
      <c r="B14900" s="8"/>
      <c r="G14900" s="8"/>
      <c r="M14900" s="8"/>
    </row>
    <row r="14901">
      <c r="B14901" s="8"/>
      <c r="G14901" s="8"/>
      <c r="M14901" s="8"/>
    </row>
    <row r="14902">
      <c r="B14902" s="8"/>
      <c r="G14902" s="8"/>
      <c r="M14902" s="8"/>
    </row>
    <row r="14903">
      <c r="B14903" s="8"/>
      <c r="G14903" s="8"/>
      <c r="M14903" s="8"/>
    </row>
    <row r="14904">
      <c r="B14904" s="8"/>
      <c r="G14904" s="8"/>
      <c r="M14904" s="8"/>
    </row>
    <row r="14905">
      <c r="B14905" s="8"/>
      <c r="G14905" s="8"/>
      <c r="M14905" s="8"/>
    </row>
    <row r="14906">
      <c r="B14906" s="8"/>
      <c r="G14906" s="8"/>
      <c r="M14906" s="8"/>
    </row>
    <row r="14907">
      <c r="B14907" s="8"/>
      <c r="G14907" s="8"/>
      <c r="M14907" s="8"/>
    </row>
    <row r="14908">
      <c r="B14908" s="8"/>
      <c r="G14908" s="8"/>
      <c r="M14908" s="8"/>
    </row>
    <row r="14909">
      <c r="B14909" s="8"/>
      <c r="G14909" s="8"/>
      <c r="M14909" s="8"/>
    </row>
    <row r="14910">
      <c r="B14910" s="8"/>
      <c r="G14910" s="8"/>
      <c r="M14910" s="8"/>
    </row>
    <row r="14911">
      <c r="B14911" s="8"/>
      <c r="G14911" s="8"/>
      <c r="M14911" s="8"/>
    </row>
    <row r="14912">
      <c r="B14912" s="8"/>
      <c r="G14912" s="8"/>
      <c r="M14912" s="8"/>
    </row>
    <row r="14913">
      <c r="B14913" s="8"/>
      <c r="G14913" s="8"/>
      <c r="M14913" s="8"/>
    </row>
    <row r="14914">
      <c r="B14914" s="8"/>
      <c r="G14914" s="8"/>
      <c r="M14914" s="8"/>
    </row>
    <row r="14915">
      <c r="B14915" s="8"/>
      <c r="G14915" s="8"/>
      <c r="M14915" s="8"/>
    </row>
    <row r="14916">
      <c r="B14916" s="8"/>
      <c r="G14916" s="8"/>
      <c r="M14916" s="8"/>
    </row>
    <row r="14917">
      <c r="B14917" s="8"/>
      <c r="G14917" s="8"/>
      <c r="M14917" s="8"/>
    </row>
    <row r="14918">
      <c r="B14918" s="8"/>
      <c r="G14918" s="8"/>
      <c r="M14918" s="8"/>
    </row>
    <row r="14919">
      <c r="B14919" s="8"/>
      <c r="G14919" s="8"/>
      <c r="M14919" s="8"/>
    </row>
    <row r="14920">
      <c r="B14920" s="8"/>
      <c r="G14920" s="8"/>
      <c r="M14920" s="8"/>
    </row>
    <row r="14921">
      <c r="B14921" s="8"/>
      <c r="G14921" s="8"/>
      <c r="M14921" s="8"/>
    </row>
    <row r="14922">
      <c r="B14922" s="8"/>
      <c r="G14922" s="8"/>
      <c r="M14922" s="8"/>
    </row>
    <row r="14923">
      <c r="B14923" s="8"/>
      <c r="G14923" s="8"/>
      <c r="M14923" s="8"/>
    </row>
    <row r="14924">
      <c r="B14924" s="8"/>
      <c r="G14924" s="8"/>
      <c r="M14924" s="8"/>
    </row>
    <row r="14925">
      <c r="B14925" s="8"/>
      <c r="G14925" s="8"/>
      <c r="M14925" s="8"/>
    </row>
    <row r="14926">
      <c r="B14926" s="8"/>
      <c r="G14926" s="8"/>
      <c r="M14926" s="8"/>
    </row>
    <row r="14927">
      <c r="B14927" s="8"/>
      <c r="G14927" s="8"/>
      <c r="M14927" s="8"/>
    </row>
    <row r="14928">
      <c r="B14928" s="8"/>
      <c r="G14928" s="8"/>
      <c r="M14928" s="8"/>
    </row>
    <row r="14929">
      <c r="B14929" s="8"/>
      <c r="G14929" s="8"/>
      <c r="M14929" s="8"/>
    </row>
    <row r="14930">
      <c r="B14930" s="8"/>
      <c r="G14930" s="8"/>
      <c r="M14930" s="8"/>
    </row>
    <row r="14931">
      <c r="B14931" s="8"/>
      <c r="G14931" s="8"/>
      <c r="M14931" s="8"/>
    </row>
    <row r="14932">
      <c r="B14932" s="8"/>
      <c r="G14932" s="8"/>
      <c r="M14932" s="8"/>
    </row>
    <row r="14933">
      <c r="B14933" s="8"/>
      <c r="G14933" s="8"/>
      <c r="M14933" s="8"/>
    </row>
    <row r="14934">
      <c r="B14934" s="8"/>
      <c r="G14934" s="8"/>
      <c r="M14934" s="8"/>
    </row>
    <row r="14935">
      <c r="B14935" s="8"/>
      <c r="G14935" s="8"/>
      <c r="M14935" s="8"/>
    </row>
    <row r="14936">
      <c r="B14936" s="8"/>
      <c r="G14936" s="8"/>
      <c r="M14936" s="8"/>
    </row>
    <row r="14937">
      <c r="B14937" s="8"/>
      <c r="G14937" s="8"/>
      <c r="M14937" s="8"/>
    </row>
    <row r="14938">
      <c r="B14938" s="8"/>
      <c r="G14938" s="8"/>
      <c r="M14938" s="8"/>
    </row>
    <row r="14939">
      <c r="B14939" s="8"/>
      <c r="G14939" s="8"/>
      <c r="M14939" s="8"/>
    </row>
    <row r="14940">
      <c r="B14940" s="8"/>
      <c r="G14940" s="8"/>
      <c r="M14940" s="8"/>
    </row>
    <row r="14941">
      <c r="B14941" s="8"/>
      <c r="G14941" s="8"/>
      <c r="M14941" s="8"/>
    </row>
    <row r="14942">
      <c r="B14942" s="8"/>
      <c r="G14942" s="8"/>
      <c r="M14942" s="8"/>
    </row>
    <row r="14943">
      <c r="B14943" s="8"/>
      <c r="G14943" s="8"/>
      <c r="M14943" s="8"/>
    </row>
    <row r="14944">
      <c r="B14944" s="8"/>
      <c r="G14944" s="8"/>
      <c r="M14944" s="8"/>
    </row>
    <row r="14945">
      <c r="B14945" s="8"/>
      <c r="G14945" s="8"/>
      <c r="M14945" s="8"/>
    </row>
    <row r="14946">
      <c r="B14946" s="8"/>
      <c r="G14946" s="8"/>
      <c r="M14946" s="8"/>
    </row>
    <row r="14947">
      <c r="B14947" s="8"/>
      <c r="G14947" s="8"/>
      <c r="M14947" s="8"/>
    </row>
    <row r="14948">
      <c r="B14948" s="8"/>
      <c r="G14948" s="8"/>
      <c r="M14948" s="8"/>
    </row>
    <row r="14949">
      <c r="B14949" s="8"/>
      <c r="G14949" s="8"/>
      <c r="M14949" s="8"/>
    </row>
    <row r="14950">
      <c r="B14950" s="8"/>
      <c r="G14950" s="8"/>
      <c r="M14950" s="8"/>
    </row>
    <row r="14951">
      <c r="B14951" s="8"/>
      <c r="G14951" s="8"/>
      <c r="M14951" s="8"/>
    </row>
    <row r="14952">
      <c r="B14952" s="8"/>
      <c r="G14952" s="8"/>
      <c r="M14952" s="8"/>
    </row>
    <row r="14953">
      <c r="B14953" s="8"/>
      <c r="G14953" s="8"/>
      <c r="M14953" s="8"/>
    </row>
    <row r="14954">
      <c r="B14954" s="8"/>
      <c r="G14954" s="8"/>
      <c r="M14954" s="8"/>
    </row>
    <row r="14955">
      <c r="B14955" s="8"/>
      <c r="G14955" s="8"/>
      <c r="M14955" s="8"/>
    </row>
    <row r="14956">
      <c r="B14956" s="8"/>
      <c r="G14956" s="8"/>
      <c r="M14956" s="8"/>
    </row>
    <row r="14957">
      <c r="B14957" s="8"/>
      <c r="G14957" s="8"/>
      <c r="M14957" s="8"/>
    </row>
    <row r="14958">
      <c r="B14958" s="8"/>
      <c r="G14958" s="8"/>
      <c r="M14958" s="8"/>
    </row>
    <row r="14959">
      <c r="B14959" s="8"/>
      <c r="G14959" s="8"/>
      <c r="M14959" s="8"/>
    </row>
    <row r="14960">
      <c r="B14960" s="8"/>
      <c r="G14960" s="8"/>
      <c r="M14960" s="8"/>
    </row>
    <row r="14961">
      <c r="B14961" s="8"/>
      <c r="G14961" s="8"/>
      <c r="M14961" s="8"/>
    </row>
    <row r="14962">
      <c r="B14962" s="8"/>
      <c r="G14962" s="8"/>
      <c r="M14962" s="8"/>
    </row>
    <row r="14963">
      <c r="B14963" s="8"/>
      <c r="G14963" s="8"/>
      <c r="M14963" s="8"/>
    </row>
    <row r="14964">
      <c r="B14964" s="8"/>
      <c r="G14964" s="8"/>
      <c r="M14964" s="8"/>
    </row>
    <row r="14965">
      <c r="B14965" s="8"/>
      <c r="G14965" s="8"/>
      <c r="M14965" s="8"/>
    </row>
    <row r="14966">
      <c r="B14966" s="8"/>
      <c r="G14966" s="8"/>
      <c r="M14966" s="8"/>
    </row>
    <row r="14967">
      <c r="B14967" s="8"/>
      <c r="G14967" s="8"/>
      <c r="M14967" s="8"/>
    </row>
    <row r="14968">
      <c r="B14968" s="8"/>
      <c r="G14968" s="8"/>
      <c r="M14968" s="8"/>
    </row>
    <row r="14969">
      <c r="B14969" s="8"/>
      <c r="G14969" s="8"/>
      <c r="M14969" s="8"/>
    </row>
    <row r="14970">
      <c r="B14970" s="8"/>
      <c r="G14970" s="8"/>
      <c r="M14970" s="8"/>
    </row>
    <row r="14971">
      <c r="B14971" s="8"/>
      <c r="G14971" s="8"/>
      <c r="M14971" s="8"/>
    </row>
    <row r="14972">
      <c r="B14972" s="8"/>
      <c r="G14972" s="8"/>
      <c r="M14972" s="8"/>
    </row>
    <row r="14973">
      <c r="B14973" s="8"/>
      <c r="G14973" s="8"/>
      <c r="M14973" s="8"/>
    </row>
    <row r="14974">
      <c r="B14974" s="8"/>
      <c r="G14974" s="8"/>
      <c r="M14974" s="8"/>
    </row>
    <row r="14975">
      <c r="B14975" s="8"/>
      <c r="G14975" s="8"/>
      <c r="M14975" s="8"/>
    </row>
    <row r="14976">
      <c r="B14976" s="8"/>
      <c r="G14976" s="8"/>
      <c r="M14976" s="8"/>
    </row>
    <row r="14977">
      <c r="B14977" s="8"/>
      <c r="G14977" s="8"/>
      <c r="M14977" s="8"/>
    </row>
    <row r="14978">
      <c r="B14978" s="8"/>
      <c r="G14978" s="8"/>
      <c r="M14978" s="8"/>
    </row>
    <row r="14979">
      <c r="B14979" s="8"/>
      <c r="G14979" s="8"/>
      <c r="M14979" s="8"/>
    </row>
    <row r="14980">
      <c r="B14980" s="8"/>
      <c r="G14980" s="8"/>
      <c r="M14980" s="8"/>
    </row>
    <row r="14981">
      <c r="B14981" s="8"/>
      <c r="G14981" s="8"/>
      <c r="M14981" s="8"/>
    </row>
    <row r="14982">
      <c r="B14982" s="8"/>
      <c r="G14982" s="8"/>
      <c r="M14982" s="8"/>
    </row>
    <row r="14983">
      <c r="B14983" s="8"/>
      <c r="G14983" s="8"/>
      <c r="M14983" s="8"/>
    </row>
    <row r="14984">
      <c r="B14984" s="8"/>
      <c r="G14984" s="8"/>
      <c r="M14984" s="8"/>
    </row>
    <row r="14985">
      <c r="B14985" s="8"/>
      <c r="G14985" s="8"/>
      <c r="M14985" s="8"/>
    </row>
    <row r="14986">
      <c r="B14986" s="8"/>
      <c r="G14986" s="8"/>
      <c r="M14986" s="8"/>
    </row>
    <row r="14987">
      <c r="B14987" s="8"/>
      <c r="G14987" s="8"/>
      <c r="M14987" s="8"/>
    </row>
    <row r="14988">
      <c r="B14988" s="8"/>
      <c r="G14988" s="8"/>
      <c r="M14988" s="8"/>
    </row>
    <row r="14989">
      <c r="B14989" s="8"/>
      <c r="G14989" s="8"/>
      <c r="M14989" s="8"/>
    </row>
    <row r="14990">
      <c r="B14990" s="8"/>
      <c r="G14990" s="8"/>
      <c r="M14990" s="8"/>
    </row>
    <row r="14991">
      <c r="B14991" s="8"/>
      <c r="G14991" s="8"/>
      <c r="M14991" s="8"/>
    </row>
    <row r="14992">
      <c r="B14992" s="8"/>
      <c r="G14992" s="8"/>
      <c r="M14992" s="8"/>
    </row>
    <row r="14993">
      <c r="B14993" s="8"/>
      <c r="G14993" s="8"/>
      <c r="M14993" s="8"/>
    </row>
    <row r="14994">
      <c r="B14994" s="8"/>
      <c r="G14994" s="8"/>
      <c r="M14994" s="8"/>
    </row>
    <row r="14995">
      <c r="B14995" s="8"/>
      <c r="G14995" s="8"/>
      <c r="M14995" s="8"/>
    </row>
    <row r="14996">
      <c r="B14996" s="8"/>
      <c r="G14996" s="8"/>
      <c r="M14996" s="8"/>
    </row>
    <row r="14997">
      <c r="B14997" s="8"/>
      <c r="G14997" s="8"/>
      <c r="M14997" s="8"/>
    </row>
    <row r="14998">
      <c r="B14998" s="8"/>
      <c r="G14998" s="8"/>
      <c r="M14998" s="8"/>
    </row>
    <row r="14999">
      <c r="B14999" s="8"/>
      <c r="G14999" s="8"/>
      <c r="M14999" s="8"/>
    </row>
    <row r="15000">
      <c r="B15000" s="8"/>
      <c r="G15000" s="8"/>
      <c r="M15000" s="8"/>
    </row>
    <row r="15001">
      <c r="B15001" s="8"/>
      <c r="G15001" s="8"/>
      <c r="M15001" s="8"/>
    </row>
    <row r="15002">
      <c r="B15002" s="8"/>
      <c r="G15002" s="8"/>
      <c r="M15002" s="8"/>
    </row>
    <row r="15003">
      <c r="B15003" s="8"/>
      <c r="G15003" s="8"/>
      <c r="M15003" s="8"/>
    </row>
    <row r="15004">
      <c r="B15004" s="8"/>
      <c r="G15004" s="8"/>
      <c r="M15004" s="8"/>
    </row>
    <row r="15005">
      <c r="B15005" s="8"/>
      <c r="G15005" s="8"/>
      <c r="M15005" s="8"/>
    </row>
    <row r="15006">
      <c r="B15006" s="8"/>
      <c r="G15006" s="8"/>
      <c r="M15006" s="8"/>
    </row>
    <row r="15007">
      <c r="B15007" s="8"/>
      <c r="G15007" s="8"/>
      <c r="M15007" s="8"/>
    </row>
    <row r="15008">
      <c r="B15008" s="8"/>
      <c r="G15008" s="8"/>
      <c r="M15008" s="8"/>
    </row>
    <row r="15009">
      <c r="B15009" s="8"/>
      <c r="G15009" s="8"/>
      <c r="M15009" s="8"/>
    </row>
    <row r="15010">
      <c r="B15010" s="8"/>
      <c r="G15010" s="8"/>
      <c r="M15010" s="8"/>
    </row>
    <row r="15011">
      <c r="B15011" s="8"/>
      <c r="G15011" s="8"/>
      <c r="M15011" s="8"/>
    </row>
    <row r="15012">
      <c r="B15012" s="8"/>
      <c r="G15012" s="8"/>
      <c r="M15012" s="8"/>
    </row>
    <row r="15013">
      <c r="B15013" s="8"/>
      <c r="G15013" s="8"/>
      <c r="M15013" s="8"/>
    </row>
    <row r="15014">
      <c r="B15014" s="8"/>
      <c r="G15014" s="8"/>
      <c r="M15014" s="8"/>
    </row>
    <row r="15015">
      <c r="B15015" s="8"/>
      <c r="G15015" s="8"/>
      <c r="M15015" s="8"/>
    </row>
    <row r="15016">
      <c r="B15016" s="8"/>
      <c r="G15016" s="8"/>
      <c r="M15016" s="8"/>
    </row>
    <row r="15017">
      <c r="B15017" s="8"/>
      <c r="G15017" s="8"/>
      <c r="M15017" s="8"/>
    </row>
    <row r="15018">
      <c r="B15018" s="8"/>
      <c r="G15018" s="8"/>
      <c r="M15018" s="8"/>
    </row>
    <row r="15019">
      <c r="B15019" s="8"/>
      <c r="G15019" s="8"/>
      <c r="M15019" s="8"/>
    </row>
    <row r="15020">
      <c r="B15020" s="8"/>
      <c r="G15020" s="8"/>
      <c r="M15020" s="8"/>
    </row>
    <row r="15021">
      <c r="B15021" s="8"/>
      <c r="G15021" s="8"/>
      <c r="M15021" s="8"/>
    </row>
    <row r="15022">
      <c r="B15022" s="8"/>
      <c r="G15022" s="8"/>
      <c r="M15022" s="8"/>
    </row>
    <row r="15023">
      <c r="B15023" s="8"/>
      <c r="G15023" s="8"/>
      <c r="M15023" s="8"/>
    </row>
    <row r="15024">
      <c r="B15024" s="8"/>
      <c r="G15024" s="8"/>
      <c r="M15024" s="8"/>
    </row>
    <row r="15025">
      <c r="B15025" s="8"/>
      <c r="G15025" s="8"/>
      <c r="M15025" s="8"/>
    </row>
    <row r="15026">
      <c r="B15026" s="8"/>
      <c r="G15026" s="8"/>
      <c r="M15026" s="8"/>
    </row>
    <row r="15027">
      <c r="B15027" s="8"/>
      <c r="G15027" s="8"/>
      <c r="M15027" s="8"/>
    </row>
    <row r="15028">
      <c r="B15028" s="8"/>
      <c r="G15028" s="8"/>
      <c r="M15028" s="8"/>
    </row>
    <row r="15029">
      <c r="B15029" s="8"/>
      <c r="G15029" s="8"/>
      <c r="M15029" s="8"/>
    </row>
    <row r="15030">
      <c r="B15030" s="8"/>
      <c r="G15030" s="8"/>
      <c r="M15030" s="8"/>
    </row>
    <row r="15031">
      <c r="B15031" s="8"/>
      <c r="G15031" s="8"/>
      <c r="M15031" s="8"/>
    </row>
    <row r="15032">
      <c r="B15032" s="8"/>
      <c r="G15032" s="8"/>
      <c r="M15032" s="8"/>
    </row>
    <row r="15033">
      <c r="B15033" s="8"/>
      <c r="G15033" s="8"/>
      <c r="M15033" s="8"/>
    </row>
    <row r="15034">
      <c r="B15034" s="8"/>
      <c r="G15034" s="8"/>
      <c r="M15034" s="8"/>
    </row>
    <row r="15035">
      <c r="B15035" s="8"/>
      <c r="G15035" s="8"/>
      <c r="M15035" s="8"/>
    </row>
    <row r="15036">
      <c r="B15036" s="8"/>
      <c r="G15036" s="8"/>
      <c r="M15036" s="8"/>
    </row>
    <row r="15037">
      <c r="B15037" s="8"/>
      <c r="G15037" s="8"/>
      <c r="M15037" s="8"/>
    </row>
    <row r="15038">
      <c r="B15038" s="8"/>
      <c r="G15038" s="8"/>
      <c r="M15038" s="8"/>
    </row>
    <row r="15039">
      <c r="B15039" s="8"/>
      <c r="G15039" s="8"/>
      <c r="M15039" s="8"/>
    </row>
    <row r="15040">
      <c r="B15040" s="8"/>
      <c r="G15040" s="8"/>
      <c r="M15040" s="8"/>
    </row>
    <row r="15041">
      <c r="B15041" s="8"/>
      <c r="G15041" s="8"/>
      <c r="M15041" s="8"/>
    </row>
    <row r="15042">
      <c r="B15042" s="8"/>
      <c r="G15042" s="8"/>
      <c r="M15042" s="8"/>
    </row>
    <row r="15043">
      <c r="B15043" s="8"/>
      <c r="G15043" s="8"/>
      <c r="M15043" s="8"/>
    </row>
    <row r="15044">
      <c r="B15044" s="8"/>
      <c r="G15044" s="8"/>
      <c r="M15044" s="8"/>
    </row>
    <row r="15045">
      <c r="B15045" s="8"/>
      <c r="G15045" s="8"/>
      <c r="M15045" s="8"/>
    </row>
    <row r="15046">
      <c r="B15046" s="8"/>
      <c r="G15046" s="8"/>
      <c r="M15046" s="8"/>
    </row>
    <row r="15047">
      <c r="B15047" s="8"/>
      <c r="G15047" s="8"/>
      <c r="M15047" s="8"/>
    </row>
    <row r="15048">
      <c r="B15048" s="8"/>
      <c r="G15048" s="8"/>
      <c r="M15048" s="8"/>
    </row>
    <row r="15049">
      <c r="B15049" s="8"/>
      <c r="G15049" s="8"/>
      <c r="M15049" s="8"/>
    </row>
    <row r="15050">
      <c r="B15050" s="8"/>
      <c r="G15050" s="8"/>
      <c r="M15050" s="8"/>
    </row>
    <row r="15051">
      <c r="B15051" s="8"/>
      <c r="G15051" s="8"/>
      <c r="M15051" s="8"/>
    </row>
    <row r="15052">
      <c r="B15052" s="8"/>
      <c r="G15052" s="8"/>
      <c r="M15052" s="8"/>
    </row>
    <row r="15053">
      <c r="B15053" s="8"/>
      <c r="G15053" s="8"/>
      <c r="M15053" s="8"/>
    </row>
    <row r="15054">
      <c r="B15054" s="8"/>
      <c r="G15054" s="8"/>
      <c r="M15054" s="8"/>
    </row>
    <row r="15055">
      <c r="B15055" s="8"/>
      <c r="G15055" s="8"/>
      <c r="M15055" s="8"/>
    </row>
    <row r="15056">
      <c r="B15056" s="8"/>
      <c r="G15056" s="8"/>
      <c r="M15056" s="8"/>
    </row>
    <row r="15057">
      <c r="B15057" s="8"/>
      <c r="G15057" s="8"/>
      <c r="M15057" s="8"/>
    </row>
    <row r="15058">
      <c r="B15058" s="8"/>
      <c r="G15058" s="8"/>
      <c r="M15058" s="8"/>
    </row>
    <row r="15059">
      <c r="B15059" s="8"/>
      <c r="G15059" s="8"/>
      <c r="M15059" s="8"/>
    </row>
    <row r="15060">
      <c r="B15060" s="8"/>
      <c r="G15060" s="8"/>
      <c r="M15060" s="8"/>
    </row>
    <row r="15061">
      <c r="B15061" s="8"/>
      <c r="G15061" s="8"/>
      <c r="M15061" s="8"/>
    </row>
    <row r="15062">
      <c r="B15062" s="8"/>
      <c r="G15062" s="8"/>
      <c r="M15062" s="8"/>
    </row>
    <row r="15063">
      <c r="B15063" s="8"/>
      <c r="G15063" s="8"/>
      <c r="M15063" s="8"/>
    </row>
    <row r="15064">
      <c r="B15064" s="8"/>
      <c r="G15064" s="8"/>
      <c r="M15064" s="8"/>
    </row>
    <row r="15065">
      <c r="B15065" s="8"/>
      <c r="G15065" s="8"/>
      <c r="M15065" s="8"/>
    </row>
    <row r="15066">
      <c r="B15066" s="8"/>
      <c r="G15066" s="8"/>
      <c r="M15066" s="8"/>
    </row>
    <row r="15067">
      <c r="B15067" s="8"/>
      <c r="G15067" s="8"/>
      <c r="M15067" s="8"/>
    </row>
    <row r="15068">
      <c r="B15068" s="8"/>
      <c r="G15068" s="8"/>
      <c r="M15068" s="8"/>
    </row>
    <row r="15069">
      <c r="B15069" s="8"/>
      <c r="G15069" s="8"/>
      <c r="M15069" s="8"/>
    </row>
    <row r="15070">
      <c r="B15070" s="8"/>
      <c r="G15070" s="8"/>
      <c r="M15070" s="8"/>
    </row>
    <row r="15071">
      <c r="B15071" s="8"/>
      <c r="G15071" s="8"/>
      <c r="M15071" s="8"/>
    </row>
    <row r="15072">
      <c r="B15072" s="8"/>
      <c r="G15072" s="8"/>
      <c r="M15072" s="8"/>
    </row>
    <row r="15073">
      <c r="B15073" s="8"/>
      <c r="G15073" s="8"/>
      <c r="M15073" s="8"/>
    </row>
    <row r="15074">
      <c r="B15074" s="8"/>
      <c r="G15074" s="8"/>
      <c r="M15074" s="8"/>
    </row>
    <row r="15075">
      <c r="B15075" s="8"/>
      <c r="G15075" s="8"/>
      <c r="M15075" s="8"/>
    </row>
    <row r="15076">
      <c r="B15076" s="8"/>
      <c r="G15076" s="8"/>
      <c r="M15076" s="8"/>
    </row>
    <row r="15077">
      <c r="B15077" s="8"/>
      <c r="G15077" s="8"/>
      <c r="M15077" s="8"/>
    </row>
    <row r="15078">
      <c r="B15078" s="8"/>
      <c r="G15078" s="8"/>
      <c r="M15078" s="8"/>
    </row>
    <row r="15079">
      <c r="B15079" s="8"/>
      <c r="G15079" s="8"/>
      <c r="M15079" s="8"/>
    </row>
    <row r="15080">
      <c r="B15080" s="8"/>
      <c r="G15080" s="8"/>
      <c r="M15080" s="8"/>
    </row>
    <row r="15081">
      <c r="B15081" s="8"/>
      <c r="G15081" s="8"/>
      <c r="M15081" s="8"/>
    </row>
    <row r="15082">
      <c r="B15082" s="8"/>
      <c r="G15082" s="8"/>
      <c r="M15082" s="8"/>
    </row>
    <row r="15083">
      <c r="B15083" s="8"/>
      <c r="G15083" s="8"/>
      <c r="M15083" s="8"/>
    </row>
    <row r="15084">
      <c r="B15084" s="8"/>
      <c r="G15084" s="8"/>
      <c r="M15084" s="8"/>
    </row>
    <row r="15085">
      <c r="B15085" s="8"/>
      <c r="G15085" s="8"/>
      <c r="M15085" s="8"/>
    </row>
    <row r="15086">
      <c r="B15086" s="8"/>
      <c r="G15086" s="8"/>
      <c r="M15086" s="8"/>
    </row>
    <row r="15087">
      <c r="B15087" s="8"/>
      <c r="G15087" s="8"/>
      <c r="M15087" s="8"/>
    </row>
    <row r="15088">
      <c r="B15088" s="8"/>
      <c r="G15088" s="8"/>
      <c r="M15088" s="8"/>
    </row>
    <row r="15089">
      <c r="B15089" s="8"/>
      <c r="G15089" s="8"/>
      <c r="M15089" s="8"/>
    </row>
    <row r="15090">
      <c r="B15090" s="8"/>
      <c r="G15090" s="8"/>
      <c r="M15090" s="8"/>
    </row>
    <row r="15091">
      <c r="B15091" s="8"/>
      <c r="G15091" s="8"/>
      <c r="M15091" s="8"/>
    </row>
    <row r="15092">
      <c r="B15092" s="8"/>
      <c r="G15092" s="8"/>
      <c r="M15092" s="8"/>
    </row>
    <row r="15093">
      <c r="B15093" s="8"/>
      <c r="G15093" s="8"/>
      <c r="M15093" s="8"/>
    </row>
    <row r="15094">
      <c r="B15094" s="8"/>
      <c r="G15094" s="8"/>
      <c r="M15094" s="8"/>
    </row>
    <row r="15095">
      <c r="B15095" s="8"/>
      <c r="G15095" s="8"/>
      <c r="M15095" s="8"/>
    </row>
    <row r="15096">
      <c r="B15096" s="8"/>
      <c r="G15096" s="8"/>
      <c r="M15096" s="8"/>
    </row>
    <row r="15097">
      <c r="B15097" s="8"/>
      <c r="G15097" s="8"/>
      <c r="M15097" s="8"/>
    </row>
    <row r="15098">
      <c r="B15098" s="8"/>
      <c r="G15098" s="8"/>
      <c r="M15098" s="8"/>
    </row>
    <row r="15099">
      <c r="B15099" s="8"/>
      <c r="G15099" s="8"/>
      <c r="M15099" s="8"/>
    </row>
    <row r="15100">
      <c r="B15100" s="8"/>
      <c r="G15100" s="8"/>
      <c r="M15100" s="8"/>
    </row>
    <row r="15101">
      <c r="B15101" s="8"/>
      <c r="G15101" s="8"/>
      <c r="M15101" s="8"/>
    </row>
    <row r="15102">
      <c r="B15102" s="8"/>
      <c r="G15102" s="8"/>
      <c r="M15102" s="8"/>
    </row>
    <row r="15103">
      <c r="B15103" s="8"/>
      <c r="G15103" s="8"/>
      <c r="M15103" s="8"/>
    </row>
    <row r="15104">
      <c r="B15104" s="8"/>
      <c r="G15104" s="8"/>
      <c r="M15104" s="8"/>
    </row>
    <row r="15105">
      <c r="B15105" s="8"/>
      <c r="G15105" s="8"/>
      <c r="M15105" s="8"/>
    </row>
    <row r="15106">
      <c r="B15106" s="8"/>
      <c r="G15106" s="8"/>
      <c r="M15106" s="8"/>
    </row>
    <row r="15107">
      <c r="B15107" s="8"/>
      <c r="G15107" s="8"/>
      <c r="M15107" s="8"/>
    </row>
    <row r="15108">
      <c r="B15108" s="8"/>
      <c r="G15108" s="8"/>
      <c r="M15108" s="8"/>
    </row>
    <row r="15109">
      <c r="B15109" s="8"/>
      <c r="G15109" s="8"/>
      <c r="M15109" s="8"/>
    </row>
    <row r="15110">
      <c r="B15110" s="8"/>
      <c r="G15110" s="8"/>
      <c r="M15110" s="8"/>
    </row>
    <row r="15111">
      <c r="B15111" s="8"/>
      <c r="G15111" s="8"/>
      <c r="M15111" s="8"/>
    </row>
    <row r="15112">
      <c r="B15112" s="8"/>
      <c r="G15112" s="8"/>
      <c r="M15112" s="8"/>
    </row>
    <row r="15113">
      <c r="B15113" s="8"/>
      <c r="G15113" s="8"/>
      <c r="M15113" s="8"/>
    </row>
    <row r="15114">
      <c r="B15114" s="8"/>
      <c r="G15114" s="8"/>
      <c r="M15114" s="8"/>
    </row>
    <row r="15115">
      <c r="B15115" s="8"/>
      <c r="G15115" s="8"/>
      <c r="M15115" s="8"/>
    </row>
    <row r="15116">
      <c r="B15116" s="8"/>
      <c r="G15116" s="8"/>
      <c r="M15116" s="8"/>
    </row>
    <row r="15117">
      <c r="B15117" s="8"/>
      <c r="G15117" s="8"/>
      <c r="M15117" s="8"/>
    </row>
    <row r="15118">
      <c r="B15118" s="8"/>
      <c r="G15118" s="8"/>
      <c r="M15118" s="8"/>
    </row>
    <row r="15119">
      <c r="B15119" s="8"/>
      <c r="G15119" s="8"/>
      <c r="M15119" s="8"/>
    </row>
    <row r="15120">
      <c r="B15120" s="8"/>
      <c r="G15120" s="8"/>
      <c r="M15120" s="8"/>
    </row>
    <row r="15121">
      <c r="B15121" s="8"/>
      <c r="G15121" s="8"/>
      <c r="M15121" s="8"/>
    </row>
    <row r="15122">
      <c r="B15122" s="8"/>
      <c r="G15122" s="8"/>
      <c r="M15122" s="8"/>
    </row>
    <row r="15123">
      <c r="B15123" s="8"/>
      <c r="G15123" s="8"/>
      <c r="M15123" s="8"/>
    </row>
    <row r="15124">
      <c r="B15124" s="8"/>
      <c r="G15124" s="8"/>
      <c r="M15124" s="8"/>
    </row>
    <row r="15125">
      <c r="B15125" s="8"/>
      <c r="G15125" s="8"/>
      <c r="M15125" s="8"/>
    </row>
    <row r="15126">
      <c r="B15126" s="8"/>
      <c r="G15126" s="8"/>
      <c r="M15126" s="8"/>
    </row>
    <row r="15127">
      <c r="B15127" s="8"/>
      <c r="G15127" s="8"/>
      <c r="M15127" s="8"/>
    </row>
    <row r="15128">
      <c r="B15128" s="8"/>
      <c r="G15128" s="8"/>
      <c r="M15128" s="8"/>
    </row>
    <row r="15129">
      <c r="B15129" s="8"/>
      <c r="G15129" s="8"/>
      <c r="M15129" s="8"/>
    </row>
    <row r="15130">
      <c r="B15130" s="8"/>
      <c r="G15130" s="8"/>
      <c r="M15130" s="8"/>
    </row>
    <row r="15131">
      <c r="B15131" s="8"/>
      <c r="G15131" s="8"/>
      <c r="M15131" s="8"/>
    </row>
    <row r="15132">
      <c r="B15132" s="8"/>
      <c r="G15132" s="8"/>
      <c r="M15132" s="8"/>
    </row>
    <row r="15133">
      <c r="B15133" s="8"/>
      <c r="G15133" s="8"/>
      <c r="M15133" s="8"/>
    </row>
    <row r="15134">
      <c r="B15134" s="8"/>
      <c r="G15134" s="8"/>
      <c r="M15134" s="8"/>
    </row>
    <row r="15135">
      <c r="B15135" s="8"/>
      <c r="G15135" s="8"/>
      <c r="M15135" s="8"/>
    </row>
    <row r="15136">
      <c r="B15136" s="8"/>
      <c r="G15136" s="8"/>
      <c r="M15136" s="8"/>
    </row>
    <row r="15137">
      <c r="B15137" s="8"/>
      <c r="G15137" s="8"/>
      <c r="M15137" s="8"/>
    </row>
    <row r="15138">
      <c r="B15138" s="8"/>
      <c r="G15138" s="8"/>
      <c r="M15138" s="8"/>
    </row>
    <row r="15139">
      <c r="B15139" s="8"/>
      <c r="G15139" s="8"/>
      <c r="M15139" s="8"/>
    </row>
    <row r="15140">
      <c r="B15140" s="8"/>
      <c r="G15140" s="8"/>
      <c r="M15140" s="8"/>
    </row>
    <row r="15141">
      <c r="B15141" s="8"/>
      <c r="G15141" s="8"/>
      <c r="M15141" s="8"/>
    </row>
    <row r="15142">
      <c r="B15142" s="8"/>
      <c r="G15142" s="8"/>
      <c r="M15142" s="8"/>
    </row>
    <row r="15143">
      <c r="B15143" s="8"/>
      <c r="G15143" s="8"/>
      <c r="M15143" s="8"/>
    </row>
    <row r="15144">
      <c r="B15144" s="8"/>
      <c r="G15144" s="8"/>
      <c r="M15144" s="8"/>
    </row>
    <row r="15145">
      <c r="B15145" s="8"/>
      <c r="G15145" s="8"/>
      <c r="M15145" s="8"/>
    </row>
    <row r="15146">
      <c r="B15146" s="8"/>
      <c r="G15146" s="8"/>
      <c r="M15146" s="8"/>
    </row>
    <row r="15147">
      <c r="B15147" s="8"/>
      <c r="G15147" s="8"/>
      <c r="M15147" s="8"/>
    </row>
    <row r="15148">
      <c r="B15148" s="8"/>
      <c r="G15148" s="8"/>
      <c r="M15148" s="8"/>
    </row>
    <row r="15149">
      <c r="B15149" s="8"/>
      <c r="G15149" s="8"/>
      <c r="M15149" s="8"/>
    </row>
    <row r="15150">
      <c r="B15150" s="8"/>
      <c r="G15150" s="8"/>
      <c r="M15150" s="8"/>
    </row>
    <row r="15151">
      <c r="B15151" s="8"/>
      <c r="G15151" s="8"/>
      <c r="M15151" s="8"/>
    </row>
    <row r="15152">
      <c r="B15152" s="8"/>
      <c r="G15152" s="8"/>
      <c r="M15152" s="8"/>
    </row>
    <row r="15153">
      <c r="B15153" s="8"/>
      <c r="G15153" s="8"/>
      <c r="M15153" s="8"/>
    </row>
    <row r="15154">
      <c r="B15154" s="8"/>
      <c r="G15154" s="8"/>
      <c r="M15154" s="8"/>
    </row>
    <row r="15155">
      <c r="B15155" s="8"/>
      <c r="G15155" s="8"/>
      <c r="M15155" s="8"/>
    </row>
    <row r="15156">
      <c r="B15156" s="8"/>
      <c r="G15156" s="8"/>
      <c r="M15156" s="8"/>
    </row>
    <row r="15157">
      <c r="B15157" s="8"/>
      <c r="G15157" s="8"/>
      <c r="M15157" s="8"/>
    </row>
    <row r="15158">
      <c r="B15158" s="8"/>
      <c r="G15158" s="8"/>
      <c r="M15158" s="8"/>
    </row>
    <row r="15159">
      <c r="B15159" s="8"/>
      <c r="G15159" s="8"/>
      <c r="M15159" s="8"/>
    </row>
    <row r="15160">
      <c r="B15160" s="8"/>
      <c r="G15160" s="8"/>
      <c r="M15160" s="8"/>
    </row>
    <row r="15161">
      <c r="B15161" s="8"/>
      <c r="G15161" s="8"/>
      <c r="M15161" s="8"/>
    </row>
    <row r="15162">
      <c r="B15162" s="8"/>
      <c r="G15162" s="8"/>
      <c r="M15162" s="8"/>
    </row>
    <row r="15163">
      <c r="B15163" s="8"/>
      <c r="G15163" s="8"/>
      <c r="M15163" s="8"/>
    </row>
    <row r="15164">
      <c r="B15164" s="8"/>
      <c r="G15164" s="8"/>
      <c r="M15164" s="8"/>
    </row>
    <row r="15165">
      <c r="B15165" s="8"/>
      <c r="G15165" s="8"/>
      <c r="M15165" s="8"/>
    </row>
    <row r="15166">
      <c r="B15166" s="8"/>
      <c r="G15166" s="8"/>
      <c r="M15166" s="8"/>
    </row>
    <row r="15167">
      <c r="B15167" s="8"/>
      <c r="G15167" s="8"/>
      <c r="M15167" s="8"/>
    </row>
    <row r="15168">
      <c r="B15168" s="8"/>
      <c r="G15168" s="8"/>
      <c r="M15168" s="8"/>
    </row>
    <row r="15169">
      <c r="B15169" s="8"/>
      <c r="G15169" s="8"/>
      <c r="M15169" s="8"/>
    </row>
    <row r="15170">
      <c r="B15170" s="8"/>
      <c r="G15170" s="8"/>
      <c r="M15170" s="8"/>
    </row>
    <row r="15171">
      <c r="B15171" s="8"/>
      <c r="G15171" s="8"/>
      <c r="M15171" s="8"/>
    </row>
    <row r="15172">
      <c r="B15172" s="8"/>
      <c r="G15172" s="8"/>
      <c r="M15172" s="8"/>
    </row>
    <row r="15173">
      <c r="B15173" s="8"/>
      <c r="G15173" s="8"/>
      <c r="M15173" s="8"/>
    </row>
    <row r="15174">
      <c r="B15174" s="8"/>
      <c r="G15174" s="8"/>
      <c r="M15174" s="8"/>
    </row>
    <row r="15175">
      <c r="B15175" s="8"/>
      <c r="G15175" s="8"/>
      <c r="M15175" s="8"/>
    </row>
    <row r="15176">
      <c r="B15176" s="8"/>
      <c r="G15176" s="8"/>
      <c r="M15176" s="8"/>
    </row>
    <row r="15177">
      <c r="B15177" s="8"/>
      <c r="G15177" s="8"/>
      <c r="M15177" s="8"/>
    </row>
    <row r="15178">
      <c r="B15178" s="8"/>
      <c r="G15178" s="8"/>
      <c r="M15178" s="8"/>
    </row>
    <row r="15179">
      <c r="B15179" s="8"/>
      <c r="G15179" s="8"/>
      <c r="M15179" s="8"/>
    </row>
    <row r="15180">
      <c r="B15180" s="8"/>
      <c r="G15180" s="8"/>
      <c r="M15180" s="8"/>
    </row>
    <row r="15181">
      <c r="B15181" s="8"/>
      <c r="G15181" s="8"/>
      <c r="M15181" s="8"/>
    </row>
    <row r="15182">
      <c r="B15182" s="8"/>
      <c r="G15182" s="8"/>
      <c r="M15182" s="8"/>
    </row>
    <row r="15183">
      <c r="B15183" s="8"/>
      <c r="G15183" s="8"/>
      <c r="M15183" s="8"/>
    </row>
    <row r="15184">
      <c r="B15184" s="8"/>
      <c r="G15184" s="8"/>
      <c r="M15184" s="8"/>
    </row>
    <row r="15185">
      <c r="B15185" s="8"/>
      <c r="G15185" s="8"/>
      <c r="M15185" s="8"/>
    </row>
    <row r="15186">
      <c r="B15186" s="8"/>
      <c r="G15186" s="8"/>
      <c r="M15186" s="8"/>
    </row>
    <row r="15187">
      <c r="B15187" s="8"/>
      <c r="G15187" s="8"/>
      <c r="M15187" s="8"/>
    </row>
    <row r="15188">
      <c r="B15188" s="8"/>
      <c r="G15188" s="8"/>
      <c r="M15188" s="8"/>
    </row>
    <row r="15189">
      <c r="B15189" s="8"/>
      <c r="G15189" s="8"/>
      <c r="M15189" s="8"/>
    </row>
    <row r="15190">
      <c r="B15190" s="8"/>
      <c r="G15190" s="8"/>
      <c r="M15190" s="8"/>
    </row>
    <row r="15191">
      <c r="B15191" s="8"/>
      <c r="G15191" s="8"/>
      <c r="M15191" s="8"/>
    </row>
    <row r="15192">
      <c r="B15192" s="8"/>
      <c r="G15192" s="8"/>
      <c r="M15192" s="8"/>
    </row>
    <row r="15193">
      <c r="B15193" s="8"/>
      <c r="G15193" s="8"/>
      <c r="M15193" s="8"/>
    </row>
    <row r="15194">
      <c r="B15194" s="8"/>
      <c r="G15194" s="8"/>
      <c r="M15194" s="8"/>
    </row>
    <row r="15195">
      <c r="B15195" s="8"/>
      <c r="G15195" s="8"/>
      <c r="M15195" s="8"/>
    </row>
    <row r="15196">
      <c r="B15196" s="8"/>
      <c r="G15196" s="8"/>
      <c r="M15196" s="8"/>
    </row>
    <row r="15197">
      <c r="B15197" s="8"/>
      <c r="G15197" s="8"/>
      <c r="M15197" s="8"/>
    </row>
    <row r="15198">
      <c r="B15198" s="8"/>
      <c r="G15198" s="8"/>
      <c r="M15198" s="8"/>
    </row>
    <row r="15199">
      <c r="B15199" s="8"/>
      <c r="G15199" s="8"/>
      <c r="M15199" s="8"/>
    </row>
    <row r="15200">
      <c r="B15200" s="8"/>
      <c r="G15200" s="8"/>
      <c r="M15200" s="8"/>
    </row>
    <row r="15201">
      <c r="B15201" s="8"/>
      <c r="G15201" s="8"/>
      <c r="M15201" s="8"/>
    </row>
    <row r="15202">
      <c r="B15202" s="8"/>
      <c r="G15202" s="8"/>
      <c r="M15202" s="8"/>
    </row>
    <row r="15203">
      <c r="B15203" s="8"/>
      <c r="G15203" s="8"/>
      <c r="M15203" s="8"/>
    </row>
    <row r="15204">
      <c r="B15204" s="8"/>
      <c r="G15204" s="8"/>
      <c r="M15204" s="8"/>
    </row>
    <row r="15205">
      <c r="B15205" s="8"/>
      <c r="G15205" s="8"/>
      <c r="M15205" s="8"/>
    </row>
    <row r="15206">
      <c r="B15206" s="8"/>
      <c r="G15206" s="8"/>
      <c r="M15206" s="8"/>
    </row>
    <row r="15207">
      <c r="B15207" s="8"/>
      <c r="G15207" s="8"/>
      <c r="M15207" s="8"/>
    </row>
    <row r="15208">
      <c r="B15208" s="8"/>
      <c r="G15208" s="8"/>
      <c r="M15208" s="8"/>
    </row>
    <row r="15209">
      <c r="B15209" s="8"/>
      <c r="G15209" s="8"/>
      <c r="M15209" s="8"/>
    </row>
    <row r="15210">
      <c r="B15210" s="8"/>
      <c r="G15210" s="8"/>
      <c r="M15210" s="8"/>
    </row>
    <row r="15211">
      <c r="B15211" s="8"/>
      <c r="G15211" s="8"/>
      <c r="M15211" s="8"/>
    </row>
    <row r="15212">
      <c r="B15212" s="8"/>
      <c r="G15212" s="8"/>
      <c r="M15212" s="8"/>
    </row>
    <row r="15213">
      <c r="B15213" s="8"/>
      <c r="G15213" s="8"/>
      <c r="M15213" s="8"/>
    </row>
    <row r="15214">
      <c r="B15214" s="8"/>
      <c r="G15214" s="8"/>
      <c r="M15214" s="8"/>
    </row>
    <row r="15215">
      <c r="B15215" s="8"/>
      <c r="G15215" s="8"/>
      <c r="M15215" s="8"/>
    </row>
    <row r="15216">
      <c r="B15216" s="8"/>
      <c r="G15216" s="8"/>
      <c r="M15216" s="8"/>
    </row>
    <row r="15217">
      <c r="B15217" s="8"/>
      <c r="G15217" s="8"/>
      <c r="M15217" s="8"/>
    </row>
    <row r="15218">
      <c r="B15218" s="8"/>
      <c r="G15218" s="8"/>
      <c r="M15218" s="8"/>
    </row>
    <row r="15219">
      <c r="B15219" s="8"/>
      <c r="G15219" s="8"/>
      <c r="M15219" s="8"/>
    </row>
    <row r="15220">
      <c r="B15220" s="8"/>
      <c r="G15220" s="8"/>
      <c r="M15220" s="8"/>
    </row>
    <row r="15221">
      <c r="B15221" s="8"/>
      <c r="G15221" s="8"/>
      <c r="M15221" s="8"/>
    </row>
    <row r="15222">
      <c r="B15222" s="8"/>
      <c r="G15222" s="8"/>
      <c r="M15222" s="8"/>
    </row>
    <row r="15223">
      <c r="B15223" s="8"/>
      <c r="G15223" s="8"/>
      <c r="M15223" s="8"/>
    </row>
    <row r="15224">
      <c r="B15224" s="8"/>
      <c r="G15224" s="8"/>
      <c r="M15224" s="8"/>
    </row>
    <row r="15225">
      <c r="B15225" s="8"/>
      <c r="G15225" s="8"/>
      <c r="M15225" s="8"/>
    </row>
    <row r="15226">
      <c r="B15226" s="8"/>
      <c r="G15226" s="8"/>
      <c r="M15226" s="8"/>
    </row>
    <row r="15227">
      <c r="B15227" s="8"/>
      <c r="G15227" s="8"/>
      <c r="M15227" s="8"/>
    </row>
    <row r="15228">
      <c r="B15228" s="8"/>
      <c r="G15228" s="8"/>
      <c r="M15228" s="8"/>
    </row>
    <row r="15229">
      <c r="B15229" s="8"/>
      <c r="G15229" s="8"/>
      <c r="M15229" s="8"/>
    </row>
    <row r="15230">
      <c r="B15230" s="8"/>
      <c r="G15230" s="8"/>
      <c r="M15230" s="8"/>
    </row>
    <row r="15231">
      <c r="B15231" s="8"/>
      <c r="G15231" s="8"/>
      <c r="M15231" s="8"/>
    </row>
    <row r="15232">
      <c r="B15232" s="8"/>
      <c r="G15232" s="8"/>
      <c r="M15232" s="8"/>
    </row>
    <row r="15233">
      <c r="B15233" s="8"/>
      <c r="G15233" s="8"/>
      <c r="M15233" s="8"/>
    </row>
    <row r="15234">
      <c r="B15234" s="8"/>
      <c r="G15234" s="8"/>
      <c r="M15234" s="8"/>
    </row>
    <row r="15235">
      <c r="B15235" s="8"/>
      <c r="G15235" s="8"/>
      <c r="M15235" s="8"/>
    </row>
    <row r="15236">
      <c r="B15236" s="8"/>
      <c r="G15236" s="8"/>
      <c r="M15236" s="8"/>
    </row>
    <row r="15237">
      <c r="B15237" s="8"/>
      <c r="G15237" s="8"/>
      <c r="M15237" s="8"/>
    </row>
    <row r="15238">
      <c r="B15238" s="8"/>
      <c r="G15238" s="8"/>
      <c r="M15238" s="8"/>
    </row>
    <row r="15239">
      <c r="B15239" s="8"/>
      <c r="G15239" s="8"/>
      <c r="M15239" s="8"/>
    </row>
    <row r="15240">
      <c r="B15240" s="8"/>
      <c r="G15240" s="8"/>
      <c r="M15240" s="8"/>
    </row>
    <row r="15241">
      <c r="B15241" s="8"/>
      <c r="G15241" s="8"/>
      <c r="M15241" s="8"/>
    </row>
    <row r="15242">
      <c r="B15242" s="8"/>
      <c r="G15242" s="8"/>
      <c r="M15242" s="8"/>
    </row>
    <row r="15243">
      <c r="B15243" s="8"/>
      <c r="G15243" s="8"/>
      <c r="M15243" s="8"/>
    </row>
    <row r="15244">
      <c r="B15244" s="8"/>
      <c r="G15244" s="8"/>
      <c r="M15244" s="8"/>
    </row>
    <row r="15245">
      <c r="B15245" s="8"/>
      <c r="G15245" s="8"/>
      <c r="M15245" s="8"/>
    </row>
    <row r="15246">
      <c r="B15246" s="8"/>
      <c r="G15246" s="8"/>
      <c r="M15246" s="8"/>
    </row>
    <row r="15247">
      <c r="B15247" s="8"/>
      <c r="G15247" s="8"/>
      <c r="M15247" s="8"/>
    </row>
    <row r="15248">
      <c r="B15248" s="8"/>
      <c r="G15248" s="8"/>
      <c r="M15248" s="8"/>
    </row>
    <row r="15249">
      <c r="B15249" s="8"/>
      <c r="G15249" s="8"/>
      <c r="M15249" s="8"/>
    </row>
    <row r="15250">
      <c r="B15250" s="8"/>
      <c r="G15250" s="8"/>
      <c r="M15250" s="8"/>
    </row>
    <row r="15251">
      <c r="B15251" s="8"/>
      <c r="G15251" s="8"/>
      <c r="M15251" s="8"/>
    </row>
    <row r="15252">
      <c r="B15252" s="8"/>
      <c r="G15252" s="8"/>
      <c r="M15252" s="8"/>
    </row>
    <row r="15253">
      <c r="B15253" s="8"/>
      <c r="G15253" s="8"/>
      <c r="M15253" s="8"/>
    </row>
    <row r="15254">
      <c r="B15254" s="8"/>
      <c r="G15254" s="8"/>
      <c r="M15254" s="8"/>
    </row>
    <row r="15255">
      <c r="B15255" s="8"/>
      <c r="G15255" s="8"/>
      <c r="M15255" s="8"/>
    </row>
    <row r="15256">
      <c r="B15256" s="8"/>
      <c r="G15256" s="8"/>
      <c r="M15256" s="8"/>
    </row>
    <row r="15257">
      <c r="B15257" s="8"/>
      <c r="G15257" s="8"/>
      <c r="M15257" s="8"/>
    </row>
    <row r="15258">
      <c r="B15258" s="8"/>
      <c r="G15258" s="8"/>
      <c r="M15258" s="8"/>
    </row>
    <row r="15259">
      <c r="B15259" s="8"/>
      <c r="G15259" s="8"/>
      <c r="M15259" s="8"/>
    </row>
    <row r="15260">
      <c r="B15260" s="8"/>
      <c r="G15260" s="8"/>
      <c r="M15260" s="8"/>
    </row>
    <row r="15261">
      <c r="B15261" s="8"/>
      <c r="G15261" s="8"/>
      <c r="M15261" s="8"/>
    </row>
    <row r="15262">
      <c r="B15262" s="8"/>
      <c r="G15262" s="8"/>
      <c r="M15262" s="8"/>
    </row>
    <row r="15263">
      <c r="B15263" s="8"/>
      <c r="G15263" s="8"/>
      <c r="M15263" s="8"/>
    </row>
    <row r="15264">
      <c r="B15264" s="8"/>
      <c r="G15264" s="8"/>
      <c r="M15264" s="8"/>
    </row>
    <row r="15265">
      <c r="B15265" s="8"/>
      <c r="G15265" s="8"/>
      <c r="M15265" s="8"/>
    </row>
    <row r="15266">
      <c r="B15266" s="8"/>
      <c r="G15266" s="8"/>
      <c r="M15266" s="8"/>
    </row>
    <row r="15267">
      <c r="B15267" s="8"/>
      <c r="G15267" s="8"/>
      <c r="M15267" s="8"/>
    </row>
    <row r="15268">
      <c r="B15268" s="8"/>
      <c r="G15268" s="8"/>
      <c r="M15268" s="8"/>
    </row>
    <row r="15269">
      <c r="B15269" s="8"/>
      <c r="G15269" s="8"/>
      <c r="M15269" s="8"/>
    </row>
    <row r="15270">
      <c r="B15270" s="8"/>
      <c r="G15270" s="8"/>
      <c r="M15270" s="8"/>
    </row>
    <row r="15271">
      <c r="B15271" s="8"/>
      <c r="G15271" s="8"/>
      <c r="M15271" s="8"/>
    </row>
    <row r="15272">
      <c r="B15272" s="8"/>
      <c r="G15272" s="8"/>
      <c r="M15272" s="8"/>
    </row>
    <row r="15273">
      <c r="B15273" s="8"/>
      <c r="G15273" s="8"/>
      <c r="M15273" s="8"/>
    </row>
    <row r="15274">
      <c r="B15274" s="8"/>
      <c r="G15274" s="8"/>
      <c r="M15274" s="8"/>
    </row>
    <row r="15275">
      <c r="B15275" s="8"/>
      <c r="G15275" s="8"/>
      <c r="M15275" s="8"/>
    </row>
    <row r="15276">
      <c r="B15276" s="8"/>
      <c r="G15276" s="8"/>
      <c r="M15276" s="8"/>
    </row>
    <row r="15277">
      <c r="B15277" s="8"/>
      <c r="G15277" s="8"/>
      <c r="M15277" s="8"/>
    </row>
    <row r="15278">
      <c r="B15278" s="8"/>
      <c r="G15278" s="8"/>
      <c r="M15278" s="8"/>
    </row>
    <row r="15279">
      <c r="B15279" s="8"/>
      <c r="G15279" s="8"/>
      <c r="M15279" s="8"/>
    </row>
    <row r="15280">
      <c r="B15280" s="8"/>
      <c r="G15280" s="8"/>
      <c r="M15280" s="8"/>
    </row>
    <row r="15281">
      <c r="B15281" s="8"/>
      <c r="G15281" s="8"/>
      <c r="M15281" s="8"/>
    </row>
    <row r="15282">
      <c r="B15282" s="8"/>
      <c r="G15282" s="8"/>
      <c r="M15282" s="8"/>
    </row>
    <row r="15283">
      <c r="B15283" s="8"/>
      <c r="G15283" s="8"/>
      <c r="M15283" s="8"/>
    </row>
    <row r="15284">
      <c r="B15284" s="8"/>
      <c r="G15284" s="8"/>
      <c r="M15284" s="8"/>
    </row>
    <row r="15285">
      <c r="B15285" s="8"/>
      <c r="G15285" s="8"/>
      <c r="M15285" s="8"/>
    </row>
    <row r="15286">
      <c r="B15286" s="8"/>
      <c r="G15286" s="8"/>
      <c r="M15286" s="8"/>
    </row>
    <row r="15287">
      <c r="B15287" s="8"/>
      <c r="G15287" s="8"/>
      <c r="M15287" s="8"/>
    </row>
    <row r="15288">
      <c r="B15288" s="8"/>
      <c r="G15288" s="8"/>
      <c r="M15288" s="8"/>
    </row>
    <row r="15289">
      <c r="B15289" s="8"/>
      <c r="G15289" s="8"/>
      <c r="M15289" s="8"/>
    </row>
    <row r="15290">
      <c r="B15290" s="8"/>
      <c r="G15290" s="8"/>
      <c r="M15290" s="8"/>
    </row>
    <row r="15291">
      <c r="B15291" s="8"/>
      <c r="G15291" s="8"/>
      <c r="M15291" s="8"/>
    </row>
    <row r="15292">
      <c r="B15292" s="8"/>
      <c r="G15292" s="8"/>
      <c r="M15292" s="8"/>
    </row>
    <row r="15293">
      <c r="B15293" s="8"/>
      <c r="G15293" s="8"/>
      <c r="M15293" s="8"/>
    </row>
    <row r="15294">
      <c r="B15294" s="8"/>
      <c r="G15294" s="8"/>
      <c r="M15294" s="8"/>
    </row>
    <row r="15295">
      <c r="B15295" s="8"/>
      <c r="G15295" s="8"/>
      <c r="M15295" s="8"/>
    </row>
    <row r="15296">
      <c r="B15296" s="8"/>
      <c r="G15296" s="8"/>
      <c r="M15296" s="8"/>
    </row>
    <row r="15297">
      <c r="B15297" s="8"/>
      <c r="G15297" s="8"/>
      <c r="M15297" s="8"/>
    </row>
    <row r="15298">
      <c r="B15298" s="8"/>
      <c r="G15298" s="8"/>
      <c r="M15298" s="8"/>
    </row>
    <row r="15299">
      <c r="B15299" s="8"/>
      <c r="G15299" s="8"/>
      <c r="M15299" s="8"/>
    </row>
    <row r="15300">
      <c r="B15300" s="8"/>
      <c r="G15300" s="8"/>
      <c r="M15300" s="8"/>
    </row>
    <row r="15301">
      <c r="B15301" s="8"/>
      <c r="G15301" s="8"/>
      <c r="M15301" s="8"/>
    </row>
    <row r="15302">
      <c r="B15302" s="8"/>
      <c r="G15302" s="8"/>
      <c r="M15302" s="8"/>
    </row>
    <row r="15303">
      <c r="B15303" s="8"/>
      <c r="G15303" s="8"/>
      <c r="M15303" s="8"/>
    </row>
    <row r="15304">
      <c r="B15304" s="8"/>
      <c r="G15304" s="8"/>
      <c r="M15304" s="8"/>
    </row>
    <row r="15305">
      <c r="B15305" s="8"/>
      <c r="G15305" s="8"/>
      <c r="M15305" s="8"/>
    </row>
    <row r="15306">
      <c r="B15306" s="8"/>
      <c r="G15306" s="8"/>
      <c r="M15306" s="8"/>
    </row>
    <row r="15307">
      <c r="B15307" s="8"/>
      <c r="G15307" s="8"/>
      <c r="M15307" s="8"/>
    </row>
    <row r="15308">
      <c r="B15308" s="8"/>
      <c r="G15308" s="8"/>
      <c r="M15308" s="8"/>
    </row>
    <row r="15309">
      <c r="B15309" s="8"/>
      <c r="G15309" s="8"/>
      <c r="M15309" s="8"/>
    </row>
    <row r="15310">
      <c r="B15310" s="8"/>
      <c r="G15310" s="8"/>
      <c r="M15310" s="8"/>
    </row>
    <row r="15311">
      <c r="B15311" s="8"/>
      <c r="G15311" s="8"/>
      <c r="M15311" s="8"/>
    </row>
    <row r="15312">
      <c r="B15312" s="8"/>
      <c r="G15312" s="8"/>
      <c r="M15312" s="8"/>
    </row>
    <row r="15313">
      <c r="B15313" s="8"/>
      <c r="G15313" s="8"/>
      <c r="M15313" s="8"/>
    </row>
    <row r="15314">
      <c r="B15314" s="8"/>
      <c r="G15314" s="8"/>
      <c r="M15314" s="8"/>
    </row>
    <row r="15315">
      <c r="B15315" s="8"/>
      <c r="G15315" s="8"/>
      <c r="M15315" s="8"/>
    </row>
    <row r="15316">
      <c r="B15316" s="8"/>
      <c r="G15316" s="8"/>
      <c r="M15316" s="8"/>
    </row>
    <row r="15317">
      <c r="B15317" s="8"/>
      <c r="G15317" s="8"/>
      <c r="M15317" s="8"/>
    </row>
    <row r="15318">
      <c r="B15318" s="8"/>
      <c r="G15318" s="8"/>
      <c r="M15318" s="8"/>
    </row>
    <row r="15319">
      <c r="B15319" s="8"/>
      <c r="G15319" s="8"/>
      <c r="M15319" s="8"/>
    </row>
    <row r="15320">
      <c r="B15320" s="8"/>
      <c r="G15320" s="8"/>
      <c r="M15320" s="8"/>
    </row>
    <row r="15321">
      <c r="B15321" s="8"/>
      <c r="G15321" s="8"/>
      <c r="M15321" s="8"/>
    </row>
    <row r="15322">
      <c r="B15322" s="8"/>
      <c r="G15322" s="8"/>
      <c r="M15322" s="8"/>
    </row>
    <row r="15323">
      <c r="B15323" s="8"/>
      <c r="G15323" s="8"/>
      <c r="M15323" s="8"/>
    </row>
    <row r="15324">
      <c r="B15324" s="8"/>
      <c r="G15324" s="8"/>
      <c r="M15324" s="8"/>
    </row>
    <row r="15325">
      <c r="B15325" s="8"/>
      <c r="G15325" s="8"/>
      <c r="M15325" s="8"/>
    </row>
    <row r="15326">
      <c r="B15326" s="8"/>
      <c r="G15326" s="8"/>
      <c r="M15326" s="8"/>
    </row>
    <row r="15327">
      <c r="B15327" s="8"/>
      <c r="G15327" s="8"/>
      <c r="M15327" s="8"/>
    </row>
    <row r="15328">
      <c r="B15328" s="8"/>
      <c r="G15328" s="8"/>
      <c r="M15328" s="8"/>
    </row>
    <row r="15329">
      <c r="B15329" s="8"/>
      <c r="G15329" s="8"/>
      <c r="M15329" s="8"/>
    </row>
    <row r="15330">
      <c r="B15330" s="8"/>
      <c r="G15330" s="8"/>
      <c r="M15330" s="8"/>
    </row>
    <row r="15331">
      <c r="B15331" s="8"/>
      <c r="G15331" s="8"/>
      <c r="M15331" s="8"/>
    </row>
    <row r="15332">
      <c r="B15332" s="8"/>
      <c r="G15332" s="8"/>
      <c r="M15332" s="8"/>
    </row>
    <row r="15333">
      <c r="B15333" s="8"/>
      <c r="G15333" s="8"/>
      <c r="M15333" s="8"/>
    </row>
    <row r="15334">
      <c r="B15334" s="8"/>
      <c r="G15334" s="8"/>
      <c r="M15334" s="8"/>
    </row>
    <row r="15335">
      <c r="B15335" s="8"/>
      <c r="G15335" s="8"/>
      <c r="M15335" s="8"/>
    </row>
    <row r="15336">
      <c r="B15336" s="8"/>
      <c r="G15336" s="8"/>
      <c r="M15336" s="8"/>
    </row>
    <row r="15337">
      <c r="B15337" s="8"/>
      <c r="G15337" s="8"/>
      <c r="M15337" s="8"/>
    </row>
    <row r="15338">
      <c r="B15338" s="8"/>
      <c r="G15338" s="8"/>
      <c r="M15338" s="8"/>
    </row>
    <row r="15339">
      <c r="B15339" s="8"/>
      <c r="G15339" s="8"/>
      <c r="M15339" s="8"/>
    </row>
    <row r="15340">
      <c r="B15340" s="8"/>
      <c r="G15340" s="8"/>
      <c r="M15340" s="8"/>
    </row>
    <row r="15341">
      <c r="B15341" s="8"/>
      <c r="G15341" s="8"/>
      <c r="M15341" s="8"/>
    </row>
    <row r="15342">
      <c r="B15342" s="8"/>
      <c r="G15342" s="8"/>
      <c r="M15342" s="8"/>
    </row>
    <row r="15343">
      <c r="B15343" s="8"/>
      <c r="G15343" s="8"/>
      <c r="M15343" s="8"/>
    </row>
    <row r="15344">
      <c r="B15344" s="8"/>
      <c r="G15344" s="8"/>
      <c r="M15344" s="8"/>
    </row>
    <row r="15345">
      <c r="B15345" s="8"/>
      <c r="G15345" s="8"/>
      <c r="M15345" s="8"/>
    </row>
    <row r="15346">
      <c r="B15346" s="8"/>
      <c r="G15346" s="8"/>
      <c r="M15346" s="8"/>
    </row>
    <row r="15347">
      <c r="B15347" s="8"/>
      <c r="G15347" s="8"/>
      <c r="M15347" s="8"/>
    </row>
    <row r="15348">
      <c r="B15348" s="8"/>
      <c r="G15348" s="8"/>
      <c r="M15348" s="8"/>
    </row>
    <row r="15349">
      <c r="B15349" s="8"/>
      <c r="G15349" s="8"/>
      <c r="M15349" s="8"/>
    </row>
    <row r="15350">
      <c r="B15350" s="8"/>
      <c r="G15350" s="8"/>
      <c r="M15350" s="8"/>
    </row>
    <row r="15351">
      <c r="B15351" s="8"/>
      <c r="G15351" s="8"/>
      <c r="M15351" s="8"/>
    </row>
    <row r="15352">
      <c r="B15352" s="8"/>
      <c r="G15352" s="8"/>
      <c r="M15352" s="8"/>
    </row>
    <row r="15353">
      <c r="B15353" s="8"/>
      <c r="G15353" s="8"/>
      <c r="M15353" s="8"/>
    </row>
    <row r="15354">
      <c r="B15354" s="8"/>
      <c r="G15354" s="8"/>
      <c r="M15354" s="8"/>
    </row>
    <row r="15355">
      <c r="B15355" s="8"/>
      <c r="G15355" s="8"/>
      <c r="M15355" s="8"/>
    </row>
    <row r="15356">
      <c r="B15356" s="8"/>
      <c r="G15356" s="8"/>
      <c r="M15356" s="8"/>
    </row>
    <row r="15357">
      <c r="B15357" s="8"/>
      <c r="G15357" s="8"/>
      <c r="M15357" s="8"/>
    </row>
    <row r="15358">
      <c r="B15358" s="8"/>
      <c r="G15358" s="8"/>
      <c r="M15358" s="8"/>
    </row>
    <row r="15359">
      <c r="B15359" s="8"/>
      <c r="G15359" s="8"/>
      <c r="M15359" s="8"/>
    </row>
    <row r="15360">
      <c r="B15360" s="8"/>
      <c r="G15360" s="8"/>
      <c r="M15360" s="8"/>
    </row>
    <row r="15361">
      <c r="B15361" s="8"/>
      <c r="G15361" s="8"/>
      <c r="M15361" s="8"/>
    </row>
    <row r="15362">
      <c r="B15362" s="8"/>
      <c r="G15362" s="8"/>
      <c r="M15362" s="8"/>
    </row>
    <row r="15363">
      <c r="B15363" s="8"/>
      <c r="G15363" s="8"/>
      <c r="M15363" s="8"/>
    </row>
    <row r="15364">
      <c r="B15364" s="8"/>
      <c r="G15364" s="8"/>
      <c r="M15364" s="8"/>
    </row>
    <row r="15365">
      <c r="B15365" s="8"/>
      <c r="G15365" s="8"/>
      <c r="M15365" s="8"/>
    </row>
    <row r="15366">
      <c r="B15366" s="8"/>
      <c r="G15366" s="8"/>
      <c r="M15366" s="8"/>
    </row>
    <row r="15367">
      <c r="B15367" s="8"/>
      <c r="G15367" s="8"/>
      <c r="M15367" s="8"/>
    </row>
    <row r="15368">
      <c r="B15368" s="8"/>
      <c r="G15368" s="8"/>
      <c r="M15368" s="8"/>
    </row>
    <row r="15369">
      <c r="B15369" s="8"/>
      <c r="G15369" s="8"/>
      <c r="M15369" s="8"/>
    </row>
    <row r="15370">
      <c r="B15370" s="8"/>
      <c r="G15370" s="8"/>
      <c r="M15370" s="8"/>
    </row>
    <row r="15371">
      <c r="B15371" s="8"/>
      <c r="G15371" s="8"/>
      <c r="M15371" s="8"/>
    </row>
    <row r="15372">
      <c r="B15372" s="8"/>
      <c r="G15372" s="8"/>
      <c r="M15372" s="8"/>
    </row>
    <row r="15373">
      <c r="B15373" s="8"/>
      <c r="G15373" s="8"/>
      <c r="M15373" s="8"/>
    </row>
    <row r="15374">
      <c r="B15374" s="8"/>
      <c r="G15374" s="8"/>
      <c r="M15374" s="8"/>
    </row>
    <row r="15375">
      <c r="B15375" s="8"/>
      <c r="G15375" s="8"/>
      <c r="M15375" s="8"/>
    </row>
    <row r="15376">
      <c r="B15376" s="8"/>
      <c r="G15376" s="8"/>
      <c r="M15376" s="8"/>
    </row>
    <row r="15377">
      <c r="B15377" s="8"/>
      <c r="G15377" s="8"/>
      <c r="M15377" s="8"/>
    </row>
    <row r="15378">
      <c r="B15378" s="8"/>
      <c r="G15378" s="8"/>
      <c r="M15378" s="8"/>
    </row>
    <row r="15379">
      <c r="B15379" s="8"/>
      <c r="G15379" s="8"/>
      <c r="M15379" s="8"/>
    </row>
    <row r="15380">
      <c r="B15380" s="8"/>
      <c r="G15380" s="8"/>
      <c r="M15380" s="8"/>
    </row>
    <row r="15381">
      <c r="B15381" s="8"/>
      <c r="G15381" s="8"/>
      <c r="M15381" s="8"/>
    </row>
    <row r="15382">
      <c r="B15382" s="8"/>
      <c r="G15382" s="8"/>
      <c r="M15382" s="8"/>
    </row>
    <row r="15383">
      <c r="B15383" s="8"/>
      <c r="G15383" s="8"/>
      <c r="M15383" s="8"/>
    </row>
    <row r="15384">
      <c r="B15384" s="8"/>
      <c r="G15384" s="8"/>
      <c r="M15384" s="8"/>
    </row>
    <row r="15385">
      <c r="B15385" s="8"/>
      <c r="G15385" s="8"/>
      <c r="M15385" s="8"/>
    </row>
    <row r="15386">
      <c r="B15386" s="8"/>
      <c r="G15386" s="8"/>
      <c r="M15386" s="8"/>
    </row>
    <row r="15387">
      <c r="B15387" s="8"/>
      <c r="G15387" s="8"/>
      <c r="M15387" s="8"/>
    </row>
    <row r="15388">
      <c r="B15388" s="8"/>
      <c r="G15388" s="8"/>
      <c r="M15388" s="8"/>
    </row>
    <row r="15389">
      <c r="B15389" s="8"/>
      <c r="G15389" s="8"/>
      <c r="M15389" s="8"/>
    </row>
    <row r="15390">
      <c r="B15390" s="8"/>
      <c r="G15390" s="8"/>
      <c r="M15390" s="8"/>
    </row>
    <row r="15391">
      <c r="B15391" s="8"/>
      <c r="G15391" s="8"/>
      <c r="M15391" s="8"/>
    </row>
    <row r="15392">
      <c r="B15392" s="8"/>
      <c r="G15392" s="8"/>
      <c r="M15392" s="8"/>
    </row>
    <row r="15393">
      <c r="B15393" s="8"/>
      <c r="G15393" s="8"/>
      <c r="M15393" s="8"/>
    </row>
    <row r="15394">
      <c r="B15394" s="8"/>
      <c r="G15394" s="8"/>
      <c r="M15394" s="8"/>
    </row>
    <row r="15395">
      <c r="B15395" s="8"/>
      <c r="G15395" s="8"/>
      <c r="M15395" s="8"/>
    </row>
    <row r="15396">
      <c r="B15396" s="8"/>
      <c r="G15396" s="8"/>
      <c r="M15396" s="8"/>
    </row>
    <row r="15397">
      <c r="B15397" s="8"/>
      <c r="G15397" s="8"/>
      <c r="M15397" s="8"/>
    </row>
    <row r="15398">
      <c r="B15398" s="8"/>
      <c r="G15398" s="8"/>
      <c r="M15398" s="8"/>
    </row>
    <row r="15399">
      <c r="B15399" s="8"/>
      <c r="G15399" s="8"/>
      <c r="M15399" s="8"/>
    </row>
    <row r="15400">
      <c r="B15400" s="8"/>
      <c r="G15400" s="8"/>
      <c r="M15400" s="8"/>
    </row>
    <row r="15401">
      <c r="B15401" s="8"/>
      <c r="G15401" s="8"/>
      <c r="M15401" s="8"/>
    </row>
    <row r="15402">
      <c r="B15402" s="8"/>
      <c r="G15402" s="8"/>
      <c r="M15402" s="8"/>
    </row>
    <row r="15403">
      <c r="B15403" s="8"/>
      <c r="G15403" s="8"/>
      <c r="M15403" s="8"/>
    </row>
    <row r="15404">
      <c r="B15404" s="8"/>
      <c r="G15404" s="8"/>
      <c r="M15404" s="8"/>
    </row>
    <row r="15405">
      <c r="B15405" s="8"/>
      <c r="G15405" s="8"/>
      <c r="M15405" s="8"/>
    </row>
    <row r="15406">
      <c r="B15406" s="8"/>
      <c r="G15406" s="8"/>
      <c r="M15406" s="8"/>
    </row>
    <row r="15407">
      <c r="B15407" s="8"/>
      <c r="G15407" s="8"/>
      <c r="M15407" s="8"/>
    </row>
    <row r="15408">
      <c r="B15408" s="8"/>
      <c r="G15408" s="8"/>
      <c r="M15408" s="8"/>
    </row>
    <row r="15409">
      <c r="B15409" s="8"/>
      <c r="G15409" s="8"/>
      <c r="M15409" s="8"/>
    </row>
    <row r="15410">
      <c r="B15410" s="8"/>
      <c r="G15410" s="8"/>
      <c r="M15410" s="8"/>
    </row>
    <row r="15411">
      <c r="B15411" s="8"/>
      <c r="G15411" s="8"/>
      <c r="M15411" s="8"/>
    </row>
    <row r="15412">
      <c r="B15412" s="8"/>
      <c r="G15412" s="8"/>
      <c r="M15412" s="8"/>
    </row>
    <row r="15413">
      <c r="B15413" s="8"/>
      <c r="G15413" s="8"/>
      <c r="M15413" s="8"/>
    </row>
    <row r="15414">
      <c r="B15414" s="8"/>
      <c r="G15414" s="8"/>
      <c r="M15414" s="8"/>
    </row>
    <row r="15415">
      <c r="B15415" s="8"/>
      <c r="G15415" s="8"/>
      <c r="M15415" s="8"/>
    </row>
    <row r="15416">
      <c r="B15416" s="8"/>
      <c r="G15416" s="8"/>
      <c r="M15416" s="8"/>
    </row>
    <row r="15417">
      <c r="B15417" s="8"/>
      <c r="G15417" s="8"/>
      <c r="M15417" s="8"/>
    </row>
    <row r="15418">
      <c r="B15418" s="8"/>
      <c r="G15418" s="8"/>
      <c r="M15418" s="8"/>
    </row>
    <row r="15419">
      <c r="B15419" s="8"/>
      <c r="G15419" s="8"/>
      <c r="M15419" s="8"/>
    </row>
    <row r="15420">
      <c r="B15420" s="8"/>
      <c r="G15420" s="8"/>
      <c r="M15420" s="8"/>
    </row>
    <row r="15421">
      <c r="B15421" s="8"/>
      <c r="G15421" s="8"/>
      <c r="M15421" s="8"/>
    </row>
    <row r="15422">
      <c r="B15422" s="8"/>
      <c r="G15422" s="8"/>
      <c r="M15422" s="8"/>
    </row>
    <row r="15423">
      <c r="B15423" s="8"/>
      <c r="G15423" s="8"/>
      <c r="M15423" s="8"/>
    </row>
    <row r="15424">
      <c r="B15424" s="8"/>
      <c r="G15424" s="8"/>
      <c r="M15424" s="8"/>
    </row>
    <row r="15425">
      <c r="B15425" s="8"/>
      <c r="G15425" s="8"/>
      <c r="M15425" s="8"/>
    </row>
    <row r="15426">
      <c r="B15426" s="8"/>
      <c r="G15426" s="8"/>
      <c r="M15426" s="8"/>
    </row>
    <row r="15427">
      <c r="B15427" s="8"/>
      <c r="G15427" s="8"/>
      <c r="M15427" s="8"/>
    </row>
    <row r="15428">
      <c r="B15428" s="8"/>
      <c r="G15428" s="8"/>
      <c r="M15428" s="8"/>
    </row>
    <row r="15429">
      <c r="B15429" s="8"/>
      <c r="G15429" s="8"/>
      <c r="M15429" s="8"/>
    </row>
    <row r="15430">
      <c r="B15430" s="8"/>
      <c r="G15430" s="8"/>
      <c r="M15430" s="8"/>
    </row>
    <row r="15431">
      <c r="B15431" s="8"/>
      <c r="G15431" s="8"/>
      <c r="M15431" s="8"/>
    </row>
    <row r="15432">
      <c r="B15432" s="8"/>
      <c r="G15432" s="8"/>
      <c r="M15432" s="8"/>
    </row>
    <row r="15433">
      <c r="B15433" s="8"/>
      <c r="G15433" s="8"/>
      <c r="M15433" s="8"/>
    </row>
    <row r="15434">
      <c r="B15434" s="8"/>
      <c r="G15434" s="8"/>
      <c r="M15434" s="8"/>
    </row>
    <row r="15435">
      <c r="B15435" s="8"/>
      <c r="G15435" s="8"/>
      <c r="M15435" s="8"/>
    </row>
    <row r="15436">
      <c r="B15436" s="8"/>
      <c r="G15436" s="8"/>
      <c r="M15436" s="8"/>
    </row>
    <row r="15437">
      <c r="B15437" s="8"/>
      <c r="G15437" s="8"/>
      <c r="M15437" s="8"/>
    </row>
    <row r="15438">
      <c r="B15438" s="8"/>
      <c r="G15438" s="8"/>
      <c r="M15438" s="8"/>
    </row>
    <row r="15439">
      <c r="B15439" s="8"/>
      <c r="G15439" s="8"/>
      <c r="M15439" s="8"/>
    </row>
    <row r="15440">
      <c r="B15440" s="8"/>
      <c r="G15440" s="8"/>
      <c r="M15440" s="8"/>
    </row>
    <row r="15441">
      <c r="B15441" s="8"/>
      <c r="G15441" s="8"/>
      <c r="M15441" s="8"/>
    </row>
    <row r="15442">
      <c r="B15442" s="8"/>
      <c r="G15442" s="8"/>
      <c r="M15442" s="8"/>
    </row>
    <row r="15443">
      <c r="B15443" s="8"/>
      <c r="G15443" s="8"/>
      <c r="M15443" s="8"/>
    </row>
    <row r="15444">
      <c r="B15444" s="8"/>
      <c r="G15444" s="8"/>
      <c r="M15444" s="8"/>
    </row>
    <row r="15445">
      <c r="B15445" s="8"/>
      <c r="G15445" s="8"/>
      <c r="M15445" s="8"/>
    </row>
    <row r="15446">
      <c r="B15446" s="8"/>
      <c r="G15446" s="8"/>
      <c r="M15446" s="8"/>
    </row>
    <row r="15447">
      <c r="B15447" s="8"/>
      <c r="G15447" s="8"/>
      <c r="M15447" s="8"/>
    </row>
    <row r="15448">
      <c r="B15448" s="8"/>
      <c r="G15448" s="8"/>
      <c r="M15448" s="8"/>
    </row>
    <row r="15449">
      <c r="B15449" s="8"/>
      <c r="G15449" s="8"/>
      <c r="M15449" s="8"/>
    </row>
    <row r="15450">
      <c r="B15450" s="8"/>
      <c r="G15450" s="8"/>
      <c r="M15450" s="8"/>
    </row>
    <row r="15451">
      <c r="B15451" s="8"/>
      <c r="G15451" s="8"/>
      <c r="M15451" s="8"/>
    </row>
    <row r="15452">
      <c r="B15452" s="8"/>
      <c r="G15452" s="8"/>
      <c r="M15452" s="8"/>
    </row>
    <row r="15453">
      <c r="B15453" s="8"/>
      <c r="G15453" s="8"/>
      <c r="M15453" s="8"/>
    </row>
    <row r="15454">
      <c r="B15454" s="8"/>
      <c r="G15454" s="8"/>
      <c r="M15454" s="8"/>
    </row>
    <row r="15455">
      <c r="B15455" s="8"/>
      <c r="G15455" s="8"/>
      <c r="M15455" s="8"/>
    </row>
    <row r="15456">
      <c r="B15456" s="8"/>
      <c r="G15456" s="8"/>
      <c r="M15456" s="8"/>
    </row>
    <row r="15457">
      <c r="B15457" s="8"/>
      <c r="G15457" s="8"/>
      <c r="M15457" s="8"/>
    </row>
    <row r="15458">
      <c r="B15458" s="8"/>
      <c r="G15458" s="8"/>
      <c r="M15458" s="8"/>
    </row>
    <row r="15459">
      <c r="B15459" s="8"/>
      <c r="G15459" s="8"/>
      <c r="M15459" s="8"/>
    </row>
    <row r="15460">
      <c r="B15460" s="8"/>
      <c r="G15460" s="8"/>
      <c r="M15460" s="8"/>
    </row>
    <row r="15461">
      <c r="B15461" s="8"/>
      <c r="G15461" s="8"/>
      <c r="M15461" s="8"/>
    </row>
    <row r="15462">
      <c r="B15462" s="8"/>
      <c r="G15462" s="8"/>
      <c r="M15462" s="8"/>
    </row>
    <row r="15463">
      <c r="B15463" s="8"/>
      <c r="G15463" s="8"/>
      <c r="M15463" s="8"/>
    </row>
    <row r="15464">
      <c r="B15464" s="8"/>
      <c r="G15464" s="8"/>
      <c r="M15464" s="8"/>
    </row>
    <row r="15465">
      <c r="B15465" s="8"/>
      <c r="G15465" s="8"/>
      <c r="M15465" s="8"/>
    </row>
    <row r="15466">
      <c r="B15466" s="8"/>
      <c r="G15466" s="8"/>
      <c r="M15466" s="8"/>
    </row>
    <row r="15467">
      <c r="B15467" s="8"/>
      <c r="G15467" s="8"/>
      <c r="M15467" s="8"/>
    </row>
    <row r="15468">
      <c r="B15468" s="8"/>
      <c r="G15468" s="8"/>
      <c r="M15468" s="8"/>
    </row>
    <row r="15469">
      <c r="B15469" s="8"/>
      <c r="G15469" s="8"/>
      <c r="M15469" s="8"/>
    </row>
    <row r="15470">
      <c r="B15470" s="8"/>
      <c r="G15470" s="8"/>
      <c r="M15470" s="8"/>
    </row>
    <row r="15471">
      <c r="B15471" s="8"/>
      <c r="G15471" s="8"/>
      <c r="M15471" s="8"/>
    </row>
    <row r="15472">
      <c r="B15472" s="8"/>
      <c r="G15472" s="8"/>
      <c r="M15472" s="8"/>
    </row>
    <row r="15473">
      <c r="B15473" s="8"/>
      <c r="G15473" s="8"/>
      <c r="M15473" s="8"/>
    </row>
    <row r="15474">
      <c r="B15474" s="8"/>
      <c r="G15474" s="8"/>
      <c r="M15474" s="8"/>
    </row>
    <row r="15475">
      <c r="B15475" s="8"/>
      <c r="G15475" s="8"/>
      <c r="M15475" s="8"/>
    </row>
    <row r="15476">
      <c r="B15476" s="8"/>
      <c r="G15476" s="8"/>
      <c r="M15476" s="8"/>
    </row>
    <row r="15477">
      <c r="B15477" s="8"/>
      <c r="G15477" s="8"/>
      <c r="M15477" s="8"/>
    </row>
    <row r="15478">
      <c r="B15478" s="8"/>
      <c r="G15478" s="8"/>
      <c r="M15478" s="8"/>
    </row>
    <row r="15479">
      <c r="B15479" s="8"/>
      <c r="G15479" s="8"/>
      <c r="M15479" s="8"/>
    </row>
    <row r="15480">
      <c r="B15480" s="8"/>
      <c r="G15480" s="8"/>
      <c r="M15480" s="8"/>
    </row>
    <row r="15481">
      <c r="B15481" s="8"/>
      <c r="G15481" s="8"/>
      <c r="M15481" s="8"/>
    </row>
    <row r="15482">
      <c r="B15482" s="8"/>
      <c r="G15482" s="8"/>
      <c r="M15482" s="8"/>
    </row>
    <row r="15483">
      <c r="B15483" s="8"/>
      <c r="G15483" s="8"/>
      <c r="M15483" s="8"/>
    </row>
    <row r="15484">
      <c r="B15484" s="8"/>
      <c r="G15484" s="8"/>
      <c r="M15484" s="8"/>
    </row>
    <row r="15485">
      <c r="B15485" s="8"/>
      <c r="G15485" s="8"/>
      <c r="M15485" s="8"/>
    </row>
    <row r="15486">
      <c r="B15486" s="8"/>
      <c r="G15486" s="8"/>
      <c r="M15486" s="8"/>
    </row>
    <row r="15487">
      <c r="B15487" s="8"/>
      <c r="G15487" s="8"/>
      <c r="M15487" s="8"/>
    </row>
    <row r="15488">
      <c r="B15488" s="8"/>
      <c r="G15488" s="8"/>
      <c r="M15488" s="8"/>
    </row>
    <row r="15489">
      <c r="B15489" s="8"/>
      <c r="G15489" s="8"/>
      <c r="M15489" s="8"/>
    </row>
    <row r="15490">
      <c r="B15490" s="8"/>
      <c r="G15490" s="8"/>
      <c r="M15490" s="8"/>
    </row>
    <row r="15491">
      <c r="B15491" s="8"/>
      <c r="G15491" s="8"/>
      <c r="M15491" s="8"/>
    </row>
    <row r="15492">
      <c r="B15492" s="8"/>
      <c r="G15492" s="8"/>
      <c r="M15492" s="8"/>
    </row>
    <row r="15493">
      <c r="B15493" s="8"/>
      <c r="G15493" s="8"/>
      <c r="M15493" s="8"/>
    </row>
    <row r="15494">
      <c r="B15494" s="8"/>
      <c r="G15494" s="8"/>
      <c r="M15494" s="8"/>
    </row>
    <row r="15495">
      <c r="B15495" s="8"/>
      <c r="G15495" s="8"/>
      <c r="M15495" s="8"/>
    </row>
    <row r="15496">
      <c r="B15496" s="8"/>
      <c r="G15496" s="8"/>
      <c r="M15496" s="8"/>
    </row>
    <row r="15497">
      <c r="B15497" s="8"/>
      <c r="G15497" s="8"/>
      <c r="M15497" s="8"/>
    </row>
    <row r="15498">
      <c r="B15498" s="8"/>
      <c r="G15498" s="8"/>
      <c r="M15498" s="8"/>
    </row>
    <row r="15499">
      <c r="B15499" s="8"/>
      <c r="G15499" s="8"/>
      <c r="M15499" s="8"/>
    </row>
    <row r="15500">
      <c r="B15500" s="8"/>
      <c r="G15500" s="8"/>
      <c r="M15500" s="8"/>
    </row>
    <row r="15501">
      <c r="B15501" s="8"/>
      <c r="G15501" s="8"/>
      <c r="M15501" s="8"/>
    </row>
    <row r="15502">
      <c r="B15502" s="8"/>
      <c r="G15502" s="8"/>
      <c r="M15502" s="8"/>
    </row>
    <row r="15503">
      <c r="B15503" s="8"/>
      <c r="G15503" s="8"/>
      <c r="M15503" s="8"/>
    </row>
    <row r="15504">
      <c r="B15504" s="8"/>
      <c r="G15504" s="8"/>
      <c r="M15504" s="8"/>
    </row>
    <row r="15505">
      <c r="B15505" s="8"/>
      <c r="G15505" s="8"/>
      <c r="M15505" s="8"/>
    </row>
    <row r="15506">
      <c r="B15506" s="8"/>
      <c r="G15506" s="8"/>
      <c r="M15506" s="8"/>
    </row>
    <row r="15507">
      <c r="B15507" s="8"/>
      <c r="G15507" s="8"/>
      <c r="M15507" s="8"/>
    </row>
    <row r="15508">
      <c r="B15508" s="8"/>
      <c r="G15508" s="8"/>
      <c r="M15508" s="8"/>
    </row>
    <row r="15509">
      <c r="B15509" s="8"/>
      <c r="G15509" s="8"/>
      <c r="M15509" s="8"/>
    </row>
    <row r="15510">
      <c r="B15510" s="8"/>
      <c r="G15510" s="8"/>
      <c r="M15510" s="8"/>
    </row>
    <row r="15511">
      <c r="B15511" s="8"/>
      <c r="G15511" s="8"/>
      <c r="M15511" s="8"/>
    </row>
    <row r="15512">
      <c r="B15512" s="8"/>
      <c r="G15512" s="8"/>
      <c r="M15512" s="8"/>
    </row>
    <row r="15513">
      <c r="B15513" s="8"/>
      <c r="G15513" s="8"/>
      <c r="M15513" s="8"/>
    </row>
    <row r="15514">
      <c r="B15514" s="8"/>
      <c r="G15514" s="8"/>
      <c r="M15514" s="8"/>
    </row>
    <row r="15515">
      <c r="B15515" s="8"/>
      <c r="G15515" s="8"/>
      <c r="M15515" s="8"/>
    </row>
    <row r="15516">
      <c r="B15516" s="8"/>
      <c r="G15516" s="8"/>
      <c r="M15516" s="8"/>
    </row>
    <row r="15517">
      <c r="B15517" s="8"/>
      <c r="G15517" s="8"/>
      <c r="M15517" s="8"/>
    </row>
    <row r="15518">
      <c r="B15518" s="8"/>
      <c r="G15518" s="8"/>
      <c r="M15518" s="8"/>
    </row>
    <row r="15519">
      <c r="B15519" s="8"/>
      <c r="G15519" s="8"/>
      <c r="M15519" s="8"/>
    </row>
    <row r="15520">
      <c r="B15520" s="8"/>
      <c r="G15520" s="8"/>
      <c r="M15520" s="8"/>
    </row>
    <row r="15521">
      <c r="B15521" s="8"/>
      <c r="G15521" s="8"/>
      <c r="M15521" s="8"/>
    </row>
    <row r="15522">
      <c r="B15522" s="8"/>
      <c r="G15522" s="8"/>
      <c r="M15522" s="8"/>
    </row>
    <row r="15523">
      <c r="B15523" s="8"/>
      <c r="G15523" s="8"/>
      <c r="M15523" s="8"/>
    </row>
    <row r="15524">
      <c r="B15524" s="8"/>
      <c r="G15524" s="8"/>
      <c r="M15524" s="8"/>
    </row>
    <row r="15525">
      <c r="B15525" s="8"/>
      <c r="G15525" s="8"/>
      <c r="M15525" s="8"/>
    </row>
    <row r="15526">
      <c r="B15526" s="8"/>
      <c r="G15526" s="8"/>
      <c r="M15526" s="8"/>
    </row>
    <row r="15527">
      <c r="B15527" s="8"/>
      <c r="G15527" s="8"/>
      <c r="M15527" s="8"/>
    </row>
    <row r="15528">
      <c r="B15528" s="8"/>
      <c r="G15528" s="8"/>
      <c r="M15528" s="8"/>
    </row>
    <row r="15529">
      <c r="B15529" s="8"/>
      <c r="G15529" s="8"/>
      <c r="M15529" s="8"/>
    </row>
    <row r="15530">
      <c r="B15530" s="8"/>
      <c r="G15530" s="8"/>
      <c r="M15530" s="8"/>
    </row>
    <row r="15531">
      <c r="B15531" s="8"/>
      <c r="G15531" s="8"/>
      <c r="M15531" s="8"/>
    </row>
    <row r="15532">
      <c r="B15532" s="8"/>
      <c r="G15532" s="8"/>
      <c r="M15532" s="8"/>
    </row>
    <row r="15533">
      <c r="B15533" s="8"/>
      <c r="G15533" s="8"/>
      <c r="M15533" s="8"/>
    </row>
    <row r="15534">
      <c r="B15534" s="8"/>
      <c r="G15534" s="8"/>
      <c r="M15534" s="8"/>
    </row>
    <row r="15535">
      <c r="B15535" s="8"/>
      <c r="G15535" s="8"/>
      <c r="M15535" s="8"/>
    </row>
    <row r="15536">
      <c r="B15536" s="8"/>
      <c r="G15536" s="8"/>
      <c r="M15536" s="8"/>
    </row>
    <row r="15537">
      <c r="B15537" s="8"/>
      <c r="G15537" s="8"/>
      <c r="M15537" s="8"/>
    </row>
    <row r="15538">
      <c r="B15538" s="8"/>
      <c r="G15538" s="8"/>
      <c r="M15538" s="8"/>
    </row>
    <row r="15539">
      <c r="B15539" s="8"/>
      <c r="G15539" s="8"/>
      <c r="M15539" s="8"/>
    </row>
    <row r="15540">
      <c r="B15540" s="8"/>
      <c r="G15540" s="8"/>
      <c r="M15540" s="8"/>
    </row>
    <row r="15541">
      <c r="B15541" s="8"/>
      <c r="G15541" s="8"/>
      <c r="M15541" s="8"/>
    </row>
    <row r="15542">
      <c r="B15542" s="8"/>
      <c r="G15542" s="8"/>
      <c r="M15542" s="8"/>
    </row>
    <row r="15543">
      <c r="B15543" s="8"/>
      <c r="G15543" s="8"/>
      <c r="M15543" s="8"/>
    </row>
    <row r="15544">
      <c r="B15544" s="8"/>
      <c r="G15544" s="8"/>
      <c r="M15544" s="8"/>
    </row>
    <row r="15545">
      <c r="B15545" s="8"/>
      <c r="G15545" s="8"/>
      <c r="M15545" s="8"/>
    </row>
    <row r="15546">
      <c r="B15546" s="8"/>
      <c r="G15546" s="8"/>
      <c r="M15546" s="8"/>
    </row>
    <row r="15547">
      <c r="B15547" s="8"/>
      <c r="G15547" s="8"/>
      <c r="M15547" s="8"/>
    </row>
    <row r="15548">
      <c r="B15548" s="8"/>
      <c r="G15548" s="8"/>
      <c r="M15548" s="8"/>
    </row>
    <row r="15549">
      <c r="B15549" s="8"/>
      <c r="G15549" s="8"/>
      <c r="M15549" s="8"/>
    </row>
    <row r="15550">
      <c r="B15550" s="8"/>
      <c r="G15550" s="8"/>
      <c r="M15550" s="8"/>
    </row>
    <row r="15551">
      <c r="B15551" s="8"/>
      <c r="G15551" s="8"/>
      <c r="M15551" s="8"/>
    </row>
    <row r="15552">
      <c r="B15552" s="8"/>
      <c r="G15552" s="8"/>
      <c r="M15552" s="8"/>
    </row>
    <row r="15553">
      <c r="B15553" s="8"/>
      <c r="G15553" s="8"/>
      <c r="M15553" s="8"/>
    </row>
    <row r="15554">
      <c r="B15554" s="8"/>
      <c r="G15554" s="8"/>
      <c r="M15554" s="8"/>
    </row>
    <row r="15555">
      <c r="B15555" s="8"/>
      <c r="G15555" s="8"/>
      <c r="M15555" s="8"/>
    </row>
    <row r="15556">
      <c r="B15556" s="8"/>
      <c r="G15556" s="8"/>
      <c r="M15556" s="8"/>
    </row>
    <row r="15557">
      <c r="B15557" s="8"/>
      <c r="G15557" s="8"/>
      <c r="M15557" s="8"/>
    </row>
    <row r="15558">
      <c r="B15558" s="8"/>
      <c r="G15558" s="8"/>
      <c r="M15558" s="8"/>
    </row>
    <row r="15559">
      <c r="B15559" s="8"/>
      <c r="G15559" s="8"/>
      <c r="M15559" s="8"/>
    </row>
    <row r="15560">
      <c r="B15560" s="8"/>
      <c r="G15560" s="8"/>
      <c r="M15560" s="8"/>
    </row>
    <row r="15561">
      <c r="B15561" s="8"/>
      <c r="G15561" s="8"/>
      <c r="M15561" s="8"/>
    </row>
    <row r="15562">
      <c r="B15562" s="8"/>
      <c r="G15562" s="8"/>
      <c r="M15562" s="8"/>
    </row>
    <row r="15563">
      <c r="B15563" s="8"/>
      <c r="G15563" s="8"/>
      <c r="M15563" s="8"/>
    </row>
    <row r="15564">
      <c r="B15564" s="8"/>
      <c r="G15564" s="8"/>
      <c r="M15564" s="8"/>
    </row>
    <row r="15565">
      <c r="B15565" s="8"/>
      <c r="G15565" s="8"/>
      <c r="M15565" s="8"/>
    </row>
    <row r="15566">
      <c r="B15566" s="8"/>
      <c r="G15566" s="8"/>
      <c r="M15566" s="8"/>
    </row>
    <row r="15567">
      <c r="B15567" s="8"/>
      <c r="G15567" s="8"/>
      <c r="M15567" s="8"/>
    </row>
    <row r="15568">
      <c r="B15568" s="8"/>
      <c r="G15568" s="8"/>
      <c r="M15568" s="8"/>
    </row>
    <row r="15569">
      <c r="B15569" s="8"/>
      <c r="G15569" s="8"/>
      <c r="M15569" s="8"/>
    </row>
    <row r="15570">
      <c r="B15570" s="8"/>
      <c r="G15570" s="8"/>
      <c r="M15570" s="8"/>
    </row>
    <row r="15571">
      <c r="B15571" s="8"/>
      <c r="G15571" s="8"/>
      <c r="M15571" s="8"/>
    </row>
    <row r="15572">
      <c r="B15572" s="8"/>
      <c r="G15572" s="8"/>
      <c r="M15572" s="8"/>
    </row>
    <row r="15573">
      <c r="B15573" s="8"/>
      <c r="G15573" s="8"/>
      <c r="M15573" s="8"/>
    </row>
    <row r="15574">
      <c r="B15574" s="8"/>
      <c r="G15574" s="8"/>
      <c r="M15574" s="8"/>
    </row>
    <row r="15575">
      <c r="B15575" s="8"/>
      <c r="G15575" s="8"/>
      <c r="M15575" s="8"/>
    </row>
    <row r="15576">
      <c r="B15576" s="8"/>
      <c r="G15576" s="8"/>
      <c r="M15576" s="8"/>
    </row>
    <row r="15577">
      <c r="B15577" s="8"/>
      <c r="G15577" s="8"/>
      <c r="M15577" s="8"/>
    </row>
    <row r="15578">
      <c r="B15578" s="8"/>
      <c r="G15578" s="8"/>
      <c r="M15578" s="8"/>
    </row>
    <row r="15579">
      <c r="B15579" s="8"/>
      <c r="G15579" s="8"/>
      <c r="M15579" s="8"/>
    </row>
    <row r="15580">
      <c r="B15580" s="8"/>
      <c r="G15580" s="8"/>
      <c r="M15580" s="8"/>
    </row>
    <row r="15581">
      <c r="B15581" s="8"/>
      <c r="G15581" s="8"/>
      <c r="M15581" s="8"/>
    </row>
    <row r="15582">
      <c r="B15582" s="8"/>
      <c r="G15582" s="8"/>
      <c r="M15582" s="8"/>
    </row>
    <row r="15583">
      <c r="B15583" s="8"/>
      <c r="G15583" s="8"/>
      <c r="M15583" s="8"/>
    </row>
    <row r="15584">
      <c r="B15584" s="8"/>
      <c r="G15584" s="8"/>
      <c r="M15584" s="8"/>
    </row>
    <row r="15585">
      <c r="B15585" s="8"/>
      <c r="G15585" s="8"/>
      <c r="M15585" s="8"/>
    </row>
    <row r="15586">
      <c r="B15586" s="8"/>
      <c r="G15586" s="8"/>
      <c r="M15586" s="8"/>
    </row>
    <row r="15587">
      <c r="B15587" s="8"/>
      <c r="G15587" s="8"/>
      <c r="M15587" s="8"/>
    </row>
    <row r="15588">
      <c r="B15588" s="8"/>
      <c r="G15588" s="8"/>
      <c r="M15588" s="8"/>
    </row>
    <row r="15589">
      <c r="B15589" s="8"/>
      <c r="G15589" s="8"/>
      <c r="M15589" s="8"/>
    </row>
    <row r="15590">
      <c r="B15590" s="8"/>
      <c r="G15590" s="8"/>
      <c r="M15590" s="8"/>
    </row>
    <row r="15591">
      <c r="B15591" s="8"/>
      <c r="G15591" s="8"/>
      <c r="M15591" s="8"/>
    </row>
    <row r="15592">
      <c r="B15592" s="8"/>
      <c r="G15592" s="8"/>
      <c r="M15592" s="8"/>
    </row>
    <row r="15593">
      <c r="B15593" s="8"/>
      <c r="G15593" s="8"/>
      <c r="M15593" s="8"/>
    </row>
    <row r="15594">
      <c r="B15594" s="8"/>
      <c r="G15594" s="8"/>
      <c r="M15594" s="8"/>
    </row>
    <row r="15595">
      <c r="B15595" s="8"/>
      <c r="G15595" s="8"/>
      <c r="M15595" s="8"/>
    </row>
    <row r="15596">
      <c r="B15596" s="8"/>
      <c r="G15596" s="8"/>
      <c r="M15596" s="8"/>
    </row>
    <row r="15597">
      <c r="B15597" s="8"/>
      <c r="G15597" s="8"/>
      <c r="M15597" s="8"/>
    </row>
    <row r="15598">
      <c r="B15598" s="8"/>
      <c r="G15598" s="8"/>
      <c r="M15598" s="8"/>
    </row>
    <row r="15599">
      <c r="B15599" s="8"/>
      <c r="G15599" s="8"/>
      <c r="M15599" s="8"/>
    </row>
    <row r="15600">
      <c r="B15600" s="8"/>
      <c r="G15600" s="8"/>
      <c r="M15600" s="8"/>
    </row>
    <row r="15601">
      <c r="B15601" s="8"/>
      <c r="G15601" s="8"/>
      <c r="M15601" s="8"/>
    </row>
    <row r="15602">
      <c r="B15602" s="8"/>
      <c r="G15602" s="8"/>
      <c r="M15602" s="8"/>
    </row>
    <row r="15603">
      <c r="B15603" s="8"/>
      <c r="G15603" s="8"/>
      <c r="M15603" s="8"/>
    </row>
    <row r="15604">
      <c r="B15604" s="8"/>
      <c r="G15604" s="8"/>
      <c r="M15604" s="8"/>
    </row>
    <row r="15605">
      <c r="B15605" s="8"/>
      <c r="G15605" s="8"/>
      <c r="M15605" s="8"/>
    </row>
    <row r="15606">
      <c r="B15606" s="8"/>
      <c r="G15606" s="8"/>
      <c r="M15606" s="8"/>
    </row>
    <row r="15607">
      <c r="B15607" s="8"/>
      <c r="G15607" s="8"/>
      <c r="M15607" s="8"/>
    </row>
    <row r="15608">
      <c r="B15608" s="8"/>
      <c r="G15608" s="8"/>
      <c r="M15608" s="8"/>
    </row>
    <row r="15609">
      <c r="B15609" s="8"/>
      <c r="G15609" s="8"/>
      <c r="M15609" s="8"/>
    </row>
    <row r="15610">
      <c r="B15610" s="8"/>
      <c r="G15610" s="8"/>
      <c r="M15610" s="8"/>
    </row>
    <row r="15611">
      <c r="B15611" s="8"/>
      <c r="G15611" s="8"/>
      <c r="M15611" s="8"/>
    </row>
    <row r="15612">
      <c r="B15612" s="8"/>
      <c r="G15612" s="8"/>
      <c r="M15612" s="8"/>
    </row>
    <row r="15613">
      <c r="B15613" s="8"/>
      <c r="G15613" s="8"/>
      <c r="M15613" s="8"/>
    </row>
    <row r="15614">
      <c r="B15614" s="8"/>
      <c r="G15614" s="8"/>
      <c r="M15614" s="8"/>
    </row>
    <row r="15615">
      <c r="B15615" s="8"/>
      <c r="G15615" s="8"/>
      <c r="M15615" s="8"/>
    </row>
    <row r="15616">
      <c r="B15616" s="8"/>
      <c r="G15616" s="8"/>
      <c r="M15616" s="8"/>
    </row>
    <row r="15617">
      <c r="B15617" s="8"/>
      <c r="G15617" s="8"/>
      <c r="M15617" s="8"/>
    </row>
    <row r="15618">
      <c r="B15618" s="8"/>
      <c r="G15618" s="8"/>
      <c r="M15618" s="8"/>
    </row>
    <row r="15619">
      <c r="B15619" s="8"/>
      <c r="G15619" s="8"/>
      <c r="M15619" s="8"/>
    </row>
    <row r="15620">
      <c r="B15620" s="8"/>
      <c r="G15620" s="8"/>
      <c r="M15620" s="8"/>
    </row>
    <row r="15621">
      <c r="B15621" s="8"/>
      <c r="G15621" s="8"/>
      <c r="M15621" s="8"/>
    </row>
    <row r="15622">
      <c r="B15622" s="8"/>
      <c r="G15622" s="8"/>
      <c r="M15622" s="8"/>
    </row>
    <row r="15623">
      <c r="B15623" s="8"/>
      <c r="G15623" s="8"/>
      <c r="M15623" s="8"/>
    </row>
    <row r="15624">
      <c r="B15624" s="8"/>
      <c r="G15624" s="8"/>
      <c r="M15624" s="8"/>
    </row>
    <row r="15625">
      <c r="B15625" s="8"/>
      <c r="G15625" s="8"/>
      <c r="M15625" s="8"/>
    </row>
    <row r="15626">
      <c r="B15626" s="8"/>
      <c r="G15626" s="8"/>
      <c r="M15626" s="8"/>
    </row>
    <row r="15627">
      <c r="B15627" s="8"/>
      <c r="G15627" s="8"/>
      <c r="M15627" s="8"/>
    </row>
    <row r="15628">
      <c r="B15628" s="8"/>
      <c r="G15628" s="8"/>
      <c r="M15628" s="8"/>
    </row>
    <row r="15629">
      <c r="B15629" s="8"/>
      <c r="G15629" s="8"/>
      <c r="M15629" s="8"/>
    </row>
    <row r="15630">
      <c r="B15630" s="8"/>
      <c r="G15630" s="8"/>
      <c r="M15630" s="8"/>
    </row>
    <row r="15631">
      <c r="B15631" s="8"/>
      <c r="G15631" s="8"/>
      <c r="M15631" s="8"/>
    </row>
    <row r="15632">
      <c r="B15632" s="8"/>
      <c r="G15632" s="8"/>
      <c r="M15632" s="8"/>
    </row>
    <row r="15633">
      <c r="B15633" s="8"/>
      <c r="G15633" s="8"/>
      <c r="M15633" s="8"/>
    </row>
    <row r="15634">
      <c r="B15634" s="8"/>
      <c r="G15634" s="8"/>
      <c r="M15634" s="8"/>
    </row>
    <row r="15635">
      <c r="B15635" s="8"/>
      <c r="G15635" s="8"/>
      <c r="M15635" s="8"/>
    </row>
    <row r="15636">
      <c r="B15636" s="8"/>
      <c r="G15636" s="8"/>
      <c r="M15636" s="8"/>
    </row>
    <row r="15637">
      <c r="B15637" s="8"/>
      <c r="G15637" s="8"/>
      <c r="M15637" s="8"/>
    </row>
    <row r="15638">
      <c r="B15638" s="8"/>
      <c r="G15638" s="8"/>
      <c r="M15638" s="8"/>
    </row>
    <row r="15639">
      <c r="B15639" s="8"/>
      <c r="G15639" s="8"/>
      <c r="M15639" s="8"/>
    </row>
    <row r="15640">
      <c r="B15640" s="8"/>
      <c r="G15640" s="8"/>
      <c r="M15640" s="8"/>
    </row>
    <row r="15641">
      <c r="B15641" s="8"/>
      <c r="G15641" s="8"/>
      <c r="M15641" s="8"/>
    </row>
    <row r="15642">
      <c r="B15642" s="8"/>
      <c r="G15642" s="8"/>
      <c r="M15642" s="8"/>
    </row>
    <row r="15643">
      <c r="B15643" s="8"/>
      <c r="G15643" s="8"/>
      <c r="M15643" s="8"/>
    </row>
    <row r="15644">
      <c r="B15644" s="8"/>
      <c r="G15644" s="8"/>
      <c r="M15644" s="8"/>
    </row>
    <row r="15645">
      <c r="B15645" s="8"/>
      <c r="G15645" s="8"/>
      <c r="M15645" s="8"/>
    </row>
    <row r="15646">
      <c r="B15646" s="8"/>
      <c r="G15646" s="8"/>
      <c r="M15646" s="8"/>
    </row>
    <row r="15647">
      <c r="B15647" s="8"/>
      <c r="G15647" s="8"/>
      <c r="M15647" s="8"/>
    </row>
    <row r="15648">
      <c r="B15648" s="8"/>
      <c r="G15648" s="8"/>
      <c r="M15648" s="8"/>
    </row>
    <row r="15649">
      <c r="B15649" s="8"/>
      <c r="G15649" s="8"/>
      <c r="M15649" s="8"/>
    </row>
    <row r="15650">
      <c r="B15650" s="8"/>
      <c r="G15650" s="8"/>
      <c r="M15650" s="8"/>
    </row>
    <row r="15651">
      <c r="B15651" s="8"/>
      <c r="G15651" s="8"/>
      <c r="M15651" s="8"/>
    </row>
    <row r="15652">
      <c r="B15652" s="8"/>
      <c r="G15652" s="8"/>
      <c r="M15652" s="8"/>
    </row>
    <row r="15653">
      <c r="B15653" s="8"/>
      <c r="G15653" s="8"/>
      <c r="M15653" s="8"/>
    </row>
    <row r="15654">
      <c r="B15654" s="8"/>
      <c r="G15654" s="8"/>
      <c r="M15654" s="8"/>
    </row>
    <row r="15655">
      <c r="B15655" s="8"/>
      <c r="G15655" s="8"/>
      <c r="M15655" s="8"/>
    </row>
    <row r="15656">
      <c r="B15656" s="8"/>
      <c r="G15656" s="8"/>
      <c r="M15656" s="8"/>
    </row>
    <row r="15657">
      <c r="B15657" s="8"/>
      <c r="G15657" s="8"/>
      <c r="M15657" s="8"/>
    </row>
    <row r="15658">
      <c r="B15658" s="8"/>
      <c r="G15658" s="8"/>
      <c r="M15658" s="8"/>
    </row>
    <row r="15659">
      <c r="B15659" s="8"/>
      <c r="G15659" s="8"/>
      <c r="M15659" s="8"/>
    </row>
    <row r="15660">
      <c r="B15660" s="8"/>
      <c r="G15660" s="8"/>
      <c r="M15660" s="8"/>
    </row>
    <row r="15661">
      <c r="B15661" s="8"/>
      <c r="G15661" s="8"/>
      <c r="M15661" s="8"/>
    </row>
    <row r="15662">
      <c r="B15662" s="8"/>
      <c r="G15662" s="8"/>
      <c r="M15662" s="8"/>
    </row>
    <row r="15663">
      <c r="B15663" s="8"/>
      <c r="G15663" s="8"/>
      <c r="M15663" s="8"/>
    </row>
    <row r="15664">
      <c r="B15664" s="8"/>
      <c r="G15664" s="8"/>
      <c r="M15664" s="8"/>
    </row>
    <row r="15665">
      <c r="B15665" s="8"/>
      <c r="G15665" s="8"/>
      <c r="M15665" s="8"/>
    </row>
    <row r="15666">
      <c r="B15666" s="8"/>
      <c r="G15666" s="8"/>
      <c r="M15666" s="8"/>
    </row>
    <row r="15667">
      <c r="B15667" s="8"/>
      <c r="G15667" s="8"/>
      <c r="M15667" s="8"/>
    </row>
    <row r="15668">
      <c r="B15668" s="8"/>
      <c r="G15668" s="8"/>
      <c r="M15668" s="8"/>
    </row>
    <row r="15669">
      <c r="B15669" s="8"/>
      <c r="G15669" s="8"/>
      <c r="M15669" s="8"/>
    </row>
    <row r="15670">
      <c r="B15670" s="8"/>
      <c r="G15670" s="8"/>
      <c r="M15670" s="8"/>
    </row>
    <row r="15671">
      <c r="B15671" s="8"/>
      <c r="G15671" s="8"/>
      <c r="M15671" s="8"/>
    </row>
    <row r="15672">
      <c r="B15672" s="8"/>
      <c r="G15672" s="8"/>
      <c r="M15672" s="8"/>
    </row>
    <row r="15673">
      <c r="B15673" s="8"/>
      <c r="G15673" s="8"/>
      <c r="M15673" s="8"/>
    </row>
    <row r="15674">
      <c r="B15674" s="8"/>
      <c r="G15674" s="8"/>
      <c r="M15674" s="8"/>
    </row>
    <row r="15675">
      <c r="B15675" s="8"/>
      <c r="G15675" s="8"/>
      <c r="M15675" s="8"/>
    </row>
    <row r="15676">
      <c r="B15676" s="8"/>
      <c r="G15676" s="8"/>
      <c r="M15676" s="8"/>
    </row>
    <row r="15677">
      <c r="B15677" s="8"/>
      <c r="G15677" s="8"/>
      <c r="M15677" s="8"/>
    </row>
    <row r="15678">
      <c r="B15678" s="8"/>
      <c r="G15678" s="8"/>
      <c r="M15678" s="8"/>
    </row>
    <row r="15679">
      <c r="B15679" s="8"/>
      <c r="G15679" s="8"/>
      <c r="M15679" s="8"/>
    </row>
    <row r="15680">
      <c r="B15680" s="8"/>
      <c r="G15680" s="8"/>
      <c r="M15680" s="8"/>
    </row>
    <row r="15681">
      <c r="B15681" s="8"/>
      <c r="G15681" s="8"/>
      <c r="M15681" s="8"/>
    </row>
    <row r="15682">
      <c r="B15682" s="8"/>
      <c r="G15682" s="8"/>
      <c r="M15682" s="8"/>
    </row>
    <row r="15683">
      <c r="B15683" s="8"/>
      <c r="G15683" s="8"/>
      <c r="M15683" s="8"/>
    </row>
    <row r="15684">
      <c r="B15684" s="8"/>
      <c r="G15684" s="8"/>
      <c r="M15684" s="8"/>
    </row>
    <row r="15685">
      <c r="B15685" s="8"/>
      <c r="G15685" s="8"/>
      <c r="M15685" s="8"/>
    </row>
    <row r="15686">
      <c r="B15686" s="8"/>
      <c r="G15686" s="8"/>
      <c r="M15686" s="8"/>
    </row>
    <row r="15687">
      <c r="B15687" s="8"/>
      <c r="G15687" s="8"/>
      <c r="M15687" s="8"/>
    </row>
    <row r="15688">
      <c r="B15688" s="8"/>
      <c r="G15688" s="8"/>
      <c r="M15688" s="8"/>
    </row>
    <row r="15689">
      <c r="B15689" s="8"/>
      <c r="G15689" s="8"/>
      <c r="M15689" s="8"/>
    </row>
    <row r="15690">
      <c r="B15690" s="8"/>
      <c r="G15690" s="8"/>
      <c r="M15690" s="8"/>
    </row>
    <row r="15691">
      <c r="B15691" s="8"/>
      <c r="G15691" s="8"/>
      <c r="M15691" s="8"/>
    </row>
    <row r="15692">
      <c r="B15692" s="8"/>
      <c r="G15692" s="8"/>
      <c r="M15692" s="8"/>
    </row>
    <row r="15693">
      <c r="B15693" s="8"/>
      <c r="G15693" s="8"/>
      <c r="M15693" s="8"/>
    </row>
    <row r="15694">
      <c r="B15694" s="8"/>
      <c r="G15694" s="8"/>
      <c r="M15694" s="8"/>
    </row>
    <row r="15695">
      <c r="B15695" s="8"/>
      <c r="G15695" s="8"/>
      <c r="M15695" s="8"/>
    </row>
    <row r="15696">
      <c r="B15696" s="8"/>
      <c r="G15696" s="8"/>
      <c r="M15696" s="8"/>
    </row>
    <row r="15697">
      <c r="B15697" s="8"/>
      <c r="G15697" s="8"/>
      <c r="M15697" s="8"/>
    </row>
    <row r="15698">
      <c r="B15698" s="8"/>
      <c r="G15698" s="8"/>
      <c r="M15698" s="8"/>
    </row>
    <row r="15699">
      <c r="B15699" s="8"/>
      <c r="G15699" s="8"/>
      <c r="M15699" s="8"/>
    </row>
    <row r="15700">
      <c r="B15700" s="8"/>
      <c r="G15700" s="8"/>
      <c r="M15700" s="8"/>
    </row>
    <row r="15701">
      <c r="B15701" s="8"/>
      <c r="G15701" s="8"/>
      <c r="M15701" s="8"/>
    </row>
    <row r="15702">
      <c r="B15702" s="8"/>
      <c r="G15702" s="8"/>
      <c r="M15702" s="8"/>
    </row>
    <row r="15703">
      <c r="B15703" s="8"/>
      <c r="G15703" s="8"/>
      <c r="M15703" s="8"/>
    </row>
    <row r="15704">
      <c r="B15704" s="8"/>
      <c r="G15704" s="8"/>
      <c r="M15704" s="8"/>
    </row>
    <row r="15705">
      <c r="B15705" s="8"/>
      <c r="G15705" s="8"/>
      <c r="M15705" s="8"/>
    </row>
    <row r="15706">
      <c r="B15706" s="8"/>
      <c r="G15706" s="8"/>
      <c r="M15706" s="8"/>
    </row>
    <row r="15707">
      <c r="B15707" s="8"/>
      <c r="G15707" s="8"/>
      <c r="M15707" s="8"/>
    </row>
    <row r="15708">
      <c r="B15708" s="8"/>
      <c r="G15708" s="8"/>
      <c r="M15708" s="8"/>
    </row>
    <row r="15709">
      <c r="B15709" s="8"/>
      <c r="G15709" s="8"/>
      <c r="M15709" s="8"/>
    </row>
    <row r="15710">
      <c r="B15710" s="8"/>
      <c r="G15710" s="8"/>
      <c r="M15710" s="8"/>
    </row>
    <row r="15711">
      <c r="B15711" s="8"/>
      <c r="G15711" s="8"/>
      <c r="M15711" s="8"/>
    </row>
    <row r="15712">
      <c r="B15712" s="8"/>
      <c r="G15712" s="8"/>
      <c r="M15712" s="8"/>
    </row>
    <row r="15713">
      <c r="B15713" s="8"/>
      <c r="G15713" s="8"/>
      <c r="M15713" s="8"/>
    </row>
    <row r="15714">
      <c r="B15714" s="8"/>
      <c r="G15714" s="8"/>
      <c r="M15714" s="8"/>
    </row>
    <row r="15715">
      <c r="B15715" s="8"/>
      <c r="G15715" s="8"/>
      <c r="M15715" s="8"/>
    </row>
    <row r="15716">
      <c r="B15716" s="8"/>
      <c r="G15716" s="8"/>
      <c r="M15716" s="8"/>
    </row>
    <row r="15717">
      <c r="B15717" s="8"/>
      <c r="G15717" s="8"/>
      <c r="M15717" s="8"/>
    </row>
    <row r="15718">
      <c r="B15718" s="8"/>
      <c r="G15718" s="8"/>
      <c r="M15718" s="8"/>
    </row>
    <row r="15719">
      <c r="B15719" s="8"/>
      <c r="G15719" s="8"/>
      <c r="M15719" s="8"/>
    </row>
    <row r="15720">
      <c r="B15720" s="8"/>
      <c r="G15720" s="8"/>
      <c r="M15720" s="8"/>
    </row>
    <row r="15721">
      <c r="B15721" s="8"/>
      <c r="G15721" s="8"/>
      <c r="M15721" s="8"/>
    </row>
    <row r="15722">
      <c r="B15722" s="8"/>
      <c r="G15722" s="8"/>
      <c r="M15722" s="8"/>
    </row>
    <row r="15723">
      <c r="B15723" s="8"/>
      <c r="G15723" s="8"/>
      <c r="M15723" s="8"/>
    </row>
    <row r="15724">
      <c r="B15724" s="8"/>
      <c r="G15724" s="8"/>
      <c r="M15724" s="8"/>
    </row>
    <row r="15725">
      <c r="B15725" s="8"/>
      <c r="G15725" s="8"/>
      <c r="M15725" s="8"/>
    </row>
    <row r="15726">
      <c r="B15726" s="8"/>
      <c r="G15726" s="8"/>
      <c r="M15726" s="8"/>
    </row>
    <row r="15727">
      <c r="B15727" s="8"/>
      <c r="G15727" s="8"/>
      <c r="M15727" s="8"/>
    </row>
    <row r="15728">
      <c r="B15728" s="8"/>
      <c r="G15728" s="8"/>
      <c r="M15728" s="8"/>
    </row>
    <row r="15729">
      <c r="B15729" s="8"/>
      <c r="G15729" s="8"/>
      <c r="M15729" s="8"/>
    </row>
    <row r="15730">
      <c r="B15730" s="8"/>
      <c r="G15730" s="8"/>
      <c r="M15730" s="8"/>
    </row>
    <row r="15731">
      <c r="B15731" s="8"/>
      <c r="G15731" s="8"/>
      <c r="M15731" s="8"/>
    </row>
    <row r="15732">
      <c r="B15732" s="8"/>
      <c r="G15732" s="8"/>
      <c r="M15732" s="8"/>
    </row>
    <row r="15733">
      <c r="B15733" s="8"/>
      <c r="G15733" s="8"/>
      <c r="M15733" s="8"/>
    </row>
    <row r="15734">
      <c r="B15734" s="8"/>
      <c r="G15734" s="8"/>
      <c r="M15734" s="8"/>
    </row>
    <row r="15735">
      <c r="B15735" s="8"/>
      <c r="G15735" s="8"/>
      <c r="M15735" s="8"/>
    </row>
    <row r="15736">
      <c r="B15736" s="8"/>
      <c r="G15736" s="8"/>
      <c r="M15736" s="8"/>
    </row>
    <row r="15737">
      <c r="B15737" s="8"/>
      <c r="G15737" s="8"/>
      <c r="M15737" s="8"/>
    </row>
    <row r="15738">
      <c r="B15738" s="8"/>
      <c r="G15738" s="8"/>
      <c r="M15738" s="8"/>
    </row>
    <row r="15739">
      <c r="B15739" s="8"/>
      <c r="G15739" s="8"/>
      <c r="M15739" s="8"/>
    </row>
    <row r="15740">
      <c r="B15740" s="8"/>
      <c r="G15740" s="8"/>
      <c r="M15740" s="8"/>
    </row>
    <row r="15741">
      <c r="B15741" s="8"/>
      <c r="G15741" s="8"/>
      <c r="M15741" s="8"/>
    </row>
    <row r="15742">
      <c r="B15742" s="8"/>
      <c r="G15742" s="8"/>
      <c r="M15742" s="8"/>
    </row>
    <row r="15743">
      <c r="B15743" s="8"/>
      <c r="G15743" s="8"/>
      <c r="M15743" s="8"/>
    </row>
    <row r="15744">
      <c r="B15744" s="8"/>
      <c r="G15744" s="8"/>
      <c r="M15744" s="8"/>
    </row>
    <row r="15745">
      <c r="B15745" s="8"/>
      <c r="G15745" s="8"/>
      <c r="M15745" s="8"/>
    </row>
    <row r="15746">
      <c r="B15746" s="8"/>
      <c r="G15746" s="8"/>
      <c r="M15746" s="8"/>
    </row>
    <row r="15747">
      <c r="B15747" s="8"/>
      <c r="G15747" s="8"/>
      <c r="M15747" s="8"/>
    </row>
    <row r="15748">
      <c r="B15748" s="8"/>
      <c r="G15748" s="8"/>
      <c r="M15748" s="8"/>
    </row>
    <row r="15749">
      <c r="B15749" s="8"/>
      <c r="G15749" s="8"/>
      <c r="M15749" s="8"/>
    </row>
    <row r="15750">
      <c r="B15750" s="8"/>
      <c r="G15750" s="8"/>
      <c r="M15750" s="8"/>
    </row>
    <row r="15751">
      <c r="B15751" s="8"/>
      <c r="G15751" s="8"/>
      <c r="M15751" s="8"/>
    </row>
    <row r="15752">
      <c r="B15752" s="8"/>
      <c r="G15752" s="8"/>
      <c r="M15752" s="8"/>
    </row>
    <row r="15753">
      <c r="B15753" s="8"/>
      <c r="G15753" s="8"/>
      <c r="M15753" s="8"/>
    </row>
    <row r="15754">
      <c r="B15754" s="8"/>
      <c r="G15754" s="8"/>
      <c r="M15754" s="8"/>
    </row>
    <row r="15755">
      <c r="B15755" s="8"/>
      <c r="G15755" s="8"/>
      <c r="M15755" s="8"/>
    </row>
    <row r="15756">
      <c r="B15756" s="8"/>
      <c r="G15756" s="8"/>
      <c r="M15756" s="8"/>
    </row>
    <row r="15757">
      <c r="B15757" s="8"/>
      <c r="G15757" s="8"/>
      <c r="M15757" s="8"/>
    </row>
    <row r="15758">
      <c r="B15758" s="8"/>
      <c r="G15758" s="8"/>
      <c r="M15758" s="8"/>
    </row>
    <row r="15759">
      <c r="B15759" s="8"/>
      <c r="G15759" s="8"/>
      <c r="M15759" s="8"/>
    </row>
    <row r="15760">
      <c r="B15760" s="8"/>
      <c r="G15760" s="8"/>
      <c r="M15760" s="8"/>
    </row>
    <row r="15761">
      <c r="B15761" s="8"/>
      <c r="G15761" s="8"/>
      <c r="M15761" s="8"/>
    </row>
    <row r="15762">
      <c r="B15762" s="8"/>
      <c r="G15762" s="8"/>
      <c r="M15762" s="8"/>
    </row>
    <row r="15763">
      <c r="B15763" s="8"/>
      <c r="G15763" s="8"/>
      <c r="M15763" s="8"/>
    </row>
    <row r="15764">
      <c r="B15764" s="8"/>
      <c r="G15764" s="8"/>
      <c r="M15764" s="8"/>
    </row>
    <row r="15765">
      <c r="B15765" s="8"/>
      <c r="G15765" s="8"/>
      <c r="M15765" s="8"/>
    </row>
    <row r="15766">
      <c r="B15766" s="8"/>
      <c r="G15766" s="8"/>
      <c r="M15766" s="8"/>
    </row>
    <row r="15767">
      <c r="B15767" s="8"/>
      <c r="G15767" s="8"/>
      <c r="M15767" s="8"/>
    </row>
    <row r="15768">
      <c r="B15768" s="8"/>
      <c r="G15768" s="8"/>
      <c r="M15768" s="8"/>
    </row>
    <row r="15769">
      <c r="B15769" s="8"/>
      <c r="G15769" s="8"/>
      <c r="M15769" s="8"/>
    </row>
    <row r="15770">
      <c r="B15770" s="8"/>
      <c r="G15770" s="8"/>
      <c r="M15770" s="8"/>
    </row>
    <row r="15771">
      <c r="B15771" s="8"/>
      <c r="G15771" s="8"/>
      <c r="M15771" s="8"/>
    </row>
    <row r="15772">
      <c r="B15772" s="8"/>
      <c r="G15772" s="8"/>
      <c r="M15772" s="8"/>
    </row>
    <row r="15773">
      <c r="B15773" s="8"/>
      <c r="G15773" s="8"/>
      <c r="M15773" s="8"/>
    </row>
    <row r="15774">
      <c r="B15774" s="8"/>
      <c r="G15774" s="8"/>
      <c r="M15774" s="8"/>
    </row>
    <row r="15775">
      <c r="B15775" s="8"/>
      <c r="G15775" s="8"/>
      <c r="M15775" s="8"/>
    </row>
    <row r="15776">
      <c r="B15776" s="8"/>
      <c r="G15776" s="8"/>
      <c r="M15776" s="8"/>
    </row>
    <row r="15777">
      <c r="B15777" s="8"/>
      <c r="G15777" s="8"/>
      <c r="M15777" s="8"/>
    </row>
    <row r="15778">
      <c r="B15778" s="8"/>
      <c r="G15778" s="8"/>
      <c r="M15778" s="8"/>
    </row>
    <row r="15779">
      <c r="B15779" s="8"/>
      <c r="G15779" s="8"/>
      <c r="M15779" s="8"/>
    </row>
    <row r="15780">
      <c r="B15780" s="8"/>
      <c r="G15780" s="8"/>
      <c r="M15780" s="8"/>
    </row>
    <row r="15781">
      <c r="B15781" s="8"/>
      <c r="G15781" s="8"/>
      <c r="M15781" s="8"/>
    </row>
    <row r="15782">
      <c r="B15782" s="8"/>
      <c r="G15782" s="8"/>
      <c r="M15782" s="8"/>
    </row>
    <row r="15783">
      <c r="B15783" s="8"/>
      <c r="G15783" s="8"/>
      <c r="M15783" s="8"/>
    </row>
    <row r="15784">
      <c r="B15784" s="8"/>
      <c r="G15784" s="8"/>
      <c r="M15784" s="8"/>
    </row>
    <row r="15785">
      <c r="B15785" s="8"/>
      <c r="G15785" s="8"/>
      <c r="M15785" s="8"/>
    </row>
    <row r="15786">
      <c r="B15786" s="8"/>
      <c r="G15786" s="8"/>
      <c r="M15786" s="8"/>
    </row>
    <row r="15787">
      <c r="B15787" s="8"/>
      <c r="G15787" s="8"/>
      <c r="M15787" s="8"/>
    </row>
    <row r="15788">
      <c r="B15788" s="8"/>
      <c r="G15788" s="8"/>
      <c r="M15788" s="8"/>
    </row>
    <row r="15789">
      <c r="B15789" s="8"/>
      <c r="G15789" s="8"/>
      <c r="M15789" s="8"/>
    </row>
    <row r="15790">
      <c r="B15790" s="8"/>
      <c r="G15790" s="8"/>
      <c r="M15790" s="8"/>
    </row>
    <row r="15791">
      <c r="B15791" s="8"/>
      <c r="G15791" s="8"/>
      <c r="M15791" s="8"/>
    </row>
    <row r="15792">
      <c r="B15792" s="8"/>
      <c r="G15792" s="8"/>
      <c r="M15792" s="8"/>
    </row>
    <row r="15793">
      <c r="B15793" s="8"/>
      <c r="G15793" s="8"/>
      <c r="M15793" s="8"/>
    </row>
    <row r="15794">
      <c r="B15794" s="8"/>
      <c r="G15794" s="8"/>
      <c r="M15794" s="8"/>
    </row>
    <row r="15795">
      <c r="B15795" s="8"/>
      <c r="G15795" s="8"/>
      <c r="M15795" s="8"/>
    </row>
    <row r="15796">
      <c r="B15796" s="8"/>
      <c r="G15796" s="8"/>
      <c r="M15796" s="8"/>
    </row>
    <row r="15797">
      <c r="B15797" s="8"/>
      <c r="G15797" s="8"/>
      <c r="M15797" s="8"/>
    </row>
    <row r="15798">
      <c r="B15798" s="8"/>
      <c r="G15798" s="8"/>
      <c r="M15798" s="8"/>
    </row>
    <row r="15799">
      <c r="B15799" s="8"/>
      <c r="G15799" s="8"/>
      <c r="M15799" s="8"/>
    </row>
    <row r="15800">
      <c r="B15800" s="8"/>
      <c r="G15800" s="8"/>
      <c r="M15800" s="8"/>
    </row>
    <row r="15801">
      <c r="B15801" s="8"/>
      <c r="G15801" s="8"/>
      <c r="M15801" s="8"/>
    </row>
    <row r="15802">
      <c r="B15802" s="8"/>
      <c r="G15802" s="8"/>
      <c r="M15802" s="8"/>
    </row>
    <row r="15803">
      <c r="B15803" s="8"/>
      <c r="G15803" s="8"/>
      <c r="M15803" s="8"/>
    </row>
    <row r="15804">
      <c r="B15804" s="8"/>
      <c r="G15804" s="8"/>
      <c r="M15804" s="8"/>
    </row>
    <row r="15805">
      <c r="B15805" s="8"/>
      <c r="G15805" s="8"/>
      <c r="M15805" s="8"/>
    </row>
    <row r="15806">
      <c r="B15806" s="8"/>
      <c r="G15806" s="8"/>
      <c r="M15806" s="8"/>
    </row>
    <row r="15807">
      <c r="B15807" s="8"/>
      <c r="G15807" s="8"/>
      <c r="M15807" s="8"/>
    </row>
    <row r="15808">
      <c r="B15808" s="8"/>
      <c r="G15808" s="8"/>
      <c r="M15808" s="8"/>
    </row>
    <row r="15809">
      <c r="B15809" s="8"/>
      <c r="G15809" s="8"/>
      <c r="M15809" s="8"/>
    </row>
    <row r="15810">
      <c r="B15810" s="8"/>
      <c r="G15810" s="8"/>
      <c r="M15810" s="8"/>
    </row>
    <row r="15811">
      <c r="B15811" s="8"/>
      <c r="G15811" s="8"/>
      <c r="M15811" s="8"/>
    </row>
    <row r="15812">
      <c r="B15812" s="8"/>
      <c r="G15812" s="8"/>
      <c r="M15812" s="8"/>
    </row>
    <row r="15813">
      <c r="B15813" s="8"/>
      <c r="G15813" s="8"/>
      <c r="M15813" s="8"/>
    </row>
    <row r="15814">
      <c r="B15814" s="8"/>
      <c r="G15814" s="8"/>
      <c r="M15814" s="8"/>
    </row>
    <row r="15815">
      <c r="B15815" s="8"/>
      <c r="G15815" s="8"/>
      <c r="M15815" s="8"/>
    </row>
    <row r="15816">
      <c r="B15816" s="8"/>
      <c r="G15816" s="8"/>
      <c r="M15816" s="8"/>
    </row>
    <row r="15817">
      <c r="B15817" s="8"/>
      <c r="G15817" s="8"/>
      <c r="M15817" s="8"/>
    </row>
    <row r="15818">
      <c r="B15818" s="8"/>
      <c r="G15818" s="8"/>
      <c r="M15818" s="8"/>
    </row>
    <row r="15819">
      <c r="B15819" s="8"/>
      <c r="G15819" s="8"/>
      <c r="M15819" s="8"/>
    </row>
    <row r="15820">
      <c r="B15820" s="8"/>
      <c r="G15820" s="8"/>
      <c r="M15820" s="8"/>
    </row>
    <row r="15821">
      <c r="B15821" s="8"/>
      <c r="G15821" s="8"/>
      <c r="M15821" s="8"/>
    </row>
    <row r="15822">
      <c r="B15822" s="8"/>
      <c r="G15822" s="8"/>
      <c r="M15822" s="8"/>
    </row>
    <row r="15823">
      <c r="B15823" s="8"/>
      <c r="G15823" s="8"/>
      <c r="M15823" s="8"/>
    </row>
    <row r="15824">
      <c r="B15824" s="8"/>
      <c r="G15824" s="8"/>
      <c r="M15824" s="8"/>
    </row>
    <row r="15825">
      <c r="B15825" s="8"/>
      <c r="G15825" s="8"/>
      <c r="M15825" s="8"/>
    </row>
    <row r="15826">
      <c r="B15826" s="8"/>
      <c r="G15826" s="8"/>
      <c r="M15826" s="8"/>
    </row>
    <row r="15827">
      <c r="B15827" s="8"/>
      <c r="G15827" s="8"/>
      <c r="M15827" s="8"/>
    </row>
    <row r="15828">
      <c r="B15828" s="8"/>
      <c r="G15828" s="8"/>
      <c r="M15828" s="8"/>
    </row>
    <row r="15829">
      <c r="B15829" s="8"/>
      <c r="G15829" s="8"/>
      <c r="M15829" s="8"/>
    </row>
    <row r="15830">
      <c r="B15830" s="8"/>
      <c r="G15830" s="8"/>
      <c r="M15830" s="8"/>
    </row>
    <row r="15831">
      <c r="B15831" s="8"/>
      <c r="G15831" s="8"/>
      <c r="M15831" s="8"/>
    </row>
    <row r="15832">
      <c r="B15832" s="8"/>
      <c r="G15832" s="8"/>
      <c r="M15832" s="8"/>
    </row>
    <row r="15833">
      <c r="B15833" s="8"/>
      <c r="G15833" s="8"/>
      <c r="M15833" s="8"/>
    </row>
    <row r="15834">
      <c r="B15834" s="8"/>
      <c r="G15834" s="8"/>
      <c r="M15834" s="8"/>
    </row>
    <row r="15835">
      <c r="B15835" s="8"/>
      <c r="G15835" s="8"/>
      <c r="M15835" s="8"/>
    </row>
    <row r="15836">
      <c r="B15836" s="8"/>
      <c r="G15836" s="8"/>
      <c r="M15836" s="8"/>
    </row>
    <row r="15837">
      <c r="B15837" s="8"/>
      <c r="G15837" s="8"/>
      <c r="M15837" s="8"/>
    </row>
    <row r="15838">
      <c r="B15838" s="8"/>
      <c r="G15838" s="8"/>
      <c r="M15838" s="8"/>
    </row>
    <row r="15839">
      <c r="B15839" s="8"/>
      <c r="G15839" s="8"/>
      <c r="M15839" s="8"/>
    </row>
    <row r="15840">
      <c r="B15840" s="8"/>
      <c r="G15840" s="8"/>
      <c r="M15840" s="8"/>
    </row>
    <row r="15841">
      <c r="B15841" s="8"/>
      <c r="G15841" s="8"/>
      <c r="M15841" s="8"/>
    </row>
    <row r="15842">
      <c r="B15842" s="8"/>
      <c r="G15842" s="8"/>
      <c r="M15842" s="8"/>
    </row>
    <row r="15843">
      <c r="B15843" s="8"/>
      <c r="G15843" s="8"/>
      <c r="M15843" s="8"/>
    </row>
    <row r="15844">
      <c r="B15844" s="8"/>
      <c r="G15844" s="8"/>
      <c r="M15844" s="8"/>
    </row>
    <row r="15845">
      <c r="B15845" s="8"/>
      <c r="G15845" s="8"/>
      <c r="M15845" s="8"/>
    </row>
    <row r="15846">
      <c r="B15846" s="8"/>
      <c r="G15846" s="8"/>
      <c r="M15846" s="8"/>
    </row>
    <row r="15847">
      <c r="B15847" s="8"/>
      <c r="G15847" s="8"/>
      <c r="M15847" s="8"/>
    </row>
    <row r="15848">
      <c r="B15848" s="8"/>
      <c r="G15848" s="8"/>
      <c r="M15848" s="8"/>
    </row>
    <row r="15849">
      <c r="B15849" s="8"/>
      <c r="G15849" s="8"/>
      <c r="M15849" s="8"/>
    </row>
    <row r="15850">
      <c r="B15850" s="8"/>
      <c r="G15850" s="8"/>
      <c r="M15850" s="8"/>
    </row>
    <row r="15851">
      <c r="B15851" s="8"/>
      <c r="G15851" s="8"/>
      <c r="M15851" s="8"/>
    </row>
    <row r="15852">
      <c r="B15852" s="8"/>
      <c r="G15852" s="8"/>
      <c r="M15852" s="8"/>
    </row>
    <row r="15853">
      <c r="B15853" s="8"/>
      <c r="G15853" s="8"/>
      <c r="M15853" s="8"/>
    </row>
    <row r="15854">
      <c r="B15854" s="8"/>
      <c r="G15854" s="8"/>
      <c r="M15854" s="8"/>
    </row>
    <row r="15855">
      <c r="B15855" s="8"/>
      <c r="G15855" s="8"/>
      <c r="M15855" s="8"/>
    </row>
    <row r="15856">
      <c r="B15856" s="8"/>
      <c r="G15856" s="8"/>
      <c r="M15856" s="8"/>
    </row>
    <row r="15857">
      <c r="B15857" s="8"/>
      <c r="G15857" s="8"/>
      <c r="M15857" s="8"/>
    </row>
    <row r="15858">
      <c r="B15858" s="8"/>
      <c r="G15858" s="8"/>
      <c r="M15858" s="8"/>
    </row>
    <row r="15859">
      <c r="B15859" s="8"/>
      <c r="G15859" s="8"/>
      <c r="M15859" s="8"/>
    </row>
    <row r="15860">
      <c r="B15860" s="8"/>
      <c r="G15860" s="8"/>
      <c r="M15860" s="8"/>
    </row>
    <row r="15861">
      <c r="B15861" s="8"/>
      <c r="G15861" s="8"/>
      <c r="M15861" s="8"/>
    </row>
    <row r="15862">
      <c r="B15862" s="8"/>
      <c r="G15862" s="8"/>
      <c r="M15862" s="8"/>
    </row>
    <row r="15863">
      <c r="B15863" s="8"/>
      <c r="G15863" s="8"/>
      <c r="M15863" s="8"/>
    </row>
    <row r="15864">
      <c r="B15864" s="8"/>
      <c r="G15864" s="8"/>
      <c r="M15864" s="8"/>
    </row>
    <row r="15865">
      <c r="B15865" s="8"/>
      <c r="G15865" s="8"/>
      <c r="M15865" s="8"/>
    </row>
    <row r="15866">
      <c r="B15866" s="8"/>
      <c r="G15866" s="8"/>
      <c r="M15866" s="8"/>
    </row>
    <row r="15867">
      <c r="B15867" s="8"/>
      <c r="G15867" s="8"/>
      <c r="M15867" s="8"/>
    </row>
    <row r="15868">
      <c r="B15868" s="8"/>
      <c r="G15868" s="8"/>
      <c r="M15868" s="8"/>
    </row>
    <row r="15869">
      <c r="B15869" s="8"/>
      <c r="G15869" s="8"/>
      <c r="M15869" s="8"/>
    </row>
    <row r="15870">
      <c r="B15870" s="8"/>
      <c r="G15870" s="8"/>
      <c r="M15870" s="8"/>
    </row>
    <row r="15871">
      <c r="B15871" s="8"/>
      <c r="G15871" s="8"/>
      <c r="M15871" s="8"/>
    </row>
    <row r="15872">
      <c r="B15872" s="8"/>
      <c r="G15872" s="8"/>
      <c r="M15872" s="8"/>
    </row>
    <row r="15873">
      <c r="B15873" s="8"/>
      <c r="G15873" s="8"/>
      <c r="M15873" s="8"/>
    </row>
    <row r="15874">
      <c r="B15874" s="8"/>
      <c r="G15874" s="8"/>
      <c r="M15874" s="8"/>
    </row>
    <row r="15875">
      <c r="B15875" s="8"/>
      <c r="G15875" s="8"/>
      <c r="M15875" s="8"/>
    </row>
    <row r="15876">
      <c r="B15876" s="8"/>
      <c r="G15876" s="8"/>
      <c r="M15876" s="8"/>
    </row>
    <row r="15877">
      <c r="B15877" s="8"/>
      <c r="G15877" s="8"/>
      <c r="M15877" s="8"/>
    </row>
    <row r="15878">
      <c r="B15878" s="8"/>
      <c r="G15878" s="8"/>
      <c r="M15878" s="8"/>
    </row>
    <row r="15879">
      <c r="B15879" s="8"/>
      <c r="G15879" s="8"/>
      <c r="M15879" s="8"/>
    </row>
    <row r="15880">
      <c r="B15880" s="8"/>
      <c r="G15880" s="8"/>
      <c r="M15880" s="8"/>
    </row>
    <row r="15881">
      <c r="B15881" s="8"/>
      <c r="G15881" s="8"/>
      <c r="M15881" s="8"/>
    </row>
    <row r="15882">
      <c r="B15882" s="8"/>
      <c r="G15882" s="8"/>
      <c r="M15882" s="8"/>
    </row>
    <row r="15883">
      <c r="B15883" s="8"/>
      <c r="G15883" s="8"/>
      <c r="M15883" s="8"/>
    </row>
    <row r="15884">
      <c r="B15884" s="8"/>
      <c r="G15884" s="8"/>
      <c r="M15884" s="8"/>
    </row>
    <row r="15885">
      <c r="B15885" s="8"/>
      <c r="G15885" s="8"/>
      <c r="M15885" s="8"/>
    </row>
    <row r="15886">
      <c r="B15886" s="8"/>
      <c r="G15886" s="8"/>
      <c r="M15886" s="8"/>
    </row>
    <row r="15887">
      <c r="B15887" s="8"/>
      <c r="G15887" s="8"/>
      <c r="M15887" s="8"/>
    </row>
    <row r="15888">
      <c r="B15888" s="8"/>
      <c r="G15888" s="8"/>
      <c r="M15888" s="8"/>
    </row>
    <row r="15889">
      <c r="B15889" s="8"/>
      <c r="G15889" s="8"/>
      <c r="M15889" s="8"/>
    </row>
    <row r="15890">
      <c r="B15890" s="8"/>
      <c r="G15890" s="8"/>
      <c r="M15890" s="8"/>
    </row>
    <row r="15891">
      <c r="B15891" s="8"/>
      <c r="G15891" s="8"/>
      <c r="M15891" s="8"/>
    </row>
    <row r="15892">
      <c r="B15892" s="8"/>
      <c r="G15892" s="8"/>
      <c r="M15892" s="8"/>
    </row>
    <row r="15893">
      <c r="B15893" s="8"/>
      <c r="G15893" s="8"/>
      <c r="M15893" s="8"/>
    </row>
    <row r="15894">
      <c r="B15894" s="8"/>
      <c r="G15894" s="8"/>
      <c r="M15894" s="8"/>
    </row>
    <row r="15895">
      <c r="B15895" s="8"/>
      <c r="G15895" s="8"/>
      <c r="M15895" s="8"/>
    </row>
    <row r="15896">
      <c r="B15896" s="8"/>
      <c r="G15896" s="8"/>
      <c r="M15896" s="8"/>
    </row>
    <row r="15897">
      <c r="B15897" s="8"/>
      <c r="G15897" s="8"/>
      <c r="M15897" s="8"/>
    </row>
    <row r="15898">
      <c r="B15898" s="8"/>
      <c r="G15898" s="8"/>
      <c r="M15898" s="8"/>
    </row>
    <row r="15899">
      <c r="B15899" s="8"/>
      <c r="G15899" s="8"/>
      <c r="M15899" s="8"/>
    </row>
    <row r="15900">
      <c r="B15900" s="8"/>
      <c r="G15900" s="8"/>
      <c r="M15900" s="8"/>
    </row>
    <row r="15901">
      <c r="B15901" s="8"/>
      <c r="G15901" s="8"/>
      <c r="M15901" s="8"/>
    </row>
    <row r="15902">
      <c r="B15902" s="8"/>
      <c r="G15902" s="8"/>
      <c r="M15902" s="8"/>
    </row>
    <row r="15903">
      <c r="B15903" s="8"/>
      <c r="G15903" s="8"/>
      <c r="M15903" s="8"/>
    </row>
    <row r="15904">
      <c r="B15904" s="8"/>
      <c r="G15904" s="8"/>
      <c r="M15904" s="8"/>
    </row>
    <row r="15905">
      <c r="B15905" s="8"/>
      <c r="G15905" s="8"/>
      <c r="M15905" s="8"/>
    </row>
    <row r="15906">
      <c r="B15906" s="8"/>
      <c r="G15906" s="8"/>
      <c r="M15906" s="8"/>
    </row>
    <row r="15907">
      <c r="B15907" s="8"/>
      <c r="G15907" s="8"/>
      <c r="M15907" s="8"/>
    </row>
    <row r="15908">
      <c r="B15908" s="8"/>
      <c r="G15908" s="8"/>
      <c r="M15908" s="8"/>
    </row>
    <row r="15909">
      <c r="B15909" s="8"/>
      <c r="G15909" s="8"/>
      <c r="M15909" s="8"/>
    </row>
    <row r="15910">
      <c r="B15910" s="8"/>
      <c r="G15910" s="8"/>
      <c r="M15910" s="8"/>
    </row>
    <row r="15911">
      <c r="B15911" s="8"/>
      <c r="G15911" s="8"/>
      <c r="M15911" s="8"/>
    </row>
    <row r="15912">
      <c r="B15912" s="8"/>
      <c r="G15912" s="8"/>
      <c r="M15912" s="8"/>
    </row>
    <row r="15913">
      <c r="B15913" s="8"/>
      <c r="G15913" s="8"/>
      <c r="M15913" s="8"/>
    </row>
    <row r="15914">
      <c r="B15914" s="8"/>
      <c r="G15914" s="8"/>
      <c r="M15914" s="8"/>
    </row>
    <row r="15915">
      <c r="B15915" s="8"/>
      <c r="G15915" s="8"/>
      <c r="M15915" s="8"/>
    </row>
    <row r="15916">
      <c r="B15916" s="8"/>
      <c r="G15916" s="8"/>
      <c r="M15916" s="8"/>
    </row>
    <row r="15917">
      <c r="B15917" s="8"/>
      <c r="G15917" s="8"/>
      <c r="M15917" s="8"/>
    </row>
    <row r="15918">
      <c r="B15918" s="8"/>
      <c r="G15918" s="8"/>
      <c r="M15918" s="8"/>
    </row>
    <row r="15919">
      <c r="B15919" s="8"/>
      <c r="G15919" s="8"/>
      <c r="M15919" s="8"/>
    </row>
    <row r="15920">
      <c r="B15920" s="8"/>
      <c r="G15920" s="8"/>
      <c r="M15920" s="8"/>
    </row>
    <row r="15921">
      <c r="B15921" s="8"/>
      <c r="G15921" s="8"/>
      <c r="M15921" s="8"/>
    </row>
    <row r="15922">
      <c r="B15922" s="8"/>
      <c r="G15922" s="8"/>
      <c r="M15922" s="8"/>
    </row>
    <row r="15923">
      <c r="B15923" s="8"/>
      <c r="G15923" s="8"/>
      <c r="M15923" s="8"/>
    </row>
    <row r="15924">
      <c r="B15924" s="8"/>
      <c r="G15924" s="8"/>
      <c r="M15924" s="8"/>
    </row>
    <row r="15925">
      <c r="B15925" s="8"/>
      <c r="G15925" s="8"/>
      <c r="M15925" s="8"/>
    </row>
    <row r="15926">
      <c r="B15926" s="8"/>
      <c r="G15926" s="8"/>
      <c r="M15926" s="8"/>
    </row>
    <row r="15927">
      <c r="B15927" s="8"/>
      <c r="G15927" s="8"/>
      <c r="M15927" s="8"/>
    </row>
    <row r="15928">
      <c r="B15928" s="8"/>
      <c r="G15928" s="8"/>
      <c r="M15928" s="8"/>
    </row>
    <row r="15929">
      <c r="B15929" s="8"/>
      <c r="G15929" s="8"/>
      <c r="M15929" s="8"/>
    </row>
    <row r="15930">
      <c r="B15930" s="8"/>
      <c r="G15930" s="8"/>
      <c r="M15930" s="8"/>
    </row>
    <row r="15931">
      <c r="B15931" s="8"/>
      <c r="G15931" s="8"/>
      <c r="M15931" s="8"/>
    </row>
    <row r="15932">
      <c r="B15932" s="8"/>
      <c r="G15932" s="8"/>
      <c r="M15932" s="8"/>
    </row>
    <row r="15933">
      <c r="B15933" s="8"/>
      <c r="G15933" s="8"/>
      <c r="M15933" s="8"/>
    </row>
    <row r="15934">
      <c r="B15934" s="8"/>
      <c r="G15934" s="8"/>
      <c r="M15934" s="8"/>
    </row>
    <row r="15935">
      <c r="B15935" s="8"/>
      <c r="G15935" s="8"/>
      <c r="M15935" s="8"/>
    </row>
    <row r="15936">
      <c r="B15936" s="8"/>
      <c r="G15936" s="8"/>
      <c r="M15936" s="8"/>
    </row>
    <row r="15937">
      <c r="B15937" s="8"/>
      <c r="G15937" s="8"/>
      <c r="M15937" s="8"/>
    </row>
    <row r="15938">
      <c r="B15938" s="8"/>
      <c r="G15938" s="8"/>
      <c r="M15938" s="8"/>
    </row>
    <row r="15939">
      <c r="B15939" s="8"/>
      <c r="G15939" s="8"/>
      <c r="M15939" s="8"/>
    </row>
    <row r="15940">
      <c r="B15940" s="8"/>
      <c r="G15940" s="8"/>
      <c r="M15940" s="8"/>
    </row>
    <row r="15941">
      <c r="B15941" s="8"/>
      <c r="G15941" s="8"/>
      <c r="M15941" s="8"/>
    </row>
    <row r="15942">
      <c r="B15942" s="8"/>
      <c r="G15942" s="8"/>
      <c r="M15942" s="8"/>
    </row>
    <row r="15943">
      <c r="B15943" s="8"/>
      <c r="G15943" s="8"/>
      <c r="M15943" s="8"/>
    </row>
    <row r="15944">
      <c r="B15944" s="8"/>
      <c r="G15944" s="8"/>
      <c r="M15944" s="8"/>
    </row>
    <row r="15945">
      <c r="B15945" s="8"/>
      <c r="G15945" s="8"/>
      <c r="M15945" s="8"/>
    </row>
    <row r="15946">
      <c r="B15946" s="8"/>
      <c r="G15946" s="8"/>
      <c r="M15946" s="8"/>
    </row>
    <row r="15947">
      <c r="B15947" s="8"/>
      <c r="G15947" s="8"/>
      <c r="M15947" s="8"/>
    </row>
    <row r="15948">
      <c r="B15948" s="8"/>
      <c r="G15948" s="8"/>
      <c r="M15948" s="8"/>
    </row>
    <row r="15949">
      <c r="B15949" s="8"/>
      <c r="G15949" s="8"/>
      <c r="M15949" s="8"/>
    </row>
    <row r="15950">
      <c r="B15950" s="8"/>
      <c r="G15950" s="8"/>
      <c r="M15950" s="8"/>
    </row>
    <row r="15951">
      <c r="B15951" s="8"/>
      <c r="G15951" s="8"/>
      <c r="M15951" s="8"/>
    </row>
    <row r="15952">
      <c r="B15952" s="8"/>
      <c r="G15952" s="8"/>
      <c r="M15952" s="8"/>
    </row>
    <row r="15953">
      <c r="B15953" s="8"/>
      <c r="G15953" s="8"/>
      <c r="M15953" s="8"/>
    </row>
    <row r="15954">
      <c r="B15954" s="8"/>
      <c r="G15954" s="8"/>
      <c r="M15954" s="8"/>
    </row>
    <row r="15955">
      <c r="B15955" s="8"/>
      <c r="G15955" s="8"/>
      <c r="M15955" s="8"/>
    </row>
    <row r="15956">
      <c r="B15956" s="8"/>
      <c r="G15956" s="8"/>
      <c r="M15956" s="8"/>
    </row>
    <row r="15957">
      <c r="B15957" s="8"/>
      <c r="G15957" s="8"/>
      <c r="M15957" s="8"/>
    </row>
    <row r="15958">
      <c r="B15958" s="8"/>
      <c r="G15958" s="8"/>
      <c r="M15958" s="8"/>
    </row>
    <row r="15959">
      <c r="B15959" s="8"/>
      <c r="G15959" s="8"/>
      <c r="M15959" s="8"/>
    </row>
    <row r="15960">
      <c r="B15960" s="8"/>
      <c r="G15960" s="8"/>
      <c r="M15960" s="8"/>
    </row>
    <row r="15961">
      <c r="B15961" s="8"/>
      <c r="G15961" s="8"/>
      <c r="M15961" s="8"/>
    </row>
    <row r="15962">
      <c r="B15962" s="8"/>
      <c r="G15962" s="8"/>
      <c r="M15962" s="8"/>
    </row>
    <row r="15963">
      <c r="B15963" s="8"/>
      <c r="G15963" s="8"/>
      <c r="M15963" s="8"/>
    </row>
    <row r="15964">
      <c r="B15964" s="8"/>
      <c r="G15964" s="8"/>
      <c r="M15964" s="8"/>
    </row>
    <row r="15965">
      <c r="B15965" s="8"/>
      <c r="G15965" s="8"/>
      <c r="M15965" s="8"/>
    </row>
    <row r="15966">
      <c r="B15966" s="8"/>
      <c r="G15966" s="8"/>
      <c r="M15966" s="8"/>
    </row>
    <row r="15967">
      <c r="B15967" s="8"/>
      <c r="G15967" s="8"/>
      <c r="M15967" s="8"/>
    </row>
    <row r="15968">
      <c r="B15968" s="8"/>
      <c r="G15968" s="8"/>
      <c r="M15968" s="8"/>
    </row>
    <row r="15969">
      <c r="B15969" s="8"/>
      <c r="G15969" s="8"/>
      <c r="M15969" s="8"/>
    </row>
    <row r="15970">
      <c r="B15970" s="8"/>
      <c r="G15970" s="8"/>
      <c r="M15970" s="8"/>
    </row>
    <row r="15971">
      <c r="B15971" s="8"/>
      <c r="G15971" s="8"/>
      <c r="M15971" s="8"/>
    </row>
    <row r="15972">
      <c r="B15972" s="8"/>
      <c r="G15972" s="8"/>
      <c r="M15972" s="8"/>
    </row>
    <row r="15973">
      <c r="B15973" s="8"/>
      <c r="G15973" s="8"/>
      <c r="M15973" s="8"/>
    </row>
    <row r="15974">
      <c r="B15974" s="8"/>
      <c r="G15974" s="8"/>
      <c r="M15974" s="8"/>
    </row>
    <row r="15975">
      <c r="B15975" s="8"/>
      <c r="G15975" s="8"/>
      <c r="M15975" s="8"/>
    </row>
    <row r="15976">
      <c r="B15976" s="8"/>
      <c r="G15976" s="8"/>
      <c r="M15976" s="8"/>
    </row>
    <row r="15977">
      <c r="B15977" s="8"/>
      <c r="G15977" s="8"/>
      <c r="M15977" s="8"/>
    </row>
    <row r="15978">
      <c r="B15978" s="8"/>
      <c r="G15978" s="8"/>
      <c r="M15978" s="8"/>
    </row>
    <row r="15979">
      <c r="B15979" s="8"/>
      <c r="G15979" s="8"/>
      <c r="M15979" s="8"/>
    </row>
    <row r="15980">
      <c r="B15980" s="8"/>
      <c r="G15980" s="8"/>
      <c r="M15980" s="8"/>
    </row>
    <row r="15981">
      <c r="B15981" s="8"/>
      <c r="G15981" s="8"/>
      <c r="M15981" s="8"/>
    </row>
    <row r="15982">
      <c r="B15982" s="8"/>
      <c r="G15982" s="8"/>
      <c r="M15982" s="8"/>
    </row>
    <row r="15983">
      <c r="B15983" s="8"/>
      <c r="G15983" s="8"/>
      <c r="M15983" s="8"/>
    </row>
    <row r="15984">
      <c r="B15984" s="8"/>
      <c r="G15984" s="8"/>
      <c r="M15984" s="8"/>
    </row>
    <row r="15985">
      <c r="B15985" s="8"/>
      <c r="G15985" s="8"/>
      <c r="M15985" s="8"/>
    </row>
    <row r="15986">
      <c r="B15986" s="8"/>
      <c r="G15986" s="8"/>
      <c r="M15986" s="8"/>
    </row>
    <row r="15987">
      <c r="B15987" s="8"/>
      <c r="G15987" s="8"/>
      <c r="M15987" s="8"/>
    </row>
    <row r="15988">
      <c r="B15988" s="8"/>
      <c r="G15988" s="8"/>
      <c r="M15988" s="8"/>
    </row>
    <row r="15989">
      <c r="B15989" s="8"/>
      <c r="G15989" s="8"/>
      <c r="M15989" s="8"/>
    </row>
    <row r="15990">
      <c r="B15990" s="8"/>
      <c r="G15990" s="8"/>
      <c r="M15990" s="8"/>
    </row>
    <row r="15991">
      <c r="B15991" s="8"/>
      <c r="G15991" s="8"/>
      <c r="M15991" s="8"/>
    </row>
    <row r="15992">
      <c r="B15992" s="8"/>
      <c r="G15992" s="8"/>
      <c r="M15992" s="8"/>
    </row>
    <row r="15993">
      <c r="B15993" s="8"/>
      <c r="G15993" s="8"/>
      <c r="M15993" s="8"/>
    </row>
    <row r="15994">
      <c r="B15994" s="8"/>
      <c r="G15994" s="8"/>
      <c r="M15994" s="8"/>
    </row>
    <row r="15995">
      <c r="B15995" s="8"/>
      <c r="G15995" s="8"/>
      <c r="M15995" s="8"/>
    </row>
    <row r="15996">
      <c r="B15996" s="8"/>
      <c r="G15996" s="8"/>
      <c r="M15996" s="8"/>
    </row>
    <row r="15997">
      <c r="B15997" s="8"/>
      <c r="G15997" s="8"/>
      <c r="M15997" s="8"/>
    </row>
    <row r="15998">
      <c r="B15998" s="8"/>
      <c r="G15998" s="8"/>
      <c r="M15998" s="8"/>
    </row>
    <row r="15999">
      <c r="B15999" s="8"/>
      <c r="G15999" s="8"/>
      <c r="M15999" s="8"/>
    </row>
    <row r="16000">
      <c r="B16000" s="8"/>
      <c r="G16000" s="8"/>
      <c r="M16000" s="8"/>
    </row>
    <row r="16001">
      <c r="B16001" s="8"/>
      <c r="G16001" s="8"/>
      <c r="M16001" s="8"/>
    </row>
    <row r="16002">
      <c r="B16002" s="8"/>
      <c r="G16002" s="8"/>
      <c r="M16002" s="8"/>
    </row>
    <row r="16003">
      <c r="B16003" s="8"/>
      <c r="G16003" s="8"/>
      <c r="M16003" s="8"/>
    </row>
    <row r="16004">
      <c r="B16004" s="8"/>
      <c r="G16004" s="8"/>
      <c r="M16004" s="8"/>
    </row>
    <row r="16005">
      <c r="B16005" s="8"/>
      <c r="G16005" s="8"/>
      <c r="M16005" s="8"/>
    </row>
    <row r="16006">
      <c r="B16006" s="8"/>
      <c r="G16006" s="8"/>
      <c r="M16006" s="8"/>
    </row>
    <row r="16007">
      <c r="B16007" s="8"/>
      <c r="G16007" s="8"/>
      <c r="M16007" s="8"/>
    </row>
    <row r="16008">
      <c r="B16008" s="8"/>
      <c r="G16008" s="8"/>
      <c r="M16008" s="8"/>
    </row>
    <row r="16009">
      <c r="B16009" s="8"/>
      <c r="G16009" s="8"/>
      <c r="M16009" s="8"/>
    </row>
    <row r="16010">
      <c r="B16010" s="8"/>
      <c r="G16010" s="8"/>
      <c r="M16010" s="8"/>
    </row>
    <row r="16011">
      <c r="B16011" s="8"/>
      <c r="G16011" s="8"/>
      <c r="M16011" s="8"/>
    </row>
    <row r="16012">
      <c r="B16012" s="8"/>
      <c r="G16012" s="8"/>
      <c r="M16012" s="8"/>
    </row>
    <row r="16013">
      <c r="B16013" s="8"/>
      <c r="G16013" s="8"/>
      <c r="M16013" s="8"/>
    </row>
    <row r="16014">
      <c r="B16014" s="8"/>
      <c r="G16014" s="8"/>
      <c r="M16014" s="8"/>
    </row>
    <row r="16015">
      <c r="B16015" s="8"/>
      <c r="G16015" s="8"/>
      <c r="M16015" s="8"/>
    </row>
    <row r="16016">
      <c r="B16016" s="8"/>
      <c r="G16016" s="8"/>
      <c r="M16016" s="8"/>
    </row>
    <row r="16017">
      <c r="B16017" s="8"/>
      <c r="G16017" s="8"/>
      <c r="M16017" s="8"/>
    </row>
    <row r="16018">
      <c r="B16018" s="8"/>
      <c r="G16018" s="8"/>
      <c r="M16018" s="8"/>
    </row>
    <row r="16019">
      <c r="B16019" s="8"/>
      <c r="G16019" s="8"/>
      <c r="M16019" s="8"/>
    </row>
    <row r="16020">
      <c r="B16020" s="8"/>
      <c r="G16020" s="8"/>
      <c r="M16020" s="8"/>
    </row>
    <row r="16021">
      <c r="B16021" s="8"/>
      <c r="G16021" s="8"/>
      <c r="M16021" s="8"/>
    </row>
    <row r="16022">
      <c r="B16022" s="8"/>
      <c r="G16022" s="8"/>
      <c r="M16022" s="8"/>
    </row>
    <row r="16023">
      <c r="B16023" s="8"/>
      <c r="G16023" s="8"/>
      <c r="M16023" s="8"/>
    </row>
    <row r="16024">
      <c r="B16024" s="8"/>
      <c r="G16024" s="8"/>
      <c r="M16024" s="8"/>
    </row>
    <row r="16025">
      <c r="B16025" s="8"/>
      <c r="G16025" s="8"/>
      <c r="M16025" s="8"/>
    </row>
    <row r="16026">
      <c r="B16026" s="8"/>
      <c r="G16026" s="8"/>
      <c r="M16026" s="8"/>
    </row>
    <row r="16027">
      <c r="B16027" s="8"/>
      <c r="G16027" s="8"/>
      <c r="M16027" s="8"/>
    </row>
    <row r="16028">
      <c r="B16028" s="8"/>
      <c r="G16028" s="8"/>
      <c r="M16028" s="8"/>
    </row>
    <row r="16029">
      <c r="B16029" s="8"/>
      <c r="G16029" s="8"/>
      <c r="M16029" s="8"/>
    </row>
    <row r="16030">
      <c r="B16030" s="8"/>
      <c r="G16030" s="8"/>
      <c r="M16030" s="8"/>
    </row>
    <row r="16031">
      <c r="B16031" s="8"/>
      <c r="G16031" s="8"/>
      <c r="M16031" s="8"/>
    </row>
    <row r="16032">
      <c r="B16032" s="8"/>
      <c r="G16032" s="8"/>
      <c r="M16032" s="8"/>
    </row>
    <row r="16033">
      <c r="B16033" s="8"/>
      <c r="G16033" s="8"/>
      <c r="M16033" s="8"/>
    </row>
    <row r="16034">
      <c r="B16034" s="8"/>
      <c r="G16034" s="8"/>
      <c r="M16034" s="8"/>
    </row>
    <row r="16035">
      <c r="B16035" s="8"/>
      <c r="G16035" s="8"/>
      <c r="M16035" s="8"/>
    </row>
    <row r="16036">
      <c r="B16036" s="8"/>
      <c r="G16036" s="8"/>
      <c r="M16036" s="8"/>
    </row>
    <row r="16037">
      <c r="B16037" s="8"/>
      <c r="G16037" s="8"/>
      <c r="M16037" s="8"/>
    </row>
    <row r="16038">
      <c r="B16038" s="8"/>
      <c r="G16038" s="8"/>
      <c r="M16038" s="8"/>
    </row>
    <row r="16039">
      <c r="B16039" s="8"/>
      <c r="G16039" s="8"/>
      <c r="M16039" s="8"/>
    </row>
    <row r="16040">
      <c r="B16040" s="8"/>
      <c r="G16040" s="8"/>
      <c r="M16040" s="8"/>
    </row>
    <row r="16041">
      <c r="B16041" s="8"/>
      <c r="G16041" s="8"/>
      <c r="M16041" s="8"/>
    </row>
    <row r="16042">
      <c r="B16042" s="8"/>
      <c r="G16042" s="8"/>
      <c r="M16042" s="8"/>
    </row>
    <row r="16043">
      <c r="B16043" s="8"/>
      <c r="G16043" s="8"/>
      <c r="M16043" s="8"/>
    </row>
    <row r="16044">
      <c r="B16044" s="8"/>
      <c r="G16044" s="8"/>
      <c r="M16044" s="8"/>
    </row>
    <row r="16045">
      <c r="B16045" s="8"/>
      <c r="G16045" s="8"/>
      <c r="M16045" s="8"/>
    </row>
    <row r="16046">
      <c r="B16046" s="8"/>
      <c r="G16046" s="8"/>
      <c r="M16046" s="8"/>
    </row>
    <row r="16047">
      <c r="B16047" s="8"/>
      <c r="G16047" s="8"/>
      <c r="M16047" s="8"/>
    </row>
    <row r="16048">
      <c r="B16048" s="8"/>
      <c r="G16048" s="8"/>
      <c r="M16048" s="8"/>
    </row>
    <row r="16049">
      <c r="B16049" s="8"/>
      <c r="G16049" s="8"/>
      <c r="M16049" s="8"/>
    </row>
    <row r="16050">
      <c r="B16050" s="8"/>
      <c r="G16050" s="8"/>
      <c r="M16050" s="8"/>
    </row>
    <row r="16051">
      <c r="B16051" s="8"/>
      <c r="G16051" s="8"/>
      <c r="M16051" s="8"/>
    </row>
    <row r="16052">
      <c r="B16052" s="8"/>
      <c r="G16052" s="8"/>
      <c r="M16052" s="8"/>
    </row>
    <row r="16053">
      <c r="B16053" s="8"/>
      <c r="G16053" s="8"/>
      <c r="M16053" s="8"/>
    </row>
    <row r="16054">
      <c r="B16054" s="8"/>
      <c r="G16054" s="8"/>
      <c r="M16054" s="8"/>
    </row>
    <row r="16055">
      <c r="B16055" s="8"/>
      <c r="G16055" s="8"/>
      <c r="M16055" s="8"/>
    </row>
    <row r="16056">
      <c r="B16056" s="8"/>
      <c r="G16056" s="8"/>
      <c r="M16056" s="8"/>
    </row>
    <row r="16057">
      <c r="B16057" s="8"/>
      <c r="G16057" s="8"/>
      <c r="M16057" s="8"/>
    </row>
    <row r="16058">
      <c r="B16058" s="8"/>
      <c r="G16058" s="8"/>
      <c r="M16058" s="8"/>
    </row>
    <row r="16059">
      <c r="B16059" s="8"/>
      <c r="G16059" s="8"/>
      <c r="M16059" s="8"/>
    </row>
    <row r="16060">
      <c r="B16060" s="8"/>
      <c r="G16060" s="8"/>
      <c r="M16060" s="8"/>
    </row>
    <row r="16061">
      <c r="B16061" s="8"/>
      <c r="G16061" s="8"/>
      <c r="M16061" s="8"/>
    </row>
    <row r="16062">
      <c r="B16062" s="8"/>
      <c r="G16062" s="8"/>
      <c r="M16062" s="8"/>
    </row>
    <row r="16063">
      <c r="B16063" s="8"/>
      <c r="G16063" s="8"/>
      <c r="M16063" s="8"/>
    </row>
    <row r="16064">
      <c r="B16064" s="8"/>
      <c r="G16064" s="8"/>
      <c r="M16064" s="8"/>
    </row>
    <row r="16065">
      <c r="B16065" s="8"/>
      <c r="G16065" s="8"/>
      <c r="M16065" s="8"/>
    </row>
    <row r="16066">
      <c r="B16066" s="8"/>
      <c r="G16066" s="8"/>
      <c r="M16066" s="8"/>
    </row>
    <row r="16067">
      <c r="B16067" s="8"/>
      <c r="G16067" s="8"/>
      <c r="M16067" s="8"/>
    </row>
    <row r="16068">
      <c r="B16068" s="8"/>
      <c r="G16068" s="8"/>
      <c r="M16068" s="8"/>
    </row>
    <row r="16069">
      <c r="B16069" s="8"/>
      <c r="G16069" s="8"/>
      <c r="M16069" s="8"/>
    </row>
    <row r="16070">
      <c r="B16070" s="8"/>
      <c r="G16070" s="8"/>
      <c r="M16070" s="8"/>
    </row>
    <row r="16071">
      <c r="B16071" s="8"/>
      <c r="G16071" s="8"/>
      <c r="M16071" s="8"/>
    </row>
    <row r="16072">
      <c r="B16072" s="8"/>
      <c r="G16072" s="8"/>
      <c r="M16072" s="8"/>
    </row>
    <row r="16073">
      <c r="B16073" s="8"/>
      <c r="G16073" s="8"/>
      <c r="M16073" s="8"/>
    </row>
    <row r="16074">
      <c r="B16074" s="8"/>
      <c r="G16074" s="8"/>
      <c r="M16074" s="8"/>
    </row>
    <row r="16075">
      <c r="B16075" s="8"/>
      <c r="G16075" s="8"/>
      <c r="M16075" s="8"/>
    </row>
    <row r="16076">
      <c r="B16076" s="8"/>
      <c r="G16076" s="8"/>
      <c r="M16076" s="8"/>
    </row>
    <row r="16077">
      <c r="B16077" s="8"/>
      <c r="G16077" s="8"/>
      <c r="M16077" s="8"/>
    </row>
    <row r="16078">
      <c r="B16078" s="8"/>
      <c r="G16078" s="8"/>
      <c r="M16078" s="8"/>
    </row>
    <row r="16079">
      <c r="B16079" s="8"/>
      <c r="G16079" s="8"/>
      <c r="M16079" s="8"/>
    </row>
    <row r="16080">
      <c r="B16080" s="8"/>
      <c r="G16080" s="8"/>
      <c r="M16080" s="8"/>
    </row>
    <row r="16081">
      <c r="B16081" s="8"/>
      <c r="G16081" s="8"/>
      <c r="M16081" s="8"/>
    </row>
    <row r="16082">
      <c r="B16082" s="8"/>
      <c r="G16082" s="8"/>
      <c r="M16082" s="8"/>
    </row>
    <row r="16083">
      <c r="B16083" s="8"/>
      <c r="G16083" s="8"/>
      <c r="M16083" s="8"/>
    </row>
    <row r="16084">
      <c r="B16084" s="8"/>
      <c r="G16084" s="8"/>
      <c r="M16084" s="8"/>
    </row>
    <row r="16085">
      <c r="B16085" s="8"/>
      <c r="G16085" s="8"/>
      <c r="M16085" s="8"/>
    </row>
    <row r="16086">
      <c r="B16086" s="8"/>
      <c r="G16086" s="8"/>
      <c r="M16086" s="8"/>
    </row>
    <row r="16087">
      <c r="B16087" s="8"/>
      <c r="G16087" s="8"/>
      <c r="M16087" s="8"/>
    </row>
    <row r="16088">
      <c r="B16088" s="8"/>
      <c r="G16088" s="8"/>
      <c r="M16088" s="8"/>
    </row>
    <row r="16089">
      <c r="B16089" s="8"/>
      <c r="G16089" s="8"/>
      <c r="M16089" s="8"/>
    </row>
    <row r="16090">
      <c r="B16090" s="8"/>
      <c r="G16090" s="8"/>
      <c r="M16090" s="8"/>
    </row>
    <row r="16091">
      <c r="B16091" s="8"/>
      <c r="G16091" s="8"/>
      <c r="M16091" s="8"/>
    </row>
    <row r="16092">
      <c r="B16092" s="8"/>
      <c r="G16092" s="8"/>
      <c r="M16092" s="8"/>
    </row>
    <row r="16093">
      <c r="B16093" s="8"/>
      <c r="G16093" s="8"/>
      <c r="M16093" s="8"/>
    </row>
    <row r="16094">
      <c r="B16094" s="8"/>
      <c r="G16094" s="8"/>
      <c r="M16094" s="8"/>
    </row>
    <row r="16095">
      <c r="B16095" s="8"/>
      <c r="G16095" s="8"/>
      <c r="M16095" s="8"/>
    </row>
    <row r="16096">
      <c r="B16096" s="8"/>
      <c r="G16096" s="8"/>
      <c r="M16096" s="8"/>
    </row>
    <row r="16097">
      <c r="B16097" s="8"/>
      <c r="G16097" s="8"/>
      <c r="M16097" s="8"/>
    </row>
    <row r="16098">
      <c r="B16098" s="8"/>
      <c r="G16098" s="8"/>
      <c r="M16098" s="8"/>
    </row>
    <row r="16099">
      <c r="B16099" s="8"/>
      <c r="G16099" s="8"/>
      <c r="M16099" s="8"/>
    </row>
    <row r="16100">
      <c r="B16100" s="8"/>
      <c r="G16100" s="8"/>
      <c r="M16100" s="8"/>
    </row>
    <row r="16101">
      <c r="B16101" s="8"/>
      <c r="G16101" s="8"/>
      <c r="M16101" s="8"/>
    </row>
    <row r="16102">
      <c r="B16102" s="8"/>
      <c r="G16102" s="8"/>
      <c r="M16102" s="8"/>
    </row>
    <row r="16103">
      <c r="B16103" s="8"/>
      <c r="G16103" s="8"/>
      <c r="M16103" s="8"/>
    </row>
    <row r="16104">
      <c r="B16104" s="8"/>
      <c r="G16104" s="8"/>
      <c r="M16104" s="8"/>
    </row>
    <row r="16105">
      <c r="B16105" s="8"/>
      <c r="G16105" s="8"/>
      <c r="M16105" s="8"/>
    </row>
    <row r="16106">
      <c r="B16106" s="8"/>
      <c r="G16106" s="8"/>
      <c r="M16106" s="8"/>
    </row>
    <row r="16107">
      <c r="B16107" s="8"/>
      <c r="G16107" s="8"/>
      <c r="M16107" s="8"/>
    </row>
    <row r="16108">
      <c r="B16108" s="8"/>
      <c r="G16108" s="8"/>
      <c r="M16108" s="8"/>
    </row>
    <row r="16109">
      <c r="B16109" s="8"/>
      <c r="G16109" s="8"/>
      <c r="M16109" s="8"/>
    </row>
    <row r="16110">
      <c r="B16110" s="8"/>
      <c r="G16110" s="8"/>
      <c r="M16110" s="8"/>
    </row>
    <row r="16111">
      <c r="B16111" s="8"/>
      <c r="G16111" s="8"/>
      <c r="M16111" s="8"/>
    </row>
    <row r="16112">
      <c r="B16112" s="8"/>
      <c r="G16112" s="8"/>
      <c r="M16112" s="8"/>
    </row>
    <row r="16113">
      <c r="B16113" s="8"/>
      <c r="G16113" s="8"/>
      <c r="M16113" s="8"/>
    </row>
    <row r="16114">
      <c r="B16114" s="8"/>
      <c r="G16114" s="8"/>
      <c r="M16114" s="8"/>
    </row>
    <row r="16115">
      <c r="B16115" s="8"/>
      <c r="G16115" s="8"/>
      <c r="M16115" s="8"/>
    </row>
    <row r="16116">
      <c r="B16116" s="8"/>
      <c r="G16116" s="8"/>
      <c r="M16116" s="8"/>
    </row>
    <row r="16117">
      <c r="B16117" s="8"/>
      <c r="G16117" s="8"/>
      <c r="M16117" s="8"/>
    </row>
    <row r="16118">
      <c r="B16118" s="8"/>
      <c r="G16118" s="8"/>
      <c r="M16118" s="8"/>
    </row>
    <row r="16119">
      <c r="B16119" s="8"/>
      <c r="G16119" s="8"/>
      <c r="M16119" s="8"/>
    </row>
    <row r="16120">
      <c r="B16120" s="8"/>
      <c r="G16120" s="8"/>
      <c r="M16120" s="8"/>
    </row>
    <row r="16121">
      <c r="B16121" s="8"/>
      <c r="G16121" s="8"/>
      <c r="M16121" s="8"/>
    </row>
    <row r="16122">
      <c r="B16122" s="8"/>
      <c r="G16122" s="8"/>
      <c r="M16122" s="8"/>
    </row>
    <row r="16123">
      <c r="B16123" s="8"/>
      <c r="G16123" s="8"/>
      <c r="M16123" s="8"/>
    </row>
    <row r="16124">
      <c r="B16124" s="8"/>
      <c r="G16124" s="8"/>
      <c r="M16124" s="8"/>
    </row>
    <row r="16125">
      <c r="B16125" s="8"/>
      <c r="G16125" s="8"/>
      <c r="M16125" s="8"/>
    </row>
    <row r="16126">
      <c r="B16126" s="8"/>
      <c r="G16126" s="8"/>
      <c r="M16126" s="8"/>
    </row>
    <row r="16127">
      <c r="B16127" s="8"/>
      <c r="G16127" s="8"/>
      <c r="M16127" s="8"/>
    </row>
    <row r="16128">
      <c r="B16128" s="8"/>
      <c r="G16128" s="8"/>
      <c r="M16128" s="8"/>
    </row>
    <row r="16129">
      <c r="B16129" s="8"/>
      <c r="G16129" s="8"/>
      <c r="M16129" s="8"/>
    </row>
    <row r="16130">
      <c r="B16130" s="8"/>
      <c r="G16130" s="8"/>
      <c r="M16130" s="8"/>
    </row>
    <row r="16131">
      <c r="B16131" s="8"/>
      <c r="G16131" s="8"/>
      <c r="M16131" s="8"/>
    </row>
    <row r="16132">
      <c r="B16132" s="8"/>
      <c r="G16132" s="8"/>
      <c r="M16132" s="8"/>
    </row>
    <row r="16133">
      <c r="B16133" s="8"/>
      <c r="G16133" s="8"/>
      <c r="M16133" s="8"/>
    </row>
    <row r="16134">
      <c r="B16134" s="8"/>
      <c r="G16134" s="8"/>
      <c r="M16134" s="8"/>
    </row>
    <row r="16135">
      <c r="B16135" s="8"/>
      <c r="G16135" s="8"/>
      <c r="M16135" s="8"/>
    </row>
    <row r="16136">
      <c r="B16136" s="8"/>
      <c r="G16136" s="8"/>
      <c r="M16136" s="8"/>
    </row>
    <row r="16137">
      <c r="B16137" s="8"/>
      <c r="G16137" s="8"/>
      <c r="M16137" s="8"/>
    </row>
    <row r="16138">
      <c r="B16138" s="8"/>
      <c r="G16138" s="8"/>
      <c r="M16138" s="8"/>
    </row>
    <row r="16139">
      <c r="B16139" s="8"/>
      <c r="G16139" s="8"/>
      <c r="M16139" s="8"/>
    </row>
    <row r="16140">
      <c r="B16140" s="8"/>
      <c r="G16140" s="8"/>
      <c r="M16140" s="8"/>
    </row>
    <row r="16141">
      <c r="B16141" s="8"/>
      <c r="G16141" s="8"/>
      <c r="M16141" s="8"/>
    </row>
    <row r="16142">
      <c r="B16142" s="8"/>
      <c r="G16142" s="8"/>
      <c r="M16142" s="8"/>
    </row>
    <row r="16143">
      <c r="B16143" s="8"/>
      <c r="G16143" s="8"/>
      <c r="M16143" s="8"/>
    </row>
    <row r="16144">
      <c r="B16144" s="8"/>
      <c r="G16144" s="8"/>
      <c r="M16144" s="8"/>
    </row>
    <row r="16145">
      <c r="B16145" s="8"/>
      <c r="G16145" s="8"/>
      <c r="M16145" s="8"/>
    </row>
    <row r="16146">
      <c r="B16146" s="8"/>
      <c r="G16146" s="8"/>
      <c r="M16146" s="8"/>
    </row>
    <row r="16147">
      <c r="B16147" s="8"/>
      <c r="G16147" s="8"/>
      <c r="M16147" s="8"/>
    </row>
    <row r="16148">
      <c r="B16148" s="8"/>
      <c r="G16148" s="8"/>
      <c r="M16148" s="8"/>
    </row>
    <row r="16149">
      <c r="B16149" s="8"/>
      <c r="G16149" s="8"/>
      <c r="M16149" s="8"/>
    </row>
    <row r="16150">
      <c r="B16150" s="8"/>
      <c r="G16150" s="8"/>
      <c r="M16150" s="8"/>
    </row>
    <row r="16151">
      <c r="B16151" s="8"/>
      <c r="G16151" s="8"/>
      <c r="M16151" s="8"/>
    </row>
    <row r="16152">
      <c r="B16152" s="8"/>
      <c r="G16152" s="8"/>
      <c r="M16152" s="8"/>
    </row>
    <row r="16153">
      <c r="B16153" s="8"/>
      <c r="G16153" s="8"/>
      <c r="M16153" s="8"/>
    </row>
    <row r="16154">
      <c r="B16154" s="8"/>
      <c r="G16154" s="8"/>
      <c r="M16154" s="8"/>
    </row>
    <row r="16155">
      <c r="B16155" s="8"/>
      <c r="G16155" s="8"/>
      <c r="M16155" s="8"/>
    </row>
    <row r="16156">
      <c r="B16156" s="8"/>
      <c r="G16156" s="8"/>
      <c r="M16156" s="8"/>
    </row>
    <row r="16157">
      <c r="B16157" s="8"/>
      <c r="G16157" s="8"/>
      <c r="M16157" s="8"/>
    </row>
    <row r="16158">
      <c r="B16158" s="8"/>
      <c r="G16158" s="8"/>
      <c r="M16158" s="8"/>
    </row>
    <row r="16159">
      <c r="B16159" s="8"/>
      <c r="G16159" s="8"/>
      <c r="M16159" s="8"/>
    </row>
    <row r="16160">
      <c r="B16160" s="8"/>
      <c r="G16160" s="8"/>
      <c r="M16160" s="8"/>
    </row>
    <row r="16161">
      <c r="B16161" s="8"/>
      <c r="G16161" s="8"/>
      <c r="M16161" s="8"/>
    </row>
    <row r="16162">
      <c r="B16162" s="8"/>
      <c r="G16162" s="8"/>
      <c r="M16162" s="8"/>
    </row>
    <row r="16163">
      <c r="B16163" s="8"/>
      <c r="G16163" s="8"/>
      <c r="M16163" s="8"/>
    </row>
    <row r="16164">
      <c r="B16164" s="8"/>
      <c r="G16164" s="8"/>
      <c r="M16164" s="8"/>
    </row>
    <row r="16165">
      <c r="B16165" s="8"/>
      <c r="G16165" s="8"/>
      <c r="M16165" s="8"/>
    </row>
    <row r="16166">
      <c r="B16166" s="8"/>
      <c r="G16166" s="8"/>
      <c r="M16166" s="8"/>
    </row>
    <row r="16167">
      <c r="B16167" s="8"/>
      <c r="G16167" s="8"/>
      <c r="M16167" s="8"/>
    </row>
    <row r="16168">
      <c r="B16168" s="8"/>
      <c r="G16168" s="8"/>
      <c r="M16168" s="8"/>
    </row>
    <row r="16169">
      <c r="B16169" s="8"/>
      <c r="G16169" s="8"/>
      <c r="M16169" s="8"/>
    </row>
    <row r="16170">
      <c r="B16170" s="8"/>
      <c r="G16170" s="8"/>
      <c r="M16170" s="8"/>
    </row>
    <row r="16171">
      <c r="B16171" s="8"/>
      <c r="G16171" s="8"/>
      <c r="M16171" s="8"/>
    </row>
    <row r="16172">
      <c r="B16172" s="8"/>
      <c r="G16172" s="8"/>
      <c r="M16172" s="8"/>
    </row>
    <row r="16173">
      <c r="B16173" s="8"/>
      <c r="G16173" s="8"/>
      <c r="M16173" s="8"/>
    </row>
    <row r="16174">
      <c r="B16174" s="8"/>
      <c r="G16174" s="8"/>
      <c r="M16174" s="8"/>
    </row>
    <row r="16175">
      <c r="B16175" s="8"/>
      <c r="G16175" s="8"/>
      <c r="M16175" s="8"/>
    </row>
    <row r="16176">
      <c r="B16176" s="8"/>
      <c r="G16176" s="8"/>
      <c r="M16176" s="8"/>
    </row>
    <row r="16177">
      <c r="B16177" s="8"/>
      <c r="G16177" s="8"/>
      <c r="M16177" s="8"/>
    </row>
    <row r="16178">
      <c r="B16178" s="8"/>
      <c r="G16178" s="8"/>
      <c r="M16178" s="8"/>
    </row>
    <row r="16179">
      <c r="B16179" s="8"/>
      <c r="G16179" s="8"/>
      <c r="M16179" s="8"/>
    </row>
    <row r="16180">
      <c r="B16180" s="8"/>
      <c r="G16180" s="8"/>
      <c r="M16180" s="8"/>
    </row>
    <row r="16181">
      <c r="B16181" s="8"/>
      <c r="G16181" s="8"/>
      <c r="M16181" s="8"/>
    </row>
    <row r="16182">
      <c r="B16182" s="8"/>
      <c r="G16182" s="8"/>
      <c r="M16182" s="8"/>
    </row>
    <row r="16183">
      <c r="B16183" s="8"/>
      <c r="G16183" s="8"/>
      <c r="M16183" s="8"/>
    </row>
    <row r="16184">
      <c r="B16184" s="8"/>
      <c r="G16184" s="8"/>
      <c r="M16184" s="8"/>
    </row>
    <row r="16185">
      <c r="B16185" s="8"/>
      <c r="G16185" s="8"/>
      <c r="M16185" s="8"/>
    </row>
    <row r="16186">
      <c r="B16186" s="8"/>
      <c r="G16186" s="8"/>
      <c r="M16186" s="8"/>
    </row>
    <row r="16187">
      <c r="B16187" s="8"/>
      <c r="G16187" s="8"/>
      <c r="M16187" s="8"/>
    </row>
    <row r="16188">
      <c r="B16188" s="8"/>
      <c r="G16188" s="8"/>
      <c r="M16188" s="8"/>
    </row>
    <row r="16189">
      <c r="B16189" s="8"/>
      <c r="G16189" s="8"/>
      <c r="M16189" s="8"/>
    </row>
    <row r="16190">
      <c r="B16190" s="8"/>
      <c r="G16190" s="8"/>
      <c r="M16190" s="8"/>
    </row>
    <row r="16191">
      <c r="B16191" s="8"/>
      <c r="G16191" s="8"/>
      <c r="M16191" s="8"/>
    </row>
    <row r="16192">
      <c r="B16192" s="8"/>
      <c r="G16192" s="8"/>
      <c r="M16192" s="8"/>
    </row>
    <row r="16193">
      <c r="B16193" s="8"/>
      <c r="G16193" s="8"/>
      <c r="M16193" s="8"/>
    </row>
    <row r="16194">
      <c r="B16194" s="8"/>
      <c r="G16194" s="8"/>
      <c r="M16194" s="8"/>
    </row>
    <row r="16195">
      <c r="B16195" s="8"/>
      <c r="G16195" s="8"/>
      <c r="M16195" s="8"/>
    </row>
    <row r="16196">
      <c r="B16196" s="8"/>
      <c r="G16196" s="8"/>
      <c r="M16196" s="8"/>
    </row>
    <row r="16197">
      <c r="B16197" s="8"/>
      <c r="G16197" s="8"/>
      <c r="M16197" s="8"/>
    </row>
    <row r="16198">
      <c r="B16198" s="8"/>
      <c r="G16198" s="8"/>
      <c r="M16198" s="8"/>
    </row>
    <row r="16199">
      <c r="B16199" s="8"/>
      <c r="G16199" s="8"/>
      <c r="M16199" s="8"/>
    </row>
    <row r="16200">
      <c r="B16200" s="8"/>
      <c r="G16200" s="8"/>
      <c r="M16200" s="8"/>
    </row>
    <row r="16201">
      <c r="B16201" s="8"/>
      <c r="G16201" s="8"/>
      <c r="M16201" s="8"/>
    </row>
    <row r="16202">
      <c r="B16202" s="8"/>
      <c r="G16202" s="8"/>
      <c r="M16202" s="8"/>
    </row>
    <row r="16203">
      <c r="B16203" s="8"/>
      <c r="G16203" s="8"/>
      <c r="M16203" s="8"/>
    </row>
    <row r="16204">
      <c r="B16204" s="8"/>
      <c r="G16204" s="8"/>
      <c r="M16204" s="8"/>
    </row>
    <row r="16205">
      <c r="B16205" s="8"/>
      <c r="G16205" s="8"/>
      <c r="M16205" s="8"/>
    </row>
    <row r="16206">
      <c r="B16206" s="8"/>
      <c r="G16206" s="8"/>
      <c r="M16206" s="8"/>
    </row>
    <row r="16207">
      <c r="B16207" s="8"/>
      <c r="G16207" s="8"/>
      <c r="M16207" s="8"/>
    </row>
    <row r="16208">
      <c r="B16208" s="8"/>
      <c r="G16208" s="8"/>
      <c r="M16208" s="8"/>
    </row>
    <row r="16209">
      <c r="B16209" s="8"/>
      <c r="G16209" s="8"/>
      <c r="M16209" s="8"/>
    </row>
    <row r="16210">
      <c r="B16210" s="8"/>
      <c r="G16210" s="8"/>
      <c r="M16210" s="8"/>
    </row>
    <row r="16211">
      <c r="B16211" s="8"/>
      <c r="G16211" s="8"/>
      <c r="M16211" s="8"/>
    </row>
    <row r="16212">
      <c r="B16212" s="8"/>
      <c r="G16212" s="8"/>
      <c r="M16212" s="8"/>
    </row>
    <row r="16213">
      <c r="B16213" s="8"/>
      <c r="G16213" s="8"/>
      <c r="M16213" s="8"/>
    </row>
    <row r="16214">
      <c r="B16214" s="8"/>
      <c r="G16214" s="8"/>
      <c r="M16214" s="8"/>
    </row>
    <row r="16215">
      <c r="B16215" s="8"/>
      <c r="G16215" s="8"/>
      <c r="M16215" s="8"/>
    </row>
    <row r="16216">
      <c r="B16216" s="8"/>
      <c r="G16216" s="8"/>
      <c r="M16216" s="8"/>
    </row>
    <row r="16217">
      <c r="B16217" s="8"/>
      <c r="G16217" s="8"/>
      <c r="M16217" s="8"/>
    </row>
    <row r="16218">
      <c r="B16218" s="8"/>
      <c r="G16218" s="8"/>
      <c r="M16218" s="8"/>
    </row>
    <row r="16219">
      <c r="B16219" s="8"/>
      <c r="G16219" s="8"/>
      <c r="M16219" s="8"/>
    </row>
    <row r="16220">
      <c r="B16220" s="8"/>
      <c r="G16220" s="8"/>
      <c r="M16220" s="8"/>
    </row>
    <row r="16221">
      <c r="B16221" s="8"/>
      <c r="G16221" s="8"/>
      <c r="M16221" s="8"/>
    </row>
    <row r="16222">
      <c r="B16222" s="8"/>
      <c r="G16222" s="8"/>
      <c r="M16222" s="8"/>
    </row>
    <row r="16223">
      <c r="B16223" s="8"/>
      <c r="G16223" s="8"/>
      <c r="M16223" s="8"/>
    </row>
    <row r="16224">
      <c r="B16224" s="8"/>
      <c r="G16224" s="8"/>
      <c r="M16224" s="8"/>
    </row>
    <row r="16225">
      <c r="B16225" s="8"/>
      <c r="G16225" s="8"/>
      <c r="M16225" s="8"/>
    </row>
    <row r="16226">
      <c r="B16226" s="8"/>
      <c r="G16226" s="8"/>
      <c r="M16226" s="8"/>
    </row>
    <row r="16227">
      <c r="B16227" s="8"/>
      <c r="G16227" s="8"/>
      <c r="M16227" s="8"/>
    </row>
    <row r="16228">
      <c r="B16228" s="8"/>
      <c r="G16228" s="8"/>
      <c r="M16228" s="8"/>
    </row>
    <row r="16229">
      <c r="B16229" s="8"/>
      <c r="G16229" s="8"/>
      <c r="M16229" s="8"/>
    </row>
    <row r="16230">
      <c r="B16230" s="8"/>
      <c r="G16230" s="8"/>
      <c r="M16230" s="8"/>
    </row>
    <row r="16231">
      <c r="B16231" s="8"/>
      <c r="G16231" s="8"/>
      <c r="M16231" s="8"/>
    </row>
    <row r="16232">
      <c r="B16232" s="8"/>
      <c r="G16232" s="8"/>
      <c r="M16232" s="8"/>
    </row>
    <row r="16233">
      <c r="B16233" s="8"/>
      <c r="G16233" s="8"/>
      <c r="M16233" s="8"/>
    </row>
    <row r="16234">
      <c r="B16234" s="8"/>
      <c r="G16234" s="8"/>
      <c r="M16234" s="8"/>
    </row>
    <row r="16235">
      <c r="B16235" s="8"/>
      <c r="G16235" s="8"/>
      <c r="M16235" s="8"/>
    </row>
    <row r="16236">
      <c r="B16236" s="8"/>
      <c r="G16236" s="8"/>
      <c r="M16236" s="8"/>
    </row>
    <row r="16237">
      <c r="B16237" s="8"/>
      <c r="G16237" s="8"/>
      <c r="M16237" s="8"/>
    </row>
    <row r="16238">
      <c r="B16238" s="8"/>
      <c r="G16238" s="8"/>
      <c r="M16238" s="8"/>
    </row>
    <row r="16239">
      <c r="B16239" s="8"/>
      <c r="G16239" s="8"/>
      <c r="M16239" s="8"/>
    </row>
    <row r="16240">
      <c r="B16240" s="8"/>
      <c r="G16240" s="8"/>
      <c r="M16240" s="8"/>
    </row>
    <row r="16241">
      <c r="B16241" s="8"/>
      <c r="G16241" s="8"/>
      <c r="M16241" s="8"/>
    </row>
    <row r="16242">
      <c r="B16242" s="8"/>
      <c r="G16242" s="8"/>
      <c r="M16242" s="8"/>
    </row>
    <row r="16243">
      <c r="B16243" s="8"/>
      <c r="G16243" s="8"/>
      <c r="M16243" s="8"/>
    </row>
    <row r="16244">
      <c r="B16244" s="8"/>
      <c r="G16244" s="8"/>
      <c r="M16244" s="8"/>
    </row>
    <row r="16245">
      <c r="B16245" s="8"/>
      <c r="G16245" s="8"/>
      <c r="M16245" s="8"/>
    </row>
    <row r="16246">
      <c r="B16246" s="8"/>
      <c r="G16246" s="8"/>
      <c r="M16246" s="8"/>
    </row>
    <row r="16247">
      <c r="B16247" s="8"/>
      <c r="G16247" s="8"/>
      <c r="M16247" s="8"/>
    </row>
    <row r="16248">
      <c r="B16248" s="8"/>
      <c r="G16248" s="8"/>
      <c r="M16248" s="8"/>
    </row>
    <row r="16249">
      <c r="B16249" s="8"/>
      <c r="G16249" s="8"/>
      <c r="M16249" s="8"/>
    </row>
    <row r="16250">
      <c r="B16250" s="8"/>
      <c r="G16250" s="8"/>
      <c r="M16250" s="8"/>
    </row>
    <row r="16251">
      <c r="B16251" s="8"/>
      <c r="G16251" s="8"/>
      <c r="M16251" s="8"/>
    </row>
    <row r="16252">
      <c r="B16252" s="8"/>
      <c r="G16252" s="8"/>
      <c r="M16252" s="8"/>
    </row>
    <row r="16253">
      <c r="B16253" s="8"/>
      <c r="G16253" s="8"/>
      <c r="M16253" s="8"/>
    </row>
    <row r="16254">
      <c r="B16254" s="8"/>
      <c r="G16254" s="8"/>
      <c r="M16254" s="8"/>
    </row>
    <row r="16255">
      <c r="B16255" s="8"/>
      <c r="G16255" s="8"/>
      <c r="M16255" s="8"/>
    </row>
    <row r="16256">
      <c r="B16256" s="8"/>
      <c r="G16256" s="8"/>
      <c r="M16256" s="8"/>
    </row>
    <row r="16257">
      <c r="B16257" s="8"/>
      <c r="G16257" s="8"/>
      <c r="M16257" s="8"/>
    </row>
    <row r="16258">
      <c r="B16258" s="8"/>
      <c r="G16258" s="8"/>
      <c r="M16258" s="8"/>
    </row>
    <row r="16259">
      <c r="B16259" s="8"/>
      <c r="G16259" s="8"/>
      <c r="M16259" s="8"/>
    </row>
    <row r="16260">
      <c r="B16260" s="8"/>
      <c r="G16260" s="8"/>
      <c r="M16260" s="8"/>
    </row>
    <row r="16261">
      <c r="B16261" s="8"/>
      <c r="G16261" s="8"/>
      <c r="M16261" s="8"/>
    </row>
    <row r="16262">
      <c r="B16262" s="8"/>
      <c r="G16262" s="8"/>
      <c r="M16262" s="8"/>
    </row>
    <row r="16263">
      <c r="B16263" s="8"/>
      <c r="G16263" s="8"/>
      <c r="M16263" s="8"/>
    </row>
    <row r="16264">
      <c r="B16264" s="8"/>
      <c r="G16264" s="8"/>
      <c r="M16264" s="8"/>
    </row>
    <row r="16265">
      <c r="B16265" s="8"/>
      <c r="G16265" s="8"/>
      <c r="M16265" s="8"/>
    </row>
    <row r="16266">
      <c r="B16266" s="8"/>
      <c r="G16266" s="8"/>
      <c r="M16266" s="8"/>
    </row>
    <row r="16267">
      <c r="B16267" s="8"/>
      <c r="G16267" s="8"/>
      <c r="M16267" s="8"/>
    </row>
    <row r="16268">
      <c r="B16268" s="8"/>
      <c r="G16268" s="8"/>
      <c r="M16268" s="8"/>
    </row>
    <row r="16269">
      <c r="B16269" s="8"/>
      <c r="G16269" s="8"/>
      <c r="M16269" s="8"/>
    </row>
    <row r="16270">
      <c r="B16270" s="8"/>
      <c r="G16270" s="8"/>
      <c r="M16270" s="8"/>
    </row>
    <row r="16271">
      <c r="B16271" s="8"/>
      <c r="G16271" s="8"/>
      <c r="M16271" s="8"/>
    </row>
    <row r="16272">
      <c r="B16272" s="8"/>
      <c r="G16272" s="8"/>
      <c r="M16272" s="8"/>
    </row>
    <row r="16273">
      <c r="B16273" s="8"/>
      <c r="G16273" s="8"/>
      <c r="M16273" s="8"/>
    </row>
    <row r="16274">
      <c r="B16274" s="8"/>
      <c r="G16274" s="8"/>
      <c r="M16274" s="8"/>
    </row>
    <row r="16275">
      <c r="B16275" s="8"/>
      <c r="G16275" s="8"/>
      <c r="M16275" s="8"/>
    </row>
    <row r="16276">
      <c r="B16276" s="8"/>
      <c r="G16276" s="8"/>
      <c r="M16276" s="8"/>
    </row>
    <row r="16277">
      <c r="B16277" s="8"/>
      <c r="G16277" s="8"/>
      <c r="M16277" s="8"/>
    </row>
    <row r="16278">
      <c r="B16278" s="8"/>
      <c r="G16278" s="8"/>
      <c r="M16278" s="8"/>
    </row>
    <row r="16279">
      <c r="B16279" s="8"/>
      <c r="G16279" s="8"/>
      <c r="M16279" s="8"/>
    </row>
    <row r="16280">
      <c r="B16280" s="8"/>
      <c r="G16280" s="8"/>
      <c r="M16280" s="8"/>
    </row>
    <row r="16281">
      <c r="B16281" s="8"/>
      <c r="G16281" s="8"/>
      <c r="M16281" s="8"/>
    </row>
    <row r="16282">
      <c r="B16282" s="8"/>
      <c r="G16282" s="8"/>
      <c r="M16282" s="8"/>
    </row>
    <row r="16283">
      <c r="B16283" s="8"/>
      <c r="G16283" s="8"/>
      <c r="M16283" s="8"/>
    </row>
    <row r="16284">
      <c r="B16284" s="8"/>
      <c r="G16284" s="8"/>
      <c r="M16284" s="8"/>
    </row>
    <row r="16285">
      <c r="B16285" s="8"/>
      <c r="G16285" s="8"/>
      <c r="M16285" s="8"/>
    </row>
    <row r="16286">
      <c r="B16286" s="8"/>
      <c r="G16286" s="8"/>
      <c r="M16286" s="8"/>
    </row>
    <row r="16287">
      <c r="B16287" s="8"/>
      <c r="G16287" s="8"/>
      <c r="M16287" s="8"/>
    </row>
    <row r="16288">
      <c r="B16288" s="8"/>
      <c r="G16288" s="8"/>
      <c r="M16288" s="8"/>
    </row>
    <row r="16289">
      <c r="B16289" s="8"/>
      <c r="G16289" s="8"/>
      <c r="M16289" s="8"/>
    </row>
    <row r="16290">
      <c r="B16290" s="8"/>
      <c r="G16290" s="8"/>
      <c r="M16290" s="8"/>
    </row>
    <row r="16291">
      <c r="B16291" s="8"/>
      <c r="G16291" s="8"/>
      <c r="M16291" s="8"/>
    </row>
    <row r="16292">
      <c r="B16292" s="8"/>
      <c r="G16292" s="8"/>
      <c r="M16292" s="8"/>
    </row>
    <row r="16293">
      <c r="B16293" s="8"/>
      <c r="G16293" s="8"/>
      <c r="M16293" s="8"/>
    </row>
    <row r="16294">
      <c r="B16294" s="8"/>
      <c r="G16294" s="8"/>
      <c r="M16294" s="8"/>
    </row>
    <row r="16295">
      <c r="B16295" s="8"/>
      <c r="G16295" s="8"/>
      <c r="M16295" s="8"/>
    </row>
    <row r="16296">
      <c r="B16296" s="8"/>
      <c r="G16296" s="8"/>
      <c r="M16296" s="8"/>
    </row>
    <row r="16297">
      <c r="B16297" s="8"/>
      <c r="G16297" s="8"/>
      <c r="M16297" s="8"/>
    </row>
    <row r="16298">
      <c r="B16298" s="8"/>
      <c r="G16298" s="8"/>
      <c r="M16298" s="8"/>
    </row>
    <row r="16299">
      <c r="B16299" s="8"/>
      <c r="G16299" s="8"/>
      <c r="M16299" s="8"/>
    </row>
    <row r="16300">
      <c r="B16300" s="8"/>
      <c r="G16300" s="8"/>
      <c r="M16300" s="8"/>
    </row>
    <row r="16301">
      <c r="B16301" s="8"/>
      <c r="G16301" s="8"/>
      <c r="M16301" s="8"/>
    </row>
    <row r="16302">
      <c r="B16302" s="8"/>
      <c r="G16302" s="8"/>
      <c r="M16302" s="8"/>
    </row>
    <row r="16303">
      <c r="B16303" s="8"/>
      <c r="G16303" s="8"/>
      <c r="M16303" s="8"/>
    </row>
    <row r="16304">
      <c r="B16304" s="8"/>
      <c r="G16304" s="8"/>
      <c r="M16304" s="8"/>
    </row>
    <row r="16305">
      <c r="B16305" s="8"/>
      <c r="G16305" s="8"/>
      <c r="M16305" s="8"/>
    </row>
    <row r="16306">
      <c r="B16306" s="8"/>
      <c r="G16306" s="8"/>
      <c r="M16306" s="8"/>
    </row>
    <row r="16307">
      <c r="B16307" s="8"/>
      <c r="G16307" s="8"/>
      <c r="M16307" s="8"/>
    </row>
    <row r="16308">
      <c r="B16308" s="8"/>
      <c r="G16308" s="8"/>
      <c r="M16308" s="8"/>
    </row>
    <row r="16309">
      <c r="B16309" s="8"/>
      <c r="G16309" s="8"/>
      <c r="M16309" s="8"/>
    </row>
    <row r="16310">
      <c r="B16310" s="8"/>
      <c r="G16310" s="8"/>
      <c r="M16310" s="8"/>
    </row>
    <row r="16311">
      <c r="B16311" s="8"/>
      <c r="G16311" s="8"/>
      <c r="M16311" s="8"/>
    </row>
    <row r="16312">
      <c r="B16312" s="8"/>
      <c r="G16312" s="8"/>
      <c r="M16312" s="8"/>
    </row>
    <row r="16313">
      <c r="B16313" s="8"/>
      <c r="G16313" s="8"/>
      <c r="M16313" s="8"/>
    </row>
    <row r="16314">
      <c r="B16314" s="8"/>
      <c r="G16314" s="8"/>
      <c r="M16314" s="8"/>
    </row>
    <row r="16315">
      <c r="B16315" s="8"/>
      <c r="G16315" s="8"/>
      <c r="M16315" s="8"/>
    </row>
    <row r="16316">
      <c r="B16316" s="8"/>
      <c r="G16316" s="8"/>
      <c r="M16316" s="8"/>
    </row>
    <row r="16317">
      <c r="B16317" s="8"/>
      <c r="G16317" s="8"/>
      <c r="M16317" s="8"/>
    </row>
    <row r="16318">
      <c r="B16318" s="8"/>
      <c r="G16318" s="8"/>
      <c r="M16318" s="8"/>
    </row>
    <row r="16319">
      <c r="B16319" s="8"/>
      <c r="G16319" s="8"/>
      <c r="M16319" s="8"/>
    </row>
    <row r="16320">
      <c r="B16320" s="8"/>
      <c r="G16320" s="8"/>
      <c r="M16320" s="8"/>
    </row>
    <row r="16321">
      <c r="B16321" s="8"/>
      <c r="G16321" s="8"/>
      <c r="M16321" s="8"/>
    </row>
    <row r="16322">
      <c r="B16322" s="8"/>
      <c r="G16322" s="8"/>
      <c r="M16322" s="8"/>
    </row>
    <row r="16323">
      <c r="B16323" s="8"/>
      <c r="G16323" s="8"/>
      <c r="M16323" s="8"/>
    </row>
    <row r="16324">
      <c r="B16324" s="8"/>
      <c r="G16324" s="8"/>
      <c r="M16324" s="8"/>
    </row>
    <row r="16325">
      <c r="B16325" s="8"/>
      <c r="G16325" s="8"/>
      <c r="M16325" s="8"/>
    </row>
    <row r="16326">
      <c r="B16326" s="8"/>
      <c r="G16326" s="8"/>
      <c r="M16326" s="8"/>
    </row>
    <row r="16327">
      <c r="B16327" s="8"/>
      <c r="G16327" s="8"/>
      <c r="M16327" s="8"/>
    </row>
    <row r="16328">
      <c r="B16328" s="8"/>
      <c r="G16328" s="8"/>
      <c r="M16328" s="8"/>
    </row>
    <row r="16329">
      <c r="B16329" s="8"/>
      <c r="G16329" s="8"/>
      <c r="M16329" s="8"/>
    </row>
    <row r="16330">
      <c r="B16330" s="8"/>
      <c r="G16330" s="8"/>
      <c r="M16330" s="8"/>
    </row>
    <row r="16331">
      <c r="B16331" s="8"/>
      <c r="G16331" s="8"/>
      <c r="M16331" s="8"/>
    </row>
    <row r="16332">
      <c r="B16332" s="8"/>
      <c r="G16332" s="8"/>
      <c r="M16332" s="8"/>
    </row>
    <row r="16333">
      <c r="B16333" s="8"/>
      <c r="G16333" s="8"/>
      <c r="M16333" s="8"/>
    </row>
    <row r="16334">
      <c r="B16334" s="8"/>
      <c r="G16334" s="8"/>
      <c r="M16334" s="8"/>
    </row>
    <row r="16335">
      <c r="B16335" s="8"/>
      <c r="G16335" s="8"/>
      <c r="M16335" s="8"/>
    </row>
    <row r="16336">
      <c r="B16336" s="8"/>
      <c r="G16336" s="8"/>
      <c r="M16336" s="8"/>
    </row>
    <row r="16337">
      <c r="B16337" s="8"/>
      <c r="G16337" s="8"/>
      <c r="M16337" s="8"/>
    </row>
    <row r="16338">
      <c r="B16338" s="8"/>
      <c r="G16338" s="8"/>
      <c r="M16338" s="8"/>
    </row>
    <row r="16339">
      <c r="B16339" s="8"/>
      <c r="G16339" s="8"/>
      <c r="M16339" s="8"/>
    </row>
    <row r="16340">
      <c r="B16340" s="8"/>
      <c r="G16340" s="8"/>
      <c r="M16340" s="8"/>
    </row>
    <row r="16341">
      <c r="B16341" s="8"/>
      <c r="G16341" s="8"/>
      <c r="M16341" s="8"/>
    </row>
    <row r="16342">
      <c r="B16342" s="8"/>
      <c r="G16342" s="8"/>
      <c r="M16342" s="8"/>
    </row>
    <row r="16343">
      <c r="B16343" s="8"/>
      <c r="G16343" s="8"/>
      <c r="M16343" s="8"/>
    </row>
    <row r="16344">
      <c r="B16344" s="8"/>
      <c r="G16344" s="8"/>
      <c r="M16344" s="8"/>
    </row>
    <row r="16345">
      <c r="B16345" s="8"/>
      <c r="G16345" s="8"/>
      <c r="M16345" s="8"/>
    </row>
    <row r="16346">
      <c r="B16346" s="8"/>
      <c r="G16346" s="8"/>
      <c r="M16346" s="8"/>
    </row>
    <row r="16347">
      <c r="B16347" s="8"/>
      <c r="G16347" s="8"/>
      <c r="M16347" s="8"/>
    </row>
    <row r="16348">
      <c r="B16348" s="8"/>
      <c r="G16348" s="8"/>
      <c r="M16348" s="8"/>
    </row>
    <row r="16349">
      <c r="B16349" s="8"/>
      <c r="G16349" s="8"/>
      <c r="M16349" s="8"/>
    </row>
    <row r="16350">
      <c r="B16350" s="8"/>
      <c r="G16350" s="8"/>
      <c r="M16350" s="8"/>
    </row>
    <row r="16351">
      <c r="B16351" s="8"/>
      <c r="G16351" s="8"/>
      <c r="M16351" s="8"/>
    </row>
    <row r="16352">
      <c r="B16352" s="8"/>
      <c r="G16352" s="8"/>
      <c r="M16352" s="8"/>
    </row>
    <row r="16353">
      <c r="B16353" s="8"/>
      <c r="G16353" s="8"/>
      <c r="M16353" s="8"/>
    </row>
    <row r="16354">
      <c r="B16354" s="8"/>
      <c r="G16354" s="8"/>
      <c r="M16354" s="8"/>
    </row>
    <row r="16355">
      <c r="B16355" s="8"/>
      <c r="G16355" s="8"/>
      <c r="M16355" s="8"/>
    </row>
    <row r="16356">
      <c r="B16356" s="8"/>
      <c r="G16356" s="8"/>
      <c r="M16356" s="8"/>
    </row>
    <row r="16357">
      <c r="B16357" s="8"/>
      <c r="G16357" s="8"/>
      <c r="M16357" s="8"/>
    </row>
    <row r="16358">
      <c r="B16358" s="8"/>
      <c r="G16358" s="8"/>
      <c r="M16358" s="8"/>
    </row>
    <row r="16359">
      <c r="B16359" s="8"/>
      <c r="G16359" s="8"/>
      <c r="M16359" s="8"/>
    </row>
    <row r="16360">
      <c r="B16360" s="8"/>
      <c r="G16360" s="8"/>
      <c r="M16360" s="8"/>
    </row>
    <row r="16361">
      <c r="B16361" s="8"/>
      <c r="G16361" s="8"/>
      <c r="M16361" s="8"/>
    </row>
    <row r="16362">
      <c r="B16362" s="8"/>
      <c r="G16362" s="8"/>
      <c r="M16362" s="8"/>
    </row>
    <row r="16363">
      <c r="B16363" s="8"/>
      <c r="G16363" s="8"/>
      <c r="M16363" s="8"/>
    </row>
    <row r="16364">
      <c r="B16364" s="8"/>
      <c r="G16364" s="8"/>
      <c r="M16364" s="8"/>
    </row>
    <row r="16365">
      <c r="B16365" s="8"/>
      <c r="G16365" s="8"/>
      <c r="M16365" s="8"/>
    </row>
    <row r="16366">
      <c r="B16366" s="8"/>
      <c r="G16366" s="8"/>
      <c r="M16366" s="8"/>
    </row>
    <row r="16367">
      <c r="B16367" s="8"/>
      <c r="G16367" s="8"/>
      <c r="M16367" s="8"/>
    </row>
    <row r="16368">
      <c r="B16368" s="8"/>
      <c r="G16368" s="8"/>
      <c r="M16368" s="8"/>
    </row>
    <row r="16369">
      <c r="B16369" s="8"/>
      <c r="G16369" s="8"/>
      <c r="M16369" s="8"/>
    </row>
    <row r="16370">
      <c r="B16370" s="8"/>
      <c r="G16370" s="8"/>
      <c r="M16370" s="8"/>
    </row>
    <row r="16371">
      <c r="B16371" s="8"/>
      <c r="G16371" s="8"/>
      <c r="M16371" s="8"/>
    </row>
    <row r="16372">
      <c r="B16372" s="8"/>
      <c r="G16372" s="8"/>
      <c r="M16372" s="8"/>
    </row>
    <row r="16373">
      <c r="B16373" s="8"/>
      <c r="G16373" s="8"/>
      <c r="M16373" s="8"/>
    </row>
    <row r="16374">
      <c r="B16374" s="8"/>
      <c r="G16374" s="8"/>
      <c r="M16374" s="8"/>
    </row>
    <row r="16375">
      <c r="B16375" s="8"/>
      <c r="G16375" s="8"/>
      <c r="M16375" s="8"/>
    </row>
    <row r="16376">
      <c r="B16376" s="8"/>
      <c r="G16376" s="8"/>
      <c r="M16376" s="8"/>
    </row>
    <row r="16377">
      <c r="B16377" s="8"/>
      <c r="G16377" s="8"/>
      <c r="M16377" s="8"/>
    </row>
    <row r="16378">
      <c r="B16378" s="8"/>
      <c r="G16378" s="8"/>
      <c r="M16378" s="8"/>
    </row>
    <row r="16379">
      <c r="B16379" s="8"/>
      <c r="G16379" s="8"/>
      <c r="M16379" s="8"/>
    </row>
    <row r="16380">
      <c r="B16380" s="8"/>
      <c r="G16380" s="8"/>
      <c r="M16380" s="8"/>
    </row>
    <row r="16381">
      <c r="B16381" s="8"/>
      <c r="G16381" s="8"/>
      <c r="M16381" s="8"/>
    </row>
    <row r="16382">
      <c r="B16382" s="8"/>
      <c r="G16382" s="8"/>
      <c r="M16382" s="8"/>
    </row>
    <row r="16383">
      <c r="B16383" s="8"/>
      <c r="G16383" s="8"/>
      <c r="M16383" s="8"/>
    </row>
    <row r="16384">
      <c r="B16384" s="8"/>
      <c r="G16384" s="8"/>
      <c r="M16384" s="8"/>
    </row>
    <row r="16385">
      <c r="B16385" s="8"/>
      <c r="G16385" s="8"/>
      <c r="M16385" s="8"/>
    </row>
    <row r="16386">
      <c r="B16386" s="8"/>
      <c r="G16386" s="8"/>
      <c r="M16386" s="8"/>
    </row>
    <row r="16387">
      <c r="B16387" s="8"/>
      <c r="G16387" s="8"/>
      <c r="M16387" s="8"/>
    </row>
    <row r="16388">
      <c r="B16388" s="8"/>
      <c r="G16388" s="8"/>
      <c r="M16388" s="8"/>
    </row>
    <row r="16389">
      <c r="B16389" s="8"/>
      <c r="G16389" s="8"/>
      <c r="M16389" s="8"/>
    </row>
    <row r="16390">
      <c r="B16390" s="8"/>
      <c r="G16390" s="8"/>
      <c r="M16390" s="8"/>
    </row>
    <row r="16391">
      <c r="B16391" s="8"/>
      <c r="G16391" s="8"/>
      <c r="M16391" s="8"/>
    </row>
    <row r="16392">
      <c r="B16392" s="8"/>
      <c r="G16392" s="8"/>
      <c r="M16392" s="8"/>
    </row>
    <row r="16393">
      <c r="B16393" s="8"/>
      <c r="G16393" s="8"/>
      <c r="M16393" s="8"/>
    </row>
    <row r="16394">
      <c r="B16394" s="8"/>
      <c r="G16394" s="8"/>
      <c r="M16394" s="8"/>
    </row>
    <row r="16395">
      <c r="B16395" s="8"/>
      <c r="G16395" s="8"/>
      <c r="M16395" s="8"/>
    </row>
    <row r="16396">
      <c r="B16396" s="8"/>
      <c r="G16396" s="8"/>
      <c r="M16396" s="8"/>
    </row>
    <row r="16397">
      <c r="B16397" s="8"/>
      <c r="G16397" s="8"/>
      <c r="M16397" s="8"/>
    </row>
    <row r="16398">
      <c r="B16398" s="8"/>
      <c r="G16398" s="8"/>
      <c r="M16398" s="8"/>
    </row>
    <row r="16399">
      <c r="B16399" s="8"/>
      <c r="G16399" s="8"/>
      <c r="M16399" s="8"/>
    </row>
    <row r="16400">
      <c r="B16400" s="8"/>
      <c r="G16400" s="8"/>
      <c r="M16400" s="8"/>
    </row>
    <row r="16401">
      <c r="B16401" s="8"/>
      <c r="G16401" s="8"/>
      <c r="M16401" s="8"/>
    </row>
    <row r="16402">
      <c r="B16402" s="8"/>
      <c r="G16402" s="8"/>
      <c r="M16402" s="8"/>
    </row>
    <row r="16403">
      <c r="B16403" s="8"/>
      <c r="G16403" s="8"/>
      <c r="M16403" s="8"/>
    </row>
    <row r="16404">
      <c r="B16404" s="8"/>
      <c r="G16404" s="8"/>
      <c r="M16404" s="8"/>
    </row>
    <row r="16405">
      <c r="B16405" s="8"/>
      <c r="G16405" s="8"/>
      <c r="M16405" s="8"/>
    </row>
    <row r="16406">
      <c r="B16406" s="8"/>
      <c r="G16406" s="8"/>
      <c r="M16406" s="8"/>
    </row>
    <row r="16407">
      <c r="B16407" s="8"/>
      <c r="G16407" s="8"/>
      <c r="M16407" s="8"/>
    </row>
    <row r="16408">
      <c r="B16408" s="8"/>
      <c r="G16408" s="8"/>
      <c r="M16408" s="8"/>
    </row>
    <row r="16409">
      <c r="B16409" s="8"/>
      <c r="G16409" s="8"/>
      <c r="M16409" s="8"/>
    </row>
    <row r="16410">
      <c r="B16410" s="8"/>
      <c r="G16410" s="8"/>
      <c r="M16410" s="8"/>
    </row>
    <row r="16411">
      <c r="B16411" s="8"/>
      <c r="G16411" s="8"/>
      <c r="M16411" s="8"/>
    </row>
    <row r="16412">
      <c r="B16412" s="8"/>
      <c r="G16412" s="8"/>
      <c r="M16412" s="8"/>
    </row>
    <row r="16413">
      <c r="B16413" s="8"/>
      <c r="G16413" s="8"/>
      <c r="M16413" s="8"/>
    </row>
    <row r="16414">
      <c r="B16414" s="8"/>
      <c r="G16414" s="8"/>
      <c r="M16414" s="8"/>
    </row>
    <row r="16415">
      <c r="B16415" s="8"/>
      <c r="G16415" s="8"/>
      <c r="M16415" s="8"/>
    </row>
    <row r="16416">
      <c r="B16416" s="8"/>
      <c r="G16416" s="8"/>
      <c r="M16416" s="8"/>
    </row>
    <row r="16417">
      <c r="B16417" s="8"/>
      <c r="G16417" s="8"/>
      <c r="M16417" s="8"/>
    </row>
    <row r="16418">
      <c r="B16418" s="8"/>
      <c r="G16418" s="8"/>
      <c r="M16418" s="8"/>
    </row>
    <row r="16419">
      <c r="B16419" s="8"/>
      <c r="G16419" s="8"/>
      <c r="M16419" s="8"/>
    </row>
    <row r="16420">
      <c r="B16420" s="8"/>
      <c r="G16420" s="8"/>
      <c r="M16420" s="8"/>
    </row>
    <row r="16421">
      <c r="B16421" s="8"/>
      <c r="G16421" s="8"/>
      <c r="M16421" s="8"/>
    </row>
    <row r="16422">
      <c r="B16422" s="8"/>
      <c r="G16422" s="8"/>
      <c r="M16422" s="8"/>
    </row>
    <row r="16423">
      <c r="B16423" s="8"/>
      <c r="G16423" s="8"/>
      <c r="M16423" s="8"/>
    </row>
    <row r="16424">
      <c r="B16424" s="8"/>
      <c r="G16424" s="8"/>
      <c r="M16424" s="8"/>
    </row>
    <row r="16425">
      <c r="B16425" s="8"/>
      <c r="G16425" s="8"/>
      <c r="M16425" s="8"/>
    </row>
    <row r="16426">
      <c r="B16426" s="8"/>
      <c r="G16426" s="8"/>
      <c r="M16426" s="8"/>
    </row>
    <row r="16427">
      <c r="B16427" s="8"/>
      <c r="G16427" s="8"/>
      <c r="M16427" s="8"/>
    </row>
    <row r="16428">
      <c r="B16428" s="8"/>
      <c r="G16428" s="8"/>
      <c r="M16428" s="8"/>
    </row>
    <row r="16429">
      <c r="B16429" s="8"/>
      <c r="G16429" s="8"/>
      <c r="M16429" s="8"/>
    </row>
    <row r="16430">
      <c r="B16430" s="8"/>
      <c r="G16430" s="8"/>
      <c r="M16430" s="8"/>
    </row>
    <row r="16431">
      <c r="B16431" s="8"/>
      <c r="G16431" s="8"/>
      <c r="M16431" s="8"/>
    </row>
    <row r="16432">
      <c r="B16432" s="8"/>
      <c r="G16432" s="8"/>
      <c r="M16432" s="8"/>
    </row>
    <row r="16433">
      <c r="B16433" s="8"/>
      <c r="G16433" s="8"/>
      <c r="M16433" s="8"/>
    </row>
    <row r="16434">
      <c r="B16434" s="8"/>
      <c r="G16434" s="8"/>
      <c r="M16434" s="8"/>
    </row>
    <row r="16435">
      <c r="B16435" s="8"/>
      <c r="G16435" s="8"/>
      <c r="M16435" s="8"/>
    </row>
    <row r="16436">
      <c r="B16436" s="8"/>
      <c r="G16436" s="8"/>
      <c r="M16436" s="8"/>
    </row>
    <row r="16437">
      <c r="B16437" s="8"/>
      <c r="G16437" s="8"/>
      <c r="M16437" s="8"/>
    </row>
    <row r="16438">
      <c r="B16438" s="8"/>
      <c r="G16438" s="8"/>
      <c r="M16438" s="8"/>
    </row>
    <row r="16439">
      <c r="B16439" s="8"/>
      <c r="G16439" s="8"/>
      <c r="M16439" s="8"/>
    </row>
    <row r="16440">
      <c r="B16440" s="8"/>
      <c r="G16440" s="8"/>
      <c r="M16440" s="8"/>
    </row>
    <row r="16441">
      <c r="B16441" s="8"/>
      <c r="G16441" s="8"/>
      <c r="M16441" s="8"/>
    </row>
    <row r="16442">
      <c r="B16442" s="8"/>
      <c r="G16442" s="8"/>
      <c r="M16442" s="8"/>
    </row>
    <row r="16443">
      <c r="B16443" s="8"/>
      <c r="G16443" s="8"/>
      <c r="M16443" s="8"/>
    </row>
    <row r="16444">
      <c r="B16444" s="8"/>
      <c r="G16444" s="8"/>
      <c r="M16444" s="8"/>
    </row>
    <row r="16445">
      <c r="B16445" s="8"/>
      <c r="G16445" s="8"/>
      <c r="M16445" s="8"/>
    </row>
    <row r="16446">
      <c r="B16446" s="8"/>
      <c r="G16446" s="8"/>
      <c r="M16446" s="8"/>
    </row>
    <row r="16447">
      <c r="B16447" s="8"/>
      <c r="G16447" s="8"/>
      <c r="M16447" s="8"/>
    </row>
    <row r="16448">
      <c r="B16448" s="8"/>
      <c r="G16448" s="8"/>
      <c r="M16448" s="8"/>
    </row>
    <row r="16449">
      <c r="B16449" s="8"/>
      <c r="G16449" s="8"/>
      <c r="M16449" s="8"/>
    </row>
    <row r="16450">
      <c r="B16450" s="8"/>
      <c r="G16450" s="8"/>
      <c r="M16450" s="8"/>
    </row>
    <row r="16451">
      <c r="B16451" s="8"/>
      <c r="G16451" s="8"/>
      <c r="M16451" s="8"/>
    </row>
    <row r="16452">
      <c r="B16452" s="8"/>
      <c r="G16452" s="8"/>
      <c r="M16452" s="8"/>
    </row>
    <row r="16453">
      <c r="B16453" s="8"/>
      <c r="G16453" s="8"/>
      <c r="M16453" s="8"/>
    </row>
    <row r="16454">
      <c r="B16454" s="8"/>
      <c r="G16454" s="8"/>
      <c r="M16454" s="8"/>
    </row>
    <row r="16455">
      <c r="B16455" s="8"/>
      <c r="G16455" s="8"/>
      <c r="M16455" s="8"/>
    </row>
    <row r="16456">
      <c r="B16456" s="8"/>
      <c r="G16456" s="8"/>
      <c r="M16456" s="8"/>
    </row>
    <row r="16457">
      <c r="B16457" s="8"/>
      <c r="G16457" s="8"/>
      <c r="M16457" s="8"/>
    </row>
    <row r="16458">
      <c r="B16458" s="8"/>
      <c r="G16458" s="8"/>
      <c r="M16458" s="8"/>
    </row>
    <row r="16459">
      <c r="B16459" s="8"/>
      <c r="G16459" s="8"/>
      <c r="M16459" s="8"/>
    </row>
    <row r="16460">
      <c r="B16460" s="8"/>
      <c r="G16460" s="8"/>
      <c r="M16460" s="8"/>
    </row>
    <row r="16461">
      <c r="B16461" s="8"/>
      <c r="G16461" s="8"/>
      <c r="M16461" s="8"/>
    </row>
    <row r="16462">
      <c r="B16462" s="8"/>
      <c r="G16462" s="8"/>
      <c r="M16462" s="8"/>
    </row>
    <row r="16463">
      <c r="B16463" s="8"/>
      <c r="G16463" s="8"/>
      <c r="M16463" s="8"/>
    </row>
    <row r="16464">
      <c r="B16464" s="8"/>
      <c r="G16464" s="8"/>
      <c r="M16464" s="8"/>
    </row>
    <row r="16465">
      <c r="B16465" s="8"/>
      <c r="G16465" s="8"/>
      <c r="M16465" s="8"/>
    </row>
    <row r="16466">
      <c r="B16466" s="8"/>
      <c r="G16466" s="8"/>
      <c r="M16466" s="8"/>
    </row>
    <row r="16467">
      <c r="B16467" s="8"/>
      <c r="G16467" s="8"/>
      <c r="M16467" s="8"/>
    </row>
    <row r="16468">
      <c r="B16468" s="8"/>
      <c r="G16468" s="8"/>
      <c r="M16468" s="8"/>
    </row>
    <row r="16469">
      <c r="B16469" s="8"/>
      <c r="G16469" s="8"/>
      <c r="M16469" s="8"/>
    </row>
    <row r="16470">
      <c r="B16470" s="8"/>
      <c r="G16470" s="8"/>
      <c r="M16470" s="8"/>
    </row>
    <row r="16471">
      <c r="B16471" s="8"/>
      <c r="G16471" s="8"/>
      <c r="M16471" s="8"/>
    </row>
    <row r="16472">
      <c r="B16472" s="8"/>
      <c r="G16472" s="8"/>
      <c r="M16472" s="8"/>
    </row>
    <row r="16473">
      <c r="B16473" s="8"/>
      <c r="G16473" s="8"/>
      <c r="M16473" s="8"/>
    </row>
    <row r="16474">
      <c r="B16474" s="8"/>
      <c r="G16474" s="8"/>
      <c r="M16474" s="8"/>
    </row>
    <row r="16475">
      <c r="B16475" s="8"/>
      <c r="G16475" s="8"/>
      <c r="M16475" s="8"/>
    </row>
    <row r="16476">
      <c r="B16476" s="8"/>
      <c r="G16476" s="8"/>
      <c r="M16476" s="8"/>
    </row>
    <row r="16477">
      <c r="B16477" s="8"/>
      <c r="G16477" s="8"/>
      <c r="M16477" s="8"/>
    </row>
    <row r="16478">
      <c r="B16478" s="8"/>
      <c r="G16478" s="8"/>
      <c r="M16478" s="8"/>
    </row>
    <row r="16479">
      <c r="B16479" s="8"/>
      <c r="G16479" s="8"/>
      <c r="M16479" s="8"/>
    </row>
    <row r="16480">
      <c r="B16480" s="8"/>
      <c r="G16480" s="8"/>
      <c r="M16480" s="8"/>
    </row>
    <row r="16481">
      <c r="B16481" s="8"/>
      <c r="G16481" s="8"/>
      <c r="M16481" s="8"/>
    </row>
    <row r="16482">
      <c r="B16482" s="8"/>
      <c r="G16482" s="8"/>
      <c r="M16482" s="8"/>
    </row>
    <row r="16483">
      <c r="B16483" s="8"/>
      <c r="G16483" s="8"/>
      <c r="M16483" s="8"/>
    </row>
    <row r="16484">
      <c r="B16484" s="8"/>
      <c r="G16484" s="8"/>
      <c r="M16484" s="8"/>
    </row>
    <row r="16485">
      <c r="B16485" s="8"/>
      <c r="G16485" s="8"/>
      <c r="M16485" s="8"/>
    </row>
    <row r="16486">
      <c r="B16486" s="8"/>
      <c r="G16486" s="8"/>
      <c r="M16486" s="8"/>
    </row>
    <row r="16487">
      <c r="B16487" s="8"/>
      <c r="G16487" s="8"/>
      <c r="M16487" s="8"/>
    </row>
    <row r="16488">
      <c r="B16488" s="8"/>
      <c r="G16488" s="8"/>
      <c r="M16488" s="8"/>
    </row>
    <row r="16489">
      <c r="B16489" s="8"/>
      <c r="G16489" s="8"/>
      <c r="M16489" s="8"/>
    </row>
    <row r="16490">
      <c r="B16490" s="8"/>
      <c r="G16490" s="8"/>
      <c r="M16490" s="8"/>
    </row>
    <row r="16491">
      <c r="B16491" s="8"/>
      <c r="G16491" s="8"/>
      <c r="M16491" s="8"/>
    </row>
    <row r="16492">
      <c r="B16492" s="8"/>
      <c r="G16492" s="8"/>
      <c r="M16492" s="8"/>
    </row>
    <row r="16493">
      <c r="B16493" s="8"/>
      <c r="G16493" s="8"/>
      <c r="M16493" s="8"/>
    </row>
    <row r="16494">
      <c r="B16494" s="8"/>
      <c r="G16494" s="8"/>
      <c r="M16494" s="8"/>
    </row>
    <row r="16495">
      <c r="B16495" s="8"/>
      <c r="G16495" s="8"/>
      <c r="M16495" s="8"/>
    </row>
    <row r="16496">
      <c r="B16496" s="8"/>
      <c r="G16496" s="8"/>
      <c r="M16496" s="8"/>
    </row>
    <row r="16497">
      <c r="B16497" s="8"/>
      <c r="G16497" s="8"/>
      <c r="M16497" s="8"/>
    </row>
    <row r="16498">
      <c r="B16498" s="8"/>
      <c r="G16498" s="8"/>
      <c r="M16498" s="8"/>
    </row>
    <row r="16499">
      <c r="B16499" s="8"/>
      <c r="G16499" s="8"/>
      <c r="M16499" s="8"/>
    </row>
    <row r="16500">
      <c r="B16500" s="8"/>
      <c r="G16500" s="8"/>
      <c r="M16500" s="8"/>
    </row>
    <row r="16501">
      <c r="B16501" s="8"/>
      <c r="G16501" s="8"/>
      <c r="M16501" s="8"/>
    </row>
    <row r="16502">
      <c r="B16502" s="8"/>
      <c r="G16502" s="8"/>
      <c r="M16502" s="8"/>
    </row>
    <row r="16503">
      <c r="B16503" s="8"/>
      <c r="G16503" s="8"/>
      <c r="M16503" s="8"/>
    </row>
    <row r="16504">
      <c r="B16504" s="8"/>
      <c r="G16504" s="8"/>
      <c r="M16504" s="8"/>
    </row>
    <row r="16505">
      <c r="B16505" s="8"/>
      <c r="G16505" s="8"/>
      <c r="M16505" s="8"/>
    </row>
    <row r="16506">
      <c r="B16506" s="8"/>
      <c r="G16506" s="8"/>
      <c r="M16506" s="8"/>
    </row>
    <row r="16507">
      <c r="B16507" s="8"/>
      <c r="G16507" s="8"/>
      <c r="M16507" s="8"/>
    </row>
    <row r="16508">
      <c r="B16508" s="8"/>
      <c r="G16508" s="8"/>
      <c r="M16508" s="8"/>
    </row>
    <row r="16509">
      <c r="B16509" s="8"/>
      <c r="G16509" s="8"/>
      <c r="M16509" s="8"/>
    </row>
    <row r="16510">
      <c r="B16510" s="8"/>
      <c r="G16510" s="8"/>
      <c r="M16510" s="8"/>
    </row>
    <row r="16511">
      <c r="B16511" s="8"/>
      <c r="G16511" s="8"/>
      <c r="M16511" s="8"/>
    </row>
    <row r="16512">
      <c r="B16512" s="8"/>
      <c r="G16512" s="8"/>
      <c r="M16512" s="8"/>
    </row>
    <row r="16513">
      <c r="B16513" s="8"/>
      <c r="G16513" s="8"/>
      <c r="M16513" s="8"/>
    </row>
    <row r="16514">
      <c r="B16514" s="8"/>
      <c r="G16514" s="8"/>
      <c r="M16514" s="8"/>
    </row>
    <row r="16515">
      <c r="B16515" s="8"/>
      <c r="G16515" s="8"/>
      <c r="M16515" s="8"/>
    </row>
    <row r="16516">
      <c r="B16516" s="8"/>
      <c r="G16516" s="8"/>
      <c r="M16516" s="8"/>
    </row>
    <row r="16517">
      <c r="B16517" s="8"/>
      <c r="G16517" s="8"/>
      <c r="M16517" s="8"/>
    </row>
    <row r="16518">
      <c r="B16518" s="8"/>
      <c r="G16518" s="8"/>
      <c r="M16518" s="8"/>
    </row>
    <row r="16519">
      <c r="B16519" s="8"/>
      <c r="G16519" s="8"/>
      <c r="M16519" s="8"/>
    </row>
    <row r="16520">
      <c r="B16520" s="8"/>
      <c r="G16520" s="8"/>
      <c r="M16520" s="8"/>
    </row>
    <row r="16521">
      <c r="B16521" s="8"/>
      <c r="G16521" s="8"/>
      <c r="M16521" s="8"/>
    </row>
    <row r="16522">
      <c r="B16522" s="8"/>
      <c r="G16522" s="8"/>
      <c r="M16522" s="8"/>
    </row>
    <row r="16523">
      <c r="B16523" s="8"/>
      <c r="G16523" s="8"/>
      <c r="M16523" s="8"/>
    </row>
    <row r="16524">
      <c r="B16524" s="8"/>
      <c r="G16524" s="8"/>
      <c r="M16524" s="8"/>
    </row>
    <row r="16525">
      <c r="B16525" s="8"/>
      <c r="G16525" s="8"/>
      <c r="M16525" s="8"/>
    </row>
    <row r="16526">
      <c r="B16526" s="8"/>
      <c r="G16526" s="8"/>
      <c r="M16526" s="8"/>
    </row>
    <row r="16527">
      <c r="B16527" s="8"/>
      <c r="G16527" s="8"/>
      <c r="M16527" s="8"/>
    </row>
    <row r="16528">
      <c r="B16528" s="8"/>
      <c r="G16528" s="8"/>
      <c r="M16528" s="8"/>
    </row>
    <row r="16529">
      <c r="B16529" s="8"/>
      <c r="G16529" s="8"/>
      <c r="M16529" s="8"/>
    </row>
    <row r="16530">
      <c r="B16530" s="8"/>
      <c r="G16530" s="8"/>
      <c r="M16530" s="8"/>
    </row>
    <row r="16531">
      <c r="B16531" s="8"/>
      <c r="G16531" s="8"/>
      <c r="M16531" s="8"/>
    </row>
    <row r="16532">
      <c r="B16532" s="8"/>
      <c r="G16532" s="8"/>
      <c r="M16532" s="8"/>
    </row>
    <row r="16533">
      <c r="B16533" s="8"/>
      <c r="G16533" s="8"/>
      <c r="M16533" s="8"/>
    </row>
    <row r="16534">
      <c r="B16534" s="8"/>
      <c r="G16534" s="8"/>
      <c r="M16534" s="8"/>
    </row>
    <row r="16535">
      <c r="B16535" s="8"/>
      <c r="G16535" s="8"/>
      <c r="M16535" s="8"/>
    </row>
    <row r="16536">
      <c r="B16536" s="8"/>
      <c r="G16536" s="8"/>
      <c r="M16536" s="8"/>
    </row>
    <row r="16537">
      <c r="B16537" s="8"/>
      <c r="G16537" s="8"/>
      <c r="M16537" s="8"/>
    </row>
    <row r="16538">
      <c r="B16538" s="8"/>
      <c r="G16538" s="8"/>
      <c r="M16538" s="8"/>
    </row>
    <row r="16539">
      <c r="B16539" s="8"/>
      <c r="G16539" s="8"/>
      <c r="M16539" s="8"/>
    </row>
    <row r="16540">
      <c r="B16540" s="8"/>
      <c r="G16540" s="8"/>
      <c r="M16540" s="8"/>
    </row>
    <row r="16541">
      <c r="B16541" s="8"/>
      <c r="G16541" s="8"/>
      <c r="M16541" s="8"/>
    </row>
    <row r="16542">
      <c r="B16542" s="8"/>
      <c r="G16542" s="8"/>
      <c r="M16542" s="8"/>
    </row>
    <row r="16543">
      <c r="B16543" s="8"/>
      <c r="G16543" s="8"/>
      <c r="M16543" s="8"/>
    </row>
    <row r="16544">
      <c r="B16544" s="8"/>
      <c r="G16544" s="8"/>
      <c r="M16544" s="8"/>
    </row>
    <row r="16545">
      <c r="B16545" s="8"/>
      <c r="G16545" s="8"/>
      <c r="M16545" s="8"/>
    </row>
    <row r="16546">
      <c r="B16546" s="8"/>
      <c r="G16546" s="8"/>
      <c r="M16546" s="8"/>
    </row>
    <row r="16547">
      <c r="B16547" s="8"/>
      <c r="G16547" s="8"/>
      <c r="M16547" s="8"/>
    </row>
    <row r="16548">
      <c r="B16548" s="8"/>
      <c r="G16548" s="8"/>
      <c r="M16548" s="8"/>
    </row>
    <row r="16549">
      <c r="B16549" s="8"/>
      <c r="G16549" s="8"/>
      <c r="M16549" s="8"/>
    </row>
    <row r="16550">
      <c r="B16550" s="8"/>
      <c r="G16550" s="8"/>
      <c r="M16550" s="8"/>
    </row>
    <row r="16551">
      <c r="B16551" s="8"/>
      <c r="G16551" s="8"/>
      <c r="M16551" s="8"/>
    </row>
    <row r="16552">
      <c r="B16552" s="8"/>
      <c r="G16552" s="8"/>
      <c r="M16552" s="8"/>
    </row>
    <row r="16553">
      <c r="B16553" s="8"/>
      <c r="G16553" s="8"/>
      <c r="M16553" s="8"/>
    </row>
    <row r="16554">
      <c r="B16554" s="8"/>
      <c r="G16554" s="8"/>
      <c r="M16554" s="8"/>
    </row>
    <row r="16555">
      <c r="B16555" s="8"/>
      <c r="G16555" s="8"/>
      <c r="M16555" s="8"/>
    </row>
    <row r="16556">
      <c r="B16556" s="8"/>
      <c r="G16556" s="8"/>
      <c r="M16556" s="8"/>
    </row>
    <row r="16557">
      <c r="B16557" s="8"/>
      <c r="G16557" s="8"/>
      <c r="M16557" s="8"/>
    </row>
    <row r="16558">
      <c r="B16558" s="8"/>
      <c r="G16558" s="8"/>
      <c r="M16558" s="8"/>
    </row>
    <row r="16559">
      <c r="B16559" s="8"/>
      <c r="G16559" s="8"/>
      <c r="M16559" s="8"/>
    </row>
    <row r="16560">
      <c r="B16560" s="8"/>
      <c r="G16560" s="8"/>
      <c r="M16560" s="8"/>
    </row>
    <row r="16561">
      <c r="B16561" s="8"/>
      <c r="G16561" s="8"/>
      <c r="M16561" s="8"/>
    </row>
    <row r="16562">
      <c r="B16562" s="8"/>
      <c r="G16562" s="8"/>
      <c r="M16562" s="8"/>
    </row>
    <row r="16563">
      <c r="B16563" s="8"/>
      <c r="G16563" s="8"/>
      <c r="M16563" s="8"/>
    </row>
    <row r="16564">
      <c r="B16564" s="8"/>
      <c r="G16564" s="8"/>
      <c r="M16564" s="8"/>
    </row>
    <row r="16565">
      <c r="B16565" s="8"/>
      <c r="G16565" s="8"/>
      <c r="M16565" s="8"/>
    </row>
    <row r="16566">
      <c r="B16566" s="8"/>
      <c r="G16566" s="8"/>
      <c r="M16566" s="8"/>
    </row>
    <row r="16567">
      <c r="B16567" s="8"/>
      <c r="G16567" s="8"/>
      <c r="M16567" s="8"/>
    </row>
    <row r="16568">
      <c r="B16568" s="8"/>
      <c r="G16568" s="8"/>
      <c r="M16568" s="8"/>
    </row>
    <row r="16569">
      <c r="B16569" s="8"/>
      <c r="G16569" s="8"/>
      <c r="M16569" s="8"/>
    </row>
    <row r="16570">
      <c r="B16570" s="8"/>
      <c r="G16570" s="8"/>
      <c r="M16570" s="8"/>
    </row>
    <row r="16571">
      <c r="B16571" s="8"/>
      <c r="G16571" s="8"/>
      <c r="M16571" s="8"/>
    </row>
    <row r="16572">
      <c r="B16572" s="8"/>
      <c r="G16572" s="8"/>
      <c r="M16572" s="8"/>
    </row>
    <row r="16573">
      <c r="B16573" s="8"/>
      <c r="G16573" s="8"/>
      <c r="M16573" s="8"/>
    </row>
    <row r="16574">
      <c r="B16574" s="8"/>
      <c r="G16574" s="8"/>
      <c r="M16574" s="8"/>
    </row>
    <row r="16575">
      <c r="B16575" s="8"/>
      <c r="G16575" s="8"/>
      <c r="M16575" s="8"/>
    </row>
    <row r="16576">
      <c r="B16576" s="8"/>
      <c r="G16576" s="8"/>
      <c r="M16576" s="8"/>
    </row>
    <row r="16577">
      <c r="B16577" s="8"/>
      <c r="G16577" s="8"/>
      <c r="M16577" s="8"/>
    </row>
    <row r="16578">
      <c r="B16578" s="8"/>
      <c r="G16578" s="8"/>
      <c r="M16578" s="8"/>
    </row>
    <row r="16579">
      <c r="B16579" s="8"/>
      <c r="G16579" s="8"/>
      <c r="M16579" s="8"/>
    </row>
    <row r="16580">
      <c r="B16580" s="8"/>
      <c r="G16580" s="8"/>
      <c r="M16580" s="8"/>
    </row>
    <row r="16581">
      <c r="B16581" s="8"/>
      <c r="G16581" s="8"/>
      <c r="M16581" s="8"/>
    </row>
    <row r="16582">
      <c r="B16582" s="8"/>
      <c r="G16582" s="8"/>
      <c r="M16582" s="8"/>
    </row>
    <row r="16583">
      <c r="B16583" s="8"/>
      <c r="G16583" s="8"/>
      <c r="M16583" s="8"/>
    </row>
    <row r="16584">
      <c r="B16584" s="8"/>
      <c r="G16584" s="8"/>
      <c r="M16584" s="8"/>
    </row>
    <row r="16585">
      <c r="B16585" s="8"/>
      <c r="G16585" s="8"/>
      <c r="M16585" s="8"/>
    </row>
    <row r="16586">
      <c r="B16586" s="8"/>
      <c r="G16586" s="8"/>
      <c r="M16586" s="8"/>
    </row>
    <row r="16587">
      <c r="B16587" s="8"/>
      <c r="G16587" s="8"/>
      <c r="M16587" s="8"/>
    </row>
    <row r="16588">
      <c r="B16588" s="8"/>
      <c r="G16588" s="8"/>
      <c r="M16588" s="8"/>
    </row>
    <row r="16589">
      <c r="B16589" s="8"/>
      <c r="G16589" s="8"/>
      <c r="M16589" s="8"/>
    </row>
    <row r="16590">
      <c r="B16590" s="8"/>
      <c r="G16590" s="8"/>
      <c r="M16590" s="8"/>
    </row>
    <row r="16591">
      <c r="B16591" s="8"/>
      <c r="G16591" s="8"/>
      <c r="M16591" s="8"/>
    </row>
    <row r="16592">
      <c r="B16592" s="8"/>
      <c r="G16592" s="8"/>
      <c r="M16592" s="8"/>
    </row>
    <row r="16593">
      <c r="B16593" s="8"/>
      <c r="G16593" s="8"/>
      <c r="M16593" s="8"/>
    </row>
    <row r="16594">
      <c r="B16594" s="8"/>
      <c r="G16594" s="8"/>
      <c r="M16594" s="8"/>
    </row>
    <row r="16595">
      <c r="B16595" s="8"/>
      <c r="G16595" s="8"/>
      <c r="M16595" s="8"/>
    </row>
    <row r="16596">
      <c r="B16596" s="8"/>
      <c r="G16596" s="8"/>
      <c r="M16596" s="8"/>
    </row>
    <row r="16597">
      <c r="B16597" s="8"/>
      <c r="G16597" s="8"/>
      <c r="M16597" s="8"/>
    </row>
    <row r="16598">
      <c r="B16598" s="8"/>
      <c r="G16598" s="8"/>
      <c r="M16598" s="8"/>
    </row>
    <row r="16599">
      <c r="B16599" s="8"/>
      <c r="G16599" s="8"/>
      <c r="M16599" s="8"/>
    </row>
    <row r="16600">
      <c r="B16600" s="8"/>
      <c r="G16600" s="8"/>
      <c r="M16600" s="8"/>
    </row>
    <row r="16601">
      <c r="B16601" s="8"/>
      <c r="G16601" s="8"/>
      <c r="M16601" s="8"/>
    </row>
    <row r="16602">
      <c r="B16602" s="8"/>
      <c r="G16602" s="8"/>
      <c r="M16602" s="8"/>
    </row>
    <row r="16603">
      <c r="B16603" s="8"/>
      <c r="G16603" s="8"/>
      <c r="M16603" s="8"/>
    </row>
    <row r="16604">
      <c r="B16604" s="8"/>
      <c r="G16604" s="8"/>
      <c r="M16604" s="8"/>
    </row>
    <row r="16605">
      <c r="B16605" s="8"/>
      <c r="G16605" s="8"/>
      <c r="M16605" s="8"/>
    </row>
    <row r="16606">
      <c r="B16606" s="8"/>
      <c r="G16606" s="8"/>
      <c r="M16606" s="8"/>
    </row>
    <row r="16607">
      <c r="B16607" s="8"/>
      <c r="G16607" s="8"/>
      <c r="M16607" s="8"/>
    </row>
    <row r="16608">
      <c r="B16608" s="8"/>
      <c r="G16608" s="8"/>
      <c r="M16608" s="8"/>
    </row>
    <row r="16609">
      <c r="B16609" s="8"/>
      <c r="G16609" s="8"/>
      <c r="M16609" s="8"/>
    </row>
    <row r="16610">
      <c r="B16610" s="8"/>
      <c r="G16610" s="8"/>
      <c r="M16610" s="8"/>
    </row>
    <row r="16611">
      <c r="B16611" s="8"/>
      <c r="G16611" s="8"/>
      <c r="M16611" s="8"/>
    </row>
    <row r="16612">
      <c r="B16612" s="8"/>
      <c r="G16612" s="8"/>
      <c r="M16612" s="8"/>
    </row>
    <row r="16613">
      <c r="B16613" s="8"/>
      <c r="G16613" s="8"/>
      <c r="M16613" s="8"/>
    </row>
    <row r="16614">
      <c r="B16614" s="8"/>
      <c r="G16614" s="8"/>
      <c r="M16614" s="8"/>
    </row>
    <row r="16615">
      <c r="B16615" s="8"/>
      <c r="G16615" s="8"/>
      <c r="M16615" s="8"/>
    </row>
    <row r="16616">
      <c r="B16616" s="8"/>
      <c r="G16616" s="8"/>
      <c r="M16616" s="8"/>
    </row>
    <row r="16617">
      <c r="B16617" s="8"/>
      <c r="G16617" s="8"/>
      <c r="M16617" s="8"/>
    </row>
    <row r="16618">
      <c r="B16618" s="8"/>
      <c r="G16618" s="8"/>
      <c r="M16618" s="8"/>
    </row>
    <row r="16619">
      <c r="B16619" s="8"/>
      <c r="G16619" s="8"/>
      <c r="M16619" s="8"/>
    </row>
    <row r="16620">
      <c r="B16620" s="8"/>
      <c r="G16620" s="8"/>
      <c r="M16620" s="8"/>
    </row>
    <row r="16621">
      <c r="B16621" s="8"/>
      <c r="G16621" s="8"/>
      <c r="M16621" s="8"/>
    </row>
    <row r="16622">
      <c r="B16622" s="8"/>
      <c r="G16622" s="8"/>
      <c r="M16622" s="8"/>
    </row>
    <row r="16623">
      <c r="B16623" s="8"/>
      <c r="G16623" s="8"/>
      <c r="M16623" s="8"/>
    </row>
    <row r="16624">
      <c r="B16624" s="8"/>
      <c r="G16624" s="8"/>
      <c r="M16624" s="8"/>
    </row>
    <row r="16625">
      <c r="B16625" s="8"/>
      <c r="G16625" s="8"/>
      <c r="M16625" s="8"/>
    </row>
    <row r="16626">
      <c r="B16626" s="8"/>
      <c r="G16626" s="8"/>
      <c r="M16626" s="8"/>
    </row>
    <row r="16627">
      <c r="B16627" s="8"/>
      <c r="G16627" s="8"/>
      <c r="M16627" s="8"/>
    </row>
    <row r="16628">
      <c r="B16628" s="8"/>
      <c r="G16628" s="8"/>
      <c r="M16628" s="8"/>
    </row>
    <row r="16629">
      <c r="B16629" s="8"/>
      <c r="G16629" s="8"/>
      <c r="M16629" s="8"/>
    </row>
    <row r="16630">
      <c r="B16630" s="8"/>
      <c r="G16630" s="8"/>
      <c r="M16630" s="8"/>
    </row>
    <row r="16631">
      <c r="B16631" s="8"/>
      <c r="G16631" s="8"/>
      <c r="M16631" s="8"/>
    </row>
    <row r="16632">
      <c r="B16632" s="8"/>
      <c r="G16632" s="8"/>
      <c r="M16632" s="8"/>
    </row>
    <row r="16633">
      <c r="B16633" s="8"/>
      <c r="G16633" s="8"/>
      <c r="M16633" s="8"/>
    </row>
    <row r="16634">
      <c r="B16634" s="8"/>
      <c r="G16634" s="8"/>
      <c r="M16634" s="8"/>
    </row>
    <row r="16635">
      <c r="B16635" s="8"/>
      <c r="G16635" s="8"/>
      <c r="M16635" s="8"/>
    </row>
    <row r="16636">
      <c r="B16636" s="8"/>
      <c r="G16636" s="8"/>
      <c r="M16636" s="8"/>
    </row>
    <row r="16637">
      <c r="B16637" s="8"/>
      <c r="G16637" s="8"/>
      <c r="M16637" s="8"/>
    </row>
    <row r="16638">
      <c r="B16638" s="8"/>
      <c r="G16638" s="8"/>
      <c r="M16638" s="8"/>
    </row>
    <row r="16639">
      <c r="B16639" s="8"/>
      <c r="G16639" s="8"/>
      <c r="M16639" s="8"/>
    </row>
    <row r="16640">
      <c r="B16640" s="8"/>
      <c r="G16640" s="8"/>
      <c r="M16640" s="8"/>
    </row>
    <row r="16641">
      <c r="B16641" s="8"/>
      <c r="G16641" s="8"/>
      <c r="M16641" s="8"/>
    </row>
    <row r="16642">
      <c r="B16642" s="8"/>
      <c r="G16642" s="8"/>
      <c r="M16642" s="8"/>
    </row>
    <row r="16643">
      <c r="B16643" s="8"/>
      <c r="G16643" s="8"/>
      <c r="M16643" s="8"/>
    </row>
    <row r="16644">
      <c r="B16644" s="8"/>
      <c r="G16644" s="8"/>
      <c r="M16644" s="8"/>
    </row>
    <row r="16645">
      <c r="B16645" s="8"/>
      <c r="G16645" s="8"/>
      <c r="M16645" s="8"/>
    </row>
    <row r="16646">
      <c r="B16646" s="8"/>
      <c r="G16646" s="8"/>
      <c r="M16646" s="8"/>
    </row>
    <row r="16647">
      <c r="B16647" s="8"/>
      <c r="G16647" s="8"/>
      <c r="M16647" s="8"/>
    </row>
    <row r="16648">
      <c r="B16648" s="8"/>
      <c r="G16648" s="8"/>
      <c r="M16648" s="8"/>
    </row>
    <row r="16649">
      <c r="B16649" s="8"/>
      <c r="G16649" s="8"/>
      <c r="M16649" s="8"/>
    </row>
    <row r="16650">
      <c r="B16650" s="8"/>
      <c r="G16650" s="8"/>
      <c r="M16650" s="8"/>
    </row>
    <row r="16651">
      <c r="B16651" s="8"/>
      <c r="G16651" s="8"/>
      <c r="M16651" s="8"/>
    </row>
    <row r="16652">
      <c r="B16652" s="8"/>
      <c r="G16652" s="8"/>
      <c r="M16652" s="8"/>
    </row>
    <row r="16653">
      <c r="B16653" s="8"/>
      <c r="G16653" s="8"/>
      <c r="M16653" s="8"/>
    </row>
    <row r="16654">
      <c r="B16654" s="8"/>
      <c r="G16654" s="8"/>
      <c r="M16654" s="8"/>
    </row>
    <row r="16655">
      <c r="B16655" s="8"/>
      <c r="G16655" s="8"/>
      <c r="M16655" s="8"/>
    </row>
    <row r="16656">
      <c r="B16656" s="8"/>
      <c r="G16656" s="8"/>
      <c r="M16656" s="8"/>
    </row>
    <row r="16657">
      <c r="B16657" s="8"/>
      <c r="G16657" s="8"/>
      <c r="M16657" s="8"/>
    </row>
    <row r="16658">
      <c r="B16658" s="8"/>
      <c r="G16658" s="8"/>
      <c r="M16658" s="8"/>
    </row>
    <row r="16659">
      <c r="B16659" s="8"/>
      <c r="G16659" s="8"/>
      <c r="M16659" s="8"/>
    </row>
    <row r="16660">
      <c r="B16660" s="8"/>
      <c r="G16660" s="8"/>
      <c r="M16660" s="8"/>
    </row>
    <row r="16661">
      <c r="B16661" s="8"/>
      <c r="G16661" s="8"/>
      <c r="M16661" s="8"/>
    </row>
    <row r="16662">
      <c r="B16662" s="8"/>
      <c r="G16662" s="8"/>
      <c r="M16662" s="8"/>
    </row>
    <row r="16663">
      <c r="B16663" s="8"/>
      <c r="G16663" s="8"/>
      <c r="M16663" s="8"/>
    </row>
    <row r="16664">
      <c r="B16664" s="8"/>
      <c r="G16664" s="8"/>
      <c r="M16664" s="8"/>
    </row>
    <row r="16665">
      <c r="B16665" s="8"/>
      <c r="G16665" s="8"/>
      <c r="M16665" s="8"/>
    </row>
    <row r="16666">
      <c r="B16666" s="8"/>
      <c r="G16666" s="8"/>
      <c r="M16666" s="8"/>
    </row>
    <row r="16667">
      <c r="B16667" s="8"/>
      <c r="G16667" s="8"/>
      <c r="M16667" s="8"/>
    </row>
    <row r="16668">
      <c r="B16668" s="8"/>
      <c r="G16668" s="8"/>
      <c r="M16668" s="8"/>
    </row>
    <row r="16669">
      <c r="B16669" s="8"/>
      <c r="G16669" s="8"/>
      <c r="M16669" s="8"/>
    </row>
    <row r="16670">
      <c r="B16670" s="8"/>
      <c r="G16670" s="8"/>
      <c r="M16670" s="8"/>
    </row>
    <row r="16671">
      <c r="B16671" s="8"/>
      <c r="G16671" s="8"/>
      <c r="M16671" s="8"/>
    </row>
    <row r="16672">
      <c r="B16672" s="8"/>
      <c r="G16672" s="8"/>
      <c r="M16672" s="8"/>
    </row>
    <row r="16673">
      <c r="B16673" s="8"/>
      <c r="G16673" s="8"/>
      <c r="M16673" s="8"/>
    </row>
    <row r="16674">
      <c r="B16674" s="8"/>
      <c r="G16674" s="8"/>
      <c r="M16674" s="8"/>
    </row>
    <row r="16675">
      <c r="B16675" s="8"/>
      <c r="G16675" s="8"/>
      <c r="M16675" s="8"/>
    </row>
    <row r="16676">
      <c r="B16676" s="8"/>
      <c r="G16676" s="8"/>
      <c r="M16676" s="8"/>
    </row>
    <row r="16677">
      <c r="B16677" s="8"/>
      <c r="G16677" s="8"/>
      <c r="M16677" s="8"/>
    </row>
    <row r="16678">
      <c r="B16678" s="8"/>
      <c r="G16678" s="8"/>
      <c r="M16678" s="8"/>
    </row>
    <row r="16679">
      <c r="B16679" s="8"/>
      <c r="G16679" s="8"/>
      <c r="M16679" s="8"/>
    </row>
    <row r="16680">
      <c r="B16680" s="8"/>
      <c r="G16680" s="8"/>
      <c r="M16680" s="8"/>
    </row>
    <row r="16681">
      <c r="B16681" s="8"/>
      <c r="G16681" s="8"/>
      <c r="M16681" s="8"/>
    </row>
    <row r="16682">
      <c r="B16682" s="8"/>
      <c r="G16682" s="8"/>
      <c r="M16682" s="8"/>
    </row>
    <row r="16683">
      <c r="B16683" s="8"/>
      <c r="G16683" s="8"/>
      <c r="M16683" s="8"/>
    </row>
    <row r="16684">
      <c r="B16684" s="8"/>
      <c r="G16684" s="8"/>
      <c r="M16684" s="8"/>
    </row>
    <row r="16685">
      <c r="B16685" s="8"/>
      <c r="G16685" s="8"/>
      <c r="M16685" s="8"/>
    </row>
    <row r="16686">
      <c r="B16686" s="8"/>
      <c r="G16686" s="8"/>
      <c r="M16686" s="8"/>
    </row>
    <row r="16687">
      <c r="B16687" s="8"/>
      <c r="G16687" s="8"/>
      <c r="M16687" s="8"/>
    </row>
    <row r="16688">
      <c r="B16688" s="8"/>
      <c r="G16688" s="8"/>
      <c r="M16688" s="8"/>
    </row>
    <row r="16689">
      <c r="B16689" s="8"/>
      <c r="G16689" s="8"/>
      <c r="M16689" s="8"/>
    </row>
    <row r="16690">
      <c r="B16690" s="8"/>
      <c r="G16690" s="8"/>
      <c r="M16690" s="8"/>
    </row>
    <row r="16691">
      <c r="B16691" s="8"/>
      <c r="G16691" s="8"/>
      <c r="M16691" s="8"/>
    </row>
    <row r="16692">
      <c r="B16692" s="8"/>
      <c r="G16692" s="8"/>
      <c r="M16692" s="8"/>
    </row>
    <row r="16693">
      <c r="B16693" s="8"/>
      <c r="G16693" s="8"/>
      <c r="M16693" s="8"/>
    </row>
    <row r="16694">
      <c r="B16694" s="8"/>
      <c r="G16694" s="8"/>
      <c r="M16694" s="8"/>
    </row>
    <row r="16695">
      <c r="B16695" s="8"/>
      <c r="G16695" s="8"/>
      <c r="M16695" s="8"/>
    </row>
    <row r="16696">
      <c r="B16696" s="8"/>
      <c r="G16696" s="8"/>
      <c r="M16696" s="8"/>
    </row>
    <row r="16697">
      <c r="B16697" s="8"/>
      <c r="G16697" s="8"/>
      <c r="M16697" s="8"/>
    </row>
    <row r="16698">
      <c r="B16698" s="8"/>
      <c r="G16698" s="8"/>
      <c r="M16698" s="8"/>
    </row>
    <row r="16699">
      <c r="B16699" s="8"/>
      <c r="G16699" s="8"/>
      <c r="M16699" s="8"/>
    </row>
    <row r="16700">
      <c r="B16700" s="8"/>
      <c r="G16700" s="8"/>
      <c r="M16700" s="8"/>
    </row>
    <row r="16701">
      <c r="B16701" s="8"/>
      <c r="G16701" s="8"/>
      <c r="M16701" s="8"/>
    </row>
    <row r="16702">
      <c r="B16702" s="8"/>
      <c r="G16702" s="8"/>
      <c r="M16702" s="8"/>
    </row>
    <row r="16703">
      <c r="B16703" s="8"/>
      <c r="G16703" s="8"/>
      <c r="M16703" s="8"/>
    </row>
    <row r="16704">
      <c r="B16704" s="8"/>
      <c r="G16704" s="8"/>
      <c r="M16704" s="8"/>
    </row>
    <row r="16705">
      <c r="B16705" s="8"/>
      <c r="G16705" s="8"/>
      <c r="M16705" s="8"/>
    </row>
    <row r="16706">
      <c r="B16706" s="8"/>
      <c r="G16706" s="8"/>
      <c r="M16706" s="8"/>
    </row>
    <row r="16707">
      <c r="B16707" s="8"/>
      <c r="G16707" s="8"/>
      <c r="M16707" s="8"/>
    </row>
    <row r="16708">
      <c r="B16708" s="8"/>
      <c r="G16708" s="8"/>
      <c r="M16708" s="8"/>
    </row>
    <row r="16709">
      <c r="B16709" s="8"/>
      <c r="G16709" s="8"/>
      <c r="M16709" s="8"/>
    </row>
    <row r="16710">
      <c r="B16710" s="8"/>
      <c r="G16710" s="8"/>
      <c r="M16710" s="8"/>
    </row>
    <row r="16711">
      <c r="B16711" s="8"/>
      <c r="G16711" s="8"/>
      <c r="M16711" s="8"/>
    </row>
    <row r="16712">
      <c r="B16712" s="8"/>
      <c r="G16712" s="8"/>
      <c r="M16712" s="8"/>
    </row>
    <row r="16713">
      <c r="B16713" s="8"/>
      <c r="G16713" s="8"/>
      <c r="M16713" s="8"/>
    </row>
    <row r="16714">
      <c r="B16714" s="8"/>
      <c r="G16714" s="8"/>
      <c r="M16714" s="8"/>
    </row>
    <row r="16715">
      <c r="B16715" s="8"/>
      <c r="G16715" s="8"/>
      <c r="M16715" s="8"/>
    </row>
    <row r="16716">
      <c r="B16716" s="8"/>
      <c r="G16716" s="8"/>
      <c r="M16716" s="8"/>
    </row>
    <row r="16717">
      <c r="B16717" s="8"/>
      <c r="G16717" s="8"/>
      <c r="M16717" s="8"/>
    </row>
    <row r="16718">
      <c r="B16718" s="8"/>
      <c r="G16718" s="8"/>
      <c r="M16718" s="8"/>
    </row>
    <row r="16719">
      <c r="B16719" s="8"/>
      <c r="G16719" s="8"/>
      <c r="M16719" s="8"/>
    </row>
    <row r="16720">
      <c r="B16720" s="8"/>
      <c r="G16720" s="8"/>
      <c r="M16720" s="8"/>
    </row>
    <row r="16721">
      <c r="B16721" s="8"/>
      <c r="G16721" s="8"/>
      <c r="M16721" s="8"/>
    </row>
    <row r="16722">
      <c r="B16722" s="8"/>
      <c r="G16722" s="8"/>
      <c r="M16722" s="8"/>
    </row>
    <row r="16723">
      <c r="B16723" s="8"/>
      <c r="G16723" s="8"/>
      <c r="M16723" s="8"/>
    </row>
    <row r="16724">
      <c r="B16724" s="8"/>
      <c r="G16724" s="8"/>
      <c r="M16724" s="8"/>
    </row>
    <row r="16725">
      <c r="B16725" s="8"/>
      <c r="G16725" s="8"/>
      <c r="M16725" s="8"/>
    </row>
    <row r="16726">
      <c r="B16726" s="8"/>
      <c r="G16726" s="8"/>
      <c r="M16726" s="8"/>
    </row>
    <row r="16727">
      <c r="B16727" s="8"/>
      <c r="G16727" s="8"/>
      <c r="M16727" s="8"/>
    </row>
    <row r="16728">
      <c r="B16728" s="8"/>
      <c r="G16728" s="8"/>
      <c r="M16728" s="8"/>
    </row>
    <row r="16729">
      <c r="B16729" s="8"/>
      <c r="G16729" s="8"/>
      <c r="M16729" s="8"/>
    </row>
    <row r="16730">
      <c r="B16730" s="8"/>
      <c r="G16730" s="8"/>
      <c r="M16730" s="8"/>
    </row>
    <row r="16731">
      <c r="B16731" s="8"/>
      <c r="G16731" s="8"/>
      <c r="M16731" s="8"/>
    </row>
    <row r="16732">
      <c r="B16732" s="8"/>
      <c r="G16732" s="8"/>
      <c r="M16732" s="8"/>
    </row>
    <row r="16733">
      <c r="B16733" s="8"/>
      <c r="G16733" s="8"/>
      <c r="M16733" s="8"/>
    </row>
    <row r="16734">
      <c r="B16734" s="8"/>
      <c r="G16734" s="8"/>
      <c r="M16734" s="8"/>
    </row>
    <row r="16735">
      <c r="B16735" s="8"/>
      <c r="G16735" s="8"/>
      <c r="M16735" s="8"/>
    </row>
    <row r="16736">
      <c r="B16736" s="8"/>
      <c r="G16736" s="8"/>
      <c r="M16736" s="8"/>
    </row>
    <row r="16737">
      <c r="B16737" s="8"/>
      <c r="G16737" s="8"/>
      <c r="M16737" s="8"/>
    </row>
    <row r="16738">
      <c r="B16738" s="8"/>
      <c r="G16738" s="8"/>
      <c r="M16738" s="8"/>
    </row>
    <row r="16739">
      <c r="B16739" s="8"/>
      <c r="G16739" s="8"/>
      <c r="M16739" s="8"/>
    </row>
    <row r="16740">
      <c r="B16740" s="8"/>
      <c r="G16740" s="8"/>
      <c r="M16740" s="8"/>
    </row>
    <row r="16741">
      <c r="B16741" s="8"/>
      <c r="G16741" s="8"/>
      <c r="M16741" s="8"/>
    </row>
    <row r="16742">
      <c r="B16742" s="8"/>
      <c r="G16742" s="8"/>
      <c r="M16742" s="8"/>
    </row>
    <row r="16743">
      <c r="B16743" s="8"/>
      <c r="G16743" s="8"/>
      <c r="M16743" s="8"/>
    </row>
    <row r="16744">
      <c r="B16744" s="8"/>
      <c r="G16744" s="8"/>
      <c r="M16744" s="8"/>
    </row>
    <row r="16745">
      <c r="B16745" s="8"/>
      <c r="G16745" s="8"/>
      <c r="M16745" s="8"/>
    </row>
    <row r="16746">
      <c r="B16746" s="8"/>
      <c r="G16746" s="8"/>
      <c r="M16746" s="8"/>
    </row>
    <row r="16747">
      <c r="B16747" s="8"/>
      <c r="G16747" s="8"/>
      <c r="M16747" s="8"/>
    </row>
    <row r="16748">
      <c r="B16748" s="8"/>
      <c r="G16748" s="8"/>
      <c r="M16748" s="8"/>
    </row>
    <row r="16749">
      <c r="B16749" s="8"/>
      <c r="G16749" s="8"/>
      <c r="M16749" s="8"/>
    </row>
    <row r="16750">
      <c r="B16750" s="8"/>
      <c r="G16750" s="8"/>
      <c r="M16750" s="8"/>
    </row>
    <row r="16751">
      <c r="B16751" s="8"/>
      <c r="G16751" s="8"/>
      <c r="M16751" s="8"/>
    </row>
    <row r="16752">
      <c r="B16752" s="8"/>
      <c r="G16752" s="8"/>
      <c r="M16752" s="8"/>
    </row>
    <row r="16753">
      <c r="B16753" s="8"/>
      <c r="G16753" s="8"/>
      <c r="M16753" s="8"/>
    </row>
    <row r="16754">
      <c r="B16754" s="8"/>
      <c r="G16754" s="8"/>
      <c r="M16754" s="8"/>
    </row>
    <row r="16755">
      <c r="B16755" s="8"/>
      <c r="G16755" s="8"/>
      <c r="M16755" s="8"/>
    </row>
    <row r="16756">
      <c r="B16756" s="8"/>
      <c r="G16756" s="8"/>
      <c r="M16756" s="8"/>
    </row>
    <row r="16757">
      <c r="B16757" s="8"/>
      <c r="G16757" s="8"/>
      <c r="M16757" s="8"/>
    </row>
    <row r="16758">
      <c r="B16758" s="8"/>
      <c r="G16758" s="8"/>
      <c r="M16758" s="8"/>
    </row>
    <row r="16759">
      <c r="B16759" s="8"/>
      <c r="G16759" s="8"/>
      <c r="M16759" s="8"/>
    </row>
    <row r="16760">
      <c r="B16760" s="8"/>
      <c r="G16760" s="8"/>
      <c r="M16760" s="8"/>
    </row>
    <row r="16761">
      <c r="B16761" s="8"/>
      <c r="G16761" s="8"/>
      <c r="M16761" s="8"/>
    </row>
    <row r="16762">
      <c r="B16762" s="8"/>
      <c r="G16762" s="8"/>
      <c r="M16762" s="8"/>
    </row>
    <row r="16763">
      <c r="B16763" s="8"/>
      <c r="G16763" s="8"/>
      <c r="M16763" s="8"/>
    </row>
    <row r="16764">
      <c r="B16764" s="8"/>
      <c r="G16764" s="8"/>
      <c r="M16764" s="8"/>
    </row>
    <row r="16765">
      <c r="B16765" s="8"/>
      <c r="G16765" s="8"/>
      <c r="M16765" s="8"/>
    </row>
    <row r="16766">
      <c r="B16766" s="8"/>
      <c r="G16766" s="8"/>
      <c r="M16766" s="8"/>
    </row>
    <row r="16767">
      <c r="B16767" s="8"/>
      <c r="G16767" s="8"/>
      <c r="M16767" s="8"/>
    </row>
    <row r="16768">
      <c r="B16768" s="8"/>
      <c r="G16768" s="8"/>
      <c r="M16768" s="8"/>
    </row>
    <row r="16769">
      <c r="B16769" s="8"/>
      <c r="G16769" s="8"/>
      <c r="M16769" s="8"/>
    </row>
    <row r="16770">
      <c r="B16770" s="8"/>
      <c r="G16770" s="8"/>
      <c r="M16770" s="8"/>
    </row>
    <row r="16771">
      <c r="B16771" s="8"/>
      <c r="G16771" s="8"/>
      <c r="M16771" s="8"/>
    </row>
    <row r="16772">
      <c r="B16772" s="8"/>
      <c r="G16772" s="8"/>
      <c r="M16772" s="8"/>
    </row>
    <row r="16773">
      <c r="B16773" s="8"/>
      <c r="G16773" s="8"/>
      <c r="M16773" s="8"/>
    </row>
    <row r="16774">
      <c r="B16774" s="8"/>
      <c r="G16774" s="8"/>
      <c r="M16774" s="8"/>
    </row>
    <row r="16775">
      <c r="B16775" s="8"/>
      <c r="G16775" s="8"/>
      <c r="M16775" s="8"/>
    </row>
    <row r="16776">
      <c r="B16776" s="8"/>
      <c r="G16776" s="8"/>
      <c r="M16776" s="8"/>
    </row>
    <row r="16777">
      <c r="B16777" s="8"/>
      <c r="G16777" s="8"/>
      <c r="M16777" s="8"/>
    </row>
    <row r="16778">
      <c r="B16778" s="8"/>
      <c r="G16778" s="8"/>
      <c r="M16778" s="8"/>
    </row>
    <row r="16779">
      <c r="B16779" s="8"/>
      <c r="G16779" s="8"/>
      <c r="M16779" s="8"/>
    </row>
    <row r="16780">
      <c r="B16780" s="8"/>
      <c r="G16780" s="8"/>
      <c r="M16780" s="8"/>
    </row>
    <row r="16781">
      <c r="B16781" s="8"/>
      <c r="G16781" s="8"/>
      <c r="M16781" s="8"/>
    </row>
    <row r="16782">
      <c r="B16782" s="8"/>
      <c r="G16782" s="8"/>
      <c r="M16782" s="8"/>
    </row>
    <row r="16783">
      <c r="B16783" s="8"/>
      <c r="G16783" s="8"/>
      <c r="M16783" s="8"/>
    </row>
    <row r="16784">
      <c r="B16784" s="8"/>
      <c r="G16784" s="8"/>
      <c r="M16784" s="8"/>
    </row>
    <row r="16785">
      <c r="B16785" s="8"/>
      <c r="G16785" s="8"/>
      <c r="M16785" s="8"/>
    </row>
    <row r="16786">
      <c r="B16786" s="8"/>
      <c r="G16786" s="8"/>
      <c r="M16786" s="8"/>
    </row>
    <row r="16787">
      <c r="B16787" s="8"/>
      <c r="G16787" s="8"/>
      <c r="M16787" s="8"/>
    </row>
    <row r="16788">
      <c r="B16788" s="8"/>
      <c r="G16788" s="8"/>
      <c r="M16788" s="8"/>
    </row>
    <row r="16789">
      <c r="B16789" s="8"/>
      <c r="G16789" s="8"/>
      <c r="M16789" s="8"/>
    </row>
    <row r="16790">
      <c r="B16790" s="8"/>
      <c r="G16790" s="8"/>
      <c r="M16790" s="8"/>
    </row>
    <row r="16791">
      <c r="B16791" s="8"/>
      <c r="G16791" s="8"/>
      <c r="M16791" s="8"/>
    </row>
    <row r="16792">
      <c r="B16792" s="8"/>
      <c r="G16792" s="8"/>
      <c r="M16792" s="8"/>
    </row>
    <row r="16793">
      <c r="B16793" s="8"/>
      <c r="G16793" s="8"/>
      <c r="M16793" s="8"/>
    </row>
    <row r="16794">
      <c r="B16794" s="8"/>
      <c r="G16794" s="8"/>
      <c r="M16794" s="8"/>
    </row>
    <row r="16795">
      <c r="B16795" s="8"/>
      <c r="G16795" s="8"/>
      <c r="M16795" s="8"/>
    </row>
    <row r="16796">
      <c r="B16796" s="8"/>
      <c r="G16796" s="8"/>
      <c r="M16796" s="8"/>
    </row>
    <row r="16797">
      <c r="B16797" s="8"/>
      <c r="G16797" s="8"/>
      <c r="M16797" s="8"/>
    </row>
    <row r="16798">
      <c r="B16798" s="8"/>
      <c r="G16798" s="8"/>
      <c r="M16798" s="8"/>
    </row>
    <row r="16799">
      <c r="B16799" s="8"/>
      <c r="G16799" s="8"/>
      <c r="M16799" s="8"/>
    </row>
    <row r="16800">
      <c r="B16800" s="8"/>
      <c r="G16800" s="8"/>
      <c r="M16800" s="8"/>
    </row>
    <row r="16801">
      <c r="B16801" s="8"/>
      <c r="G16801" s="8"/>
      <c r="M16801" s="8"/>
    </row>
    <row r="16802">
      <c r="B16802" s="8"/>
      <c r="G16802" s="8"/>
      <c r="M16802" s="8"/>
    </row>
    <row r="16803">
      <c r="B16803" s="8"/>
      <c r="G16803" s="8"/>
      <c r="M16803" s="8"/>
    </row>
    <row r="16804">
      <c r="B16804" s="8"/>
      <c r="G16804" s="8"/>
      <c r="M16804" s="8"/>
    </row>
    <row r="16805">
      <c r="B16805" s="8"/>
      <c r="G16805" s="8"/>
      <c r="M16805" s="8"/>
    </row>
    <row r="16806">
      <c r="B16806" s="8"/>
      <c r="G16806" s="8"/>
      <c r="M16806" s="8"/>
    </row>
    <row r="16807">
      <c r="B16807" s="8"/>
      <c r="G16807" s="8"/>
      <c r="M16807" s="8"/>
    </row>
    <row r="16808">
      <c r="B16808" s="8"/>
      <c r="G16808" s="8"/>
      <c r="M16808" s="8"/>
    </row>
    <row r="16809">
      <c r="B16809" s="8"/>
      <c r="G16809" s="8"/>
      <c r="M16809" s="8"/>
    </row>
    <row r="16810">
      <c r="B16810" s="8"/>
      <c r="G16810" s="8"/>
      <c r="M16810" s="8"/>
    </row>
    <row r="16811">
      <c r="B16811" s="8"/>
      <c r="G16811" s="8"/>
      <c r="M16811" s="8"/>
    </row>
    <row r="16812">
      <c r="B16812" s="8"/>
      <c r="G16812" s="8"/>
      <c r="M16812" s="8"/>
    </row>
    <row r="16813">
      <c r="B16813" s="8"/>
      <c r="G16813" s="8"/>
      <c r="M16813" s="8"/>
    </row>
    <row r="16814">
      <c r="B16814" s="8"/>
      <c r="G16814" s="8"/>
      <c r="M16814" s="8"/>
    </row>
    <row r="16815">
      <c r="B16815" s="8"/>
      <c r="G16815" s="8"/>
      <c r="M16815" s="8"/>
    </row>
    <row r="16816">
      <c r="B16816" s="8"/>
      <c r="G16816" s="8"/>
      <c r="M16816" s="8"/>
    </row>
    <row r="16817">
      <c r="B16817" s="8"/>
      <c r="G16817" s="8"/>
      <c r="M16817" s="8"/>
    </row>
    <row r="16818">
      <c r="B16818" s="8"/>
      <c r="G16818" s="8"/>
      <c r="M16818" s="8"/>
    </row>
    <row r="16819">
      <c r="B16819" s="8"/>
      <c r="G16819" s="8"/>
      <c r="M16819" s="8"/>
    </row>
    <row r="16820">
      <c r="B16820" s="8"/>
      <c r="G16820" s="8"/>
      <c r="M16820" s="8"/>
    </row>
    <row r="16821">
      <c r="B16821" s="8"/>
      <c r="G16821" s="8"/>
      <c r="M16821" s="8"/>
    </row>
    <row r="16822">
      <c r="B16822" s="8"/>
      <c r="G16822" s="8"/>
      <c r="M16822" s="8"/>
    </row>
    <row r="16823">
      <c r="B16823" s="8"/>
      <c r="G16823" s="8"/>
      <c r="M16823" s="8"/>
    </row>
    <row r="16824">
      <c r="B16824" s="8"/>
      <c r="G16824" s="8"/>
      <c r="M16824" s="8"/>
    </row>
    <row r="16825">
      <c r="B16825" s="8"/>
      <c r="G16825" s="8"/>
      <c r="M16825" s="8"/>
    </row>
    <row r="16826">
      <c r="B16826" s="8"/>
      <c r="G16826" s="8"/>
      <c r="M16826" s="8"/>
    </row>
    <row r="16827">
      <c r="B16827" s="8"/>
      <c r="G16827" s="8"/>
      <c r="M16827" s="8"/>
    </row>
    <row r="16828">
      <c r="B16828" s="8"/>
      <c r="G16828" s="8"/>
      <c r="M16828" s="8"/>
    </row>
    <row r="16829">
      <c r="B16829" s="8"/>
      <c r="G16829" s="8"/>
      <c r="M16829" s="8"/>
    </row>
    <row r="16830">
      <c r="B16830" s="8"/>
      <c r="G16830" s="8"/>
      <c r="M16830" s="8"/>
    </row>
    <row r="16831">
      <c r="B16831" s="8"/>
      <c r="G16831" s="8"/>
      <c r="M16831" s="8"/>
    </row>
    <row r="16832">
      <c r="B16832" s="8"/>
      <c r="G16832" s="8"/>
      <c r="M16832" s="8"/>
    </row>
    <row r="16833">
      <c r="B16833" s="8"/>
      <c r="G16833" s="8"/>
      <c r="M16833" s="8"/>
    </row>
    <row r="16834">
      <c r="B16834" s="8"/>
      <c r="G16834" s="8"/>
      <c r="M16834" s="8"/>
    </row>
    <row r="16835">
      <c r="B16835" s="8"/>
      <c r="G16835" s="8"/>
      <c r="M16835" s="8"/>
    </row>
    <row r="16836">
      <c r="B16836" s="8"/>
      <c r="G16836" s="8"/>
      <c r="M16836" s="8"/>
    </row>
    <row r="16837">
      <c r="B16837" s="8"/>
      <c r="G16837" s="8"/>
      <c r="M16837" s="8"/>
    </row>
    <row r="16838">
      <c r="B16838" s="8"/>
      <c r="G16838" s="8"/>
      <c r="M16838" s="8"/>
    </row>
    <row r="16839">
      <c r="B16839" s="8"/>
      <c r="G16839" s="8"/>
      <c r="M16839" s="8"/>
    </row>
    <row r="16840">
      <c r="B16840" s="8"/>
      <c r="G16840" s="8"/>
      <c r="M16840" s="8"/>
    </row>
    <row r="16841">
      <c r="B16841" s="8"/>
      <c r="G16841" s="8"/>
      <c r="M16841" s="8"/>
    </row>
    <row r="16842">
      <c r="B16842" s="8"/>
      <c r="G16842" s="8"/>
      <c r="M16842" s="8"/>
    </row>
    <row r="16843">
      <c r="B16843" s="8"/>
      <c r="G16843" s="8"/>
      <c r="M16843" s="8"/>
    </row>
    <row r="16844">
      <c r="B16844" s="8"/>
      <c r="G16844" s="8"/>
      <c r="M16844" s="8"/>
    </row>
    <row r="16845">
      <c r="B16845" s="8"/>
      <c r="G16845" s="8"/>
      <c r="M16845" s="8"/>
    </row>
    <row r="16846">
      <c r="B16846" s="8"/>
      <c r="G16846" s="8"/>
      <c r="M16846" s="8"/>
    </row>
    <row r="16847">
      <c r="B16847" s="8"/>
      <c r="G16847" s="8"/>
      <c r="M16847" s="8"/>
    </row>
    <row r="16848">
      <c r="B16848" s="8"/>
      <c r="G16848" s="8"/>
      <c r="M16848" s="8"/>
    </row>
    <row r="16849">
      <c r="B16849" s="8"/>
      <c r="G16849" s="8"/>
      <c r="M16849" s="8"/>
    </row>
    <row r="16850">
      <c r="B16850" s="8"/>
      <c r="G16850" s="8"/>
      <c r="M16850" s="8"/>
    </row>
    <row r="16851">
      <c r="B16851" s="8"/>
      <c r="G16851" s="8"/>
      <c r="M16851" s="8"/>
    </row>
    <row r="16852">
      <c r="B16852" s="8"/>
      <c r="G16852" s="8"/>
      <c r="M16852" s="8"/>
    </row>
    <row r="16853">
      <c r="B16853" s="8"/>
      <c r="G16853" s="8"/>
      <c r="M16853" s="8"/>
    </row>
    <row r="16854">
      <c r="B16854" s="8"/>
      <c r="G16854" s="8"/>
      <c r="M16854" s="8"/>
    </row>
    <row r="16855">
      <c r="B16855" s="8"/>
      <c r="G16855" s="8"/>
      <c r="M16855" s="8"/>
    </row>
    <row r="16856">
      <c r="B16856" s="8"/>
      <c r="G16856" s="8"/>
      <c r="M16856" s="8"/>
    </row>
    <row r="16857">
      <c r="B16857" s="8"/>
      <c r="G16857" s="8"/>
      <c r="M16857" s="8"/>
    </row>
    <row r="16858">
      <c r="B16858" s="8"/>
      <c r="G16858" s="8"/>
      <c r="M16858" s="8"/>
    </row>
    <row r="16859">
      <c r="B16859" s="8"/>
      <c r="G16859" s="8"/>
      <c r="M16859" s="8"/>
    </row>
    <row r="16860">
      <c r="B16860" s="8"/>
      <c r="G16860" s="8"/>
      <c r="M16860" s="8"/>
    </row>
    <row r="16861">
      <c r="B16861" s="8"/>
      <c r="G16861" s="8"/>
      <c r="M16861" s="8"/>
    </row>
    <row r="16862">
      <c r="B16862" s="8"/>
      <c r="G16862" s="8"/>
      <c r="M16862" s="8"/>
    </row>
    <row r="16863">
      <c r="B16863" s="8"/>
      <c r="G16863" s="8"/>
      <c r="M16863" s="8"/>
    </row>
    <row r="16864">
      <c r="B16864" s="8"/>
      <c r="G16864" s="8"/>
      <c r="M16864" s="8"/>
    </row>
    <row r="16865">
      <c r="B16865" s="8"/>
      <c r="G16865" s="8"/>
      <c r="M16865" s="8"/>
    </row>
    <row r="16866">
      <c r="B16866" s="8"/>
      <c r="G16866" s="8"/>
      <c r="M16866" s="8"/>
    </row>
    <row r="16867">
      <c r="B16867" s="8"/>
      <c r="G16867" s="8"/>
      <c r="M16867" s="8"/>
    </row>
    <row r="16868">
      <c r="B16868" s="8"/>
      <c r="G16868" s="8"/>
      <c r="M16868" s="8"/>
    </row>
    <row r="16869">
      <c r="B16869" s="8"/>
      <c r="G16869" s="8"/>
      <c r="M16869" s="8"/>
    </row>
    <row r="16870">
      <c r="B16870" s="8"/>
      <c r="G16870" s="8"/>
      <c r="M16870" s="8"/>
    </row>
    <row r="16871">
      <c r="B16871" s="8"/>
      <c r="G16871" s="8"/>
      <c r="M16871" s="8"/>
    </row>
    <row r="16872">
      <c r="B16872" s="8"/>
      <c r="G16872" s="8"/>
      <c r="M16872" s="8"/>
    </row>
    <row r="16873">
      <c r="B16873" s="8"/>
      <c r="G16873" s="8"/>
      <c r="M16873" s="8"/>
    </row>
    <row r="16874">
      <c r="B16874" s="8"/>
      <c r="G16874" s="8"/>
      <c r="M16874" s="8"/>
    </row>
    <row r="16875">
      <c r="B16875" s="8"/>
      <c r="G16875" s="8"/>
      <c r="M16875" s="8"/>
    </row>
    <row r="16876">
      <c r="B16876" s="8"/>
      <c r="G16876" s="8"/>
      <c r="M16876" s="8"/>
    </row>
    <row r="16877">
      <c r="B16877" s="8"/>
      <c r="G16877" s="8"/>
      <c r="M16877" s="8"/>
    </row>
    <row r="16878">
      <c r="B16878" s="8"/>
      <c r="G16878" s="8"/>
      <c r="M16878" s="8"/>
    </row>
    <row r="16879">
      <c r="B16879" s="8"/>
      <c r="G16879" s="8"/>
      <c r="M16879" s="8"/>
    </row>
    <row r="16880">
      <c r="B16880" s="8"/>
      <c r="G16880" s="8"/>
      <c r="M16880" s="8"/>
    </row>
    <row r="16881">
      <c r="B16881" s="8"/>
      <c r="G16881" s="8"/>
      <c r="M16881" s="8"/>
    </row>
    <row r="16882">
      <c r="B16882" s="8"/>
      <c r="G16882" s="8"/>
      <c r="M16882" s="8"/>
    </row>
    <row r="16883">
      <c r="B16883" s="8"/>
      <c r="G16883" s="8"/>
      <c r="M16883" s="8"/>
    </row>
    <row r="16884">
      <c r="B16884" s="8"/>
      <c r="G16884" s="8"/>
      <c r="M16884" s="8"/>
    </row>
    <row r="16885">
      <c r="B16885" s="8"/>
      <c r="G16885" s="8"/>
      <c r="M16885" s="8"/>
    </row>
    <row r="16886">
      <c r="B16886" s="8"/>
      <c r="G16886" s="8"/>
      <c r="M16886" s="8"/>
    </row>
    <row r="16887">
      <c r="B16887" s="8"/>
      <c r="G16887" s="8"/>
      <c r="M16887" s="8"/>
    </row>
    <row r="16888">
      <c r="B16888" s="8"/>
      <c r="G16888" s="8"/>
      <c r="M16888" s="8"/>
    </row>
    <row r="16889">
      <c r="B16889" s="8"/>
      <c r="G16889" s="8"/>
      <c r="M16889" s="8"/>
    </row>
    <row r="16890">
      <c r="B16890" s="8"/>
      <c r="G16890" s="8"/>
      <c r="M16890" s="8"/>
    </row>
    <row r="16891">
      <c r="B16891" s="8"/>
      <c r="G16891" s="8"/>
      <c r="M16891" s="8"/>
    </row>
    <row r="16892">
      <c r="B16892" s="8"/>
      <c r="G16892" s="8"/>
      <c r="M16892" s="8"/>
    </row>
    <row r="16893">
      <c r="B16893" s="8"/>
      <c r="G16893" s="8"/>
      <c r="M16893" s="8"/>
    </row>
    <row r="16894">
      <c r="B16894" s="8"/>
      <c r="G16894" s="8"/>
      <c r="M16894" s="8"/>
    </row>
    <row r="16895">
      <c r="B16895" s="8"/>
      <c r="G16895" s="8"/>
      <c r="M16895" s="8"/>
    </row>
    <row r="16896">
      <c r="B16896" s="8"/>
      <c r="G16896" s="8"/>
      <c r="M16896" s="8"/>
    </row>
    <row r="16897">
      <c r="B16897" s="8"/>
      <c r="G16897" s="8"/>
      <c r="M16897" s="8"/>
    </row>
    <row r="16898">
      <c r="B16898" s="8"/>
      <c r="G16898" s="8"/>
      <c r="M16898" s="8"/>
    </row>
    <row r="16899">
      <c r="B16899" s="8"/>
      <c r="G16899" s="8"/>
      <c r="M16899" s="8"/>
    </row>
    <row r="16900">
      <c r="B16900" s="8"/>
      <c r="G16900" s="8"/>
      <c r="M16900" s="8"/>
    </row>
    <row r="16901">
      <c r="B16901" s="8"/>
      <c r="G16901" s="8"/>
      <c r="M16901" s="8"/>
    </row>
    <row r="16902">
      <c r="B16902" s="8"/>
      <c r="G16902" s="8"/>
      <c r="M16902" s="8"/>
    </row>
    <row r="16903">
      <c r="B16903" s="8"/>
      <c r="G16903" s="8"/>
      <c r="M16903" s="8"/>
    </row>
    <row r="16904">
      <c r="B16904" s="8"/>
      <c r="G16904" s="8"/>
      <c r="M16904" s="8"/>
    </row>
    <row r="16905">
      <c r="B16905" s="8"/>
      <c r="G16905" s="8"/>
      <c r="M16905" s="8"/>
    </row>
    <row r="16906">
      <c r="B16906" s="8"/>
      <c r="G16906" s="8"/>
      <c r="M16906" s="8"/>
    </row>
    <row r="16907">
      <c r="B16907" s="8"/>
      <c r="G16907" s="8"/>
      <c r="M16907" s="8"/>
    </row>
    <row r="16908">
      <c r="B16908" s="8"/>
      <c r="G16908" s="8"/>
      <c r="M16908" s="8"/>
    </row>
    <row r="16909">
      <c r="B16909" s="8"/>
      <c r="G16909" s="8"/>
      <c r="M16909" s="8"/>
    </row>
    <row r="16910">
      <c r="B16910" s="8"/>
      <c r="G16910" s="8"/>
      <c r="M16910" s="8"/>
    </row>
    <row r="16911">
      <c r="B16911" s="8"/>
      <c r="G16911" s="8"/>
      <c r="M16911" s="8"/>
    </row>
    <row r="16912">
      <c r="B16912" s="8"/>
      <c r="G16912" s="8"/>
      <c r="M16912" s="8"/>
    </row>
    <row r="16913">
      <c r="B16913" s="8"/>
      <c r="G16913" s="8"/>
      <c r="M16913" s="8"/>
    </row>
    <row r="16914">
      <c r="B16914" s="8"/>
      <c r="G16914" s="8"/>
      <c r="M16914" s="8"/>
    </row>
    <row r="16915">
      <c r="B16915" s="8"/>
      <c r="G16915" s="8"/>
      <c r="M16915" s="8"/>
    </row>
    <row r="16916">
      <c r="B16916" s="8"/>
      <c r="G16916" s="8"/>
      <c r="M16916" s="8"/>
    </row>
    <row r="16917">
      <c r="B16917" s="8"/>
      <c r="G16917" s="8"/>
      <c r="M16917" s="8"/>
    </row>
    <row r="16918">
      <c r="B16918" s="8"/>
      <c r="G16918" s="8"/>
      <c r="M16918" s="8"/>
    </row>
    <row r="16919">
      <c r="B16919" s="8"/>
      <c r="G16919" s="8"/>
      <c r="M16919" s="8"/>
    </row>
    <row r="16920">
      <c r="B16920" s="8"/>
      <c r="G16920" s="8"/>
      <c r="M16920" s="8"/>
    </row>
    <row r="16921">
      <c r="B16921" s="8"/>
      <c r="G16921" s="8"/>
      <c r="M16921" s="8"/>
    </row>
    <row r="16922">
      <c r="B16922" s="8"/>
      <c r="G16922" s="8"/>
      <c r="M16922" s="8"/>
    </row>
    <row r="16923">
      <c r="B16923" s="8"/>
      <c r="G16923" s="8"/>
      <c r="M16923" s="8"/>
    </row>
    <row r="16924">
      <c r="B16924" s="8"/>
      <c r="G16924" s="8"/>
      <c r="M16924" s="8"/>
    </row>
    <row r="16925">
      <c r="B16925" s="8"/>
      <c r="G16925" s="8"/>
      <c r="M16925" s="8"/>
    </row>
    <row r="16926">
      <c r="B16926" s="8"/>
      <c r="G16926" s="8"/>
      <c r="M16926" s="8"/>
    </row>
    <row r="16927">
      <c r="B16927" s="8"/>
      <c r="G16927" s="8"/>
      <c r="M16927" s="8"/>
    </row>
    <row r="16928">
      <c r="B16928" s="8"/>
      <c r="G16928" s="8"/>
      <c r="M16928" s="8"/>
    </row>
    <row r="16929">
      <c r="B16929" s="8"/>
      <c r="G16929" s="8"/>
      <c r="M16929" s="8"/>
    </row>
    <row r="16930">
      <c r="B16930" s="8"/>
      <c r="G16930" s="8"/>
      <c r="M16930" s="8"/>
    </row>
    <row r="16931">
      <c r="B16931" s="8"/>
      <c r="G16931" s="8"/>
      <c r="M16931" s="8"/>
    </row>
    <row r="16932">
      <c r="B16932" s="8"/>
      <c r="G16932" s="8"/>
      <c r="M16932" s="8"/>
    </row>
    <row r="16933">
      <c r="B16933" s="8"/>
      <c r="G16933" s="8"/>
      <c r="M16933" s="8"/>
    </row>
    <row r="16934">
      <c r="B16934" s="8"/>
      <c r="G16934" s="8"/>
      <c r="M16934" s="8"/>
    </row>
    <row r="16935">
      <c r="B16935" s="8"/>
      <c r="G16935" s="8"/>
      <c r="M16935" s="8"/>
    </row>
    <row r="16936">
      <c r="B16936" s="8"/>
      <c r="G16936" s="8"/>
      <c r="M16936" s="8"/>
    </row>
    <row r="16937">
      <c r="B16937" s="8"/>
      <c r="G16937" s="8"/>
      <c r="M16937" s="8"/>
    </row>
    <row r="16938">
      <c r="B16938" s="8"/>
      <c r="G16938" s="8"/>
      <c r="M16938" s="8"/>
    </row>
    <row r="16939">
      <c r="B16939" s="8"/>
      <c r="G16939" s="8"/>
      <c r="M16939" s="8"/>
    </row>
    <row r="16940">
      <c r="B16940" s="8"/>
      <c r="G16940" s="8"/>
      <c r="M16940" s="8"/>
    </row>
    <row r="16941">
      <c r="B16941" s="8"/>
      <c r="G16941" s="8"/>
      <c r="M16941" s="8"/>
    </row>
    <row r="16942">
      <c r="B16942" s="8"/>
      <c r="G16942" s="8"/>
      <c r="M16942" s="8"/>
    </row>
    <row r="16943">
      <c r="B16943" s="8"/>
      <c r="G16943" s="8"/>
      <c r="M16943" s="8"/>
    </row>
    <row r="16944">
      <c r="B16944" s="8"/>
      <c r="G16944" s="8"/>
      <c r="M16944" s="8"/>
    </row>
    <row r="16945">
      <c r="B16945" s="8"/>
      <c r="G16945" s="8"/>
      <c r="M16945" s="8"/>
    </row>
    <row r="16946">
      <c r="B16946" s="8"/>
      <c r="G16946" s="8"/>
      <c r="M16946" s="8"/>
    </row>
    <row r="16947">
      <c r="B16947" s="8"/>
      <c r="G16947" s="8"/>
      <c r="M16947" s="8"/>
    </row>
    <row r="16948">
      <c r="B16948" s="8"/>
      <c r="G16948" s="8"/>
      <c r="M16948" s="8"/>
    </row>
    <row r="16949">
      <c r="B16949" s="8"/>
      <c r="G16949" s="8"/>
      <c r="M16949" s="8"/>
    </row>
    <row r="16950">
      <c r="B16950" s="8"/>
      <c r="G16950" s="8"/>
      <c r="M16950" s="8"/>
    </row>
    <row r="16951">
      <c r="B16951" s="8"/>
      <c r="G16951" s="8"/>
      <c r="M16951" s="8"/>
    </row>
    <row r="16952">
      <c r="B16952" s="8"/>
      <c r="G16952" s="8"/>
      <c r="M16952" s="8"/>
    </row>
    <row r="16953">
      <c r="B16953" s="8"/>
      <c r="G16953" s="8"/>
      <c r="M16953" s="8"/>
    </row>
    <row r="16954">
      <c r="B16954" s="8"/>
      <c r="G16954" s="8"/>
      <c r="M16954" s="8"/>
    </row>
    <row r="16955">
      <c r="B16955" s="8"/>
      <c r="G16955" s="8"/>
      <c r="M16955" s="8"/>
    </row>
    <row r="16956">
      <c r="B16956" s="8"/>
      <c r="G16956" s="8"/>
      <c r="M16956" s="8"/>
    </row>
    <row r="16957">
      <c r="B16957" s="8"/>
      <c r="G16957" s="8"/>
      <c r="M16957" s="8"/>
    </row>
    <row r="16958">
      <c r="B16958" s="8"/>
      <c r="G16958" s="8"/>
      <c r="M16958" s="8"/>
    </row>
    <row r="16959">
      <c r="B16959" s="8"/>
      <c r="G16959" s="8"/>
      <c r="M16959" s="8"/>
    </row>
    <row r="16960">
      <c r="B16960" s="8"/>
      <c r="G16960" s="8"/>
      <c r="M16960" s="8"/>
    </row>
    <row r="16961">
      <c r="B16961" s="8"/>
      <c r="G16961" s="8"/>
      <c r="M16961" s="8"/>
    </row>
    <row r="16962">
      <c r="B16962" s="8"/>
      <c r="G16962" s="8"/>
      <c r="M16962" s="8"/>
    </row>
    <row r="16963">
      <c r="B16963" s="8"/>
      <c r="G16963" s="8"/>
      <c r="M16963" s="8"/>
    </row>
    <row r="16964">
      <c r="B16964" s="8"/>
      <c r="G16964" s="8"/>
      <c r="M16964" s="8"/>
    </row>
    <row r="16965">
      <c r="B16965" s="8"/>
      <c r="G16965" s="8"/>
      <c r="M16965" s="8"/>
    </row>
    <row r="16966">
      <c r="B16966" s="8"/>
      <c r="G16966" s="8"/>
      <c r="M16966" s="8"/>
    </row>
    <row r="16967">
      <c r="B16967" s="8"/>
      <c r="G16967" s="8"/>
      <c r="M16967" s="8"/>
    </row>
    <row r="16968">
      <c r="B16968" s="8"/>
      <c r="G16968" s="8"/>
      <c r="M16968" s="8"/>
    </row>
    <row r="16969">
      <c r="B16969" s="8"/>
      <c r="G16969" s="8"/>
      <c r="M16969" s="8"/>
    </row>
    <row r="16970">
      <c r="B16970" s="8"/>
      <c r="G16970" s="8"/>
      <c r="M16970" s="8"/>
    </row>
    <row r="16971">
      <c r="B16971" s="8"/>
      <c r="G16971" s="8"/>
      <c r="M16971" s="8"/>
    </row>
    <row r="16972">
      <c r="B16972" s="8"/>
      <c r="G16972" s="8"/>
      <c r="M16972" s="8"/>
    </row>
    <row r="16973">
      <c r="B16973" s="8"/>
      <c r="G16973" s="8"/>
      <c r="M16973" s="8"/>
    </row>
    <row r="16974">
      <c r="B16974" s="8"/>
      <c r="G16974" s="8"/>
      <c r="M16974" s="8"/>
    </row>
    <row r="16975">
      <c r="B16975" s="8"/>
      <c r="G16975" s="8"/>
      <c r="M16975" s="8"/>
    </row>
    <row r="16976">
      <c r="B16976" s="8"/>
      <c r="G16976" s="8"/>
      <c r="M16976" s="8"/>
    </row>
    <row r="16977">
      <c r="B16977" s="8"/>
      <c r="G16977" s="8"/>
      <c r="M16977" s="8"/>
    </row>
    <row r="16978">
      <c r="B16978" s="8"/>
      <c r="G16978" s="8"/>
      <c r="M16978" s="8"/>
    </row>
    <row r="16979">
      <c r="B16979" s="8"/>
      <c r="G16979" s="8"/>
      <c r="M16979" s="8"/>
    </row>
    <row r="16980">
      <c r="B16980" s="8"/>
      <c r="G16980" s="8"/>
      <c r="M16980" s="8"/>
    </row>
    <row r="16981">
      <c r="B16981" s="8"/>
      <c r="G16981" s="8"/>
      <c r="M16981" s="8"/>
    </row>
    <row r="16982">
      <c r="B16982" s="8"/>
      <c r="G16982" s="8"/>
      <c r="M16982" s="8"/>
    </row>
    <row r="16983">
      <c r="B16983" s="8"/>
      <c r="G16983" s="8"/>
      <c r="M16983" s="8"/>
    </row>
    <row r="16984">
      <c r="B16984" s="8"/>
      <c r="G16984" s="8"/>
      <c r="M16984" s="8"/>
    </row>
    <row r="16985">
      <c r="B16985" s="8"/>
      <c r="G16985" s="8"/>
      <c r="M16985" s="8"/>
    </row>
    <row r="16986">
      <c r="B16986" s="8"/>
      <c r="G16986" s="8"/>
      <c r="M16986" s="8"/>
    </row>
    <row r="16987">
      <c r="B16987" s="8"/>
      <c r="G16987" s="8"/>
      <c r="M16987" s="8"/>
    </row>
    <row r="16988">
      <c r="B16988" s="8"/>
      <c r="G16988" s="8"/>
      <c r="M16988" s="8"/>
    </row>
    <row r="16989">
      <c r="B16989" s="8"/>
      <c r="G16989" s="8"/>
      <c r="M16989" s="8"/>
    </row>
    <row r="16990">
      <c r="B16990" s="8"/>
      <c r="G16990" s="8"/>
      <c r="M16990" s="8"/>
    </row>
    <row r="16991">
      <c r="B16991" s="8"/>
      <c r="G16991" s="8"/>
      <c r="M16991" s="8"/>
    </row>
    <row r="16992">
      <c r="B16992" s="8"/>
      <c r="G16992" s="8"/>
      <c r="M16992" s="8"/>
    </row>
    <row r="16993">
      <c r="B16993" s="8"/>
      <c r="G16993" s="8"/>
      <c r="M16993" s="8"/>
    </row>
    <row r="16994">
      <c r="B16994" s="8"/>
      <c r="G16994" s="8"/>
      <c r="M16994" s="8"/>
    </row>
    <row r="16995">
      <c r="B16995" s="8"/>
      <c r="G16995" s="8"/>
      <c r="M16995" s="8"/>
    </row>
    <row r="16996">
      <c r="B16996" s="8"/>
      <c r="G16996" s="8"/>
      <c r="M16996" s="8"/>
    </row>
    <row r="16997">
      <c r="B16997" s="8"/>
      <c r="G16997" s="8"/>
      <c r="M16997" s="8"/>
    </row>
    <row r="16998">
      <c r="B16998" s="8"/>
      <c r="G16998" s="8"/>
      <c r="M16998" s="8"/>
    </row>
    <row r="16999">
      <c r="B16999" s="8"/>
      <c r="G16999" s="8"/>
      <c r="M16999" s="8"/>
    </row>
    <row r="17000">
      <c r="B17000" s="8"/>
      <c r="G17000" s="8"/>
      <c r="M17000" s="8"/>
    </row>
    <row r="17001">
      <c r="B17001" s="8"/>
      <c r="G17001" s="8"/>
      <c r="M17001" s="8"/>
    </row>
    <row r="17002">
      <c r="B17002" s="8"/>
      <c r="G17002" s="8"/>
      <c r="M17002" s="8"/>
    </row>
    <row r="17003">
      <c r="B17003" s="8"/>
      <c r="G17003" s="8"/>
      <c r="M17003" s="8"/>
    </row>
    <row r="17004">
      <c r="B17004" s="8"/>
      <c r="G17004" s="8"/>
      <c r="M17004" s="8"/>
    </row>
    <row r="17005">
      <c r="B17005" s="8"/>
      <c r="G17005" s="8"/>
      <c r="M17005" s="8"/>
    </row>
    <row r="17006">
      <c r="B17006" s="8"/>
      <c r="G17006" s="8"/>
      <c r="M17006" s="8"/>
    </row>
    <row r="17007">
      <c r="B17007" s="8"/>
      <c r="G17007" s="8"/>
      <c r="M17007" s="8"/>
    </row>
    <row r="17008">
      <c r="B17008" s="8"/>
      <c r="G17008" s="8"/>
      <c r="M17008" s="8"/>
    </row>
    <row r="17009">
      <c r="B17009" s="8"/>
      <c r="G17009" s="8"/>
      <c r="M17009" s="8"/>
    </row>
    <row r="17010">
      <c r="B17010" s="8"/>
      <c r="G17010" s="8"/>
      <c r="M17010" s="8"/>
    </row>
    <row r="17011">
      <c r="B17011" s="8"/>
      <c r="G17011" s="8"/>
      <c r="M17011" s="8"/>
    </row>
    <row r="17012">
      <c r="B17012" s="8"/>
      <c r="G17012" s="8"/>
      <c r="M17012" s="8"/>
    </row>
    <row r="17013">
      <c r="B17013" s="8"/>
      <c r="G17013" s="8"/>
      <c r="M17013" s="8"/>
    </row>
    <row r="17014">
      <c r="B17014" s="8"/>
      <c r="G17014" s="8"/>
      <c r="M17014" s="8"/>
    </row>
    <row r="17015">
      <c r="B17015" s="8"/>
      <c r="G17015" s="8"/>
      <c r="M17015" s="8"/>
    </row>
    <row r="17016">
      <c r="B17016" s="8"/>
      <c r="G17016" s="8"/>
      <c r="M17016" s="8"/>
    </row>
    <row r="17017">
      <c r="B17017" s="8"/>
      <c r="G17017" s="8"/>
      <c r="M17017" s="8"/>
    </row>
    <row r="17018">
      <c r="B17018" s="8"/>
      <c r="G17018" s="8"/>
      <c r="M17018" s="8"/>
    </row>
    <row r="17019">
      <c r="B17019" s="8"/>
      <c r="G17019" s="8"/>
      <c r="M17019" s="8"/>
    </row>
    <row r="17020">
      <c r="B17020" s="8"/>
      <c r="G17020" s="8"/>
      <c r="M17020" s="8"/>
    </row>
    <row r="17021">
      <c r="B17021" s="8"/>
      <c r="G17021" s="8"/>
      <c r="M17021" s="8"/>
    </row>
    <row r="17022">
      <c r="B17022" s="8"/>
      <c r="G17022" s="8"/>
      <c r="M17022" s="8"/>
    </row>
    <row r="17023">
      <c r="B17023" s="8"/>
      <c r="G17023" s="8"/>
      <c r="M17023" s="8"/>
    </row>
    <row r="17024">
      <c r="B17024" s="8"/>
      <c r="G17024" s="8"/>
      <c r="M17024" s="8"/>
    </row>
    <row r="17025">
      <c r="B17025" s="8"/>
      <c r="G17025" s="8"/>
      <c r="M17025" s="8"/>
    </row>
    <row r="17026">
      <c r="B17026" s="8"/>
      <c r="G17026" s="8"/>
      <c r="M17026" s="8"/>
    </row>
    <row r="17027">
      <c r="B17027" s="8"/>
      <c r="G17027" s="8"/>
      <c r="M17027" s="8"/>
    </row>
    <row r="17028">
      <c r="B17028" s="8"/>
      <c r="G17028" s="8"/>
      <c r="M17028" s="8"/>
    </row>
    <row r="17029">
      <c r="B17029" s="8"/>
      <c r="G17029" s="8"/>
      <c r="M17029" s="8"/>
    </row>
    <row r="17030">
      <c r="B17030" s="8"/>
      <c r="G17030" s="8"/>
      <c r="M17030" s="8"/>
    </row>
    <row r="17031">
      <c r="B17031" s="8"/>
      <c r="G17031" s="8"/>
      <c r="M17031" s="8"/>
    </row>
    <row r="17032">
      <c r="B17032" s="8"/>
      <c r="G17032" s="8"/>
      <c r="M17032" s="8"/>
    </row>
    <row r="17033">
      <c r="B17033" s="8"/>
      <c r="G17033" s="8"/>
      <c r="M17033" s="8"/>
    </row>
    <row r="17034">
      <c r="B17034" s="8"/>
      <c r="G17034" s="8"/>
      <c r="M17034" s="8"/>
    </row>
    <row r="17035">
      <c r="B17035" s="8"/>
      <c r="G17035" s="8"/>
      <c r="M17035" s="8"/>
    </row>
    <row r="17036">
      <c r="B17036" s="8"/>
      <c r="G17036" s="8"/>
      <c r="M17036" s="8"/>
    </row>
    <row r="17037">
      <c r="B17037" s="8"/>
      <c r="G17037" s="8"/>
      <c r="M17037" s="8"/>
    </row>
    <row r="17038">
      <c r="B17038" s="8"/>
      <c r="G17038" s="8"/>
      <c r="M17038" s="8"/>
    </row>
    <row r="17039">
      <c r="B17039" s="8"/>
      <c r="G17039" s="8"/>
      <c r="M17039" s="8"/>
    </row>
    <row r="17040">
      <c r="B17040" s="8"/>
      <c r="G17040" s="8"/>
      <c r="M17040" s="8"/>
    </row>
    <row r="17041">
      <c r="B17041" s="8"/>
      <c r="G17041" s="8"/>
      <c r="M17041" s="8"/>
    </row>
    <row r="17042">
      <c r="B17042" s="8"/>
      <c r="G17042" s="8"/>
      <c r="M17042" s="8"/>
    </row>
    <row r="17043">
      <c r="B17043" s="8"/>
      <c r="G17043" s="8"/>
      <c r="M17043" s="8"/>
    </row>
    <row r="17044">
      <c r="B17044" s="8"/>
      <c r="G17044" s="8"/>
      <c r="M17044" s="8"/>
    </row>
    <row r="17045">
      <c r="B17045" s="8"/>
      <c r="G17045" s="8"/>
      <c r="M17045" s="8"/>
    </row>
    <row r="17046">
      <c r="B17046" s="8"/>
      <c r="G17046" s="8"/>
      <c r="M17046" s="8"/>
    </row>
    <row r="17047">
      <c r="B17047" s="8"/>
      <c r="G17047" s="8"/>
      <c r="M17047" s="8"/>
    </row>
    <row r="17048">
      <c r="B17048" s="8"/>
      <c r="G17048" s="8"/>
      <c r="M17048" s="8"/>
    </row>
    <row r="17049">
      <c r="B17049" s="8"/>
      <c r="G17049" s="8"/>
      <c r="M17049" s="8"/>
    </row>
    <row r="17050">
      <c r="B17050" s="8"/>
      <c r="G17050" s="8"/>
      <c r="M17050" s="8"/>
    </row>
    <row r="17051">
      <c r="B17051" s="8"/>
      <c r="G17051" s="8"/>
      <c r="M17051" s="8"/>
    </row>
    <row r="17052">
      <c r="B17052" s="8"/>
      <c r="G17052" s="8"/>
      <c r="M17052" s="8"/>
    </row>
    <row r="17053">
      <c r="B17053" s="8"/>
      <c r="G17053" s="8"/>
      <c r="M17053" s="8"/>
    </row>
    <row r="17054">
      <c r="B17054" s="8"/>
      <c r="G17054" s="8"/>
      <c r="M17054" s="8"/>
    </row>
    <row r="17055">
      <c r="B17055" s="8"/>
      <c r="G17055" s="8"/>
      <c r="M17055" s="8"/>
    </row>
    <row r="17056">
      <c r="B17056" s="8"/>
      <c r="G17056" s="8"/>
      <c r="M17056" s="8"/>
    </row>
    <row r="17057">
      <c r="B17057" s="8"/>
      <c r="G17057" s="8"/>
      <c r="M17057" s="8"/>
    </row>
    <row r="17058">
      <c r="B17058" s="8"/>
      <c r="G17058" s="8"/>
      <c r="M17058" s="8"/>
    </row>
    <row r="17059">
      <c r="B17059" s="8"/>
      <c r="G17059" s="8"/>
      <c r="M17059" s="8"/>
    </row>
    <row r="17060">
      <c r="B17060" s="8"/>
      <c r="G17060" s="8"/>
      <c r="M17060" s="8"/>
    </row>
    <row r="17061">
      <c r="B17061" s="8"/>
      <c r="G17061" s="8"/>
      <c r="M17061" s="8"/>
    </row>
    <row r="17062">
      <c r="B17062" s="8"/>
      <c r="G17062" s="8"/>
      <c r="M17062" s="8"/>
    </row>
    <row r="17063">
      <c r="B17063" s="8"/>
      <c r="G17063" s="8"/>
      <c r="M17063" s="8"/>
    </row>
    <row r="17064">
      <c r="B17064" s="8"/>
      <c r="G17064" s="8"/>
      <c r="M17064" s="8"/>
    </row>
    <row r="17065">
      <c r="B17065" s="8"/>
      <c r="G17065" s="8"/>
      <c r="M17065" s="8"/>
    </row>
    <row r="17066">
      <c r="B17066" s="8"/>
      <c r="G17066" s="8"/>
      <c r="M17066" s="8"/>
    </row>
    <row r="17067">
      <c r="B17067" s="8"/>
      <c r="G17067" s="8"/>
      <c r="M17067" s="8"/>
    </row>
    <row r="17068">
      <c r="B17068" s="8"/>
      <c r="G17068" s="8"/>
      <c r="M17068" s="8"/>
    </row>
    <row r="17069">
      <c r="B17069" s="8"/>
      <c r="G17069" s="8"/>
      <c r="M17069" s="8"/>
    </row>
    <row r="17070">
      <c r="B17070" s="8"/>
      <c r="G17070" s="8"/>
      <c r="M17070" s="8"/>
    </row>
    <row r="17071">
      <c r="B17071" s="8"/>
      <c r="G17071" s="8"/>
      <c r="M17071" s="8"/>
    </row>
    <row r="17072">
      <c r="B17072" s="8"/>
      <c r="G17072" s="8"/>
      <c r="M17072" s="8"/>
    </row>
    <row r="17073">
      <c r="B17073" s="8"/>
      <c r="G17073" s="8"/>
      <c r="M17073" s="8"/>
    </row>
    <row r="17074">
      <c r="B17074" s="8"/>
      <c r="G17074" s="8"/>
      <c r="M17074" s="8"/>
    </row>
    <row r="17075">
      <c r="B17075" s="8"/>
      <c r="G17075" s="8"/>
      <c r="M17075" s="8"/>
    </row>
    <row r="17076">
      <c r="B17076" s="8"/>
      <c r="G17076" s="8"/>
      <c r="M17076" s="8"/>
    </row>
    <row r="17077">
      <c r="B17077" s="8"/>
      <c r="G17077" s="8"/>
      <c r="M17077" s="8"/>
    </row>
    <row r="17078">
      <c r="B17078" s="8"/>
      <c r="G17078" s="8"/>
      <c r="M17078" s="8"/>
    </row>
    <row r="17079">
      <c r="B17079" s="8"/>
      <c r="G17079" s="8"/>
      <c r="M17079" s="8"/>
    </row>
    <row r="17080">
      <c r="B17080" s="8"/>
      <c r="G17080" s="8"/>
      <c r="M17080" s="8"/>
    </row>
    <row r="17081">
      <c r="B17081" s="8"/>
      <c r="G17081" s="8"/>
      <c r="M17081" s="8"/>
    </row>
    <row r="17082">
      <c r="B17082" s="8"/>
      <c r="G17082" s="8"/>
      <c r="M17082" s="8"/>
    </row>
    <row r="17083">
      <c r="B17083" s="8"/>
      <c r="G17083" s="8"/>
      <c r="M17083" s="8"/>
    </row>
    <row r="17084">
      <c r="B17084" s="8"/>
      <c r="G17084" s="8"/>
      <c r="M17084" s="8"/>
    </row>
    <row r="17085">
      <c r="B17085" s="8"/>
      <c r="G17085" s="8"/>
      <c r="M17085" s="8"/>
    </row>
    <row r="17086">
      <c r="B17086" s="8"/>
      <c r="G17086" s="8"/>
      <c r="M17086" s="8"/>
    </row>
    <row r="17087">
      <c r="B17087" s="8"/>
      <c r="G17087" s="8"/>
      <c r="M17087" s="8"/>
    </row>
    <row r="17088">
      <c r="B17088" s="8"/>
      <c r="G17088" s="8"/>
      <c r="M17088" s="8"/>
    </row>
    <row r="17089">
      <c r="B17089" s="8"/>
      <c r="G17089" s="8"/>
      <c r="M17089" s="8"/>
    </row>
    <row r="17090">
      <c r="B17090" s="8"/>
      <c r="G17090" s="8"/>
      <c r="M17090" s="8"/>
    </row>
    <row r="17091">
      <c r="B17091" s="8"/>
      <c r="G17091" s="8"/>
      <c r="M17091" s="8"/>
    </row>
    <row r="17092">
      <c r="B17092" s="8"/>
      <c r="G17092" s="8"/>
      <c r="M17092" s="8"/>
    </row>
    <row r="17093">
      <c r="B17093" s="8"/>
      <c r="G17093" s="8"/>
      <c r="M17093" s="8"/>
    </row>
    <row r="17094">
      <c r="B17094" s="8"/>
      <c r="G17094" s="8"/>
      <c r="M17094" s="8"/>
    </row>
    <row r="17095">
      <c r="B17095" s="8"/>
      <c r="G17095" s="8"/>
      <c r="M17095" s="8"/>
    </row>
    <row r="17096">
      <c r="B17096" s="8"/>
      <c r="G17096" s="8"/>
      <c r="M17096" s="8"/>
    </row>
    <row r="17097">
      <c r="B17097" s="8"/>
      <c r="G17097" s="8"/>
      <c r="M17097" s="8"/>
    </row>
    <row r="17098">
      <c r="B17098" s="8"/>
      <c r="G17098" s="8"/>
      <c r="M17098" s="8"/>
    </row>
    <row r="17099">
      <c r="B17099" s="8"/>
      <c r="G17099" s="8"/>
      <c r="M17099" s="8"/>
    </row>
    <row r="17100">
      <c r="B17100" s="8"/>
      <c r="G17100" s="8"/>
      <c r="M17100" s="8"/>
    </row>
    <row r="17101">
      <c r="B17101" s="8"/>
      <c r="G17101" s="8"/>
      <c r="M17101" s="8"/>
    </row>
    <row r="17102">
      <c r="B17102" s="8"/>
      <c r="G17102" s="8"/>
      <c r="M17102" s="8"/>
    </row>
    <row r="17103">
      <c r="B17103" s="8"/>
      <c r="G17103" s="8"/>
      <c r="M17103" s="8"/>
    </row>
    <row r="17104">
      <c r="B17104" s="8"/>
      <c r="G17104" s="8"/>
      <c r="M17104" s="8"/>
    </row>
    <row r="17105">
      <c r="B17105" s="8"/>
      <c r="G17105" s="8"/>
      <c r="M17105" s="8"/>
    </row>
    <row r="17106">
      <c r="B17106" s="8"/>
      <c r="G17106" s="8"/>
      <c r="M17106" s="8"/>
    </row>
    <row r="17107">
      <c r="B17107" s="8"/>
      <c r="G17107" s="8"/>
      <c r="M17107" s="8"/>
    </row>
    <row r="17108">
      <c r="B17108" s="8"/>
      <c r="G17108" s="8"/>
      <c r="M17108" s="8"/>
    </row>
    <row r="17109">
      <c r="B17109" s="8"/>
      <c r="G17109" s="8"/>
      <c r="M17109" s="8"/>
    </row>
    <row r="17110">
      <c r="B17110" s="8"/>
      <c r="G17110" s="8"/>
      <c r="M17110" s="8"/>
    </row>
    <row r="17111">
      <c r="B17111" s="8"/>
      <c r="G17111" s="8"/>
      <c r="M17111" s="8"/>
    </row>
    <row r="17112">
      <c r="B17112" s="8"/>
      <c r="G17112" s="8"/>
      <c r="M17112" s="8"/>
    </row>
    <row r="17113">
      <c r="B17113" s="8"/>
      <c r="G17113" s="8"/>
      <c r="M17113" s="8"/>
    </row>
    <row r="17114">
      <c r="B17114" s="8"/>
      <c r="G17114" s="8"/>
      <c r="M17114" s="8"/>
    </row>
    <row r="17115">
      <c r="B17115" s="8"/>
      <c r="G17115" s="8"/>
      <c r="M17115" s="8"/>
    </row>
    <row r="17116">
      <c r="B17116" s="8"/>
      <c r="G17116" s="8"/>
      <c r="M17116" s="8"/>
    </row>
    <row r="17117">
      <c r="B17117" s="8"/>
      <c r="G17117" s="8"/>
      <c r="M17117" s="8"/>
    </row>
    <row r="17118">
      <c r="B17118" s="8"/>
      <c r="G17118" s="8"/>
      <c r="M17118" s="8"/>
    </row>
    <row r="17119">
      <c r="B17119" s="8"/>
      <c r="G17119" s="8"/>
      <c r="M17119" s="8"/>
    </row>
    <row r="17120">
      <c r="B17120" s="8"/>
      <c r="G17120" s="8"/>
      <c r="M17120" s="8"/>
    </row>
    <row r="17121">
      <c r="B17121" s="8"/>
      <c r="G17121" s="8"/>
      <c r="M17121" s="8"/>
    </row>
    <row r="17122">
      <c r="B17122" s="8"/>
      <c r="G17122" s="8"/>
      <c r="M17122" s="8"/>
    </row>
    <row r="17123">
      <c r="B17123" s="8"/>
      <c r="G17123" s="8"/>
      <c r="M17123" s="8"/>
    </row>
    <row r="17124">
      <c r="B17124" s="8"/>
      <c r="G17124" s="8"/>
      <c r="M17124" s="8"/>
    </row>
    <row r="17125">
      <c r="B17125" s="8"/>
      <c r="G17125" s="8"/>
      <c r="M17125" s="8"/>
    </row>
    <row r="17126">
      <c r="B17126" s="8"/>
      <c r="G17126" s="8"/>
      <c r="M17126" s="8"/>
    </row>
    <row r="17127">
      <c r="B17127" s="8"/>
      <c r="G17127" s="8"/>
      <c r="M17127" s="8"/>
    </row>
    <row r="17128">
      <c r="B17128" s="8"/>
      <c r="G17128" s="8"/>
      <c r="M17128" s="8"/>
    </row>
    <row r="17129">
      <c r="B17129" s="8"/>
      <c r="G17129" s="8"/>
      <c r="M17129" s="8"/>
    </row>
    <row r="17130">
      <c r="B17130" s="8"/>
      <c r="G17130" s="8"/>
      <c r="M17130" s="8"/>
    </row>
    <row r="17131">
      <c r="B17131" s="8"/>
      <c r="G17131" s="8"/>
      <c r="M17131" s="8"/>
    </row>
    <row r="17132">
      <c r="B17132" s="8"/>
      <c r="G17132" s="8"/>
      <c r="M17132" s="8"/>
    </row>
    <row r="17133">
      <c r="B17133" s="8"/>
      <c r="G17133" s="8"/>
      <c r="M17133" s="8"/>
    </row>
    <row r="17134">
      <c r="B17134" s="8"/>
      <c r="G17134" s="8"/>
      <c r="M17134" s="8"/>
    </row>
    <row r="17135">
      <c r="B17135" s="8"/>
      <c r="G17135" s="8"/>
      <c r="M17135" s="8"/>
    </row>
    <row r="17136">
      <c r="B17136" s="8"/>
      <c r="G17136" s="8"/>
      <c r="M17136" s="8"/>
    </row>
    <row r="17137">
      <c r="B17137" s="8"/>
      <c r="G17137" s="8"/>
      <c r="M17137" s="8"/>
    </row>
    <row r="17138">
      <c r="B17138" s="8"/>
      <c r="G17138" s="8"/>
      <c r="M17138" s="8"/>
    </row>
    <row r="17139">
      <c r="B17139" s="8"/>
      <c r="G17139" s="8"/>
      <c r="M17139" s="8"/>
    </row>
    <row r="17140">
      <c r="B17140" s="8"/>
      <c r="G17140" s="8"/>
      <c r="M17140" s="8"/>
    </row>
    <row r="17141">
      <c r="B17141" s="8"/>
      <c r="G17141" s="8"/>
      <c r="M17141" s="8"/>
    </row>
    <row r="17142">
      <c r="B17142" s="8"/>
      <c r="G17142" s="8"/>
      <c r="M17142" s="8"/>
    </row>
    <row r="17143">
      <c r="B17143" s="8"/>
      <c r="G17143" s="8"/>
      <c r="M17143" s="8"/>
    </row>
    <row r="17144">
      <c r="B17144" s="8"/>
      <c r="G17144" s="8"/>
      <c r="M17144" s="8"/>
    </row>
    <row r="17145">
      <c r="B17145" s="8"/>
      <c r="G17145" s="8"/>
      <c r="M17145" s="8"/>
    </row>
    <row r="17146">
      <c r="B17146" s="8"/>
      <c r="G17146" s="8"/>
      <c r="M17146" s="8"/>
    </row>
    <row r="17147">
      <c r="B17147" s="8"/>
      <c r="G17147" s="8"/>
      <c r="M17147" s="8"/>
    </row>
    <row r="17148">
      <c r="B17148" s="8"/>
      <c r="G17148" s="8"/>
      <c r="M17148" s="8"/>
    </row>
    <row r="17149">
      <c r="B17149" s="8"/>
      <c r="G17149" s="8"/>
      <c r="M17149" s="8"/>
    </row>
    <row r="17150">
      <c r="B17150" s="8"/>
      <c r="G17150" s="8"/>
      <c r="M17150" s="8"/>
    </row>
    <row r="17151">
      <c r="B17151" s="8"/>
      <c r="G17151" s="8"/>
      <c r="M17151" s="8"/>
    </row>
    <row r="17152">
      <c r="B17152" s="8"/>
      <c r="G17152" s="8"/>
      <c r="M17152" s="8"/>
    </row>
    <row r="17153">
      <c r="B17153" s="8"/>
      <c r="G17153" s="8"/>
      <c r="M17153" s="8"/>
    </row>
    <row r="17154">
      <c r="B17154" s="8"/>
      <c r="G17154" s="8"/>
      <c r="M17154" s="8"/>
    </row>
    <row r="17155">
      <c r="B17155" s="8"/>
      <c r="G17155" s="8"/>
      <c r="M17155" s="8"/>
    </row>
    <row r="17156">
      <c r="B17156" s="8"/>
      <c r="G17156" s="8"/>
      <c r="M17156" s="8"/>
    </row>
    <row r="17157">
      <c r="B17157" s="8"/>
      <c r="G17157" s="8"/>
      <c r="M17157" s="8"/>
    </row>
    <row r="17158">
      <c r="B17158" s="8"/>
      <c r="G17158" s="8"/>
      <c r="M17158" s="8"/>
    </row>
    <row r="17159">
      <c r="B17159" s="8"/>
      <c r="G17159" s="8"/>
      <c r="M17159" s="8"/>
    </row>
    <row r="17160">
      <c r="B17160" s="8"/>
      <c r="G17160" s="8"/>
      <c r="M17160" s="8"/>
    </row>
    <row r="17161">
      <c r="B17161" s="8"/>
      <c r="G17161" s="8"/>
      <c r="M17161" s="8"/>
    </row>
    <row r="17162">
      <c r="B17162" s="8"/>
      <c r="G17162" s="8"/>
      <c r="M17162" s="8"/>
    </row>
    <row r="17163">
      <c r="B17163" s="8"/>
      <c r="G17163" s="8"/>
      <c r="M17163" s="8"/>
    </row>
    <row r="17164">
      <c r="B17164" s="8"/>
      <c r="G17164" s="8"/>
      <c r="M17164" s="8"/>
    </row>
    <row r="17165">
      <c r="B17165" s="8"/>
      <c r="G17165" s="8"/>
      <c r="M17165" s="8"/>
    </row>
    <row r="17166">
      <c r="B17166" s="8"/>
      <c r="G17166" s="8"/>
      <c r="M17166" s="8"/>
    </row>
    <row r="17167">
      <c r="B17167" s="8"/>
      <c r="G17167" s="8"/>
      <c r="M17167" s="8"/>
    </row>
    <row r="17168">
      <c r="B17168" s="8"/>
      <c r="G17168" s="8"/>
      <c r="M17168" s="8"/>
    </row>
    <row r="17169">
      <c r="B17169" s="8"/>
      <c r="G17169" s="8"/>
      <c r="M17169" s="8"/>
    </row>
    <row r="17170">
      <c r="B17170" s="8"/>
      <c r="G17170" s="8"/>
      <c r="M17170" s="8"/>
    </row>
    <row r="17171">
      <c r="B17171" s="8"/>
      <c r="G17171" s="8"/>
      <c r="M17171" s="8"/>
    </row>
    <row r="17172">
      <c r="B17172" s="8"/>
      <c r="G17172" s="8"/>
      <c r="M17172" s="8"/>
    </row>
    <row r="17173">
      <c r="B17173" s="8"/>
      <c r="G17173" s="8"/>
      <c r="M17173" s="8"/>
    </row>
    <row r="17174">
      <c r="B17174" s="8"/>
      <c r="G17174" s="8"/>
      <c r="M17174" s="8"/>
    </row>
    <row r="17175">
      <c r="B17175" s="8"/>
      <c r="G17175" s="8"/>
      <c r="M17175" s="8"/>
    </row>
    <row r="17176">
      <c r="B17176" s="8"/>
      <c r="G17176" s="8"/>
      <c r="M17176" s="8"/>
    </row>
    <row r="17177">
      <c r="B17177" s="8"/>
      <c r="G17177" s="8"/>
      <c r="M17177" s="8"/>
    </row>
    <row r="17178">
      <c r="B17178" s="8"/>
      <c r="G17178" s="8"/>
      <c r="M17178" s="8"/>
    </row>
    <row r="17179">
      <c r="B17179" s="8"/>
      <c r="G17179" s="8"/>
      <c r="M17179" s="8"/>
    </row>
    <row r="17180">
      <c r="B17180" s="8"/>
      <c r="G17180" s="8"/>
      <c r="M17180" s="8"/>
    </row>
    <row r="17181">
      <c r="B17181" s="8"/>
      <c r="G17181" s="8"/>
      <c r="M17181" s="8"/>
    </row>
    <row r="17182">
      <c r="B17182" s="8"/>
      <c r="G17182" s="8"/>
      <c r="M17182" s="8"/>
    </row>
    <row r="17183">
      <c r="B17183" s="8"/>
      <c r="G17183" s="8"/>
      <c r="M17183" s="8"/>
    </row>
    <row r="17184">
      <c r="B17184" s="8"/>
      <c r="G17184" s="8"/>
      <c r="M17184" s="8"/>
    </row>
    <row r="17185">
      <c r="B17185" s="8"/>
      <c r="G17185" s="8"/>
      <c r="M17185" s="8"/>
    </row>
    <row r="17186">
      <c r="B17186" s="8"/>
      <c r="G17186" s="8"/>
      <c r="M17186" s="8"/>
    </row>
    <row r="17187">
      <c r="B17187" s="8"/>
      <c r="G17187" s="8"/>
      <c r="M17187" s="8"/>
    </row>
    <row r="17188">
      <c r="B17188" s="8"/>
      <c r="G17188" s="8"/>
      <c r="M17188" s="8"/>
    </row>
    <row r="17189">
      <c r="B17189" s="8"/>
      <c r="G17189" s="8"/>
      <c r="M17189" s="8"/>
    </row>
    <row r="17190">
      <c r="B17190" s="8"/>
      <c r="G17190" s="8"/>
      <c r="M17190" s="8"/>
    </row>
    <row r="17191">
      <c r="B17191" s="8"/>
      <c r="G17191" s="8"/>
      <c r="M17191" s="8"/>
    </row>
    <row r="17192">
      <c r="B17192" s="8"/>
      <c r="G17192" s="8"/>
      <c r="M17192" s="8"/>
    </row>
    <row r="17193">
      <c r="B17193" s="8"/>
      <c r="G17193" s="8"/>
      <c r="M17193" s="8"/>
    </row>
    <row r="17194">
      <c r="B17194" s="8"/>
      <c r="G17194" s="8"/>
      <c r="M17194" s="8"/>
    </row>
    <row r="17195">
      <c r="B17195" s="8"/>
      <c r="G17195" s="8"/>
      <c r="M17195" s="8"/>
    </row>
    <row r="17196">
      <c r="B17196" s="8"/>
      <c r="G17196" s="8"/>
      <c r="M17196" s="8"/>
    </row>
    <row r="17197">
      <c r="B17197" s="8"/>
      <c r="G17197" s="8"/>
      <c r="M17197" s="8"/>
    </row>
    <row r="17198">
      <c r="B17198" s="8"/>
      <c r="G17198" s="8"/>
      <c r="M17198" s="8"/>
    </row>
    <row r="17199">
      <c r="B17199" s="8"/>
      <c r="G17199" s="8"/>
      <c r="M17199" s="8"/>
    </row>
    <row r="17200">
      <c r="B17200" s="8"/>
      <c r="G17200" s="8"/>
      <c r="M17200" s="8"/>
    </row>
    <row r="17201">
      <c r="B17201" s="8"/>
      <c r="G17201" s="8"/>
      <c r="M17201" s="8"/>
    </row>
    <row r="17202">
      <c r="B17202" s="8"/>
      <c r="G17202" s="8"/>
      <c r="M17202" s="8"/>
    </row>
    <row r="17203">
      <c r="B17203" s="8"/>
      <c r="G17203" s="8"/>
      <c r="M17203" s="8"/>
    </row>
    <row r="17204">
      <c r="B17204" s="8"/>
      <c r="G17204" s="8"/>
      <c r="M17204" s="8"/>
    </row>
    <row r="17205">
      <c r="B17205" s="8"/>
      <c r="G17205" s="8"/>
      <c r="M17205" s="8"/>
    </row>
    <row r="17206">
      <c r="B17206" s="8"/>
      <c r="G17206" s="8"/>
      <c r="M17206" s="8"/>
    </row>
    <row r="17207">
      <c r="B17207" s="8"/>
      <c r="G17207" s="8"/>
      <c r="M17207" s="8"/>
    </row>
    <row r="17208">
      <c r="B17208" s="8"/>
      <c r="G17208" s="8"/>
      <c r="M17208" s="8"/>
    </row>
    <row r="17209">
      <c r="B17209" s="8"/>
      <c r="G17209" s="8"/>
      <c r="M17209" s="8"/>
    </row>
    <row r="17210">
      <c r="B17210" s="8"/>
      <c r="G17210" s="8"/>
      <c r="M17210" s="8"/>
    </row>
    <row r="17211">
      <c r="B17211" s="8"/>
      <c r="G17211" s="8"/>
      <c r="M17211" s="8"/>
    </row>
    <row r="17212">
      <c r="B17212" s="8"/>
      <c r="G17212" s="8"/>
      <c r="M17212" s="8"/>
    </row>
    <row r="17213">
      <c r="B17213" s="8"/>
      <c r="G17213" s="8"/>
      <c r="M17213" s="8"/>
    </row>
    <row r="17214">
      <c r="B17214" s="8"/>
      <c r="G17214" s="8"/>
      <c r="M17214" s="8"/>
    </row>
    <row r="17215">
      <c r="B17215" s="8"/>
      <c r="G17215" s="8"/>
      <c r="M17215" s="8"/>
    </row>
    <row r="17216">
      <c r="B17216" s="8"/>
      <c r="G17216" s="8"/>
      <c r="M17216" s="8"/>
    </row>
    <row r="17217">
      <c r="B17217" s="8"/>
      <c r="G17217" s="8"/>
      <c r="M17217" s="8"/>
    </row>
    <row r="17218">
      <c r="B17218" s="8"/>
      <c r="G17218" s="8"/>
      <c r="M17218" s="8"/>
    </row>
    <row r="17219">
      <c r="B17219" s="8"/>
      <c r="G17219" s="8"/>
      <c r="M17219" s="8"/>
    </row>
    <row r="17220">
      <c r="B17220" s="8"/>
      <c r="G17220" s="8"/>
      <c r="M17220" s="8"/>
    </row>
    <row r="17221">
      <c r="B17221" s="8"/>
      <c r="G17221" s="8"/>
      <c r="M17221" s="8"/>
    </row>
    <row r="17222">
      <c r="B17222" s="8"/>
      <c r="G17222" s="8"/>
      <c r="M17222" s="8"/>
    </row>
    <row r="17223">
      <c r="B17223" s="8"/>
      <c r="G17223" s="8"/>
      <c r="M17223" s="8"/>
    </row>
    <row r="17224">
      <c r="B17224" s="8"/>
      <c r="G17224" s="8"/>
      <c r="M17224" s="8"/>
    </row>
    <row r="17225">
      <c r="B17225" s="8"/>
      <c r="G17225" s="8"/>
      <c r="M17225" s="8"/>
    </row>
    <row r="17226">
      <c r="B17226" s="8"/>
      <c r="G17226" s="8"/>
      <c r="M17226" s="8"/>
    </row>
    <row r="17227">
      <c r="B17227" s="8"/>
      <c r="G17227" s="8"/>
      <c r="M17227" s="8"/>
    </row>
    <row r="17228">
      <c r="B17228" s="8"/>
      <c r="G17228" s="8"/>
      <c r="M17228" s="8"/>
    </row>
    <row r="17229">
      <c r="B17229" s="8"/>
      <c r="G17229" s="8"/>
      <c r="M17229" s="8"/>
    </row>
    <row r="17230">
      <c r="B17230" s="8"/>
      <c r="G17230" s="8"/>
      <c r="M17230" s="8"/>
    </row>
    <row r="17231">
      <c r="B17231" s="8"/>
      <c r="G17231" s="8"/>
      <c r="M17231" s="8"/>
    </row>
    <row r="17232">
      <c r="B17232" s="8"/>
      <c r="G17232" s="8"/>
      <c r="M17232" s="8"/>
    </row>
    <row r="17233">
      <c r="B17233" s="8"/>
      <c r="G17233" s="8"/>
      <c r="M17233" s="8"/>
    </row>
    <row r="17234">
      <c r="B17234" s="8"/>
      <c r="G17234" s="8"/>
      <c r="M17234" s="8"/>
    </row>
    <row r="17235">
      <c r="B17235" s="8"/>
      <c r="G17235" s="8"/>
      <c r="M17235" s="8"/>
    </row>
    <row r="17236">
      <c r="B17236" s="8"/>
      <c r="G17236" s="8"/>
      <c r="M17236" s="8"/>
    </row>
    <row r="17237">
      <c r="B17237" s="8"/>
      <c r="G17237" s="8"/>
      <c r="M17237" s="8"/>
    </row>
    <row r="17238">
      <c r="B17238" s="8"/>
      <c r="G17238" s="8"/>
      <c r="M17238" s="8"/>
    </row>
    <row r="17239">
      <c r="B17239" s="8"/>
      <c r="G17239" s="8"/>
      <c r="M17239" s="8"/>
    </row>
    <row r="17240">
      <c r="B17240" s="8"/>
      <c r="G17240" s="8"/>
      <c r="M17240" s="8"/>
    </row>
    <row r="17241">
      <c r="B17241" s="8"/>
      <c r="G17241" s="8"/>
      <c r="M17241" s="8"/>
    </row>
    <row r="17242">
      <c r="B17242" s="8"/>
      <c r="G17242" s="8"/>
      <c r="M17242" s="8"/>
    </row>
    <row r="17243">
      <c r="B17243" s="8"/>
      <c r="G17243" s="8"/>
      <c r="M17243" s="8"/>
    </row>
    <row r="17244">
      <c r="B17244" s="8"/>
      <c r="G17244" s="8"/>
      <c r="M17244" s="8"/>
    </row>
    <row r="17245">
      <c r="B17245" s="8"/>
      <c r="G17245" s="8"/>
      <c r="M17245" s="8"/>
    </row>
    <row r="17246">
      <c r="B17246" s="8"/>
      <c r="G17246" s="8"/>
      <c r="M17246" s="8"/>
    </row>
    <row r="17247">
      <c r="B17247" s="8"/>
      <c r="G17247" s="8"/>
      <c r="M17247" s="8"/>
    </row>
    <row r="17248">
      <c r="B17248" s="8"/>
      <c r="G17248" s="8"/>
      <c r="M17248" s="8"/>
    </row>
    <row r="17249">
      <c r="B17249" s="8"/>
      <c r="G17249" s="8"/>
      <c r="M17249" s="8"/>
    </row>
    <row r="17250">
      <c r="B17250" s="8"/>
      <c r="G17250" s="8"/>
      <c r="M17250" s="8"/>
    </row>
    <row r="17251">
      <c r="B17251" s="8"/>
      <c r="G17251" s="8"/>
      <c r="M17251" s="8"/>
    </row>
    <row r="17252">
      <c r="B17252" s="8"/>
      <c r="G17252" s="8"/>
      <c r="M17252" s="8"/>
    </row>
    <row r="17253">
      <c r="B17253" s="8"/>
      <c r="G17253" s="8"/>
      <c r="M17253" s="8"/>
    </row>
    <row r="17254">
      <c r="B17254" s="8"/>
      <c r="G17254" s="8"/>
      <c r="M17254" s="8"/>
    </row>
    <row r="17255">
      <c r="B17255" s="8"/>
      <c r="G17255" s="8"/>
      <c r="M17255" s="8"/>
    </row>
    <row r="17256">
      <c r="B17256" s="8"/>
      <c r="G17256" s="8"/>
      <c r="M17256" s="8"/>
    </row>
    <row r="17257">
      <c r="B17257" s="8"/>
      <c r="G17257" s="8"/>
      <c r="M17257" s="8"/>
    </row>
    <row r="17258">
      <c r="B17258" s="8"/>
      <c r="G17258" s="8"/>
      <c r="M17258" s="8"/>
    </row>
    <row r="17259">
      <c r="B17259" s="8"/>
      <c r="G17259" s="8"/>
      <c r="M17259" s="8"/>
    </row>
    <row r="17260">
      <c r="B17260" s="8"/>
      <c r="G17260" s="8"/>
      <c r="M17260" s="8"/>
    </row>
    <row r="17261">
      <c r="B17261" s="8"/>
      <c r="G17261" s="8"/>
      <c r="M17261" s="8"/>
    </row>
    <row r="17262">
      <c r="B17262" s="8"/>
      <c r="G17262" s="8"/>
      <c r="M17262" s="8"/>
    </row>
    <row r="17263">
      <c r="B17263" s="8"/>
      <c r="G17263" s="8"/>
      <c r="M17263" s="8"/>
    </row>
    <row r="17264">
      <c r="B17264" s="8"/>
      <c r="G17264" s="8"/>
      <c r="M17264" s="8"/>
    </row>
    <row r="17265">
      <c r="B17265" s="8"/>
      <c r="G17265" s="8"/>
      <c r="M17265" s="8"/>
    </row>
    <row r="17266">
      <c r="B17266" s="8"/>
      <c r="G17266" s="8"/>
      <c r="M17266" s="8"/>
    </row>
    <row r="17267">
      <c r="B17267" s="8"/>
      <c r="G17267" s="8"/>
      <c r="M17267" s="8"/>
    </row>
    <row r="17268">
      <c r="B17268" s="8"/>
      <c r="G17268" s="8"/>
      <c r="M17268" s="8"/>
    </row>
    <row r="17269">
      <c r="B17269" s="8"/>
      <c r="G17269" s="8"/>
      <c r="M17269" s="8"/>
    </row>
    <row r="17270">
      <c r="B17270" s="8"/>
      <c r="G17270" s="8"/>
      <c r="M17270" s="8"/>
    </row>
    <row r="17271">
      <c r="B17271" s="8"/>
      <c r="G17271" s="8"/>
      <c r="M17271" s="8"/>
    </row>
    <row r="17272">
      <c r="B17272" s="8"/>
      <c r="G17272" s="8"/>
      <c r="M17272" s="8"/>
    </row>
    <row r="17273">
      <c r="B17273" s="8"/>
      <c r="G17273" s="8"/>
      <c r="M17273" s="8"/>
    </row>
    <row r="17274">
      <c r="B17274" s="8"/>
      <c r="G17274" s="8"/>
      <c r="M17274" s="8"/>
    </row>
    <row r="17275">
      <c r="B17275" s="8"/>
      <c r="G17275" s="8"/>
      <c r="M17275" s="8"/>
    </row>
    <row r="17276">
      <c r="B17276" s="8"/>
      <c r="G17276" s="8"/>
      <c r="M17276" s="8"/>
    </row>
    <row r="17277">
      <c r="B17277" s="8"/>
      <c r="G17277" s="8"/>
      <c r="M17277" s="8"/>
    </row>
    <row r="17278">
      <c r="B17278" s="8"/>
      <c r="G17278" s="8"/>
      <c r="M17278" s="8"/>
    </row>
    <row r="17279">
      <c r="B17279" s="8"/>
      <c r="G17279" s="8"/>
      <c r="M17279" s="8"/>
    </row>
    <row r="17280">
      <c r="B17280" s="8"/>
      <c r="G17280" s="8"/>
      <c r="M17280" s="8"/>
    </row>
    <row r="17281">
      <c r="B17281" s="8"/>
      <c r="G17281" s="8"/>
      <c r="M17281" s="8"/>
    </row>
    <row r="17282">
      <c r="B17282" s="8"/>
      <c r="G17282" s="8"/>
      <c r="M17282" s="8"/>
    </row>
    <row r="17283">
      <c r="B17283" s="8"/>
      <c r="G17283" s="8"/>
      <c r="M17283" s="8"/>
    </row>
    <row r="17284">
      <c r="B17284" s="8"/>
      <c r="G17284" s="8"/>
      <c r="M17284" s="8"/>
    </row>
    <row r="17285">
      <c r="B17285" s="8"/>
      <c r="G17285" s="8"/>
      <c r="M17285" s="8"/>
    </row>
    <row r="17286">
      <c r="B17286" s="8"/>
      <c r="G17286" s="8"/>
      <c r="M17286" s="8"/>
    </row>
    <row r="17287">
      <c r="B17287" s="8"/>
      <c r="G17287" s="8"/>
      <c r="M17287" s="8"/>
    </row>
    <row r="17288">
      <c r="B17288" s="8"/>
      <c r="G17288" s="8"/>
      <c r="M17288" s="8"/>
    </row>
    <row r="17289">
      <c r="B17289" s="8"/>
      <c r="G17289" s="8"/>
      <c r="M17289" s="8"/>
    </row>
    <row r="17290">
      <c r="B17290" s="8"/>
      <c r="G17290" s="8"/>
      <c r="M17290" s="8"/>
    </row>
    <row r="17291">
      <c r="B17291" s="8"/>
      <c r="G17291" s="8"/>
      <c r="M17291" s="8"/>
    </row>
    <row r="17292">
      <c r="B17292" s="8"/>
      <c r="G17292" s="8"/>
      <c r="M17292" s="8"/>
    </row>
    <row r="17293">
      <c r="B17293" s="8"/>
      <c r="G17293" s="8"/>
      <c r="M17293" s="8"/>
    </row>
    <row r="17294">
      <c r="B17294" s="8"/>
      <c r="G17294" s="8"/>
      <c r="M17294" s="8"/>
    </row>
    <row r="17295">
      <c r="B17295" s="8"/>
      <c r="G17295" s="8"/>
      <c r="M17295" s="8"/>
    </row>
    <row r="17296">
      <c r="B17296" s="8"/>
      <c r="G17296" s="8"/>
      <c r="M17296" s="8"/>
    </row>
    <row r="17297">
      <c r="B17297" s="8"/>
      <c r="G17297" s="8"/>
      <c r="M17297" s="8"/>
    </row>
    <row r="17298">
      <c r="B17298" s="8"/>
      <c r="G17298" s="8"/>
      <c r="M17298" s="8"/>
    </row>
    <row r="17299">
      <c r="B17299" s="8"/>
      <c r="G17299" s="8"/>
      <c r="M17299" s="8"/>
    </row>
    <row r="17300">
      <c r="B17300" s="8"/>
      <c r="G17300" s="8"/>
      <c r="M17300" s="8"/>
    </row>
    <row r="17301">
      <c r="B17301" s="8"/>
      <c r="G17301" s="8"/>
      <c r="M17301" s="8"/>
    </row>
    <row r="17302">
      <c r="B17302" s="8"/>
      <c r="G17302" s="8"/>
      <c r="M17302" s="8"/>
    </row>
    <row r="17303">
      <c r="B17303" s="8"/>
      <c r="G17303" s="8"/>
      <c r="M17303" s="8"/>
    </row>
    <row r="17304">
      <c r="B17304" s="8"/>
      <c r="G17304" s="8"/>
      <c r="M17304" s="8"/>
    </row>
    <row r="17305">
      <c r="B17305" s="8"/>
      <c r="G17305" s="8"/>
      <c r="M17305" s="8"/>
    </row>
    <row r="17306">
      <c r="B17306" s="8"/>
      <c r="G17306" s="8"/>
      <c r="M17306" s="8"/>
    </row>
    <row r="17307">
      <c r="B17307" s="8"/>
      <c r="G17307" s="8"/>
      <c r="M17307" s="8"/>
    </row>
    <row r="17308">
      <c r="B17308" s="8"/>
      <c r="G17308" s="8"/>
      <c r="M17308" s="8"/>
    </row>
    <row r="17309">
      <c r="B17309" s="8"/>
      <c r="G17309" s="8"/>
      <c r="M17309" s="8"/>
    </row>
    <row r="17310">
      <c r="B17310" s="8"/>
      <c r="G17310" s="8"/>
      <c r="M17310" s="8"/>
    </row>
    <row r="17311">
      <c r="B17311" s="8"/>
      <c r="G17311" s="8"/>
      <c r="M17311" s="8"/>
    </row>
    <row r="17312">
      <c r="B17312" s="8"/>
      <c r="G17312" s="8"/>
      <c r="M17312" s="8"/>
    </row>
    <row r="17313">
      <c r="B17313" s="8"/>
      <c r="G17313" s="8"/>
      <c r="M17313" s="8"/>
    </row>
    <row r="17314">
      <c r="B17314" s="8"/>
      <c r="G17314" s="8"/>
      <c r="M17314" s="8"/>
    </row>
    <row r="17315">
      <c r="B17315" s="8"/>
      <c r="G17315" s="8"/>
      <c r="M17315" s="8"/>
    </row>
    <row r="17316">
      <c r="B17316" s="8"/>
      <c r="G17316" s="8"/>
      <c r="M17316" s="8"/>
    </row>
    <row r="17317">
      <c r="B17317" s="8"/>
      <c r="G17317" s="8"/>
      <c r="M17317" s="8"/>
    </row>
    <row r="17318">
      <c r="B17318" s="8"/>
      <c r="G17318" s="8"/>
      <c r="M17318" s="8"/>
    </row>
    <row r="17319">
      <c r="B17319" s="8"/>
      <c r="G17319" s="8"/>
      <c r="M17319" s="8"/>
    </row>
    <row r="17320">
      <c r="B17320" s="8"/>
      <c r="G17320" s="8"/>
      <c r="M17320" s="8"/>
    </row>
    <row r="17321">
      <c r="B17321" s="8"/>
      <c r="G17321" s="8"/>
      <c r="M17321" s="8"/>
    </row>
    <row r="17322">
      <c r="B17322" s="8"/>
      <c r="G17322" s="8"/>
      <c r="M17322" s="8"/>
    </row>
    <row r="17323">
      <c r="B17323" s="8"/>
      <c r="G17323" s="8"/>
      <c r="M17323" s="8"/>
    </row>
    <row r="17324">
      <c r="B17324" s="8"/>
      <c r="G17324" s="8"/>
      <c r="M17324" s="8"/>
    </row>
    <row r="17325">
      <c r="B17325" s="8"/>
      <c r="G17325" s="8"/>
      <c r="M17325" s="8"/>
    </row>
    <row r="17326">
      <c r="B17326" s="8"/>
      <c r="G17326" s="8"/>
      <c r="M17326" s="8"/>
    </row>
    <row r="17327">
      <c r="B17327" s="8"/>
      <c r="G17327" s="8"/>
      <c r="M17327" s="8"/>
    </row>
    <row r="17328">
      <c r="B17328" s="8"/>
      <c r="G17328" s="8"/>
      <c r="M17328" s="8"/>
    </row>
    <row r="17329">
      <c r="B17329" s="8"/>
      <c r="G17329" s="8"/>
      <c r="M17329" s="8"/>
    </row>
    <row r="17330">
      <c r="B17330" s="8"/>
      <c r="G17330" s="8"/>
      <c r="M17330" s="8"/>
    </row>
    <row r="17331">
      <c r="B17331" s="8"/>
      <c r="G17331" s="8"/>
      <c r="M17331" s="8"/>
    </row>
    <row r="17332">
      <c r="B17332" s="8"/>
      <c r="G17332" s="8"/>
      <c r="M17332" s="8"/>
    </row>
    <row r="17333">
      <c r="B17333" s="8"/>
      <c r="G17333" s="8"/>
      <c r="M17333" s="8"/>
    </row>
    <row r="17334">
      <c r="B17334" s="8"/>
      <c r="G17334" s="8"/>
      <c r="M17334" s="8"/>
    </row>
    <row r="17335">
      <c r="B17335" s="8"/>
      <c r="G17335" s="8"/>
      <c r="M17335" s="8"/>
    </row>
    <row r="17336">
      <c r="B17336" s="8"/>
      <c r="G17336" s="8"/>
      <c r="M17336" s="8"/>
    </row>
    <row r="17337">
      <c r="B17337" s="8"/>
      <c r="G17337" s="8"/>
      <c r="M17337" s="8"/>
    </row>
    <row r="17338">
      <c r="B17338" s="8"/>
      <c r="G17338" s="8"/>
      <c r="M17338" s="8"/>
    </row>
    <row r="17339">
      <c r="B17339" s="8"/>
      <c r="G17339" s="8"/>
      <c r="M17339" s="8"/>
    </row>
    <row r="17340">
      <c r="B17340" s="8"/>
      <c r="G17340" s="8"/>
      <c r="M17340" s="8"/>
    </row>
    <row r="17341">
      <c r="B17341" s="8"/>
      <c r="G17341" s="8"/>
      <c r="M17341" s="8"/>
    </row>
    <row r="17342">
      <c r="B17342" s="8"/>
      <c r="G17342" s="8"/>
      <c r="M17342" s="8"/>
    </row>
    <row r="17343">
      <c r="B17343" s="8"/>
      <c r="G17343" s="8"/>
      <c r="M17343" s="8"/>
    </row>
    <row r="17344">
      <c r="B17344" s="8"/>
      <c r="G17344" s="8"/>
      <c r="M17344" s="8"/>
    </row>
    <row r="17345">
      <c r="B17345" s="8"/>
      <c r="G17345" s="8"/>
      <c r="M17345" s="8"/>
    </row>
    <row r="17346">
      <c r="B17346" s="8"/>
      <c r="G17346" s="8"/>
      <c r="M17346" s="8"/>
    </row>
    <row r="17347">
      <c r="B17347" s="8"/>
      <c r="G17347" s="8"/>
      <c r="M17347" s="8"/>
    </row>
    <row r="17348">
      <c r="B17348" s="8"/>
      <c r="G17348" s="8"/>
      <c r="M17348" s="8"/>
    </row>
    <row r="17349">
      <c r="B17349" s="8"/>
      <c r="G17349" s="8"/>
      <c r="M17349" s="8"/>
    </row>
    <row r="17350">
      <c r="B17350" s="8"/>
      <c r="G17350" s="8"/>
      <c r="M17350" s="8"/>
    </row>
    <row r="17351">
      <c r="B17351" s="8"/>
      <c r="G17351" s="8"/>
      <c r="M17351" s="8"/>
    </row>
    <row r="17352">
      <c r="B17352" s="8"/>
      <c r="G17352" s="8"/>
      <c r="M17352" s="8"/>
    </row>
    <row r="17353">
      <c r="B17353" s="8"/>
      <c r="G17353" s="8"/>
      <c r="M17353" s="8"/>
    </row>
    <row r="17354">
      <c r="B17354" s="8"/>
      <c r="G17354" s="8"/>
      <c r="M17354" s="8"/>
    </row>
    <row r="17355">
      <c r="B17355" s="8"/>
      <c r="G17355" s="8"/>
      <c r="M17355" s="8"/>
    </row>
    <row r="17356">
      <c r="B17356" s="8"/>
      <c r="G17356" s="8"/>
      <c r="M17356" s="8"/>
    </row>
    <row r="17357">
      <c r="B17357" s="8"/>
      <c r="G17357" s="8"/>
      <c r="M17357" s="8"/>
    </row>
    <row r="17358">
      <c r="B17358" s="8"/>
      <c r="G17358" s="8"/>
      <c r="M17358" s="8"/>
    </row>
    <row r="17359">
      <c r="B17359" s="8"/>
      <c r="G17359" s="8"/>
      <c r="M17359" s="8"/>
    </row>
    <row r="17360">
      <c r="B17360" s="8"/>
      <c r="G17360" s="8"/>
      <c r="M17360" s="8"/>
    </row>
    <row r="17361">
      <c r="B17361" s="8"/>
      <c r="G17361" s="8"/>
      <c r="M17361" s="8"/>
    </row>
    <row r="17362">
      <c r="B17362" s="8"/>
      <c r="G17362" s="8"/>
      <c r="M17362" s="8"/>
    </row>
    <row r="17363">
      <c r="B17363" s="8"/>
      <c r="G17363" s="8"/>
      <c r="M17363" s="8"/>
    </row>
    <row r="17364">
      <c r="B17364" s="8"/>
      <c r="G17364" s="8"/>
      <c r="M17364" s="8"/>
    </row>
    <row r="17365">
      <c r="B17365" s="8"/>
      <c r="G17365" s="8"/>
      <c r="M17365" s="8"/>
    </row>
    <row r="17366">
      <c r="B17366" s="8"/>
      <c r="G17366" s="8"/>
      <c r="M17366" s="8"/>
    </row>
    <row r="17367">
      <c r="B17367" s="8"/>
      <c r="G17367" s="8"/>
      <c r="M17367" s="8"/>
    </row>
    <row r="17368">
      <c r="B17368" s="8"/>
      <c r="G17368" s="8"/>
      <c r="M17368" s="8"/>
    </row>
    <row r="17369">
      <c r="B17369" s="8"/>
      <c r="G17369" s="8"/>
      <c r="M17369" s="8"/>
    </row>
    <row r="17370">
      <c r="B17370" s="8"/>
      <c r="G17370" s="8"/>
      <c r="M17370" s="8"/>
    </row>
    <row r="17371">
      <c r="B17371" s="8"/>
      <c r="G17371" s="8"/>
      <c r="M17371" s="8"/>
    </row>
    <row r="17372">
      <c r="B17372" s="8"/>
      <c r="G17372" s="8"/>
      <c r="M17372" s="8"/>
    </row>
    <row r="17373">
      <c r="B17373" s="8"/>
      <c r="G17373" s="8"/>
      <c r="M17373" s="8"/>
    </row>
    <row r="17374">
      <c r="B17374" s="8"/>
      <c r="G17374" s="8"/>
      <c r="M17374" s="8"/>
    </row>
    <row r="17375">
      <c r="B17375" s="8"/>
      <c r="G17375" s="8"/>
      <c r="M17375" s="8"/>
    </row>
    <row r="17376">
      <c r="B17376" s="8"/>
      <c r="G17376" s="8"/>
      <c r="M17376" s="8"/>
    </row>
    <row r="17377">
      <c r="B17377" s="8"/>
      <c r="G17377" s="8"/>
      <c r="M17377" s="8"/>
    </row>
    <row r="17378">
      <c r="B17378" s="8"/>
      <c r="G17378" s="8"/>
      <c r="M17378" s="8"/>
    </row>
    <row r="17379">
      <c r="B17379" s="8"/>
      <c r="G17379" s="8"/>
      <c r="M17379" s="8"/>
    </row>
    <row r="17380">
      <c r="B17380" s="8"/>
      <c r="G17380" s="8"/>
      <c r="M17380" s="8"/>
    </row>
    <row r="17381">
      <c r="B17381" s="8"/>
      <c r="G17381" s="8"/>
      <c r="M17381" s="8"/>
    </row>
    <row r="17382">
      <c r="B17382" s="8"/>
      <c r="G17382" s="8"/>
      <c r="M17382" s="8"/>
    </row>
    <row r="17383">
      <c r="B17383" s="8"/>
      <c r="G17383" s="8"/>
      <c r="M17383" s="8"/>
    </row>
    <row r="17384">
      <c r="B17384" s="8"/>
      <c r="G17384" s="8"/>
      <c r="M17384" s="8"/>
    </row>
    <row r="17385">
      <c r="B17385" s="8"/>
      <c r="G17385" s="8"/>
      <c r="M17385" s="8"/>
    </row>
    <row r="17386">
      <c r="B17386" s="8"/>
      <c r="G17386" s="8"/>
      <c r="M17386" s="8"/>
    </row>
    <row r="17387">
      <c r="B17387" s="8"/>
      <c r="G17387" s="8"/>
      <c r="M17387" s="8"/>
    </row>
    <row r="17388">
      <c r="B17388" s="8"/>
      <c r="G17388" s="8"/>
      <c r="M17388" s="8"/>
    </row>
    <row r="17389">
      <c r="B17389" s="8"/>
      <c r="G17389" s="8"/>
      <c r="M17389" s="8"/>
    </row>
    <row r="17390">
      <c r="B17390" s="8"/>
      <c r="G17390" s="8"/>
      <c r="M17390" s="8"/>
    </row>
    <row r="17391">
      <c r="B17391" s="8"/>
      <c r="G17391" s="8"/>
      <c r="M17391" s="8"/>
    </row>
    <row r="17392">
      <c r="B17392" s="8"/>
      <c r="G17392" s="8"/>
      <c r="M17392" s="8"/>
    </row>
    <row r="17393">
      <c r="B17393" s="8"/>
      <c r="G17393" s="8"/>
      <c r="M17393" s="8"/>
    </row>
    <row r="17394">
      <c r="B17394" s="8"/>
      <c r="G17394" s="8"/>
      <c r="M17394" s="8"/>
    </row>
    <row r="17395">
      <c r="B17395" s="8"/>
      <c r="G17395" s="8"/>
      <c r="M17395" s="8"/>
    </row>
    <row r="17396">
      <c r="B17396" s="8"/>
      <c r="G17396" s="8"/>
      <c r="M17396" s="8"/>
    </row>
    <row r="17397">
      <c r="B17397" s="8"/>
      <c r="G17397" s="8"/>
      <c r="M17397" s="8"/>
    </row>
    <row r="17398">
      <c r="B17398" s="8"/>
      <c r="G17398" s="8"/>
      <c r="M17398" s="8"/>
    </row>
    <row r="17399">
      <c r="B17399" s="8"/>
      <c r="G17399" s="8"/>
      <c r="M17399" s="8"/>
    </row>
    <row r="17400">
      <c r="B17400" s="8"/>
      <c r="G17400" s="8"/>
      <c r="M17400" s="8"/>
    </row>
    <row r="17401">
      <c r="B17401" s="8"/>
      <c r="G17401" s="8"/>
      <c r="M17401" s="8"/>
    </row>
    <row r="17402">
      <c r="B17402" s="8"/>
      <c r="G17402" s="8"/>
      <c r="M17402" s="8"/>
    </row>
    <row r="17403">
      <c r="B17403" s="8"/>
      <c r="G17403" s="8"/>
      <c r="M17403" s="8"/>
    </row>
    <row r="17404">
      <c r="B17404" s="8"/>
      <c r="G17404" s="8"/>
      <c r="M17404" s="8"/>
    </row>
    <row r="17405">
      <c r="B17405" s="8"/>
      <c r="G17405" s="8"/>
      <c r="M17405" s="8"/>
    </row>
    <row r="17406">
      <c r="B17406" s="8"/>
      <c r="G17406" s="8"/>
      <c r="M17406" s="8"/>
    </row>
    <row r="17407">
      <c r="B17407" s="8"/>
      <c r="G17407" s="8"/>
      <c r="M17407" s="8"/>
    </row>
    <row r="17408">
      <c r="B17408" s="8"/>
      <c r="G17408" s="8"/>
      <c r="M17408" s="8"/>
    </row>
    <row r="17409">
      <c r="B17409" s="8"/>
      <c r="G17409" s="8"/>
      <c r="M17409" s="8"/>
    </row>
    <row r="17410">
      <c r="B17410" s="8"/>
      <c r="G17410" s="8"/>
      <c r="M17410" s="8"/>
    </row>
    <row r="17411">
      <c r="B17411" s="8"/>
      <c r="G17411" s="8"/>
      <c r="M17411" s="8"/>
    </row>
    <row r="17412">
      <c r="B17412" s="8"/>
      <c r="G17412" s="8"/>
      <c r="M17412" s="8"/>
    </row>
    <row r="17413">
      <c r="B17413" s="8"/>
      <c r="G17413" s="8"/>
      <c r="M17413" s="8"/>
    </row>
    <row r="17414">
      <c r="B17414" s="8"/>
      <c r="G17414" s="8"/>
      <c r="M17414" s="8"/>
    </row>
    <row r="17415">
      <c r="B17415" s="8"/>
      <c r="G17415" s="8"/>
      <c r="M17415" s="8"/>
    </row>
    <row r="17416">
      <c r="B17416" s="8"/>
      <c r="G17416" s="8"/>
      <c r="M17416" s="8"/>
    </row>
    <row r="17417">
      <c r="B17417" s="8"/>
      <c r="G17417" s="8"/>
      <c r="M17417" s="8"/>
    </row>
    <row r="17418">
      <c r="B17418" s="8"/>
      <c r="G17418" s="8"/>
      <c r="M17418" s="8"/>
    </row>
    <row r="17419">
      <c r="B17419" s="8"/>
      <c r="G17419" s="8"/>
      <c r="M17419" s="8"/>
    </row>
    <row r="17420">
      <c r="B17420" s="8"/>
      <c r="G17420" s="8"/>
      <c r="M17420" s="8"/>
    </row>
    <row r="17421">
      <c r="B17421" s="8"/>
      <c r="G17421" s="8"/>
      <c r="M17421" s="8"/>
    </row>
    <row r="17422">
      <c r="B17422" s="8"/>
      <c r="G17422" s="8"/>
      <c r="M17422" s="8"/>
    </row>
    <row r="17423">
      <c r="B17423" s="8"/>
      <c r="G17423" s="8"/>
      <c r="M17423" s="8"/>
    </row>
    <row r="17424">
      <c r="B17424" s="8"/>
      <c r="G17424" s="8"/>
      <c r="M17424" s="8"/>
    </row>
    <row r="17425">
      <c r="B17425" s="8"/>
      <c r="G17425" s="8"/>
      <c r="M17425" s="8"/>
    </row>
    <row r="17426">
      <c r="B17426" s="8"/>
      <c r="G17426" s="8"/>
      <c r="M17426" s="8"/>
    </row>
    <row r="17427">
      <c r="B17427" s="8"/>
      <c r="G17427" s="8"/>
      <c r="M17427" s="8"/>
    </row>
    <row r="17428">
      <c r="B17428" s="8"/>
      <c r="G17428" s="8"/>
      <c r="M17428" s="8"/>
    </row>
    <row r="17429">
      <c r="B17429" s="8"/>
      <c r="G17429" s="8"/>
      <c r="M17429" s="8"/>
    </row>
    <row r="17430">
      <c r="B17430" s="8"/>
      <c r="G17430" s="8"/>
      <c r="M17430" s="8"/>
    </row>
    <row r="17431">
      <c r="B17431" s="8"/>
      <c r="G17431" s="8"/>
      <c r="M17431" s="8"/>
    </row>
    <row r="17432">
      <c r="B17432" s="8"/>
      <c r="G17432" s="8"/>
      <c r="M17432" s="8"/>
    </row>
    <row r="17433">
      <c r="B17433" s="8"/>
      <c r="G17433" s="8"/>
      <c r="M17433" s="8"/>
    </row>
    <row r="17434">
      <c r="B17434" s="8"/>
      <c r="G17434" s="8"/>
      <c r="M17434" s="8"/>
    </row>
    <row r="17435">
      <c r="B17435" s="8"/>
      <c r="G17435" s="8"/>
      <c r="M17435" s="8"/>
    </row>
    <row r="17436">
      <c r="B17436" s="8"/>
      <c r="G17436" s="8"/>
      <c r="M17436" s="8"/>
    </row>
    <row r="17437">
      <c r="B17437" s="8"/>
      <c r="G17437" s="8"/>
      <c r="M17437" s="8"/>
    </row>
    <row r="17438">
      <c r="B17438" s="8"/>
      <c r="G17438" s="8"/>
      <c r="M17438" s="8"/>
    </row>
    <row r="17439">
      <c r="B17439" s="8"/>
      <c r="G17439" s="8"/>
      <c r="M17439" s="8"/>
    </row>
    <row r="17440">
      <c r="B17440" s="8"/>
      <c r="G17440" s="8"/>
      <c r="M17440" s="8"/>
    </row>
    <row r="17441">
      <c r="B17441" s="8"/>
      <c r="G17441" s="8"/>
      <c r="M17441" s="8"/>
    </row>
    <row r="17442">
      <c r="B17442" s="8"/>
      <c r="G17442" s="8"/>
      <c r="M17442" s="8"/>
    </row>
    <row r="17443">
      <c r="B17443" s="8"/>
      <c r="G17443" s="8"/>
      <c r="M17443" s="8"/>
    </row>
    <row r="17444">
      <c r="B17444" s="8"/>
      <c r="G17444" s="8"/>
      <c r="M17444" s="8"/>
    </row>
    <row r="17445">
      <c r="B17445" s="8"/>
      <c r="G17445" s="8"/>
      <c r="M17445" s="8"/>
    </row>
    <row r="17446">
      <c r="B17446" s="8"/>
      <c r="G17446" s="8"/>
      <c r="M17446" s="8"/>
    </row>
    <row r="17447">
      <c r="B17447" s="8"/>
      <c r="G17447" s="8"/>
      <c r="M17447" s="8"/>
    </row>
    <row r="17448">
      <c r="B17448" s="8"/>
      <c r="G17448" s="8"/>
      <c r="M17448" s="8"/>
    </row>
    <row r="17449">
      <c r="B17449" s="8"/>
      <c r="G17449" s="8"/>
      <c r="M17449" s="8"/>
    </row>
    <row r="17450">
      <c r="B17450" s="8"/>
      <c r="G17450" s="8"/>
      <c r="M17450" s="8"/>
    </row>
    <row r="17451">
      <c r="B17451" s="8"/>
      <c r="G17451" s="8"/>
      <c r="M17451" s="8"/>
    </row>
    <row r="17452">
      <c r="B17452" s="8"/>
      <c r="G17452" s="8"/>
      <c r="M17452" s="8"/>
    </row>
    <row r="17453">
      <c r="B17453" s="8"/>
      <c r="G17453" s="8"/>
      <c r="M17453" s="8"/>
    </row>
    <row r="17454">
      <c r="B17454" s="8"/>
      <c r="G17454" s="8"/>
      <c r="M17454" s="8"/>
    </row>
    <row r="17455">
      <c r="B17455" s="8"/>
      <c r="G17455" s="8"/>
      <c r="M17455" s="8"/>
    </row>
    <row r="17456">
      <c r="B17456" s="8"/>
      <c r="G17456" s="8"/>
      <c r="M17456" s="8"/>
    </row>
    <row r="17457">
      <c r="B17457" s="8"/>
      <c r="G17457" s="8"/>
      <c r="M17457" s="8"/>
    </row>
    <row r="17458">
      <c r="B17458" s="8"/>
      <c r="G17458" s="8"/>
      <c r="M17458" s="8"/>
    </row>
    <row r="17459">
      <c r="B17459" s="8"/>
      <c r="G17459" s="8"/>
      <c r="M17459" s="8"/>
    </row>
    <row r="17460">
      <c r="B17460" s="8"/>
      <c r="G17460" s="8"/>
      <c r="M17460" s="8"/>
    </row>
    <row r="17461">
      <c r="B17461" s="8"/>
      <c r="G17461" s="8"/>
      <c r="M17461" s="8"/>
    </row>
    <row r="17462">
      <c r="B17462" s="8"/>
      <c r="G17462" s="8"/>
      <c r="M17462" s="8"/>
    </row>
    <row r="17463">
      <c r="B17463" s="8"/>
      <c r="G17463" s="8"/>
      <c r="M17463" s="8"/>
    </row>
    <row r="17464">
      <c r="B17464" s="8"/>
      <c r="G17464" s="8"/>
      <c r="M17464" s="8"/>
    </row>
    <row r="17465">
      <c r="B17465" s="8"/>
      <c r="G17465" s="8"/>
      <c r="M17465" s="8"/>
    </row>
    <row r="17466">
      <c r="B17466" s="8"/>
      <c r="G17466" s="8"/>
      <c r="M17466" s="8"/>
    </row>
    <row r="17467">
      <c r="B17467" s="8"/>
      <c r="G17467" s="8"/>
      <c r="M17467" s="8"/>
    </row>
    <row r="17468">
      <c r="B17468" s="8"/>
      <c r="G17468" s="8"/>
      <c r="M17468" s="8"/>
    </row>
    <row r="17469">
      <c r="B17469" s="8"/>
      <c r="G17469" s="8"/>
      <c r="M17469" s="8"/>
    </row>
    <row r="17470">
      <c r="B17470" s="8"/>
      <c r="G17470" s="8"/>
      <c r="M17470" s="8"/>
    </row>
    <row r="17471">
      <c r="B17471" s="8"/>
      <c r="G17471" s="8"/>
      <c r="M17471" s="8"/>
    </row>
    <row r="17472">
      <c r="B17472" s="8"/>
      <c r="G17472" s="8"/>
      <c r="M17472" s="8"/>
    </row>
    <row r="17473">
      <c r="B17473" s="8"/>
      <c r="G17473" s="8"/>
      <c r="M17473" s="8"/>
    </row>
    <row r="17474">
      <c r="B17474" s="8"/>
      <c r="G17474" s="8"/>
      <c r="M17474" s="8"/>
    </row>
    <row r="17475">
      <c r="B17475" s="8"/>
      <c r="G17475" s="8"/>
      <c r="M17475" s="8"/>
    </row>
    <row r="17476">
      <c r="B17476" s="8"/>
      <c r="G17476" s="8"/>
      <c r="M17476" s="8"/>
    </row>
    <row r="17477">
      <c r="B17477" s="8"/>
      <c r="G17477" s="8"/>
      <c r="M17477" s="8"/>
    </row>
    <row r="17478">
      <c r="B17478" s="8"/>
      <c r="G17478" s="8"/>
      <c r="M17478" s="8"/>
    </row>
    <row r="17479">
      <c r="B17479" s="8"/>
      <c r="G17479" s="8"/>
      <c r="M17479" s="8"/>
    </row>
    <row r="17480">
      <c r="B17480" s="8"/>
      <c r="G17480" s="8"/>
      <c r="M17480" s="8"/>
    </row>
    <row r="17481">
      <c r="B17481" s="8"/>
      <c r="G17481" s="8"/>
      <c r="M17481" s="8"/>
    </row>
    <row r="17482">
      <c r="B17482" s="8"/>
      <c r="G17482" s="8"/>
      <c r="M17482" s="8"/>
    </row>
    <row r="17483">
      <c r="B17483" s="8"/>
      <c r="G17483" s="8"/>
      <c r="M17483" s="8"/>
    </row>
    <row r="17484">
      <c r="B17484" s="8"/>
      <c r="G17484" s="8"/>
      <c r="M17484" s="8"/>
    </row>
    <row r="17485">
      <c r="B17485" s="8"/>
      <c r="G17485" s="8"/>
      <c r="M17485" s="8"/>
    </row>
    <row r="17486">
      <c r="B17486" s="8"/>
      <c r="G17486" s="8"/>
      <c r="M17486" s="8"/>
    </row>
    <row r="17487">
      <c r="B17487" s="8"/>
      <c r="G17487" s="8"/>
      <c r="M17487" s="8"/>
    </row>
    <row r="17488">
      <c r="B17488" s="8"/>
      <c r="G17488" s="8"/>
      <c r="M17488" s="8"/>
    </row>
    <row r="17489">
      <c r="B17489" s="8"/>
      <c r="G17489" s="8"/>
      <c r="M17489" s="8"/>
    </row>
    <row r="17490">
      <c r="B17490" s="8"/>
      <c r="G17490" s="8"/>
      <c r="M17490" s="8"/>
    </row>
    <row r="17491">
      <c r="B17491" s="8"/>
      <c r="G17491" s="8"/>
      <c r="M17491" s="8"/>
    </row>
    <row r="17492">
      <c r="B17492" s="8"/>
      <c r="G17492" s="8"/>
      <c r="M17492" s="8"/>
    </row>
    <row r="17493">
      <c r="B17493" s="8"/>
      <c r="G17493" s="8"/>
      <c r="M17493" s="8"/>
    </row>
    <row r="17494">
      <c r="B17494" s="8"/>
      <c r="G17494" s="8"/>
      <c r="M17494" s="8"/>
    </row>
    <row r="17495">
      <c r="B17495" s="8"/>
      <c r="G17495" s="8"/>
      <c r="M17495" s="8"/>
    </row>
    <row r="17496">
      <c r="B17496" s="8"/>
      <c r="G17496" s="8"/>
      <c r="M17496" s="8"/>
    </row>
    <row r="17497">
      <c r="B17497" s="8"/>
      <c r="G17497" s="8"/>
      <c r="M17497" s="8"/>
    </row>
    <row r="17498">
      <c r="B17498" s="8"/>
      <c r="G17498" s="8"/>
      <c r="M17498" s="8"/>
    </row>
    <row r="17499">
      <c r="B17499" s="8"/>
      <c r="G17499" s="8"/>
      <c r="M17499" s="8"/>
    </row>
    <row r="17500">
      <c r="B17500" s="8"/>
      <c r="G17500" s="8"/>
      <c r="M17500" s="8"/>
    </row>
    <row r="17501">
      <c r="B17501" s="8"/>
      <c r="G17501" s="8"/>
      <c r="M17501" s="8"/>
    </row>
    <row r="17502">
      <c r="B17502" s="8"/>
      <c r="G17502" s="8"/>
      <c r="M17502" s="8"/>
    </row>
    <row r="17503">
      <c r="B17503" s="8"/>
      <c r="G17503" s="8"/>
      <c r="M17503" s="8"/>
    </row>
    <row r="17504">
      <c r="B17504" s="8"/>
      <c r="G17504" s="8"/>
      <c r="M17504" s="8"/>
    </row>
    <row r="17505">
      <c r="B17505" s="8"/>
      <c r="G17505" s="8"/>
      <c r="M17505" s="8"/>
    </row>
    <row r="17506">
      <c r="B17506" s="8"/>
      <c r="G17506" s="8"/>
      <c r="M17506" s="8"/>
    </row>
    <row r="17507">
      <c r="B17507" s="8"/>
      <c r="G17507" s="8"/>
      <c r="M17507" s="8"/>
    </row>
    <row r="17508">
      <c r="B17508" s="8"/>
      <c r="G17508" s="8"/>
      <c r="M17508" s="8"/>
    </row>
    <row r="17509">
      <c r="B17509" s="8"/>
      <c r="G17509" s="8"/>
      <c r="M17509" s="8"/>
    </row>
    <row r="17510">
      <c r="B17510" s="8"/>
      <c r="G17510" s="8"/>
      <c r="M17510" s="8"/>
    </row>
    <row r="17511">
      <c r="B17511" s="8"/>
      <c r="G17511" s="8"/>
      <c r="M17511" s="8"/>
    </row>
    <row r="17512">
      <c r="B17512" s="8"/>
      <c r="G17512" s="8"/>
      <c r="M17512" s="8"/>
    </row>
    <row r="17513">
      <c r="B17513" s="8"/>
      <c r="G17513" s="8"/>
      <c r="M17513" s="8"/>
    </row>
    <row r="17514">
      <c r="B17514" s="8"/>
      <c r="G17514" s="8"/>
      <c r="M17514" s="8"/>
    </row>
    <row r="17515">
      <c r="B17515" s="8"/>
      <c r="G17515" s="8"/>
      <c r="M17515" s="8"/>
    </row>
    <row r="17516">
      <c r="B17516" s="8"/>
      <c r="G17516" s="8"/>
      <c r="M17516" s="8"/>
    </row>
    <row r="17517">
      <c r="B17517" s="8"/>
      <c r="G17517" s="8"/>
      <c r="M17517" s="8"/>
    </row>
    <row r="17518">
      <c r="B17518" s="8"/>
      <c r="G17518" s="8"/>
      <c r="M17518" s="8"/>
    </row>
    <row r="17519">
      <c r="B17519" s="8"/>
      <c r="G17519" s="8"/>
      <c r="M17519" s="8"/>
    </row>
    <row r="17520">
      <c r="B17520" s="8"/>
      <c r="G17520" s="8"/>
      <c r="M17520" s="8"/>
    </row>
    <row r="17521">
      <c r="B17521" s="8"/>
      <c r="G17521" s="8"/>
      <c r="M17521" s="8"/>
    </row>
    <row r="17522">
      <c r="B17522" s="8"/>
      <c r="G17522" s="8"/>
      <c r="M17522" s="8"/>
    </row>
    <row r="17523">
      <c r="B17523" s="8"/>
      <c r="G17523" s="8"/>
      <c r="M17523" s="8"/>
    </row>
    <row r="17524">
      <c r="B17524" s="8"/>
      <c r="G17524" s="8"/>
      <c r="M17524" s="8"/>
    </row>
    <row r="17525">
      <c r="B17525" s="8"/>
      <c r="G17525" s="8"/>
      <c r="M17525" s="8"/>
    </row>
    <row r="17526">
      <c r="B17526" s="8"/>
      <c r="G17526" s="8"/>
      <c r="M17526" s="8"/>
    </row>
    <row r="17527">
      <c r="B17527" s="8"/>
      <c r="G17527" s="8"/>
      <c r="M17527" s="8"/>
    </row>
    <row r="17528">
      <c r="B17528" s="8"/>
      <c r="G17528" s="8"/>
      <c r="M17528" s="8"/>
    </row>
    <row r="17529">
      <c r="B17529" s="8"/>
      <c r="G17529" s="8"/>
      <c r="M17529" s="8"/>
    </row>
    <row r="17530">
      <c r="B17530" s="8"/>
      <c r="G17530" s="8"/>
      <c r="M17530" s="8"/>
    </row>
    <row r="17531">
      <c r="B17531" s="8"/>
      <c r="G17531" s="8"/>
      <c r="M17531" s="8"/>
    </row>
    <row r="17532">
      <c r="B17532" s="8"/>
      <c r="G17532" s="8"/>
      <c r="M17532" s="8"/>
    </row>
    <row r="17533">
      <c r="B17533" s="8"/>
      <c r="G17533" s="8"/>
      <c r="M17533" s="8"/>
    </row>
    <row r="17534">
      <c r="B17534" s="8"/>
      <c r="G17534" s="8"/>
      <c r="M17534" s="8"/>
    </row>
    <row r="17535">
      <c r="B17535" s="8"/>
      <c r="G17535" s="8"/>
      <c r="M17535" s="8"/>
    </row>
    <row r="17536">
      <c r="B17536" s="8"/>
      <c r="G17536" s="8"/>
      <c r="M17536" s="8"/>
    </row>
    <row r="17537">
      <c r="B17537" s="8"/>
      <c r="G17537" s="8"/>
      <c r="M17537" s="8"/>
    </row>
    <row r="17538">
      <c r="B17538" s="8"/>
      <c r="G17538" s="8"/>
      <c r="M17538" s="8"/>
    </row>
    <row r="17539">
      <c r="B17539" s="8"/>
      <c r="G17539" s="8"/>
      <c r="M17539" s="8"/>
    </row>
    <row r="17540">
      <c r="B17540" s="8"/>
      <c r="G17540" s="8"/>
      <c r="M17540" s="8"/>
    </row>
    <row r="17541">
      <c r="B17541" s="8"/>
      <c r="G17541" s="8"/>
      <c r="M17541" s="8"/>
    </row>
    <row r="17542">
      <c r="B17542" s="8"/>
      <c r="G17542" s="8"/>
      <c r="M17542" s="8"/>
    </row>
    <row r="17543">
      <c r="B17543" s="8"/>
      <c r="G17543" s="8"/>
      <c r="M17543" s="8"/>
    </row>
    <row r="17544">
      <c r="B17544" s="8"/>
      <c r="G17544" s="8"/>
      <c r="M17544" s="8"/>
    </row>
    <row r="17545">
      <c r="B17545" s="8"/>
      <c r="G17545" s="8"/>
      <c r="M17545" s="8"/>
    </row>
    <row r="17546">
      <c r="B17546" s="8"/>
      <c r="G17546" s="8"/>
      <c r="M17546" s="8"/>
    </row>
    <row r="17547">
      <c r="B17547" s="8"/>
      <c r="G17547" s="8"/>
      <c r="M17547" s="8"/>
    </row>
    <row r="17548">
      <c r="B17548" s="8"/>
      <c r="G17548" s="8"/>
      <c r="M17548" s="8"/>
    </row>
    <row r="17549">
      <c r="B17549" s="8"/>
      <c r="G17549" s="8"/>
      <c r="M17549" s="8"/>
    </row>
    <row r="17550">
      <c r="B17550" s="8"/>
      <c r="G17550" s="8"/>
      <c r="M17550" s="8"/>
    </row>
    <row r="17551">
      <c r="B17551" s="8"/>
      <c r="G17551" s="8"/>
      <c r="M17551" s="8"/>
    </row>
    <row r="17552">
      <c r="B17552" s="8"/>
      <c r="G17552" s="8"/>
      <c r="M17552" s="8"/>
    </row>
    <row r="17553">
      <c r="B17553" s="8"/>
      <c r="G17553" s="8"/>
      <c r="M17553" s="8"/>
    </row>
    <row r="17554">
      <c r="B17554" s="8"/>
      <c r="G17554" s="8"/>
      <c r="M17554" s="8"/>
    </row>
    <row r="17555">
      <c r="B17555" s="8"/>
      <c r="G17555" s="8"/>
      <c r="M17555" s="8"/>
    </row>
    <row r="17556">
      <c r="B17556" s="8"/>
      <c r="G17556" s="8"/>
      <c r="M17556" s="8"/>
    </row>
    <row r="17557">
      <c r="B17557" s="8"/>
      <c r="G17557" s="8"/>
      <c r="M17557" s="8"/>
    </row>
    <row r="17558">
      <c r="B17558" s="8"/>
      <c r="G17558" s="8"/>
      <c r="M17558" s="8"/>
    </row>
    <row r="17559">
      <c r="B17559" s="8"/>
      <c r="G17559" s="8"/>
      <c r="M17559" s="8"/>
    </row>
    <row r="17560">
      <c r="B17560" s="8"/>
      <c r="G17560" s="8"/>
      <c r="M17560" s="8"/>
    </row>
    <row r="17561">
      <c r="B17561" s="8"/>
      <c r="G17561" s="8"/>
      <c r="M17561" s="8"/>
    </row>
    <row r="17562">
      <c r="B17562" s="8"/>
      <c r="G17562" s="8"/>
      <c r="M17562" s="8"/>
    </row>
    <row r="17563">
      <c r="B17563" s="8"/>
      <c r="G17563" s="8"/>
      <c r="M17563" s="8"/>
    </row>
    <row r="17564">
      <c r="B17564" s="8"/>
      <c r="G17564" s="8"/>
      <c r="M17564" s="8"/>
    </row>
    <row r="17565">
      <c r="B17565" s="8"/>
      <c r="G17565" s="8"/>
      <c r="M17565" s="8"/>
    </row>
    <row r="17566">
      <c r="B17566" s="8"/>
      <c r="G17566" s="8"/>
      <c r="M17566" s="8"/>
    </row>
    <row r="17567">
      <c r="B17567" s="8"/>
      <c r="G17567" s="8"/>
      <c r="M17567" s="8"/>
    </row>
    <row r="17568">
      <c r="B17568" s="8"/>
      <c r="G17568" s="8"/>
      <c r="M17568" s="8"/>
    </row>
    <row r="17569">
      <c r="B17569" s="8"/>
      <c r="G17569" s="8"/>
      <c r="M17569" s="8"/>
    </row>
    <row r="17570">
      <c r="B17570" s="8"/>
      <c r="G17570" s="8"/>
      <c r="M17570" s="8"/>
    </row>
    <row r="17571">
      <c r="B17571" s="8"/>
      <c r="G17571" s="8"/>
      <c r="M17571" s="8"/>
    </row>
    <row r="17572">
      <c r="B17572" s="8"/>
      <c r="G17572" s="8"/>
      <c r="M17572" s="8"/>
    </row>
    <row r="17573">
      <c r="B17573" s="8"/>
      <c r="G17573" s="8"/>
      <c r="M17573" s="8"/>
    </row>
    <row r="17574">
      <c r="B17574" s="8"/>
      <c r="G17574" s="8"/>
      <c r="M17574" s="8"/>
    </row>
    <row r="17575">
      <c r="B17575" s="8"/>
      <c r="G17575" s="8"/>
      <c r="M17575" s="8"/>
    </row>
    <row r="17576">
      <c r="B17576" s="8"/>
      <c r="G17576" s="8"/>
      <c r="M17576" s="8"/>
    </row>
    <row r="17577">
      <c r="B17577" s="8"/>
      <c r="G17577" s="8"/>
      <c r="M17577" s="8"/>
    </row>
    <row r="17578">
      <c r="B17578" s="8"/>
      <c r="G17578" s="8"/>
      <c r="M17578" s="8"/>
    </row>
    <row r="17579">
      <c r="B17579" s="8"/>
      <c r="G17579" s="8"/>
      <c r="M17579" s="8"/>
    </row>
    <row r="17580">
      <c r="B17580" s="8"/>
      <c r="G17580" s="8"/>
      <c r="M17580" s="8"/>
    </row>
    <row r="17581">
      <c r="B17581" s="8"/>
      <c r="G17581" s="8"/>
      <c r="M17581" s="8"/>
    </row>
    <row r="17582">
      <c r="B17582" s="8"/>
      <c r="G17582" s="8"/>
      <c r="M17582" s="8"/>
    </row>
    <row r="17583">
      <c r="B17583" s="8"/>
      <c r="G17583" s="8"/>
      <c r="M17583" s="8"/>
    </row>
    <row r="17584">
      <c r="B17584" s="8"/>
      <c r="G17584" s="8"/>
      <c r="M17584" s="8"/>
    </row>
    <row r="17585">
      <c r="B17585" s="8"/>
      <c r="G17585" s="8"/>
      <c r="M17585" s="8"/>
    </row>
    <row r="17586">
      <c r="B17586" s="8"/>
      <c r="G17586" s="8"/>
      <c r="M17586" s="8"/>
    </row>
    <row r="17587">
      <c r="B17587" s="8"/>
      <c r="G17587" s="8"/>
      <c r="M17587" s="8"/>
    </row>
    <row r="17588">
      <c r="B17588" s="8"/>
      <c r="G17588" s="8"/>
      <c r="M17588" s="8"/>
    </row>
    <row r="17589">
      <c r="B17589" s="8"/>
      <c r="G17589" s="8"/>
      <c r="M17589" s="8"/>
    </row>
    <row r="17590">
      <c r="B17590" s="8"/>
      <c r="G17590" s="8"/>
      <c r="M17590" s="8"/>
    </row>
    <row r="17591">
      <c r="B17591" s="8"/>
      <c r="G17591" s="8"/>
      <c r="M17591" s="8"/>
    </row>
    <row r="17592">
      <c r="B17592" s="8"/>
      <c r="G17592" s="8"/>
      <c r="M17592" s="8"/>
    </row>
    <row r="17593">
      <c r="B17593" s="8"/>
      <c r="G17593" s="8"/>
      <c r="M17593" s="8"/>
    </row>
    <row r="17594">
      <c r="B17594" s="8"/>
      <c r="G17594" s="8"/>
      <c r="M17594" s="8"/>
    </row>
    <row r="17595">
      <c r="B17595" s="8"/>
      <c r="G17595" s="8"/>
      <c r="M17595" s="8"/>
    </row>
    <row r="17596">
      <c r="B17596" s="8"/>
      <c r="G17596" s="8"/>
      <c r="M17596" s="8"/>
    </row>
    <row r="17597">
      <c r="B17597" s="8"/>
      <c r="G17597" s="8"/>
      <c r="M17597" s="8"/>
    </row>
    <row r="17598">
      <c r="B17598" s="8"/>
      <c r="G17598" s="8"/>
      <c r="M17598" s="8"/>
    </row>
    <row r="17599">
      <c r="B17599" s="8"/>
      <c r="G17599" s="8"/>
      <c r="M17599" s="8"/>
    </row>
    <row r="17600">
      <c r="B17600" s="8"/>
      <c r="G17600" s="8"/>
      <c r="M17600" s="8"/>
    </row>
    <row r="17601">
      <c r="B17601" s="8"/>
      <c r="G17601" s="8"/>
      <c r="M17601" s="8"/>
    </row>
    <row r="17602">
      <c r="B17602" s="8"/>
      <c r="G17602" s="8"/>
      <c r="M17602" s="8"/>
    </row>
    <row r="17603">
      <c r="B17603" s="8"/>
      <c r="G17603" s="8"/>
      <c r="M17603" s="8"/>
    </row>
    <row r="17604">
      <c r="B17604" s="8"/>
      <c r="G17604" s="8"/>
      <c r="M17604" s="8"/>
    </row>
    <row r="17605">
      <c r="B17605" s="8"/>
      <c r="G17605" s="8"/>
      <c r="M17605" s="8"/>
    </row>
    <row r="17606">
      <c r="B17606" s="8"/>
      <c r="G17606" s="8"/>
      <c r="M17606" s="8"/>
    </row>
    <row r="17607">
      <c r="B17607" s="8"/>
      <c r="G17607" s="8"/>
      <c r="M17607" s="8"/>
    </row>
    <row r="17608">
      <c r="B17608" s="8"/>
      <c r="G17608" s="8"/>
      <c r="M17608" s="8"/>
    </row>
    <row r="17609">
      <c r="B17609" s="8"/>
      <c r="G17609" s="8"/>
      <c r="M17609" s="8"/>
    </row>
    <row r="17610">
      <c r="B17610" s="8"/>
      <c r="G17610" s="8"/>
      <c r="M17610" s="8"/>
    </row>
    <row r="17611">
      <c r="B17611" s="8"/>
      <c r="G17611" s="8"/>
      <c r="M17611" s="8"/>
    </row>
    <row r="17612">
      <c r="B17612" s="8"/>
      <c r="G17612" s="8"/>
      <c r="M17612" s="8"/>
    </row>
    <row r="17613">
      <c r="B17613" s="8"/>
      <c r="G17613" s="8"/>
      <c r="M17613" s="8"/>
    </row>
    <row r="17614">
      <c r="B17614" s="8"/>
      <c r="G17614" s="8"/>
      <c r="M17614" s="8"/>
    </row>
    <row r="17615">
      <c r="B17615" s="8"/>
      <c r="G17615" s="8"/>
      <c r="M17615" s="8"/>
    </row>
    <row r="17616">
      <c r="B17616" s="8"/>
      <c r="G17616" s="8"/>
      <c r="M17616" s="8"/>
    </row>
    <row r="17617">
      <c r="B17617" s="8"/>
      <c r="G17617" s="8"/>
      <c r="M17617" s="8"/>
    </row>
    <row r="17618">
      <c r="B17618" s="8"/>
      <c r="G17618" s="8"/>
      <c r="M17618" s="8"/>
    </row>
    <row r="17619">
      <c r="B17619" s="8"/>
      <c r="G17619" s="8"/>
      <c r="M17619" s="8"/>
    </row>
    <row r="17620">
      <c r="B17620" s="8"/>
      <c r="G17620" s="8"/>
      <c r="M17620" s="8"/>
    </row>
    <row r="17621">
      <c r="B17621" s="8"/>
      <c r="G17621" s="8"/>
      <c r="M17621" s="8"/>
    </row>
    <row r="17622">
      <c r="B17622" s="8"/>
      <c r="G17622" s="8"/>
      <c r="M17622" s="8"/>
    </row>
    <row r="17623">
      <c r="B17623" s="8"/>
      <c r="G17623" s="8"/>
      <c r="M17623" s="8"/>
    </row>
    <row r="17624">
      <c r="B17624" s="8"/>
      <c r="G17624" s="8"/>
      <c r="M17624" s="8"/>
    </row>
    <row r="17625">
      <c r="B17625" s="8"/>
      <c r="G17625" s="8"/>
      <c r="M17625" s="8"/>
    </row>
    <row r="17626">
      <c r="B17626" s="8"/>
      <c r="G17626" s="8"/>
      <c r="M17626" s="8"/>
    </row>
    <row r="17627">
      <c r="B17627" s="8"/>
      <c r="G17627" s="8"/>
      <c r="M17627" s="8"/>
    </row>
    <row r="17628">
      <c r="B17628" s="8"/>
      <c r="G17628" s="8"/>
      <c r="M17628" s="8"/>
    </row>
    <row r="17629">
      <c r="B17629" s="8"/>
      <c r="G17629" s="8"/>
      <c r="M17629" s="8"/>
    </row>
    <row r="17630">
      <c r="B17630" s="8"/>
      <c r="G17630" s="8"/>
      <c r="M17630" s="8"/>
    </row>
    <row r="17631">
      <c r="B17631" s="8"/>
      <c r="G17631" s="8"/>
      <c r="M17631" s="8"/>
    </row>
    <row r="17632">
      <c r="B17632" s="8"/>
      <c r="G17632" s="8"/>
      <c r="M17632" s="8"/>
    </row>
    <row r="17633">
      <c r="B17633" s="8"/>
      <c r="G17633" s="8"/>
      <c r="M17633" s="8"/>
    </row>
    <row r="17634">
      <c r="B17634" s="8"/>
      <c r="G17634" s="8"/>
      <c r="M17634" s="8"/>
    </row>
    <row r="17635">
      <c r="B17635" s="8"/>
      <c r="G17635" s="8"/>
      <c r="M17635" s="8"/>
    </row>
    <row r="17636">
      <c r="B17636" s="8"/>
      <c r="G17636" s="8"/>
      <c r="M17636" s="8"/>
    </row>
    <row r="17637">
      <c r="B17637" s="8"/>
      <c r="G17637" s="8"/>
      <c r="M17637" s="8"/>
    </row>
    <row r="17638">
      <c r="B17638" s="8"/>
      <c r="G17638" s="8"/>
      <c r="M17638" s="8"/>
    </row>
    <row r="17639">
      <c r="B17639" s="8"/>
      <c r="G17639" s="8"/>
      <c r="M17639" s="8"/>
    </row>
    <row r="17640">
      <c r="B17640" s="8"/>
      <c r="G17640" s="8"/>
      <c r="M17640" s="8"/>
    </row>
    <row r="17641">
      <c r="B17641" s="8"/>
      <c r="G17641" s="8"/>
      <c r="M17641" s="8"/>
    </row>
    <row r="17642">
      <c r="B17642" s="8"/>
      <c r="G17642" s="8"/>
      <c r="M17642" s="8"/>
    </row>
    <row r="17643">
      <c r="B17643" s="8"/>
      <c r="G17643" s="8"/>
      <c r="M17643" s="8"/>
    </row>
    <row r="17644">
      <c r="B17644" s="8"/>
      <c r="G17644" s="8"/>
      <c r="M17644" s="8"/>
    </row>
    <row r="17645">
      <c r="B17645" s="8"/>
      <c r="G17645" s="8"/>
      <c r="M17645" s="8"/>
    </row>
    <row r="17646">
      <c r="B17646" s="8"/>
      <c r="G17646" s="8"/>
      <c r="M17646" s="8"/>
    </row>
    <row r="17647">
      <c r="B17647" s="8"/>
      <c r="G17647" s="8"/>
      <c r="M17647" s="8"/>
    </row>
    <row r="17648">
      <c r="B17648" s="8"/>
      <c r="G17648" s="8"/>
      <c r="M17648" s="8"/>
    </row>
    <row r="17649">
      <c r="B17649" s="8"/>
      <c r="G17649" s="8"/>
      <c r="M17649" s="8"/>
    </row>
    <row r="17650">
      <c r="B17650" s="8"/>
      <c r="G17650" s="8"/>
      <c r="M17650" s="8"/>
    </row>
    <row r="17651">
      <c r="B17651" s="8"/>
      <c r="G17651" s="8"/>
      <c r="M17651" s="8"/>
    </row>
    <row r="17652">
      <c r="B17652" s="8"/>
      <c r="G17652" s="8"/>
      <c r="M17652" s="8"/>
    </row>
    <row r="17653">
      <c r="B17653" s="8"/>
      <c r="G17653" s="8"/>
      <c r="M17653" s="8"/>
    </row>
    <row r="17654">
      <c r="B17654" s="8"/>
      <c r="G17654" s="8"/>
      <c r="M17654" s="8"/>
    </row>
    <row r="17655">
      <c r="B17655" s="8"/>
      <c r="G17655" s="8"/>
      <c r="M17655" s="8"/>
    </row>
    <row r="17656">
      <c r="B17656" s="8"/>
      <c r="G17656" s="8"/>
      <c r="M17656" s="8"/>
    </row>
    <row r="17657">
      <c r="B17657" s="8"/>
      <c r="G17657" s="8"/>
      <c r="M17657" s="8"/>
    </row>
    <row r="17658">
      <c r="B17658" s="8"/>
      <c r="G17658" s="8"/>
      <c r="M17658" s="8"/>
    </row>
    <row r="17659">
      <c r="B17659" s="8"/>
      <c r="G17659" s="8"/>
      <c r="M17659" s="8"/>
    </row>
    <row r="17660">
      <c r="B17660" s="8"/>
      <c r="G17660" s="8"/>
      <c r="M17660" s="8"/>
    </row>
    <row r="17661">
      <c r="B17661" s="8"/>
      <c r="G17661" s="8"/>
      <c r="M17661" s="8"/>
    </row>
    <row r="17662">
      <c r="B17662" s="8"/>
      <c r="G17662" s="8"/>
      <c r="M17662" s="8"/>
    </row>
    <row r="17663">
      <c r="B17663" s="8"/>
      <c r="G17663" s="8"/>
      <c r="M17663" s="8"/>
    </row>
    <row r="17664">
      <c r="B17664" s="8"/>
      <c r="G17664" s="8"/>
      <c r="M17664" s="8"/>
    </row>
    <row r="17665">
      <c r="B17665" s="8"/>
      <c r="G17665" s="8"/>
      <c r="M17665" s="8"/>
    </row>
    <row r="17666">
      <c r="B17666" s="8"/>
      <c r="G17666" s="8"/>
      <c r="M17666" s="8"/>
    </row>
    <row r="17667">
      <c r="B17667" s="8"/>
      <c r="G17667" s="8"/>
      <c r="M17667" s="8"/>
    </row>
    <row r="17668">
      <c r="B17668" s="8"/>
      <c r="G17668" s="8"/>
      <c r="M17668" s="8"/>
    </row>
    <row r="17669">
      <c r="B17669" s="8"/>
      <c r="G17669" s="8"/>
      <c r="M17669" s="8"/>
    </row>
    <row r="17670">
      <c r="B17670" s="8"/>
      <c r="G17670" s="8"/>
      <c r="M17670" s="8"/>
    </row>
    <row r="17671">
      <c r="B17671" s="8"/>
      <c r="G17671" s="8"/>
      <c r="M17671" s="8"/>
    </row>
    <row r="17672">
      <c r="B17672" s="8"/>
      <c r="G17672" s="8"/>
      <c r="M17672" s="8"/>
    </row>
    <row r="17673">
      <c r="B17673" s="8"/>
      <c r="G17673" s="8"/>
      <c r="M17673" s="8"/>
    </row>
    <row r="17674">
      <c r="B17674" s="8"/>
      <c r="G17674" s="8"/>
      <c r="M17674" s="8"/>
    </row>
    <row r="17675">
      <c r="B17675" s="8"/>
      <c r="G17675" s="8"/>
      <c r="M17675" s="8"/>
    </row>
    <row r="17676">
      <c r="B17676" s="8"/>
      <c r="G17676" s="8"/>
      <c r="M17676" s="8"/>
    </row>
    <row r="17677">
      <c r="B17677" s="8"/>
      <c r="G17677" s="8"/>
      <c r="M17677" s="8"/>
    </row>
    <row r="17678">
      <c r="B17678" s="8"/>
      <c r="G17678" s="8"/>
      <c r="M17678" s="8"/>
    </row>
    <row r="17679">
      <c r="B17679" s="8"/>
      <c r="G17679" s="8"/>
      <c r="M17679" s="8"/>
    </row>
    <row r="17680">
      <c r="B17680" s="8"/>
      <c r="G17680" s="8"/>
      <c r="M17680" s="8"/>
    </row>
    <row r="17681">
      <c r="B17681" s="8"/>
      <c r="G17681" s="8"/>
      <c r="M17681" s="8"/>
    </row>
    <row r="17682">
      <c r="B17682" s="8"/>
      <c r="G17682" s="8"/>
      <c r="M17682" s="8"/>
    </row>
    <row r="17683">
      <c r="B17683" s="8"/>
      <c r="G17683" s="8"/>
      <c r="M17683" s="8"/>
    </row>
    <row r="17684">
      <c r="B17684" s="8"/>
      <c r="G17684" s="8"/>
      <c r="M17684" s="8"/>
    </row>
    <row r="17685">
      <c r="B17685" s="8"/>
      <c r="G17685" s="8"/>
      <c r="M17685" s="8"/>
    </row>
    <row r="17686">
      <c r="B17686" s="8"/>
      <c r="G17686" s="8"/>
      <c r="M17686" s="8"/>
    </row>
    <row r="17687">
      <c r="B17687" s="8"/>
      <c r="G17687" s="8"/>
      <c r="M17687" s="8"/>
    </row>
    <row r="17688">
      <c r="B17688" s="8"/>
      <c r="G17688" s="8"/>
      <c r="M17688" s="8"/>
    </row>
    <row r="17689">
      <c r="B17689" s="8"/>
      <c r="G17689" s="8"/>
      <c r="M17689" s="8"/>
    </row>
    <row r="17690">
      <c r="B17690" s="8"/>
      <c r="G17690" s="8"/>
      <c r="M17690" s="8"/>
    </row>
    <row r="17691">
      <c r="B17691" s="8"/>
      <c r="G17691" s="8"/>
      <c r="M17691" s="8"/>
    </row>
    <row r="17692">
      <c r="B17692" s="8"/>
      <c r="G17692" s="8"/>
      <c r="M17692" s="8"/>
    </row>
    <row r="17693">
      <c r="B17693" s="8"/>
      <c r="G17693" s="8"/>
      <c r="M17693" s="8"/>
    </row>
    <row r="17694">
      <c r="B17694" s="8"/>
      <c r="G17694" s="8"/>
      <c r="M17694" s="8"/>
    </row>
    <row r="17695">
      <c r="B17695" s="8"/>
      <c r="G17695" s="8"/>
      <c r="M17695" s="8"/>
    </row>
    <row r="17696">
      <c r="B17696" s="8"/>
      <c r="G17696" s="8"/>
      <c r="M17696" s="8"/>
    </row>
    <row r="17697">
      <c r="B17697" s="8"/>
      <c r="G17697" s="8"/>
      <c r="M17697" s="8"/>
    </row>
    <row r="17698">
      <c r="B17698" s="8"/>
      <c r="G17698" s="8"/>
      <c r="M17698" s="8"/>
    </row>
    <row r="17699">
      <c r="B17699" s="8"/>
      <c r="G17699" s="8"/>
      <c r="M17699" s="8"/>
    </row>
    <row r="17700">
      <c r="B17700" s="8"/>
      <c r="G17700" s="8"/>
      <c r="M17700" s="8"/>
    </row>
    <row r="17701">
      <c r="B17701" s="8"/>
      <c r="G17701" s="8"/>
      <c r="M17701" s="8"/>
    </row>
    <row r="17702">
      <c r="B17702" s="8"/>
      <c r="G17702" s="8"/>
      <c r="M17702" s="8"/>
    </row>
    <row r="17703">
      <c r="B17703" s="8"/>
      <c r="G17703" s="8"/>
      <c r="M17703" s="8"/>
    </row>
    <row r="17704">
      <c r="B17704" s="8"/>
      <c r="G17704" s="8"/>
      <c r="M17704" s="8"/>
    </row>
    <row r="17705">
      <c r="B17705" s="8"/>
      <c r="G17705" s="8"/>
      <c r="M17705" s="8"/>
    </row>
    <row r="17706">
      <c r="B17706" s="8"/>
      <c r="G17706" s="8"/>
      <c r="M17706" s="8"/>
    </row>
    <row r="17707">
      <c r="B17707" s="8"/>
      <c r="G17707" s="8"/>
      <c r="M17707" s="8"/>
    </row>
    <row r="17708">
      <c r="B17708" s="8"/>
      <c r="G17708" s="8"/>
      <c r="M17708" s="8"/>
    </row>
    <row r="17709">
      <c r="B17709" s="8"/>
      <c r="G17709" s="8"/>
      <c r="M17709" s="8"/>
    </row>
    <row r="17710">
      <c r="B17710" s="8"/>
      <c r="G17710" s="8"/>
      <c r="M17710" s="8"/>
    </row>
    <row r="17711">
      <c r="B17711" s="8"/>
      <c r="G17711" s="8"/>
      <c r="M17711" s="8"/>
    </row>
    <row r="17712">
      <c r="B17712" s="8"/>
      <c r="G17712" s="8"/>
      <c r="M17712" s="8"/>
    </row>
    <row r="17713">
      <c r="B17713" s="8"/>
      <c r="G17713" s="8"/>
      <c r="M17713" s="8"/>
    </row>
    <row r="17714">
      <c r="B17714" s="8"/>
      <c r="G17714" s="8"/>
      <c r="M17714" s="8"/>
    </row>
    <row r="17715">
      <c r="B17715" s="8"/>
      <c r="G17715" s="8"/>
      <c r="M17715" s="8"/>
    </row>
    <row r="17716">
      <c r="B17716" s="8"/>
      <c r="G17716" s="8"/>
      <c r="M17716" s="8"/>
    </row>
    <row r="17717">
      <c r="B17717" s="8"/>
      <c r="G17717" s="8"/>
      <c r="M17717" s="8"/>
    </row>
    <row r="17718">
      <c r="B17718" s="8"/>
      <c r="G17718" s="8"/>
      <c r="M17718" s="8"/>
    </row>
    <row r="17719">
      <c r="B17719" s="8"/>
      <c r="G17719" s="8"/>
      <c r="M17719" s="8"/>
    </row>
    <row r="17720">
      <c r="B17720" s="8"/>
      <c r="G17720" s="8"/>
      <c r="M17720" s="8"/>
    </row>
    <row r="17721">
      <c r="B17721" s="8"/>
      <c r="G17721" s="8"/>
      <c r="M17721" s="8"/>
    </row>
    <row r="17722">
      <c r="B17722" s="8"/>
      <c r="G17722" s="8"/>
      <c r="M17722" s="8"/>
    </row>
    <row r="17723">
      <c r="B17723" s="8"/>
      <c r="G17723" s="8"/>
      <c r="M17723" s="8"/>
    </row>
    <row r="17724">
      <c r="B17724" s="8"/>
      <c r="G17724" s="8"/>
      <c r="M17724" s="8"/>
    </row>
    <row r="17725">
      <c r="B17725" s="8"/>
      <c r="G17725" s="8"/>
      <c r="M17725" s="8"/>
    </row>
    <row r="17726">
      <c r="B17726" s="8"/>
      <c r="G17726" s="8"/>
      <c r="M17726" s="8"/>
    </row>
    <row r="17727">
      <c r="B17727" s="8"/>
      <c r="G17727" s="8"/>
      <c r="M17727" s="8"/>
    </row>
    <row r="17728">
      <c r="B17728" s="8"/>
      <c r="G17728" s="8"/>
      <c r="M17728" s="8"/>
    </row>
    <row r="17729">
      <c r="B17729" s="8"/>
      <c r="G17729" s="8"/>
      <c r="M17729" s="8"/>
    </row>
    <row r="17730">
      <c r="B17730" s="8"/>
      <c r="G17730" s="8"/>
      <c r="M17730" s="8"/>
    </row>
    <row r="17731">
      <c r="B17731" s="8"/>
      <c r="G17731" s="8"/>
      <c r="M17731" s="8"/>
    </row>
    <row r="17732">
      <c r="B17732" s="8"/>
      <c r="G17732" s="8"/>
      <c r="M17732" s="8"/>
    </row>
    <row r="17733">
      <c r="B17733" s="8"/>
      <c r="G17733" s="8"/>
      <c r="M17733" s="8"/>
    </row>
    <row r="17734">
      <c r="B17734" s="8"/>
      <c r="G17734" s="8"/>
      <c r="M17734" s="8"/>
    </row>
    <row r="17735">
      <c r="B17735" s="8"/>
      <c r="G17735" s="8"/>
      <c r="M17735" s="8"/>
    </row>
    <row r="17736">
      <c r="B17736" s="8"/>
      <c r="G17736" s="8"/>
      <c r="M17736" s="8"/>
    </row>
    <row r="17737">
      <c r="B17737" s="8"/>
      <c r="G17737" s="8"/>
      <c r="M17737" s="8"/>
    </row>
    <row r="17738">
      <c r="B17738" s="8"/>
      <c r="G17738" s="8"/>
      <c r="M17738" s="8"/>
    </row>
    <row r="17739">
      <c r="B17739" s="8"/>
      <c r="G17739" s="8"/>
      <c r="M17739" s="8"/>
    </row>
    <row r="17740">
      <c r="B17740" s="8"/>
      <c r="G17740" s="8"/>
      <c r="M17740" s="8"/>
    </row>
    <row r="17741">
      <c r="B17741" s="8"/>
      <c r="G17741" s="8"/>
      <c r="M17741" s="8"/>
    </row>
    <row r="17742">
      <c r="B17742" s="8"/>
      <c r="G17742" s="8"/>
      <c r="M17742" s="8"/>
    </row>
    <row r="17743">
      <c r="B17743" s="8"/>
      <c r="G17743" s="8"/>
      <c r="M17743" s="8"/>
    </row>
    <row r="17744">
      <c r="B17744" s="8"/>
      <c r="G17744" s="8"/>
      <c r="M17744" s="8"/>
    </row>
    <row r="17745">
      <c r="B17745" s="8"/>
      <c r="G17745" s="8"/>
      <c r="M17745" s="8"/>
    </row>
    <row r="17746">
      <c r="B17746" s="8"/>
      <c r="G17746" s="8"/>
      <c r="M17746" s="8"/>
    </row>
    <row r="17747">
      <c r="B17747" s="8"/>
      <c r="G17747" s="8"/>
      <c r="M17747" s="8"/>
    </row>
    <row r="17748">
      <c r="B17748" s="8"/>
      <c r="G17748" s="8"/>
      <c r="M17748" s="8"/>
    </row>
    <row r="17749">
      <c r="B17749" s="8"/>
      <c r="G17749" s="8"/>
      <c r="M17749" s="8"/>
    </row>
    <row r="17750">
      <c r="B17750" s="8"/>
      <c r="G17750" s="8"/>
      <c r="M17750" s="8"/>
    </row>
    <row r="17751">
      <c r="B17751" s="8"/>
      <c r="G17751" s="8"/>
      <c r="M17751" s="8"/>
    </row>
    <row r="17752">
      <c r="B17752" s="8"/>
      <c r="G17752" s="8"/>
      <c r="M17752" s="8"/>
    </row>
    <row r="17753">
      <c r="B17753" s="8"/>
      <c r="G17753" s="8"/>
      <c r="M17753" s="8"/>
    </row>
    <row r="17754">
      <c r="B17754" s="8"/>
      <c r="G17754" s="8"/>
      <c r="M17754" s="8"/>
    </row>
    <row r="17755">
      <c r="B17755" s="8"/>
      <c r="G17755" s="8"/>
      <c r="M17755" s="8"/>
    </row>
    <row r="17756">
      <c r="B17756" s="8"/>
      <c r="G17756" s="8"/>
      <c r="M17756" s="8"/>
    </row>
    <row r="17757">
      <c r="B17757" s="8"/>
      <c r="G17757" s="8"/>
      <c r="M17757" s="8"/>
    </row>
    <row r="17758">
      <c r="B17758" s="8"/>
      <c r="G17758" s="8"/>
      <c r="M17758" s="8"/>
    </row>
    <row r="17759">
      <c r="B17759" s="8"/>
      <c r="G17759" s="8"/>
      <c r="M17759" s="8"/>
    </row>
    <row r="17760">
      <c r="B17760" s="8"/>
      <c r="G17760" s="8"/>
      <c r="M17760" s="8"/>
    </row>
    <row r="17761">
      <c r="B17761" s="8"/>
      <c r="G17761" s="8"/>
      <c r="M17761" s="8"/>
    </row>
    <row r="17762">
      <c r="B17762" s="8"/>
      <c r="G17762" s="8"/>
      <c r="M17762" s="8"/>
    </row>
    <row r="17763">
      <c r="B17763" s="8"/>
      <c r="G17763" s="8"/>
      <c r="M17763" s="8"/>
    </row>
    <row r="17764">
      <c r="B17764" s="8"/>
      <c r="G17764" s="8"/>
      <c r="M17764" s="8"/>
    </row>
    <row r="17765">
      <c r="B17765" s="8"/>
      <c r="G17765" s="8"/>
      <c r="M17765" s="8"/>
    </row>
    <row r="17766">
      <c r="B17766" s="8"/>
      <c r="G17766" s="8"/>
      <c r="M17766" s="8"/>
    </row>
    <row r="17767">
      <c r="B17767" s="8"/>
      <c r="G17767" s="8"/>
      <c r="M17767" s="8"/>
    </row>
    <row r="17768">
      <c r="B17768" s="8"/>
      <c r="G17768" s="8"/>
      <c r="M17768" s="8"/>
    </row>
    <row r="17769">
      <c r="B17769" s="8"/>
      <c r="G17769" s="8"/>
      <c r="M17769" s="8"/>
    </row>
    <row r="17770">
      <c r="B17770" s="8"/>
      <c r="G17770" s="8"/>
      <c r="M17770" s="8"/>
    </row>
    <row r="17771">
      <c r="B17771" s="8"/>
      <c r="G17771" s="8"/>
      <c r="M17771" s="8"/>
    </row>
    <row r="17772">
      <c r="B17772" s="8"/>
      <c r="G17772" s="8"/>
      <c r="M17772" s="8"/>
    </row>
    <row r="17773">
      <c r="B17773" s="8"/>
      <c r="G17773" s="8"/>
      <c r="M17773" s="8"/>
    </row>
    <row r="17774">
      <c r="B17774" s="8"/>
      <c r="G17774" s="8"/>
      <c r="M17774" s="8"/>
    </row>
    <row r="17775">
      <c r="B17775" s="8"/>
      <c r="G17775" s="8"/>
      <c r="M17775" s="8"/>
    </row>
    <row r="17776">
      <c r="B17776" s="8"/>
      <c r="G17776" s="8"/>
      <c r="M17776" s="8"/>
    </row>
    <row r="17777">
      <c r="B17777" s="8"/>
      <c r="G17777" s="8"/>
      <c r="M17777" s="8"/>
    </row>
    <row r="17778">
      <c r="B17778" s="8"/>
      <c r="G17778" s="8"/>
      <c r="M17778" s="8"/>
    </row>
    <row r="17779">
      <c r="B17779" s="8"/>
      <c r="G17779" s="8"/>
      <c r="M17779" s="8"/>
    </row>
    <row r="17780">
      <c r="B17780" s="8"/>
      <c r="G17780" s="8"/>
      <c r="M17780" s="8"/>
    </row>
    <row r="17781">
      <c r="B17781" s="8"/>
      <c r="G17781" s="8"/>
      <c r="M17781" s="8"/>
    </row>
    <row r="17782">
      <c r="B17782" s="8"/>
      <c r="G17782" s="8"/>
      <c r="M17782" s="8"/>
    </row>
    <row r="17783">
      <c r="B17783" s="8"/>
      <c r="G17783" s="8"/>
      <c r="M17783" s="8"/>
    </row>
    <row r="17784">
      <c r="B17784" s="8"/>
      <c r="G17784" s="8"/>
      <c r="M17784" s="8"/>
    </row>
    <row r="17785">
      <c r="B17785" s="8"/>
      <c r="G17785" s="8"/>
      <c r="M17785" s="8"/>
    </row>
    <row r="17786">
      <c r="B17786" s="8"/>
      <c r="G17786" s="8"/>
      <c r="M17786" s="8"/>
    </row>
    <row r="17787">
      <c r="B17787" s="8"/>
      <c r="G17787" s="8"/>
      <c r="M17787" s="8"/>
    </row>
    <row r="17788">
      <c r="B17788" s="8"/>
      <c r="G17788" s="8"/>
      <c r="M17788" s="8"/>
    </row>
    <row r="17789">
      <c r="B17789" s="8"/>
      <c r="G17789" s="8"/>
      <c r="M17789" s="8"/>
    </row>
    <row r="17790">
      <c r="B17790" s="8"/>
      <c r="G17790" s="8"/>
      <c r="M17790" s="8"/>
    </row>
    <row r="17791">
      <c r="B17791" s="8"/>
      <c r="G17791" s="8"/>
      <c r="M17791" s="8"/>
    </row>
    <row r="17792">
      <c r="B17792" s="8"/>
      <c r="G17792" s="8"/>
      <c r="M17792" s="8"/>
    </row>
    <row r="17793">
      <c r="B17793" s="8"/>
      <c r="G17793" s="8"/>
      <c r="M17793" s="8"/>
    </row>
    <row r="17794">
      <c r="B17794" s="8"/>
      <c r="G17794" s="8"/>
      <c r="M17794" s="8"/>
    </row>
    <row r="17795">
      <c r="B17795" s="8"/>
      <c r="G17795" s="8"/>
      <c r="M17795" s="8"/>
    </row>
    <row r="17796">
      <c r="B17796" s="8"/>
      <c r="G17796" s="8"/>
      <c r="M17796" s="8"/>
    </row>
    <row r="17797">
      <c r="B17797" s="8"/>
      <c r="G17797" s="8"/>
      <c r="M17797" s="8"/>
    </row>
    <row r="17798">
      <c r="B17798" s="8"/>
      <c r="G17798" s="8"/>
      <c r="M17798" s="8"/>
    </row>
    <row r="17799">
      <c r="B17799" s="8"/>
      <c r="G17799" s="8"/>
      <c r="M17799" s="8"/>
    </row>
    <row r="17800">
      <c r="B17800" s="8"/>
      <c r="G17800" s="8"/>
      <c r="M17800" s="8"/>
    </row>
    <row r="17801">
      <c r="B17801" s="8"/>
      <c r="G17801" s="8"/>
      <c r="M17801" s="8"/>
    </row>
    <row r="17802">
      <c r="B17802" s="8"/>
      <c r="G17802" s="8"/>
      <c r="M17802" s="8"/>
    </row>
    <row r="17803">
      <c r="B17803" s="8"/>
      <c r="G17803" s="8"/>
      <c r="M17803" s="8"/>
    </row>
    <row r="17804">
      <c r="B17804" s="8"/>
      <c r="G17804" s="8"/>
      <c r="M17804" s="8"/>
    </row>
    <row r="17805">
      <c r="B17805" s="8"/>
      <c r="G17805" s="8"/>
      <c r="M17805" s="8"/>
    </row>
    <row r="17806">
      <c r="B17806" s="8"/>
      <c r="G17806" s="8"/>
      <c r="M17806" s="8"/>
    </row>
    <row r="17807">
      <c r="B17807" s="8"/>
      <c r="G17807" s="8"/>
      <c r="M17807" s="8"/>
    </row>
    <row r="17808">
      <c r="B17808" s="8"/>
      <c r="G17808" s="8"/>
      <c r="M17808" s="8"/>
    </row>
    <row r="17809">
      <c r="B17809" s="8"/>
      <c r="G17809" s="8"/>
      <c r="M17809" s="8"/>
    </row>
    <row r="17810">
      <c r="B17810" s="8"/>
      <c r="G17810" s="8"/>
      <c r="M17810" s="8"/>
    </row>
    <row r="17811">
      <c r="B17811" s="8"/>
      <c r="G17811" s="8"/>
      <c r="M17811" s="8"/>
    </row>
    <row r="17812">
      <c r="B17812" s="8"/>
      <c r="G17812" s="8"/>
      <c r="M17812" s="8"/>
    </row>
    <row r="17813">
      <c r="B17813" s="8"/>
      <c r="G17813" s="8"/>
      <c r="M17813" s="8"/>
    </row>
    <row r="17814">
      <c r="B17814" s="8"/>
      <c r="G17814" s="8"/>
      <c r="M17814" s="8"/>
    </row>
    <row r="17815">
      <c r="B17815" s="8"/>
      <c r="G17815" s="8"/>
      <c r="M17815" s="8"/>
    </row>
    <row r="17816">
      <c r="B17816" s="8"/>
      <c r="G17816" s="8"/>
      <c r="M17816" s="8"/>
    </row>
    <row r="17817">
      <c r="B17817" s="8"/>
      <c r="G17817" s="8"/>
      <c r="M17817" s="8"/>
    </row>
    <row r="17818">
      <c r="B17818" s="8"/>
      <c r="G17818" s="8"/>
      <c r="M17818" s="8"/>
    </row>
    <row r="17819">
      <c r="B17819" s="8"/>
      <c r="G17819" s="8"/>
      <c r="M17819" s="8"/>
    </row>
    <row r="17820">
      <c r="B17820" s="8"/>
      <c r="G17820" s="8"/>
      <c r="M17820" s="8"/>
    </row>
    <row r="17821">
      <c r="B17821" s="8"/>
      <c r="G17821" s="8"/>
      <c r="M17821" s="8"/>
    </row>
    <row r="17822">
      <c r="B17822" s="8"/>
      <c r="G17822" s="8"/>
      <c r="M17822" s="8"/>
    </row>
    <row r="17823">
      <c r="B17823" s="8"/>
      <c r="G17823" s="8"/>
      <c r="M17823" s="8"/>
    </row>
    <row r="17824">
      <c r="B17824" s="8"/>
      <c r="G17824" s="8"/>
      <c r="M17824" s="8"/>
    </row>
    <row r="17825">
      <c r="B17825" s="8"/>
      <c r="G17825" s="8"/>
      <c r="M17825" s="8"/>
    </row>
    <row r="17826">
      <c r="B17826" s="8"/>
      <c r="G17826" s="8"/>
      <c r="M17826" s="8"/>
    </row>
    <row r="17827">
      <c r="B17827" s="8"/>
      <c r="G17827" s="8"/>
      <c r="M17827" s="8"/>
    </row>
    <row r="17828">
      <c r="B17828" s="8"/>
      <c r="G17828" s="8"/>
      <c r="M17828" s="8"/>
    </row>
    <row r="17829">
      <c r="B17829" s="8"/>
      <c r="G17829" s="8"/>
      <c r="M17829" s="8"/>
    </row>
    <row r="17830">
      <c r="B17830" s="8"/>
      <c r="G17830" s="8"/>
      <c r="M17830" s="8"/>
    </row>
    <row r="17831">
      <c r="B17831" s="8"/>
      <c r="G17831" s="8"/>
      <c r="M17831" s="8"/>
    </row>
    <row r="17832">
      <c r="B17832" s="8"/>
      <c r="G17832" s="8"/>
      <c r="M17832" s="8"/>
    </row>
    <row r="17833">
      <c r="B17833" s="8"/>
      <c r="G17833" s="8"/>
      <c r="M17833" s="8"/>
    </row>
    <row r="17834">
      <c r="B17834" s="8"/>
      <c r="G17834" s="8"/>
      <c r="M17834" s="8"/>
    </row>
    <row r="17835">
      <c r="B17835" s="8"/>
      <c r="G17835" s="8"/>
      <c r="M17835" s="8"/>
    </row>
    <row r="17836">
      <c r="B17836" s="8"/>
      <c r="G17836" s="8"/>
      <c r="M17836" s="8"/>
    </row>
    <row r="17837">
      <c r="B17837" s="8"/>
      <c r="G17837" s="8"/>
      <c r="M17837" s="8"/>
    </row>
    <row r="17838">
      <c r="B17838" s="8"/>
      <c r="G17838" s="8"/>
      <c r="M17838" s="8"/>
    </row>
    <row r="17839">
      <c r="B17839" s="8"/>
      <c r="G17839" s="8"/>
      <c r="M17839" s="8"/>
    </row>
    <row r="17840">
      <c r="B17840" s="8"/>
      <c r="G17840" s="8"/>
      <c r="M17840" s="8"/>
    </row>
    <row r="17841">
      <c r="B17841" s="8"/>
      <c r="G17841" s="8"/>
      <c r="M17841" s="8"/>
    </row>
    <row r="17842">
      <c r="B17842" s="8"/>
      <c r="G17842" s="8"/>
      <c r="M17842" s="8"/>
    </row>
    <row r="17843">
      <c r="B17843" s="8"/>
      <c r="G17843" s="8"/>
      <c r="M17843" s="8"/>
    </row>
    <row r="17844">
      <c r="B17844" s="8"/>
      <c r="G17844" s="8"/>
      <c r="M17844" s="8"/>
    </row>
    <row r="17845">
      <c r="B17845" s="8"/>
      <c r="G17845" s="8"/>
      <c r="M17845" s="8"/>
    </row>
    <row r="17846">
      <c r="B17846" s="8"/>
      <c r="G17846" s="8"/>
      <c r="M17846" s="8"/>
    </row>
    <row r="17847">
      <c r="B17847" s="8"/>
      <c r="G17847" s="8"/>
      <c r="M17847" s="8"/>
    </row>
    <row r="17848">
      <c r="B17848" s="8"/>
      <c r="G17848" s="8"/>
      <c r="M17848" s="8"/>
    </row>
    <row r="17849">
      <c r="B17849" s="8"/>
      <c r="G17849" s="8"/>
      <c r="M17849" s="8"/>
    </row>
    <row r="17850">
      <c r="B17850" s="8"/>
      <c r="G17850" s="8"/>
      <c r="M17850" s="8"/>
    </row>
    <row r="17851">
      <c r="B17851" s="8"/>
      <c r="G17851" s="8"/>
      <c r="M17851" s="8"/>
    </row>
    <row r="17852">
      <c r="B17852" s="8"/>
      <c r="G17852" s="8"/>
      <c r="M17852" s="8"/>
    </row>
    <row r="17853">
      <c r="B17853" s="8"/>
      <c r="G17853" s="8"/>
      <c r="M17853" s="8"/>
    </row>
    <row r="17854">
      <c r="B17854" s="8"/>
      <c r="G17854" s="8"/>
      <c r="M17854" s="8"/>
    </row>
    <row r="17855">
      <c r="B17855" s="8"/>
      <c r="G17855" s="8"/>
      <c r="M17855" s="8"/>
    </row>
    <row r="17856">
      <c r="B17856" s="8"/>
      <c r="G17856" s="8"/>
      <c r="M17856" s="8"/>
    </row>
    <row r="17857">
      <c r="B17857" s="8"/>
      <c r="G17857" s="8"/>
      <c r="M17857" s="8"/>
    </row>
    <row r="17858">
      <c r="B17858" s="8"/>
      <c r="G17858" s="8"/>
      <c r="M17858" s="8"/>
    </row>
    <row r="17859">
      <c r="B17859" s="8"/>
      <c r="G17859" s="8"/>
      <c r="M17859" s="8"/>
    </row>
    <row r="17860">
      <c r="B17860" s="8"/>
      <c r="G17860" s="8"/>
      <c r="M17860" s="8"/>
    </row>
    <row r="17861">
      <c r="B17861" s="8"/>
      <c r="G17861" s="8"/>
      <c r="M17861" s="8"/>
    </row>
    <row r="17862">
      <c r="B17862" s="8"/>
      <c r="G17862" s="8"/>
      <c r="M17862" s="8"/>
    </row>
    <row r="17863">
      <c r="B17863" s="8"/>
      <c r="G17863" s="8"/>
      <c r="M17863" s="8"/>
    </row>
    <row r="17864">
      <c r="B17864" s="8"/>
      <c r="G17864" s="8"/>
      <c r="M17864" s="8"/>
    </row>
    <row r="17865">
      <c r="B17865" s="8"/>
      <c r="G17865" s="8"/>
      <c r="M17865" s="8"/>
    </row>
    <row r="17866">
      <c r="B17866" s="8"/>
      <c r="G17866" s="8"/>
      <c r="M17866" s="8"/>
    </row>
    <row r="17867">
      <c r="B17867" s="8"/>
      <c r="G17867" s="8"/>
      <c r="M17867" s="8"/>
    </row>
    <row r="17868">
      <c r="B17868" s="8"/>
      <c r="G17868" s="8"/>
      <c r="M17868" s="8"/>
    </row>
    <row r="17869">
      <c r="B17869" s="8"/>
      <c r="G17869" s="8"/>
      <c r="M17869" s="8"/>
    </row>
    <row r="17870">
      <c r="B17870" s="8"/>
      <c r="G17870" s="8"/>
      <c r="M17870" s="8"/>
    </row>
    <row r="17871">
      <c r="B17871" s="8"/>
      <c r="G17871" s="8"/>
      <c r="M17871" s="8"/>
    </row>
    <row r="17872">
      <c r="B17872" s="8"/>
      <c r="G17872" s="8"/>
      <c r="M17872" s="8"/>
    </row>
    <row r="17873">
      <c r="B17873" s="8"/>
      <c r="G17873" s="8"/>
      <c r="M17873" s="8"/>
    </row>
    <row r="17874">
      <c r="B17874" s="8"/>
      <c r="G17874" s="8"/>
      <c r="M17874" s="8"/>
    </row>
    <row r="17875">
      <c r="B17875" s="8"/>
      <c r="G17875" s="8"/>
      <c r="M17875" s="8"/>
    </row>
    <row r="17876">
      <c r="B17876" s="8"/>
      <c r="G17876" s="8"/>
      <c r="M17876" s="8"/>
    </row>
    <row r="17877">
      <c r="B17877" s="8"/>
      <c r="G17877" s="8"/>
      <c r="M17877" s="8"/>
    </row>
    <row r="17878">
      <c r="B17878" s="8"/>
      <c r="G17878" s="8"/>
      <c r="M17878" s="8"/>
    </row>
    <row r="17879">
      <c r="B17879" s="8"/>
      <c r="G17879" s="8"/>
      <c r="M17879" s="8"/>
    </row>
    <row r="17880">
      <c r="B17880" s="8"/>
      <c r="G17880" s="8"/>
      <c r="M17880" s="8"/>
    </row>
    <row r="17881">
      <c r="B17881" s="8"/>
      <c r="G17881" s="8"/>
      <c r="M17881" s="8"/>
    </row>
    <row r="17882">
      <c r="B17882" s="8"/>
      <c r="G17882" s="8"/>
      <c r="M17882" s="8"/>
    </row>
    <row r="17883">
      <c r="B17883" s="8"/>
      <c r="G17883" s="8"/>
      <c r="M17883" s="8"/>
    </row>
    <row r="17884">
      <c r="B17884" s="8"/>
      <c r="G17884" s="8"/>
      <c r="M17884" s="8"/>
    </row>
    <row r="17885">
      <c r="B17885" s="8"/>
      <c r="G17885" s="8"/>
      <c r="M17885" s="8"/>
    </row>
    <row r="17886">
      <c r="B17886" s="8"/>
      <c r="G17886" s="8"/>
      <c r="M17886" s="8"/>
    </row>
    <row r="17887">
      <c r="B17887" s="8"/>
      <c r="G17887" s="8"/>
      <c r="M17887" s="8"/>
    </row>
    <row r="17888">
      <c r="B17888" s="8"/>
      <c r="G17888" s="8"/>
      <c r="M17888" s="8"/>
    </row>
    <row r="17889">
      <c r="B17889" s="8"/>
      <c r="G17889" s="8"/>
      <c r="M17889" s="8"/>
    </row>
    <row r="17890">
      <c r="B17890" s="8"/>
      <c r="G17890" s="8"/>
      <c r="M17890" s="8"/>
    </row>
    <row r="17891">
      <c r="B17891" s="8"/>
      <c r="G17891" s="8"/>
      <c r="M17891" s="8"/>
    </row>
    <row r="17892">
      <c r="B17892" s="8"/>
      <c r="G17892" s="8"/>
      <c r="M17892" s="8"/>
    </row>
    <row r="17893">
      <c r="B17893" s="8"/>
      <c r="G17893" s="8"/>
      <c r="M17893" s="8"/>
    </row>
    <row r="17894">
      <c r="B17894" s="8"/>
      <c r="G17894" s="8"/>
      <c r="M17894" s="8"/>
    </row>
    <row r="17895">
      <c r="B17895" s="8"/>
      <c r="G17895" s="8"/>
      <c r="M17895" s="8"/>
    </row>
    <row r="17896">
      <c r="B17896" s="8"/>
      <c r="G17896" s="8"/>
      <c r="M17896" s="8"/>
    </row>
    <row r="17897">
      <c r="B17897" s="8"/>
      <c r="G17897" s="8"/>
      <c r="M17897" s="8"/>
    </row>
    <row r="17898">
      <c r="B17898" s="8"/>
      <c r="G17898" s="8"/>
      <c r="M17898" s="8"/>
    </row>
    <row r="17899">
      <c r="B17899" s="8"/>
      <c r="G17899" s="8"/>
      <c r="M17899" s="8"/>
    </row>
    <row r="17900">
      <c r="B17900" s="8"/>
      <c r="G17900" s="8"/>
      <c r="M17900" s="8"/>
    </row>
    <row r="17901">
      <c r="B17901" s="8"/>
      <c r="G17901" s="8"/>
      <c r="M17901" s="8"/>
    </row>
    <row r="17902">
      <c r="B17902" s="8"/>
      <c r="G17902" s="8"/>
      <c r="M17902" s="8"/>
    </row>
    <row r="17903">
      <c r="B17903" s="8"/>
      <c r="G17903" s="8"/>
      <c r="M17903" s="8"/>
    </row>
    <row r="17904">
      <c r="B17904" s="8"/>
      <c r="G17904" s="8"/>
      <c r="M17904" s="8"/>
    </row>
    <row r="17905">
      <c r="B17905" s="8"/>
      <c r="G17905" s="8"/>
      <c r="M17905" s="8"/>
    </row>
    <row r="17906">
      <c r="B17906" s="8"/>
      <c r="G17906" s="8"/>
      <c r="M17906" s="8"/>
    </row>
    <row r="17907">
      <c r="B17907" s="8"/>
      <c r="G17907" s="8"/>
      <c r="M17907" s="8"/>
    </row>
    <row r="17908">
      <c r="B17908" s="8"/>
      <c r="G17908" s="8"/>
      <c r="M17908" s="8"/>
    </row>
    <row r="17909">
      <c r="B17909" s="8"/>
      <c r="G17909" s="8"/>
      <c r="M17909" s="8"/>
    </row>
    <row r="17910">
      <c r="B17910" s="8"/>
      <c r="G17910" s="8"/>
      <c r="M17910" s="8"/>
    </row>
    <row r="17911">
      <c r="B17911" s="8"/>
      <c r="G17911" s="8"/>
      <c r="M17911" s="8"/>
    </row>
    <row r="17912">
      <c r="B17912" s="8"/>
      <c r="G17912" s="8"/>
      <c r="M17912" s="8"/>
    </row>
    <row r="17913">
      <c r="B17913" s="8"/>
      <c r="G17913" s="8"/>
      <c r="M17913" s="8"/>
    </row>
    <row r="17914">
      <c r="B17914" s="8"/>
      <c r="G17914" s="8"/>
      <c r="M17914" s="8"/>
    </row>
    <row r="17915">
      <c r="B17915" s="8"/>
      <c r="G17915" s="8"/>
      <c r="M17915" s="8"/>
    </row>
    <row r="17916">
      <c r="B17916" s="8"/>
      <c r="G17916" s="8"/>
      <c r="M17916" s="8"/>
    </row>
    <row r="17917">
      <c r="B17917" s="8"/>
      <c r="G17917" s="8"/>
      <c r="M17917" s="8"/>
    </row>
    <row r="17918">
      <c r="B17918" s="8"/>
      <c r="G17918" s="8"/>
      <c r="M17918" s="8"/>
    </row>
    <row r="17919">
      <c r="B17919" s="8"/>
      <c r="G17919" s="8"/>
      <c r="M17919" s="8"/>
    </row>
    <row r="17920">
      <c r="B17920" s="8"/>
      <c r="G17920" s="8"/>
      <c r="M17920" s="8"/>
    </row>
    <row r="17921">
      <c r="B17921" s="8"/>
      <c r="G17921" s="8"/>
      <c r="M17921" s="8"/>
    </row>
    <row r="17922">
      <c r="B17922" s="8"/>
      <c r="G17922" s="8"/>
      <c r="M17922" s="8"/>
    </row>
    <row r="17923">
      <c r="B17923" s="8"/>
      <c r="G17923" s="8"/>
      <c r="M17923" s="8"/>
    </row>
    <row r="17924">
      <c r="B17924" s="8"/>
      <c r="G17924" s="8"/>
      <c r="M17924" s="8"/>
    </row>
    <row r="17925">
      <c r="B17925" s="8"/>
      <c r="G17925" s="8"/>
      <c r="M17925" s="8"/>
    </row>
    <row r="17926">
      <c r="B17926" s="8"/>
      <c r="G17926" s="8"/>
      <c r="M17926" s="8"/>
    </row>
    <row r="17927">
      <c r="B17927" s="8"/>
      <c r="G17927" s="8"/>
      <c r="M17927" s="8"/>
    </row>
    <row r="17928">
      <c r="B17928" s="8"/>
      <c r="G17928" s="8"/>
      <c r="M17928" s="8"/>
    </row>
    <row r="17929">
      <c r="B17929" s="8"/>
      <c r="G17929" s="8"/>
      <c r="M17929" s="8"/>
    </row>
    <row r="17930">
      <c r="B17930" s="8"/>
      <c r="G17930" s="8"/>
      <c r="M17930" s="8"/>
    </row>
    <row r="17931">
      <c r="B17931" s="8"/>
      <c r="G17931" s="8"/>
      <c r="M17931" s="8"/>
    </row>
    <row r="17932">
      <c r="B17932" s="8"/>
      <c r="G17932" s="8"/>
      <c r="M17932" s="8"/>
    </row>
    <row r="17933">
      <c r="B17933" s="8"/>
      <c r="G17933" s="8"/>
      <c r="M17933" s="8"/>
    </row>
    <row r="17934">
      <c r="B17934" s="8"/>
      <c r="G17934" s="8"/>
      <c r="M17934" s="8"/>
    </row>
    <row r="17935">
      <c r="B17935" s="8"/>
      <c r="G17935" s="8"/>
      <c r="M17935" s="8"/>
    </row>
    <row r="17936">
      <c r="B17936" s="8"/>
      <c r="G17936" s="8"/>
      <c r="M17936" s="8"/>
    </row>
    <row r="17937">
      <c r="B17937" s="8"/>
      <c r="G17937" s="8"/>
      <c r="M17937" s="8"/>
    </row>
    <row r="17938">
      <c r="B17938" s="8"/>
      <c r="G17938" s="8"/>
      <c r="M17938" s="8"/>
    </row>
    <row r="17939">
      <c r="B17939" s="8"/>
      <c r="G17939" s="8"/>
      <c r="M17939" s="8"/>
    </row>
    <row r="17940">
      <c r="B17940" s="8"/>
      <c r="G17940" s="8"/>
      <c r="M17940" s="8"/>
    </row>
    <row r="17941">
      <c r="B17941" s="8"/>
      <c r="G17941" s="8"/>
      <c r="M17941" s="8"/>
    </row>
    <row r="17942">
      <c r="B17942" s="8"/>
      <c r="G17942" s="8"/>
      <c r="M17942" s="8"/>
    </row>
    <row r="17943">
      <c r="B17943" s="8"/>
      <c r="G17943" s="8"/>
      <c r="M17943" s="8"/>
    </row>
    <row r="17944">
      <c r="B17944" s="8"/>
      <c r="G17944" s="8"/>
      <c r="M17944" s="8"/>
    </row>
    <row r="17945">
      <c r="B17945" s="8"/>
      <c r="G17945" s="8"/>
      <c r="M17945" s="8"/>
    </row>
    <row r="17946">
      <c r="B17946" s="8"/>
      <c r="G17946" s="8"/>
      <c r="M17946" s="8"/>
    </row>
    <row r="17947">
      <c r="B17947" s="8"/>
      <c r="G17947" s="8"/>
      <c r="M17947" s="8"/>
    </row>
    <row r="17948">
      <c r="B17948" s="8"/>
      <c r="G17948" s="8"/>
      <c r="M17948" s="8"/>
    </row>
    <row r="17949">
      <c r="B17949" s="8"/>
      <c r="G17949" s="8"/>
      <c r="M17949" s="8"/>
    </row>
    <row r="17950">
      <c r="B17950" s="8"/>
      <c r="G17950" s="8"/>
      <c r="M17950" s="8"/>
    </row>
    <row r="17951">
      <c r="B17951" s="8"/>
      <c r="G17951" s="8"/>
      <c r="M17951" s="8"/>
    </row>
    <row r="17952">
      <c r="B17952" s="8"/>
      <c r="G17952" s="8"/>
      <c r="M17952" s="8"/>
    </row>
    <row r="17953">
      <c r="B17953" s="8"/>
      <c r="G17953" s="8"/>
      <c r="M17953" s="8"/>
    </row>
    <row r="17954">
      <c r="B17954" s="8"/>
      <c r="G17954" s="8"/>
      <c r="M17954" s="8"/>
    </row>
    <row r="17955">
      <c r="B17955" s="8"/>
      <c r="G17955" s="8"/>
      <c r="M17955" s="8"/>
    </row>
    <row r="17956">
      <c r="B17956" s="8"/>
      <c r="G17956" s="8"/>
      <c r="M17956" s="8"/>
    </row>
    <row r="17957">
      <c r="B17957" s="8"/>
      <c r="G17957" s="8"/>
      <c r="M17957" s="8"/>
    </row>
    <row r="17958">
      <c r="B17958" s="8"/>
      <c r="G17958" s="8"/>
      <c r="M17958" s="8"/>
    </row>
    <row r="17959">
      <c r="B17959" s="8"/>
      <c r="G17959" s="8"/>
      <c r="M17959" s="8"/>
    </row>
    <row r="17960">
      <c r="B17960" s="8"/>
      <c r="G17960" s="8"/>
      <c r="M17960" s="8"/>
    </row>
    <row r="17961">
      <c r="B17961" s="8"/>
      <c r="G17961" s="8"/>
      <c r="M17961" s="8"/>
    </row>
    <row r="17962">
      <c r="B17962" s="8"/>
      <c r="G17962" s="8"/>
      <c r="M17962" s="8"/>
    </row>
    <row r="17963">
      <c r="B17963" s="8"/>
      <c r="G17963" s="8"/>
      <c r="M17963" s="8"/>
    </row>
    <row r="17964">
      <c r="B17964" s="8"/>
      <c r="G17964" s="8"/>
      <c r="M17964" s="8"/>
    </row>
    <row r="17965">
      <c r="B17965" s="8"/>
      <c r="G17965" s="8"/>
      <c r="M17965" s="8"/>
    </row>
    <row r="17966">
      <c r="B17966" s="8"/>
      <c r="G17966" s="8"/>
      <c r="M17966" s="8"/>
    </row>
    <row r="17967">
      <c r="B17967" s="8"/>
      <c r="G17967" s="8"/>
      <c r="M17967" s="8"/>
    </row>
    <row r="17968">
      <c r="B17968" s="8"/>
      <c r="G17968" s="8"/>
      <c r="M17968" s="8"/>
    </row>
    <row r="17969">
      <c r="B17969" s="8"/>
      <c r="G17969" s="8"/>
      <c r="M17969" s="8"/>
    </row>
    <row r="17970">
      <c r="B17970" s="8"/>
      <c r="G17970" s="8"/>
      <c r="M17970" s="8"/>
    </row>
    <row r="17971">
      <c r="B17971" s="8"/>
      <c r="G17971" s="8"/>
      <c r="M17971" s="8"/>
    </row>
    <row r="17972">
      <c r="B17972" s="8"/>
      <c r="G17972" s="8"/>
      <c r="M17972" s="8"/>
    </row>
    <row r="17973">
      <c r="B17973" s="8"/>
      <c r="G17973" s="8"/>
      <c r="M17973" s="8"/>
    </row>
    <row r="17974">
      <c r="B17974" s="8"/>
      <c r="G17974" s="8"/>
      <c r="M17974" s="8"/>
    </row>
    <row r="17975">
      <c r="B17975" s="8"/>
      <c r="G17975" s="8"/>
      <c r="M17975" s="8"/>
    </row>
    <row r="17976">
      <c r="B17976" s="8"/>
      <c r="G17976" s="8"/>
      <c r="M17976" s="8"/>
    </row>
    <row r="17977">
      <c r="B17977" s="8"/>
      <c r="G17977" s="8"/>
      <c r="M17977" s="8"/>
    </row>
    <row r="17978">
      <c r="B17978" s="8"/>
      <c r="G17978" s="8"/>
      <c r="M17978" s="8"/>
    </row>
    <row r="17979">
      <c r="B17979" s="8"/>
      <c r="G17979" s="8"/>
      <c r="M17979" s="8"/>
    </row>
    <row r="17980">
      <c r="B17980" s="8"/>
      <c r="G17980" s="8"/>
      <c r="M17980" s="8"/>
    </row>
    <row r="17981">
      <c r="B17981" s="8"/>
      <c r="G17981" s="8"/>
      <c r="M17981" s="8"/>
    </row>
    <row r="17982">
      <c r="B17982" s="8"/>
      <c r="G17982" s="8"/>
      <c r="M17982" s="8"/>
    </row>
    <row r="17983">
      <c r="B17983" s="8"/>
      <c r="G17983" s="8"/>
      <c r="M17983" s="8"/>
    </row>
    <row r="17984">
      <c r="B17984" s="8"/>
      <c r="G17984" s="8"/>
      <c r="M17984" s="8"/>
    </row>
    <row r="17985">
      <c r="B17985" s="8"/>
      <c r="G17985" s="8"/>
      <c r="M17985" s="8"/>
    </row>
    <row r="17986">
      <c r="B17986" s="8"/>
      <c r="G17986" s="8"/>
      <c r="M17986" s="8"/>
    </row>
    <row r="17987">
      <c r="B17987" s="8"/>
      <c r="G17987" s="8"/>
      <c r="M17987" s="8"/>
    </row>
    <row r="17988">
      <c r="B17988" s="8"/>
      <c r="G17988" s="8"/>
      <c r="M17988" s="8"/>
    </row>
    <row r="17989">
      <c r="B17989" s="8"/>
      <c r="G17989" s="8"/>
      <c r="M17989" s="8"/>
    </row>
    <row r="17990">
      <c r="B17990" s="8"/>
      <c r="G17990" s="8"/>
      <c r="M17990" s="8"/>
    </row>
    <row r="17991">
      <c r="B17991" s="8"/>
      <c r="G17991" s="8"/>
      <c r="M17991" s="8"/>
    </row>
    <row r="17992">
      <c r="B17992" s="8"/>
      <c r="G17992" s="8"/>
      <c r="M17992" s="8"/>
    </row>
    <row r="17993">
      <c r="B17993" s="8"/>
      <c r="G17993" s="8"/>
      <c r="M17993" s="8"/>
    </row>
    <row r="17994">
      <c r="B17994" s="8"/>
      <c r="G17994" s="8"/>
      <c r="M17994" s="8"/>
    </row>
    <row r="17995">
      <c r="B17995" s="8"/>
      <c r="G17995" s="8"/>
      <c r="M17995" s="8"/>
    </row>
    <row r="17996">
      <c r="B17996" s="8"/>
      <c r="G17996" s="8"/>
      <c r="M17996" s="8"/>
    </row>
    <row r="17997">
      <c r="B17997" s="8"/>
      <c r="G17997" s="8"/>
      <c r="M17997" s="8"/>
    </row>
    <row r="17998">
      <c r="B17998" s="8"/>
      <c r="G17998" s="8"/>
      <c r="M17998" s="8"/>
    </row>
    <row r="17999">
      <c r="B17999" s="8"/>
      <c r="G17999" s="8"/>
      <c r="M17999" s="8"/>
    </row>
    <row r="18000">
      <c r="B18000" s="8"/>
      <c r="G18000" s="8"/>
      <c r="M18000" s="8"/>
    </row>
    <row r="18001">
      <c r="B18001" s="8"/>
      <c r="G18001" s="8"/>
      <c r="M18001" s="8"/>
    </row>
    <row r="18002">
      <c r="B18002" s="8"/>
      <c r="G18002" s="8"/>
      <c r="M18002" s="8"/>
    </row>
    <row r="18003">
      <c r="B18003" s="8"/>
      <c r="G18003" s="8"/>
      <c r="M18003" s="8"/>
    </row>
    <row r="18004">
      <c r="B18004" s="8"/>
      <c r="G18004" s="8"/>
      <c r="M18004" s="8"/>
    </row>
    <row r="18005">
      <c r="B18005" s="8"/>
      <c r="G18005" s="8"/>
      <c r="M18005" s="8"/>
    </row>
    <row r="18006">
      <c r="B18006" s="8"/>
      <c r="G18006" s="8"/>
      <c r="M18006" s="8"/>
    </row>
    <row r="18007">
      <c r="B18007" s="8"/>
      <c r="G18007" s="8"/>
      <c r="M18007" s="8"/>
    </row>
    <row r="18008">
      <c r="B18008" s="8"/>
      <c r="G18008" s="8"/>
      <c r="M18008" s="8"/>
    </row>
    <row r="18009">
      <c r="B18009" s="8"/>
      <c r="G18009" s="8"/>
      <c r="M18009" s="8"/>
    </row>
    <row r="18010">
      <c r="B18010" s="8"/>
      <c r="G18010" s="8"/>
      <c r="M18010" s="8"/>
    </row>
    <row r="18011">
      <c r="B18011" s="8"/>
      <c r="G18011" s="8"/>
      <c r="M18011" s="8"/>
    </row>
    <row r="18012">
      <c r="B18012" s="8"/>
      <c r="G18012" s="8"/>
      <c r="M18012" s="8"/>
    </row>
    <row r="18013">
      <c r="B18013" s="8"/>
      <c r="G18013" s="8"/>
      <c r="M18013" s="8"/>
    </row>
    <row r="18014">
      <c r="B18014" s="8"/>
      <c r="G18014" s="8"/>
      <c r="M18014" s="8"/>
    </row>
    <row r="18015">
      <c r="B18015" s="8"/>
      <c r="G18015" s="8"/>
      <c r="M18015" s="8"/>
    </row>
    <row r="18016">
      <c r="B18016" s="8"/>
      <c r="G18016" s="8"/>
      <c r="M18016" s="8"/>
    </row>
    <row r="18017">
      <c r="B18017" s="8"/>
      <c r="G18017" s="8"/>
      <c r="M18017" s="8"/>
    </row>
    <row r="18018">
      <c r="B18018" s="8"/>
      <c r="G18018" s="8"/>
      <c r="M18018" s="8"/>
    </row>
    <row r="18019">
      <c r="B18019" s="8"/>
      <c r="G18019" s="8"/>
      <c r="M18019" s="8"/>
    </row>
    <row r="18020">
      <c r="B18020" s="8"/>
      <c r="G18020" s="8"/>
      <c r="M18020" s="8"/>
    </row>
    <row r="18021">
      <c r="B18021" s="8"/>
      <c r="G18021" s="8"/>
      <c r="M18021" s="8"/>
    </row>
    <row r="18022">
      <c r="B18022" s="8"/>
      <c r="G18022" s="8"/>
      <c r="M18022" s="8"/>
    </row>
    <row r="18023">
      <c r="B18023" s="8"/>
      <c r="G18023" s="8"/>
      <c r="M18023" s="8"/>
    </row>
    <row r="18024">
      <c r="B18024" s="8"/>
      <c r="G18024" s="8"/>
      <c r="M18024" s="8"/>
    </row>
    <row r="18025">
      <c r="B18025" s="8"/>
      <c r="G18025" s="8"/>
      <c r="M18025" s="8"/>
    </row>
    <row r="18026">
      <c r="B18026" s="8"/>
      <c r="G18026" s="8"/>
      <c r="M18026" s="8"/>
    </row>
    <row r="18027">
      <c r="B18027" s="8"/>
      <c r="G18027" s="8"/>
      <c r="M18027" s="8"/>
    </row>
    <row r="18028">
      <c r="B18028" s="8"/>
      <c r="G18028" s="8"/>
      <c r="M18028" s="8"/>
    </row>
    <row r="18029">
      <c r="B18029" s="8"/>
      <c r="G18029" s="8"/>
      <c r="M18029" s="8"/>
    </row>
    <row r="18030">
      <c r="B18030" s="8"/>
      <c r="G18030" s="8"/>
      <c r="M18030" s="8"/>
    </row>
    <row r="18031">
      <c r="B18031" s="8"/>
      <c r="G18031" s="8"/>
      <c r="M18031" s="8"/>
    </row>
    <row r="18032">
      <c r="B18032" s="8"/>
      <c r="G18032" s="8"/>
      <c r="M18032" s="8"/>
    </row>
    <row r="18033">
      <c r="B18033" s="8"/>
      <c r="G18033" s="8"/>
      <c r="M18033" s="8"/>
    </row>
    <row r="18034">
      <c r="B18034" s="8"/>
      <c r="G18034" s="8"/>
      <c r="M18034" s="8"/>
    </row>
    <row r="18035">
      <c r="B18035" s="8"/>
      <c r="G18035" s="8"/>
      <c r="M18035" s="8"/>
    </row>
    <row r="18036">
      <c r="B18036" s="8"/>
      <c r="G18036" s="8"/>
      <c r="M18036" s="8"/>
    </row>
    <row r="18037">
      <c r="B18037" s="8"/>
      <c r="G18037" s="8"/>
      <c r="M18037" s="8"/>
    </row>
    <row r="18038">
      <c r="B18038" s="8"/>
      <c r="G18038" s="8"/>
      <c r="M18038" s="8"/>
    </row>
    <row r="18039">
      <c r="B18039" s="8"/>
      <c r="G18039" s="8"/>
      <c r="M18039" s="8"/>
    </row>
    <row r="18040">
      <c r="B18040" s="8"/>
      <c r="G18040" s="8"/>
      <c r="M18040" s="8"/>
    </row>
    <row r="18041">
      <c r="B18041" s="8"/>
      <c r="G18041" s="8"/>
      <c r="M18041" s="8"/>
    </row>
    <row r="18042">
      <c r="B18042" s="8"/>
      <c r="G18042" s="8"/>
      <c r="M18042" s="8"/>
    </row>
    <row r="18043">
      <c r="B18043" s="8"/>
      <c r="G18043" s="8"/>
      <c r="M18043" s="8"/>
    </row>
    <row r="18044">
      <c r="B18044" s="8"/>
      <c r="G18044" s="8"/>
      <c r="M18044" s="8"/>
    </row>
    <row r="18045">
      <c r="B18045" s="8"/>
      <c r="G18045" s="8"/>
      <c r="M18045" s="8"/>
    </row>
    <row r="18046">
      <c r="B18046" s="8"/>
      <c r="G18046" s="8"/>
      <c r="M18046" s="8"/>
    </row>
    <row r="18047">
      <c r="B18047" s="8"/>
      <c r="G18047" s="8"/>
      <c r="M18047" s="8"/>
    </row>
    <row r="18048">
      <c r="B18048" s="8"/>
      <c r="G18048" s="8"/>
      <c r="M18048" s="8"/>
    </row>
    <row r="18049">
      <c r="B18049" s="8"/>
      <c r="G18049" s="8"/>
      <c r="M18049" s="8"/>
    </row>
    <row r="18050">
      <c r="B18050" s="8"/>
      <c r="G18050" s="8"/>
      <c r="M18050" s="8"/>
    </row>
    <row r="18051">
      <c r="B18051" s="8"/>
      <c r="G18051" s="8"/>
      <c r="M18051" s="8"/>
    </row>
    <row r="18052">
      <c r="B18052" s="8"/>
      <c r="G18052" s="8"/>
      <c r="M18052" s="8"/>
    </row>
    <row r="18053">
      <c r="B18053" s="8"/>
      <c r="G18053" s="8"/>
      <c r="M18053" s="8"/>
    </row>
    <row r="18054">
      <c r="B18054" s="8"/>
      <c r="G18054" s="8"/>
      <c r="M18054" s="8"/>
    </row>
    <row r="18055">
      <c r="B18055" s="8"/>
      <c r="G18055" s="8"/>
      <c r="M18055" s="8"/>
    </row>
    <row r="18056">
      <c r="B18056" s="8"/>
      <c r="G18056" s="8"/>
      <c r="M18056" s="8"/>
    </row>
    <row r="18057">
      <c r="B18057" s="8"/>
      <c r="G18057" s="8"/>
      <c r="M18057" s="8"/>
    </row>
    <row r="18058">
      <c r="B18058" s="8"/>
      <c r="G18058" s="8"/>
      <c r="M18058" s="8"/>
    </row>
    <row r="18059">
      <c r="B18059" s="8"/>
      <c r="G18059" s="8"/>
      <c r="M18059" s="8"/>
    </row>
    <row r="18060">
      <c r="B18060" s="8"/>
      <c r="G18060" s="8"/>
      <c r="M18060" s="8"/>
    </row>
    <row r="18061">
      <c r="B18061" s="8"/>
      <c r="G18061" s="8"/>
      <c r="M18061" s="8"/>
    </row>
    <row r="18062">
      <c r="B18062" s="8"/>
      <c r="G18062" s="8"/>
      <c r="M18062" s="8"/>
    </row>
    <row r="18063">
      <c r="B18063" s="8"/>
      <c r="G18063" s="8"/>
      <c r="M18063" s="8"/>
    </row>
    <row r="18064">
      <c r="B18064" s="8"/>
      <c r="G18064" s="8"/>
      <c r="M18064" s="8"/>
    </row>
    <row r="18065">
      <c r="B18065" s="8"/>
      <c r="G18065" s="8"/>
      <c r="M18065" s="8"/>
    </row>
    <row r="18066">
      <c r="B18066" s="8"/>
      <c r="G18066" s="8"/>
      <c r="M18066" s="8"/>
    </row>
    <row r="18067">
      <c r="B18067" s="8"/>
      <c r="G18067" s="8"/>
      <c r="M18067" s="8"/>
    </row>
    <row r="18068">
      <c r="B18068" s="8"/>
      <c r="G18068" s="8"/>
      <c r="M18068" s="8"/>
    </row>
    <row r="18069">
      <c r="B18069" s="8"/>
      <c r="G18069" s="8"/>
      <c r="M18069" s="8"/>
    </row>
    <row r="18070">
      <c r="B18070" s="8"/>
      <c r="G18070" s="8"/>
      <c r="M18070" s="8"/>
    </row>
    <row r="18071">
      <c r="B18071" s="8"/>
      <c r="G18071" s="8"/>
      <c r="M18071" s="8"/>
    </row>
    <row r="18072">
      <c r="B18072" s="8"/>
      <c r="G18072" s="8"/>
      <c r="M18072" s="8"/>
    </row>
    <row r="18073">
      <c r="B18073" s="8"/>
      <c r="G18073" s="8"/>
      <c r="M18073" s="8"/>
    </row>
    <row r="18074">
      <c r="B18074" s="8"/>
      <c r="G18074" s="8"/>
      <c r="M18074" s="8"/>
    </row>
    <row r="18075">
      <c r="B18075" s="8"/>
      <c r="G18075" s="8"/>
      <c r="M18075" s="8"/>
    </row>
    <row r="18076">
      <c r="B18076" s="8"/>
      <c r="G18076" s="8"/>
      <c r="M18076" s="8"/>
    </row>
    <row r="18077">
      <c r="B18077" s="8"/>
      <c r="G18077" s="8"/>
      <c r="M18077" s="8"/>
    </row>
    <row r="18078">
      <c r="B18078" s="8"/>
      <c r="G18078" s="8"/>
      <c r="M18078" s="8"/>
    </row>
    <row r="18079">
      <c r="B18079" s="8"/>
      <c r="G18079" s="8"/>
      <c r="M18079" s="8"/>
    </row>
    <row r="18080">
      <c r="B18080" s="8"/>
      <c r="G18080" s="8"/>
      <c r="M18080" s="8"/>
    </row>
    <row r="18081">
      <c r="B18081" s="8"/>
      <c r="G18081" s="8"/>
      <c r="M18081" s="8"/>
    </row>
    <row r="18082">
      <c r="B18082" s="8"/>
      <c r="G18082" s="8"/>
      <c r="M18082" s="8"/>
    </row>
    <row r="18083">
      <c r="B18083" s="8"/>
      <c r="G18083" s="8"/>
      <c r="M18083" s="8"/>
    </row>
    <row r="18084">
      <c r="B18084" s="8"/>
      <c r="G18084" s="8"/>
      <c r="M18084" s="8"/>
    </row>
    <row r="18085">
      <c r="B18085" s="8"/>
      <c r="G18085" s="8"/>
      <c r="M18085" s="8"/>
    </row>
    <row r="18086">
      <c r="B18086" s="8"/>
      <c r="G18086" s="8"/>
      <c r="M18086" s="8"/>
    </row>
    <row r="18087">
      <c r="B18087" s="8"/>
      <c r="G18087" s="8"/>
      <c r="M18087" s="8"/>
    </row>
    <row r="18088">
      <c r="B18088" s="8"/>
      <c r="G18088" s="8"/>
      <c r="M18088" s="8"/>
    </row>
    <row r="18089">
      <c r="B18089" s="8"/>
      <c r="G18089" s="8"/>
      <c r="M18089" s="8"/>
    </row>
    <row r="18090">
      <c r="B18090" s="8"/>
      <c r="G18090" s="8"/>
      <c r="M18090" s="8"/>
    </row>
    <row r="18091">
      <c r="B18091" s="8"/>
      <c r="G18091" s="8"/>
      <c r="M18091" s="8"/>
    </row>
    <row r="18092">
      <c r="B18092" s="8"/>
      <c r="G18092" s="8"/>
      <c r="M18092" s="8"/>
    </row>
    <row r="18093">
      <c r="B18093" s="8"/>
      <c r="G18093" s="8"/>
      <c r="M18093" s="8"/>
    </row>
    <row r="18094">
      <c r="B18094" s="8"/>
      <c r="G18094" s="8"/>
      <c r="M18094" s="8"/>
    </row>
    <row r="18095">
      <c r="B18095" s="8"/>
      <c r="G18095" s="8"/>
      <c r="M18095" s="8"/>
    </row>
    <row r="18096">
      <c r="B18096" s="8"/>
      <c r="G18096" s="8"/>
      <c r="M18096" s="8"/>
    </row>
    <row r="18097">
      <c r="B18097" s="8"/>
      <c r="G18097" s="8"/>
      <c r="M18097" s="8"/>
    </row>
    <row r="18098">
      <c r="B18098" s="8"/>
      <c r="G18098" s="8"/>
      <c r="M18098" s="8"/>
    </row>
    <row r="18099">
      <c r="B18099" s="8"/>
      <c r="G18099" s="8"/>
      <c r="M18099" s="8"/>
    </row>
    <row r="18100">
      <c r="B18100" s="8"/>
      <c r="G18100" s="8"/>
      <c r="M18100" s="8"/>
    </row>
    <row r="18101">
      <c r="B18101" s="8"/>
      <c r="G18101" s="8"/>
      <c r="M18101" s="8"/>
    </row>
    <row r="18102">
      <c r="B18102" s="8"/>
      <c r="G18102" s="8"/>
      <c r="M18102" s="8"/>
    </row>
    <row r="18103">
      <c r="B18103" s="8"/>
      <c r="G18103" s="8"/>
      <c r="M18103" s="8"/>
    </row>
    <row r="18104">
      <c r="B18104" s="8"/>
      <c r="G18104" s="8"/>
      <c r="M18104" s="8"/>
    </row>
    <row r="18105">
      <c r="B18105" s="8"/>
      <c r="G18105" s="8"/>
      <c r="M18105" s="8"/>
    </row>
    <row r="18106">
      <c r="B18106" s="8"/>
      <c r="G18106" s="8"/>
      <c r="M18106" s="8"/>
    </row>
    <row r="18107">
      <c r="B18107" s="8"/>
      <c r="G18107" s="8"/>
      <c r="M18107" s="8"/>
    </row>
    <row r="18108">
      <c r="B18108" s="8"/>
      <c r="G18108" s="8"/>
      <c r="M18108" s="8"/>
    </row>
    <row r="18109">
      <c r="B18109" s="8"/>
      <c r="G18109" s="8"/>
      <c r="M18109" s="8"/>
    </row>
    <row r="18110">
      <c r="B18110" s="8"/>
      <c r="G18110" s="8"/>
      <c r="M18110" s="8"/>
    </row>
    <row r="18111">
      <c r="B18111" s="8"/>
      <c r="G18111" s="8"/>
      <c r="M18111" s="8"/>
    </row>
    <row r="18112">
      <c r="B18112" s="8"/>
      <c r="G18112" s="8"/>
      <c r="M18112" s="8"/>
    </row>
    <row r="18113">
      <c r="B18113" s="8"/>
      <c r="G18113" s="8"/>
      <c r="M18113" s="8"/>
    </row>
    <row r="18114">
      <c r="B18114" s="8"/>
      <c r="G18114" s="8"/>
      <c r="M18114" s="8"/>
    </row>
    <row r="18115">
      <c r="B18115" s="8"/>
      <c r="G18115" s="8"/>
      <c r="M18115" s="8"/>
    </row>
    <row r="18116">
      <c r="B18116" s="8"/>
      <c r="G18116" s="8"/>
      <c r="M18116" s="8"/>
    </row>
    <row r="18117">
      <c r="B18117" s="8"/>
      <c r="G18117" s="8"/>
      <c r="M18117" s="8"/>
    </row>
    <row r="18118">
      <c r="B18118" s="8"/>
      <c r="G18118" s="8"/>
      <c r="M18118" s="8"/>
    </row>
    <row r="18119">
      <c r="B18119" s="8"/>
      <c r="G18119" s="8"/>
      <c r="M18119" s="8"/>
    </row>
    <row r="18120">
      <c r="B18120" s="8"/>
      <c r="G18120" s="8"/>
      <c r="M18120" s="8"/>
    </row>
    <row r="18121">
      <c r="B18121" s="8"/>
      <c r="G18121" s="8"/>
      <c r="M18121" s="8"/>
    </row>
    <row r="18122">
      <c r="B18122" s="8"/>
      <c r="G18122" s="8"/>
      <c r="M18122" s="8"/>
    </row>
    <row r="18123">
      <c r="B18123" s="8"/>
      <c r="G18123" s="8"/>
      <c r="M18123" s="8"/>
    </row>
    <row r="18124">
      <c r="B18124" s="8"/>
      <c r="G18124" s="8"/>
      <c r="M18124" s="8"/>
    </row>
    <row r="18125">
      <c r="B18125" s="8"/>
      <c r="G18125" s="8"/>
      <c r="M18125" s="8"/>
    </row>
    <row r="18126">
      <c r="B18126" s="8"/>
      <c r="G18126" s="8"/>
      <c r="M18126" s="8"/>
    </row>
    <row r="18127">
      <c r="B18127" s="8"/>
      <c r="G18127" s="8"/>
      <c r="M18127" s="8"/>
    </row>
    <row r="18128">
      <c r="B18128" s="8"/>
      <c r="G18128" s="8"/>
      <c r="M18128" s="8"/>
    </row>
    <row r="18129">
      <c r="B18129" s="8"/>
      <c r="G18129" s="8"/>
      <c r="M18129" s="8"/>
    </row>
    <row r="18130">
      <c r="B18130" s="8"/>
      <c r="G18130" s="8"/>
      <c r="M18130" s="8"/>
    </row>
    <row r="18131">
      <c r="B18131" s="8"/>
      <c r="G18131" s="8"/>
      <c r="M18131" s="8"/>
    </row>
    <row r="18132">
      <c r="B18132" s="8"/>
      <c r="G18132" s="8"/>
      <c r="M18132" s="8"/>
    </row>
    <row r="18133">
      <c r="B18133" s="8"/>
      <c r="G18133" s="8"/>
      <c r="M18133" s="8"/>
    </row>
    <row r="18134">
      <c r="B18134" s="8"/>
      <c r="G18134" s="8"/>
      <c r="M18134" s="8"/>
    </row>
    <row r="18135">
      <c r="B18135" s="8"/>
      <c r="G18135" s="8"/>
      <c r="M18135" s="8"/>
    </row>
    <row r="18136">
      <c r="B18136" s="8"/>
      <c r="G18136" s="8"/>
      <c r="M18136" s="8"/>
    </row>
    <row r="18137">
      <c r="B18137" s="8"/>
      <c r="G18137" s="8"/>
      <c r="M18137" s="8"/>
    </row>
    <row r="18138">
      <c r="B18138" s="8"/>
      <c r="G18138" s="8"/>
      <c r="M18138" s="8"/>
    </row>
    <row r="18139">
      <c r="B18139" s="8"/>
      <c r="G18139" s="8"/>
      <c r="M18139" s="8"/>
    </row>
    <row r="18140">
      <c r="B18140" s="8"/>
      <c r="G18140" s="8"/>
      <c r="M18140" s="8"/>
    </row>
    <row r="18141">
      <c r="B18141" s="8"/>
      <c r="G18141" s="8"/>
      <c r="M18141" s="8"/>
    </row>
    <row r="18142">
      <c r="B18142" s="8"/>
      <c r="G18142" s="8"/>
      <c r="M18142" s="8"/>
    </row>
    <row r="18143">
      <c r="B18143" s="8"/>
      <c r="G18143" s="8"/>
      <c r="M18143" s="8"/>
    </row>
    <row r="18144">
      <c r="B18144" s="8"/>
      <c r="G18144" s="8"/>
      <c r="M18144" s="8"/>
    </row>
    <row r="18145">
      <c r="B18145" s="8"/>
      <c r="G18145" s="8"/>
      <c r="M18145" s="8"/>
    </row>
    <row r="18146">
      <c r="B18146" s="8"/>
      <c r="G18146" s="8"/>
      <c r="M18146" s="8"/>
    </row>
    <row r="18147">
      <c r="B18147" s="8"/>
      <c r="G18147" s="8"/>
      <c r="M18147" s="8"/>
    </row>
    <row r="18148">
      <c r="B18148" s="8"/>
      <c r="G18148" s="8"/>
      <c r="M18148" s="8"/>
    </row>
    <row r="18149">
      <c r="B18149" s="8"/>
      <c r="G18149" s="8"/>
      <c r="M18149" s="8"/>
    </row>
    <row r="18150">
      <c r="B18150" s="8"/>
      <c r="G18150" s="8"/>
      <c r="M18150" s="8"/>
    </row>
    <row r="18151">
      <c r="B18151" s="8"/>
      <c r="G18151" s="8"/>
      <c r="M18151" s="8"/>
    </row>
    <row r="18152">
      <c r="B18152" s="8"/>
      <c r="G18152" s="8"/>
      <c r="M18152" s="8"/>
    </row>
    <row r="18153">
      <c r="B18153" s="8"/>
      <c r="G18153" s="8"/>
      <c r="M18153" s="8"/>
    </row>
    <row r="18154">
      <c r="B18154" s="8"/>
      <c r="G18154" s="8"/>
      <c r="M18154" s="8"/>
    </row>
    <row r="18155">
      <c r="B18155" s="8"/>
      <c r="G18155" s="8"/>
      <c r="M18155" s="8"/>
    </row>
    <row r="18156">
      <c r="B18156" s="8"/>
      <c r="G18156" s="8"/>
      <c r="M18156" s="8"/>
    </row>
    <row r="18157">
      <c r="B18157" s="8"/>
      <c r="G18157" s="8"/>
      <c r="M18157" s="8"/>
    </row>
    <row r="18158">
      <c r="B18158" s="8"/>
      <c r="G18158" s="8"/>
      <c r="M18158" s="8"/>
    </row>
    <row r="18159">
      <c r="B18159" s="8"/>
      <c r="G18159" s="8"/>
      <c r="M18159" s="8"/>
    </row>
    <row r="18160">
      <c r="B18160" s="8"/>
      <c r="G18160" s="8"/>
      <c r="M18160" s="8"/>
    </row>
    <row r="18161">
      <c r="B18161" s="8"/>
      <c r="G18161" s="8"/>
      <c r="M18161" s="8"/>
    </row>
    <row r="18162">
      <c r="B18162" s="8"/>
      <c r="G18162" s="8"/>
      <c r="M18162" s="8"/>
    </row>
    <row r="18163">
      <c r="B18163" s="8"/>
      <c r="G18163" s="8"/>
      <c r="M18163" s="8"/>
    </row>
    <row r="18164">
      <c r="B18164" s="8"/>
      <c r="G18164" s="8"/>
      <c r="M18164" s="8"/>
    </row>
    <row r="18165">
      <c r="B18165" s="8"/>
      <c r="G18165" s="8"/>
      <c r="M18165" s="8"/>
    </row>
    <row r="18166">
      <c r="B18166" s="8"/>
      <c r="G18166" s="8"/>
      <c r="M18166" s="8"/>
    </row>
    <row r="18167">
      <c r="B18167" s="8"/>
      <c r="G18167" s="8"/>
      <c r="M18167" s="8"/>
    </row>
    <row r="18168">
      <c r="B18168" s="8"/>
      <c r="G18168" s="8"/>
      <c r="M18168" s="8"/>
    </row>
    <row r="18169">
      <c r="B18169" s="8"/>
      <c r="G18169" s="8"/>
      <c r="M18169" s="8"/>
    </row>
    <row r="18170">
      <c r="B18170" s="8"/>
      <c r="G18170" s="8"/>
      <c r="M18170" s="8"/>
    </row>
    <row r="18171">
      <c r="B18171" s="8"/>
      <c r="G18171" s="8"/>
      <c r="M18171" s="8"/>
    </row>
    <row r="18172">
      <c r="B18172" s="8"/>
      <c r="G18172" s="8"/>
      <c r="M18172" s="8"/>
    </row>
    <row r="18173">
      <c r="B18173" s="8"/>
      <c r="G18173" s="8"/>
      <c r="M18173" s="8"/>
    </row>
    <row r="18174">
      <c r="B18174" s="8"/>
      <c r="G18174" s="8"/>
      <c r="M18174" s="8"/>
    </row>
    <row r="18175">
      <c r="B18175" s="8"/>
      <c r="G18175" s="8"/>
      <c r="M18175" s="8"/>
    </row>
    <row r="18176">
      <c r="B18176" s="8"/>
      <c r="G18176" s="8"/>
      <c r="M18176" s="8"/>
    </row>
    <row r="18177">
      <c r="B18177" s="8"/>
      <c r="G18177" s="8"/>
      <c r="M18177" s="8"/>
    </row>
    <row r="18178">
      <c r="B18178" s="8"/>
      <c r="G18178" s="8"/>
      <c r="M18178" s="8"/>
    </row>
    <row r="18179">
      <c r="B18179" s="8"/>
      <c r="G18179" s="8"/>
      <c r="M18179" s="8"/>
    </row>
    <row r="18180">
      <c r="B18180" s="8"/>
      <c r="G18180" s="8"/>
      <c r="M18180" s="8"/>
    </row>
    <row r="18181">
      <c r="B18181" s="8"/>
      <c r="G18181" s="8"/>
      <c r="M18181" s="8"/>
    </row>
    <row r="18182">
      <c r="B18182" s="8"/>
      <c r="G18182" s="8"/>
      <c r="M18182" s="8"/>
    </row>
    <row r="18183">
      <c r="B18183" s="8"/>
      <c r="G18183" s="8"/>
      <c r="M18183" s="8"/>
    </row>
    <row r="18184">
      <c r="B18184" s="8"/>
      <c r="G18184" s="8"/>
      <c r="M18184" s="8"/>
    </row>
    <row r="18185">
      <c r="B18185" s="8"/>
      <c r="G18185" s="8"/>
      <c r="M18185" s="8"/>
    </row>
    <row r="18186">
      <c r="B18186" s="8"/>
      <c r="G18186" s="8"/>
      <c r="M18186" s="8"/>
    </row>
    <row r="18187">
      <c r="B18187" s="8"/>
      <c r="G18187" s="8"/>
      <c r="M18187" s="8"/>
    </row>
    <row r="18188">
      <c r="B18188" s="8"/>
      <c r="G18188" s="8"/>
      <c r="M18188" s="8"/>
    </row>
    <row r="18189">
      <c r="B18189" s="8"/>
      <c r="G18189" s="8"/>
      <c r="M18189" s="8"/>
    </row>
    <row r="18190">
      <c r="B18190" s="8"/>
      <c r="G18190" s="8"/>
      <c r="M18190" s="8"/>
    </row>
    <row r="18191">
      <c r="B18191" s="8"/>
      <c r="G18191" s="8"/>
      <c r="M18191" s="8"/>
    </row>
    <row r="18192">
      <c r="B18192" s="8"/>
      <c r="G18192" s="8"/>
      <c r="M18192" s="8"/>
    </row>
    <row r="18193">
      <c r="B18193" s="8"/>
      <c r="G18193" s="8"/>
      <c r="M18193" s="8"/>
    </row>
    <row r="18194">
      <c r="B18194" s="8"/>
      <c r="G18194" s="8"/>
      <c r="M18194" s="8"/>
    </row>
    <row r="18195">
      <c r="B18195" s="8"/>
      <c r="G18195" s="8"/>
      <c r="M18195" s="8"/>
    </row>
    <row r="18196">
      <c r="B18196" s="8"/>
      <c r="G18196" s="8"/>
      <c r="M18196" s="8"/>
    </row>
    <row r="18197">
      <c r="B18197" s="8"/>
      <c r="G18197" s="8"/>
      <c r="M18197" s="8"/>
    </row>
    <row r="18198">
      <c r="B18198" s="8"/>
      <c r="G18198" s="8"/>
      <c r="M18198" s="8"/>
    </row>
    <row r="18199">
      <c r="B18199" s="8"/>
      <c r="G18199" s="8"/>
      <c r="M18199" s="8"/>
    </row>
    <row r="18200">
      <c r="B18200" s="8"/>
      <c r="G18200" s="8"/>
      <c r="M18200" s="8"/>
    </row>
    <row r="18201">
      <c r="B18201" s="8"/>
      <c r="G18201" s="8"/>
      <c r="M18201" s="8"/>
    </row>
    <row r="18202">
      <c r="B18202" s="8"/>
      <c r="G18202" s="8"/>
      <c r="M18202" s="8"/>
    </row>
    <row r="18203">
      <c r="B18203" s="8"/>
      <c r="G18203" s="8"/>
      <c r="M18203" s="8"/>
    </row>
    <row r="18204">
      <c r="B18204" s="8"/>
      <c r="G18204" s="8"/>
      <c r="M18204" s="8"/>
    </row>
    <row r="18205">
      <c r="B18205" s="8"/>
      <c r="G18205" s="8"/>
      <c r="M18205" s="8"/>
    </row>
    <row r="18206">
      <c r="B18206" s="8"/>
      <c r="G18206" s="8"/>
      <c r="M18206" s="8"/>
    </row>
    <row r="18207">
      <c r="B18207" s="8"/>
      <c r="G18207" s="8"/>
      <c r="M18207" s="8"/>
    </row>
    <row r="18208">
      <c r="B18208" s="8"/>
      <c r="G18208" s="8"/>
      <c r="M18208" s="8"/>
    </row>
    <row r="18209">
      <c r="B18209" s="8"/>
      <c r="G18209" s="8"/>
      <c r="M18209" s="8"/>
    </row>
    <row r="18210">
      <c r="B18210" s="8"/>
      <c r="G18210" s="8"/>
      <c r="M18210" s="8"/>
    </row>
    <row r="18211">
      <c r="B18211" s="8"/>
      <c r="G18211" s="8"/>
      <c r="M18211" s="8"/>
    </row>
    <row r="18212">
      <c r="B18212" s="8"/>
      <c r="G18212" s="8"/>
      <c r="M18212" s="8"/>
    </row>
    <row r="18213">
      <c r="B18213" s="8"/>
      <c r="G18213" s="8"/>
      <c r="M18213" s="8"/>
    </row>
    <row r="18214">
      <c r="B18214" s="8"/>
      <c r="G18214" s="8"/>
      <c r="M18214" s="8"/>
    </row>
    <row r="18215">
      <c r="B18215" s="8"/>
      <c r="G18215" s="8"/>
      <c r="M18215" s="8"/>
    </row>
    <row r="18216">
      <c r="B18216" s="8"/>
      <c r="G18216" s="8"/>
      <c r="M18216" s="8"/>
    </row>
    <row r="18217">
      <c r="B18217" s="8"/>
      <c r="G18217" s="8"/>
      <c r="M18217" s="8"/>
    </row>
    <row r="18218">
      <c r="B18218" s="8"/>
      <c r="G18218" s="8"/>
      <c r="M18218" s="8"/>
    </row>
    <row r="18219">
      <c r="B18219" s="8"/>
      <c r="G18219" s="8"/>
      <c r="M18219" s="8"/>
    </row>
    <row r="18220">
      <c r="B18220" s="8"/>
      <c r="G18220" s="8"/>
      <c r="M18220" s="8"/>
    </row>
    <row r="18221">
      <c r="B18221" s="8"/>
      <c r="G18221" s="8"/>
      <c r="M18221" s="8"/>
    </row>
    <row r="18222">
      <c r="B18222" s="8"/>
      <c r="G18222" s="8"/>
      <c r="M18222" s="8"/>
    </row>
    <row r="18223">
      <c r="B18223" s="8"/>
      <c r="G18223" s="8"/>
      <c r="M18223" s="8"/>
    </row>
    <row r="18224">
      <c r="B18224" s="8"/>
      <c r="G18224" s="8"/>
      <c r="M18224" s="8"/>
    </row>
    <row r="18225">
      <c r="B18225" s="8"/>
      <c r="G18225" s="8"/>
      <c r="M18225" s="8"/>
    </row>
    <row r="18226">
      <c r="B18226" s="8"/>
      <c r="G18226" s="8"/>
      <c r="M18226" s="8"/>
    </row>
    <row r="18227">
      <c r="B18227" s="8"/>
      <c r="G18227" s="8"/>
      <c r="M18227" s="8"/>
    </row>
    <row r="18228">
      <c r="B18228" s="8"/>
      <c r="G18228" s="8"/>
      <c r="M18228" s="8"/>
    </row>
    <row r="18229">
      <c r="B18229" s="8"/>
      <c r="G18229" s="8"/>
      <c r="M18229" s="8"/>
    </row>
    <row r="18230">
      <c r="B18230" s="8"/>
      <c r="G18230" s="8"/>
      <c r="M18230" s="8"/>
    </row>
    <row r="18231">
      <c r="B18231" s="8"/>
      <c r="G18231" s="8"/>
      <c r="M18231" s="8"/>
    </row>
    <row r="18232">
      <c r="B18232" s="8"/>
      <c r="G18232" s="8"/>
      <c r="M18232" s="8"/>
    </row>
    <row r="18233">
      <c r="B18233" s="8"/>
      <c r="G18233" s="8"/>
      <c r="M18233" s="8"/>
    </row>
    <row r="18234">
      <c r="B18234" s="8"/>
      <c r="G18234" s="8"/>
      <c r="M18234" s="8"/>
    </row>
    <row r="18235">
      <c r="B18235" s="8"/>
      <c r="G18235" s="8"/>
      <c r="M18235" s="8"/>
    </row>
    <row r="18236">
      <c r="B18236" s="8"/>
      <c r="G18236" s="8"/>
      <c r="M18236" s="8"/>
    </row>
    <row r="18237">
      <c r="B18237" s="8"/>
      <c r="G18237" s="8"/>
      <c r="M18237" s="8"/>
    </row>
    <row r="18238">
      <c r="B18238" s="8"/>
      <c r="G18238" s="8"/>
      <c r="M18238" s="8"/>
    </row>
    <row r="18239">
      <c r="B18239" s="8"/>
      <c r="G18239" s="8"/>
      <c r="M18239" s="8"/>
    </row>
    <row r="18240">
      <c r="B18240" s="8"/>
      <c r="G18240" s="8"/>
      <c r="M18240" s="8"/>
    </row>
    <row r="18241">
      <c r="B18241" s="8"/>
      <c r="G18241" s="8"/>
      <c r="M18241" s="8"/>
    </row>
    <row r="18242">
      <c r="B18242" s="8"/>
      <c r="G18242" s="8"/>
      <c r="M18242" s="8"/>
    </row>
    <row r="18243">
      <c r="B18243" s="8"/>
      <c r="G18243" s="8"/>
      <c r="M18243" s="8"/>
    </row>
    <row r="18244">
      <c r="B18244" s="8"/>
      <c r="G18244" s="8"/>
      <c r="M18244" s="8"/>
    </row>
    <row r="18245">
      <c r="B18245" s="8"/>
      <c r="G18245" s="8"/>
      <c r="M18245" s="8"/>
    </row>
    <row r="18246">
      <c r="B18246" s="8"/>
      <c r="G18246" s="8"/>
      <c r="M18246" s="8"/>
    </row>
    <row r="18247">
      <c r="B18247" s="8"/>
      <c r="G18247" s="8"/>
      <c r="M18247" s="8"/>
    </row>
    <row r="18248">
      <c r="B18248" s="8"/>
      <c r="G18248" s="8"/>
      <c r="M18248" s="8"/>
    </row>
    <row r="18249">
      <c r="B18249" s="8"/>
      <c r="G18249" s="8"/>
      <c r="M18249" s="8"/>
    </row>
    <row r="18250">
      <c r="B18250" s="8"/>
      <c r="G18250" s="8"/>
      <c r="M18250" s="8"/>
    </row>
    <row r="18251">
      <c r="B18251" s="8"/>
      <c r="G18251" s="8"/>
      <c r="M18251" s="8"/>
    </row>
    <row r="18252">
      <c r="B18252" s="8"/>
      <c r="G18252" s="8"/>
      <c r="M18252" s="8"/>
    </row>
    <row r="18253">
      <c r="B18253" s="8"/>
      <c r="G18253" s="8"/>
      <c r="M18253" s="8"/>
    </row>
    <row r="18254">
      <c r="B18254" s="8"/>
      <c r="G18254" s="8"/>
      <c r="M18254" s="8"/>
    </row>
    <row r="18255">
      <c r="B18255" s="8"/>
      <c r="G18255" s="8"/>
      <c r="M18255" s="8"/>
    </row>
    <row r="18256">
      <c r="B18256" s="8"/>
      <c r="G18256" s="8"/>
      <c r="M18256" s="8"/>
    </row>
    <row r="18257">
      <c r="B18257" s="8"/>
      <c r="G18257" s="8"/>
      <c r="M18257" s="8"/>
    </row>
    <row r="18258">
      <c r="B18258" s="8"/>
      <c r="G18258" s="8"/>
      <c r="M18258" s="8"/>
    </row>
    <row r="18259">
      <c r="B18259" s="8"/>
      <c r="G18259" s="8"/>
      <c r="M18259" s="8"/>
    </row>
    <row r="18260">
      <c r="B18260" s="8"/>
      <c r="G18260" s="8"/>
      <c r="M18260" s="8"/>
    </row>
    <row r="18261">
      <c r="B18261" s="8"/>
      <c r="G18261" s="8"/>
      <c r="M18261" s="8"/>
    </row>
    <row r="18262">
      <c r="B18262" s="8"/>
      <c r="G18262" s="8"/>
      <c r="M18262" s="8"/>
    </row>
    <row r="18263">
      <c r="B18263" s="8"/>
      <c r="G18263" s="8"/>
      <c r="M18263" s="8"/>
    </row>
    <row r="18264">
      <c r="B18264" s="8"/>
      <c r="G18264" s="8"/>
      <c r="M18264" s="8"/>
    </row>
    <row r="18265">
      <c r="B18265" s="8"/>
      <c r="G18265" s="8"/>
      <c r="M18265" s="8"/>
    </row>
    <row r="18266">
      <c r="B18266" s="8"/>
      <c r="G18266" s="8"/>
      <c r="M18266" s="8"/>
    </row>
    <row r="18267">
      <c r="B18267" s="8"/>
      <c r="G18267" s="8"/>
      <c r="M18267" s="8"/>
    </row>
    <row r="18268">
      <c r="B18268" s="8"/>
      <c r="G18268" s="8"/>
      <c r="M18268" s="8"/>
    </row>
    <row r="18269">
      <c r="B18269" s="8"/>
      <c r="G18269" s="8"/>
      <c r="M18269" s="8"/>
    </row>
    <row r="18270">
      <c r="B18270" s="8"/>
      <c r="G18270" s="8"/>
      <c r="M18270" s="8"/>
    </row>
    <row r="18271">
      <c r="B18271" s="8"/>
      <c r="G18271" s="8"/>
      <c r="M18271" s="8"/>
    </row>
    <row r="18272">
      <c r="B18272" s="8"/>
      <c r="G18272" s="8"/>
      <c r="M18272" s="8"/>
    </row>
    <row r="18273">
      <c r="B18273" s="8"/>
      <c r="G18273" s="8"/>
      <c r="M18273" s="8"/>
    </row>
    <row r="18274">
      <c r="B18274" s="8"/>
      <c r="G18274" s="8"/>
      <c r="M18274" s="8"/>
    </row>
    <row r="18275">
      <c r="B18275" s="8"/>
      <c r="G18275" s="8"/>
      <c r="M18275" s="8"/>
    </row>
    <row r="18276">
      <c r="B18276" s="8"/>
      <c r="G18276" s="8"/>
      <c r="M18276" s="8"/>
    </row>
    <row r="18277">
      <c r="B18277" s="8"/>
      <c r="G18277" s="8"/>
      <c r="M18277" s="8"/>
    </row>
    <row r="18278">
      <c r="B18278" s="8"/>
      <c r="G18278" s="8"/>
      <c r="M18278" s="8"/>
    </row>
    <row r="18279">
      <c r="B18279" s="8"/>
      <c r="G18279" s="8"/>
      <c r="M18279" s="8"/>
    </row>
    <row r="18280">
      <c r="B18280" s="8"/>
      <c r="G18280" s="8"/>
      <c r="M18280" s="8"/>
    </row>
    <row r="18281">
      <c r="B18281" s="8"/>
      <c r="G18281" s="8"/>
      <c r="M18281" s="8"/>
    </row>
    <row r="18282">
      <c r="B18282" s="8"/>
      <c r="G18282" s="8"/>
      <c r="M18282" s="8"/>
    </row>
    <row r="18283">
      <c r="B18283" s="8"/>
      <c r="G18283" s="8"/>
      <c r="M18283" s="8"/>
    </row>
    <row r="18284">
      <c r="B18284" s="8"/>
      <c r="G18284" s="8"/>
      <c r="M18284" s="8"/>
    </row>
    <row r="18285">
      <c r="B18285" s="8"/>
      <c r="G18285" s="8"/>
      <c r="M18285" s="8"/>
    </row>
    <row r="18286">
      <c r="B18286" s="8"/>
      <c r="G18286" s="8"/>
      <c r="M18286" s="8"/>
    </row>
    <row r="18287">
      <c r="B18287" s="8"/>
      <c r="G18287" s="8"/>
      <c r="M18287" s="8"/>
    </row>
    <row r="18288">
      <c r="B18288" s="8"/>
      <c r="G18288" s="8"/>
      <c r="M18288" s="8"/>
    </row>
    <row r="18289">
      <c r="B18289" s="8"/>
      <c r="G18289" s="8"/>
      <c r="M18289" s="8"/>
    </row>
    <row r="18290">
      <c r="B18290" s="8"/>
      <c r="G18290" s="8"/>
      <c r="M18290" s="8"/>
    </row>
    <row r="18291">
      <c r="B18291" s="8"/>
      <c r="G18291" s="8"/>
      <c r="M18291" s="8"/>
    </row>
    <row r="18292">
      <c r="B18292" s="8"/>
      <c r="G18292" s="8"/>
      <c r="M18292" s="8"/>
    </row>
    <row r="18293">
      <c r="B18293" s="8"/>
      <c r="G18293" s="8"/>
      <c r="M18293" s="8"/>
    </row>
    <row r="18294">
      <c r="B18294" s="8"/>
      <c r="G18294" s="8"/>
      <c r="M18294" s="8"/>
    </row>
    <row r="18295">
      <c r="B18295" s="8"/>
      <c r="G18295" s="8"/>
      <c r="M18295" s="8"/>
    </row>
    <row r="18296">
      <c r="B18296" s="8"/>
      <c r="G18296" s="8"/>
      <c r="M18296" s="8"/>
    </row>
    <row r="18297">
      <c r="B18297" s="8"/>
      <c r="G18297" s="8"/>
      <c r="M18297" s="8"/>
    </row>
    <row r="18298">
      <c r="B18298" s="8"/>
      <c r="G18298" s="8"/>
      <c r="M18298" s="8"/>
    </row>
    <row r="18299">
      <c r="B18299" s="8"/>
      <c r="G18299" s="8"/>
      <c r="M18299" s="8"/>
    </row>
    <row r="18300">
      <c r="B18300" s="8"/>
      <c r="G18300" s="8"/>
      <c r="M18300" s="8"/>
    </row>
    <row r="18301">
      <c r="B18301" s="8"/>
      <c r="G18301" s="8"/>
      <c r="M18301" s="8"/>
    </row>
    <row r="18302">
      <c r="B18302" s="8"/>
      <c r="G18302" s="8"/>
      <c r="M18302" s="8"/>
    </row>
    <row r="18303">
      <c r="B18303" s="8"/>
      <c r="G18303" s="8"/>
      <c r="M18303" s="8"/>
    </row>
    <row r="18304">
      <c r="B18304" s="8"/>
      <c r="G18304" s="8"/>
      <c r="M18304" s="8"/>
    </row>
    <row r="18305">
      <c r="B18305" s="8"/>
      <c r="G18305" s="8"/>
      <c r="M18305" s="8"/>
    </row>
    <row r="18306">
      <c r="B18306" s="8"/>
      <c r="G18306" s="8"/>
      <c r="M18306" s="8"/>
    </row>
    <row r="18307">
      <c r="B18307" s="8"/>
      <c r="G18307" s="8"/>
      <c r="M18307" s="8"/>
    </row>
    <row r="18308">
      <c r="B18308" s="8"/>
      <c r="G18308" s="8"/>
      <c r="M18308" s="8"/>
    </row>
    <row r="18309">
      <c r="B18309" s="8"/>
      <c r="G18309" s="8"/>
      <c r="M18309" s="8"/>
    </row>
    <row r="18310">
      <c r="B18310" s="8"/>
      <c r="G18310" s="8"/>
      <c r="M18310" s="8"/>
    </row>
    <row r="18311">
      <c r="B18311" s="8"/>
      <c r="G18311" s="8"/>
      <c r="M18311" s="8"/>
    </row>
    <row r="18312">
      <c r="B18312" s="8"/>
      <c r="G18312" s="8"/>
      <c r="M18312" s="8"/>
    </row>
    <row r="18313">
      <c r="B18313" s="8"/>
      <c r="G18313" s="8"/>
      <c r="M18313" s="8"/>
    </row>
    <row r="18314">
      <c r="B18314" s="8"/>
      <c r="G18314" s="8"/>
      <c r="M18314" s="8"/>
    </row>
    <row r="18315">
      <c r="B18315" s="8"/>
      <c r="G18315" s="8"/>
      <c r="M18315" s="8"/>
    </row>
    <row r="18316">
      <c r="B18316" s="8"/>
      <c r="G18316" s="8"/>
      <c r="M18316" s="8"/>
    </row>
    <row r="18317">
      <c r="B18317" s="8"/>
      <c r="G18317" s="8"/>
      <c r="M18317" s="8"/>
    </row>
    <row r="18318">
      <c r="B18318" s="8"/>
      <c r="G18318" s="8"/>
      <c r="M18318" s="8"/>
    </row>
    <row r="18319">
      <c r="B18319" s="8"/>
      <c r="G18319" s="8"/>
      <c r="M18319" s="8"/>
    </row>
    <row r="18320">
      <c r="B18320" s="8"/>
      <c r="G18320" s="8"/>
      <c r="M18320" s="8"/>
    </row>
    <row r="18321">
      <c r="B18321" s="8"/>
      <c r="G18321" s="8"/>
      <c r="M18321" s="8"/>
    </row>
    <row r="18322">
      <c r="B18322" s="8"/>
      <c r="G18322" s="8"/>
      <c r="M18322" s="8"/>
    </row>
    <row r="18323">
      <c r="B18323" s="8"/>
      <c r="G18323" s="8"/>
      <c r="M18323" s="8"/>
    </row>
    <row r="18324">
      <c r="B18324" s="8"/>
      <c r="G18324" s="8"/>
      <c r="M18324" s="8"/>
    </row>
    <row r="18325">
      <c r="B18325" s="8"/>
      <c r="G18325" s="8"/>
      <c r="M18325" s="8"/>
    </row>
    <row r="18326">
      <c r="B18326" s="8"/>
      <c r="G18326" s="8"/>
      <c r="M18326" s="8"/>
    </row>
    <row r="18327">
      <c r="B18327" s="8"/>
      <c r="G18327" s="8"/>
      <c r="M18327" s="8"/>
    </row>
    <row r="18328">
      <c r="B18328" s="8"/>
      <c r="G18328" s="8"/>
      <c r="M18328" s="8"/>
    </row>
    <row r="18329">
      <c r="B18329" s="8"/>
      <c r="G18329" s="8"/>
      <c r="M18329" s="8"/>
    </row>
    <row r="18330">
      <c r="B18330" s="8"/>
      <c r="G18330" s="8"/>
      <c r="M18330" s="8"/>
    </row>
    <row r="18331">
      <c r="B18331" s="8"/>
      <c r="G18331" s="8"/>
      <c r="M18331" s="8"/>
    </row>
    <row r="18332">
      <c r="B18332" s="8"/>
      <c r="G18332" s="8"/>
      <c r="M18332" s="8"/>
    </row>
    <row r="18333">
      <c r="B18333" s="8"/>
      <c r="G18333" s="8"/>
      <c r="M18333" s="8"/>
    </row>
    <row r="18334">
      <c r="B18334" s="8"/>
      <c r="G18334" s="8"/>
      <c r="M18334" s="8"/>
    </row>
    <row r="18335">
      <c r="B18335" s="8"/>
      <c r="G18335" s="8"/>
      <c r="M18335" s="8"/>
    </row>
    <row r="18336">
      <c r="B18336" s="8"/>
      <c r="G18336" s="8"/>
      <c r="M18336" s="8"/>
    </row>
    <row r="18337">
      <c r="B18337" s="8"/>
      <c r="G18337" s="8"/>
      <c r="M18337" s="8"/>
    </row>
    <row r="18338">
      <c r="B18338" s="8"/>
      <c r="G18338" s="8"/>
      <c r="M18338" s="8"/>
    </row>
    <row r="18339">
      <c r="B18339" s="8"/>
      <c r="G18339" s="8"/>
      <c r="M18339" s="8"/>
    </row>
    <row r="18340">
      <c r="B18340" s="8"/>
      <c r="G18340" s="8"/>
      <c r="M18340" s="8"/>
    </row>
    <row r="18341">
      <c r="B18341" s="8"/>
      <c r="G18341" s="8"/>
      <c r="M18341" s="8"/>
    </row>
    <row r="18342">
      <c r="B18342" s="8"/>
      <c r="G18342" s="8"/>
      <c r="M18342" s="8"/>
    </row>
    <row r="18343">
      <c r="B18343" s="8"/>
      <c r="G18343" s="8"/>
      <c r="M18343" s="8"/>
    </row>
    <row r="18344">
      <c r="B18344" s="8"/>
      <c r="G18344" s="8"/>
      <c r="M18344" s="8"/>
    </row>
    <row r="18345">
      <c r="B18345" s="8"/>
      <c r="G18345" s="8"/>
      <c r="M18345" s="8"/>
    </row>
    <row r="18346">
      <c r="B18346" s="8"/>
      <c r="G18346" s="8"/>
      <c r="M18346" s="8"/>
    </row>
    <row r="18347">
      <c r="B18347" s="8"/>
      <c r="G18347" s="8"/>
      <c r="M18347" s="8"/>
    </row>
    <row r="18348">
      <c r="B18348" s="8"/>
      <c r="G18348" s="8"/>
      <c r="M18348" s="8"/>
    </row>
    <row r="18349">
      <c r="B18349" s="8"/>
      <c r="G18349" s="8"/>
      <c r="M18349" s="8"/>
    </row>
    <row r="18350">
      <c r="B18350" s="8"/>
      <c r="G18350" s="8"/>
      <c r="M18350" s="8"/>
    </row>
    <row r="18351">
      <c r="B18351" s="8"/>
      <c r="G18351" s="8"/>
      <c r="M18351" s="8"/>
    </row>
    <row r="18352">
      <c r="B18352" s="8"/>
      <c r="G18352" s="8"/>
      <c r="M18352" s="8"/>
    </row>
    <row r="18353">
      <c r="B18353" s="8"/>
      <c r="G18353" s="8"/>
      <c r="M18353" s="8"/>
    </row>
    <row r="18354">
      <c r="B18354" s="8"/>
      <c r="G18354" s="8"/>
      <c r="M18354" s="8"/>
    </row>
    <row r="18355">
      <c r="B18355" s="8"/>
      <c r="G18355" s="8"/>
      <c r="M18355" s="8"/>
    </row>
    <row r="18356">
      <c r="B18356" s="8"/>
      <c r="G18356" s="8"/>
      <c r="M18356" s="8"/>
    </row>
    <row r="18357">
      <c r="B18357" s="8"/>
      <c r="G18357" s="8"/>
      <c r="M18357" s="8"/>
    </row>
    <row r="18358">
      <c r="B18358" s="8"/>
      <c r="G18358" s="8"/>
      <c r="M18358" s="8"/>
    </row>
    <row r="18359">
      <c r="B18359" s="8"/>
      <c r="G18359" s="8"/>
      <c r="M18359" s="8"/>
    </row>
    <row r="18360">
      <c r="B18360" s="8"/>
      <c r="G18360" s="8"/>
      <c r="M18360" s="8"/>
    </row>
    <row r="18361">
      <c r="B18361" s="8"/>
      <c r="G18361" s="8"/>
      <c r="M18361" s="8"/>
    </row>
    <row r="18362">
      <c r="B18362" s="8"/>
      <c r="G18362" s="8"/>
      <c r="M18362" s="8"/>
    </row>
    <row r="18363">
      <c r="B18363" s="8"/>
      <c r="G18363" s="8"/>
      <c r="M18363" s="8"/>
    </row>
    <row r="18364">
      <c r="B18364" s="8"/>
      <c r="G18364" s="8"/>
      <c r="M18364" s="8"/>
    </row>
    <row r="18365">
      <c r="B18365" s="8"/>
      <c r="G18365" s="8"/>
      <c r="M18365" s="8"/>
    </row>
    <row r="18366">
      <c r="B18366" s="8"/>
      <c r="G18366" s="8"/>
      <c r="M18366" s="8"/>
    </row>
    <row r="18367">
      <c r="B18367" s="8"/>
      <c r="G18367" s="8"/>
      <c r="M18367" s="8"/>
    </row>
    <row r="18368">
      <c r="B18368" s="8"/>
      <c r="G18368" s="8"/>
      <c r="M18368" s="8"/>
    </row>
    <row r="18369">
      <c r="B18369" s="8"/>
      <c r="G18369" s="8"/>
      <c r="M18369" s="8"/>
    </row>
    <row r="18370">
      <c r="B18370" s="8"/>
      <c r="G18370" s="8"/>
      <c r="M18370" s="8"/>
    </row>
    <row r="18371">
      <c r="B18371" s="8"/>
      <c r="G18371" s="8"/>
      <c r="M18371" s="8"/>
    </row>
    <row r="18372">
      <c r="B18372" s="8"/>
      <c r="G18372" s="8"/>
      <c r="M18372" s="8"/>
    </row>
    <row r="18373">
      <c r="B18373" s="8"/>
      <c r="G18373" s="8"/>
      <c r="M18373" s="8"/>
    </row>
    <row r="18374">
      <c r="B18374" s="8"/>
      <c r="G18374" s="8"/>
      <c r="M18374" s="8"/>
    </row>
    <row r="18375">
      <c r="B18375" s="8"/>
      <c r="G18375" s="8"/>
      <c r="M18375" s="8"/>
    </row>
    <row r="18376">
      <c r="B18376" s="8"/>
      <c r="G18376" s="8"/>
      <c r="M18376" s="8"/>
    </row>
    <row r="18377">
      <c r="B18377" s="8"/>
      <c r="G18377" s="8"/>
      <c r="M18377" s="8"/>
    </row>
    <row r="18378">
      <c r="B18378" s="8"/>
      <c r="G18378" s="8"/>
      <c r="M18378" s="8"/>
    </row>
    <row r="18379">
      <c r="B18379" s="8"/>
      <c r="G18379" s="8"/>
      <c r="M18379" s="8"/>
    </row>
    <row r="18380">
      <c r="B18380" s="8"/>
      <c r="G18380" s="8"/>
      <c r="M18380" s="8"/>
    </row>
    <row r="18381">
      <c r="B18381" s="8"/>
      <c r="G18381" s="8"/>
      <c r="M18381" s="8"/>
    </row>
    <row r="18382">
      <c r="B18382" s="8"/>
      <c r="G18382" s="8"/>
      <c r="M18382" s="8"/>
    </row>
    <row r="18383">
      <c r="B18383" s="8"/>
      <c r="G18383" s="8"/>
      <c r="M18383" s="8"/>
    </row>
    <row r="18384">
      <c r="B18384" s="8"/>
      <c r="G18384" s="8"/>
      <c r="M18384" s="8"/>
    </row>
    <row r="18385">
      <c r="B18385" s="8"/>
      <c r="G18385" s="8"/>
      <c r="M18385" s="8"/>
    </row>
    <row r="18386">
      <c r="B18386" s="8"/>
      <c r="G18386" s="8"/>
      <c r="M18386" s="8"/>
    </row>
    <row r="18387">
      <c r="B18387" s="8"/>
      <c r="G18387" s="8"/>
      <c r="M18387" s="8"/>
    </row>
    <row r="18388">
      <c r="B18388" s="8"/>
      <c r="G18388" s="8"/>
      <c r="M18388" s="8"/>
    </row>
    <row r="18389">
      <c r="B18389" s="8"/>
      <c r="G18389" s="8"/>
      <c r="M18389" s="8"/>
    </row>
    <row r="18390">
      <c r="B18390" s="8"/>
      <c r="G18390" s="8"/>
      <c r="M18390" s="8"/>
    </row>
    <row r="18391">
      <c r="B18391" s="8"/>
      <c r="G18391" s="8"/>
      <c r="M18391" s="8"/>
    </row>
    <row r="18392">
      <c r="B18392" s="8"/>
      <c r="G18392" s="8"/>
      <c r="M18392" s="8"/>
    </row>
    <row r="18393">
      <c r="B18393" s="8"/>
      <c r="G18393" s="8"/>
      <c r="M18393" s="8"/>
    </row>
    <row r="18394">
      <c r="B18394" s="8"/>
      <c r="G18394" s="8"/>
      <c r="M18394" s="8"/>
    </row>
    <row r="18395">
      <c r="B18395" s="8"/>
      <c r="G18395" s="8"/>
      <c r="M18395" s="8"/>
    </row>
    <row r="18396">
      <c r="B18396" s="8"/>
      <c r="G18396" s="8"/>
      <c r="M18396" s="8"/>
    </row>
    <row r="18397">
      <c r="B18397" s="8"/>
      <c r="G18397" s="8"/>
      <c r="M18397" s="8"/>
    </row>
    <row r="18398">
      <c r="B18398" s="8"/>
      <c r="G18398" s="8"/>
      <c r="M18398" s="8"/>
    </row>
    <row r="18399">
      <c r="B18399" s="8"/>
      <c r="G18399" s="8"/>
      <c r="M18399" s="8"/>
    </row>
    <row r="18400">
      <c r="B18400" s="8"/>
      <c r="G18400" s="8"/>
      <c r="M18400" s="8"/>
    </row>
    <row r="18401">
      <c r="B18401" s="8"/>
      <c r="G18401" s="8"/>
      <c r="M18401" s="8"/>
    </row>
    <row r="18402">
      <c r="B18402" s="8"/>
      <c r="G18402" s="8"/>
      <c r="M18402" s="8"/>
    </row>
    <row r="18403">
      <c r="B18403" s="8"/>
      <c r="G18403" s="8"/>
      <c r="M18403" s="8"/>
    </row>
    <row r="18404">
      <c r="B18404" s="8"/>
      <c r="G18404" s="8"/>
      <c r="M18404" s="8"/>
    </row>
    <row r="18405">
      <c r="B18405" s="8"/>
      <c r="G18405" s="8"/>
      <c r="M18405" s="8"/>
    </row>
    <row r="18406">
      <c r="B18406" s="8"/>
      <c r="G18406" s="8"/>
      <c r="M18406" s="8"/>
    </row>
    <row r="18407">
      <c r="B18407" s="8"/>
      <c r="G18407" s="8"/>
      <c r="M18407" s="8"/>
    </row>
    <row r="18408">
      <c r="B18408" s="8"/>
      <c r="G18408" s="8"/>
      <c r="M18408" s="8"/>
    </row>
    <row r="18409">
      <c r="B18409" s="8"/>
      <c r="G18409" s="8"/>
      <c r="M18409" s="8"/>
    </row>
    <row r="18410">
      <c r="B18410" s="8"/>
      <c r="G18410" s="8"/>
      <c r="M18410" s="8"/>
    </row>
    <row r="18411">
      <c r="B18411" s="8"/>
      <c r="G18411" s="8"/>
      <c r="M18411" s="8"/>
    </row>
    <row r="18412">
      <c r="B18412" s="8"/>
      <c r="G18412" s="8"/>
      <c r="M18412" s="8"/>
    </row>
    <row r="18413">
      <c r="B18413" s="8"/>
      <c r="G18413" s="8"/>
      <c r="M18413" s="8"/>
    </row>
    <row r="18414">
      <c r="B18414" s="8"/>
      <c r="G18414" s="8"/>
      <c r="M18414" s="8"/>
    </row>
    <row r="18415">
      <c r="B18415" s="8"/>
      <c r="G18415" s="8"/>
      <c r="M18415" s="8"/>
    </row>
    <row r="18416">
      <c r="B18416" s="8"/>
      <c r="G18416" s="8"/>
      <c r="M18416" s="8"/>
    </row>
    <row r="18417">
      <c r="B18417" s="8"/>
      <c r="G18417" s="8"/>
      <c r="M18417" s="8"/>
    </row>
    <row r="18418">
      <c r="B18418" s="8"/>
      <c r="G18418" s="8"/>
      <c r="M18418" s="8"/>
    </row>
    <row r="18419">
      <c r="B18419" s="8"/>
      <c r="G18419" s="8"/>
      <c r="M18419" s="8"/>
    </row>
    <row r="18420">
      <c r="B18420" s="8"/>
      <c r="G18420" s="8"/>
      <c r="M18420" s="8"/>
    </row>
    <row r="18421">
      <c r="B18421" s="8"/>
      <c r="G18421" s="8"/>
      <c r="M18421" s="8"/>
    </row>
    <row r="18422">
      <c r="B18422" s="8"/>
      <c r="G18422" s="8"/>
      <c r="M18422" s="8"/>
    </row>
    <row r="18423">
      <c r="B18423" s="8"/>
      <c r="G18423" s="8"/>
      <c r="M18423" s="8"/>
    </row>
    <row r="18424">
      <c r="B18424" s="8"/>
      <c r="G18424" s="8"/>
      <c r="M18424" s="8"/>
    </row>
    <row r="18425">
      <c r="B18425" s="8"/>
      <c r="G18425" s="8"/>
      <c r="M18425" s="8"/>
    </row>
    <row r="18426">
      <c r="B18426" s="8"/>
      <c r="G18426" s="8"/>
      <c r="M18426" s="8"/>
    </row>
    <row r="18427">
      <c r="B18427" s="8"/>
      <c r="G18427" s="8"/>
      <c r="M18427" s="8"/>
    </row>
    <row r="18428">
      <c r="B18428" s="8"/>
      <c r="G18428" s="8"/>
      <c r="M18428" s="8"/>
    </row>
    <row r="18429">
      <c r="B18429" s="8"/>
      <c r="G18429" s="8"/>
      <c r="M18429" s="8"/>
    </row>
    <row r="18430">
      <c r="B18430" s="8"/>
      <c r="G18430" s="8"/>
      <c r="M18430" s="8"/>
    </row>
    <row r="18431">
      <c r="B18431" s="8"/>
      <c r="G18431" s="8"/>
      <c r="M18431" s="8"/>
    </row>
    <row r="18432">
      <c r="B18432" s="8"/>
      <c r="G18432" s="8"/>
      <c r="M18432" s="8"/>
    </row>
    <row r="18433">
      <c r="B18433" s="8"/>
      <c r="G18433" s="8"/>
      <c r="M18433" s="8"/>
    </row>
    <row r="18434">
      <c r="B18434" s="8"/>
      <c r="G18434" s="8"/>
      <c r="M18434" s="8"/>
    </row>
    <row r="18435">
      <c r="B18435" s="8"/>
      <c r="G18435" s="8"/>
      <c r="M18435" s="8"/>
    </row>
    <row r="18436">
      <c r="B18436" s="8"/>
      <c r="G18436" s="8"/>
      <c r="M18436" s="8"/>
    </row>
    <row r="18437">
      <c r="B18437" s="8"/>
      <c r="G18437" s="8"/>
      <c r="M18437" s="8"/>
    </row>
    <row r="18438">
      <c r="B18438" s="8"/>
      <c r="G18438" s="8"/>
      <c r="M18438" s="8"/>
    </row>
    <row r="18439">
      <c r="B18439" s="8"/>
      <c r="G18439" s="8"/>
      <c r="M18439" s="8"/>
    </row>
    <row r="18440">
      <c r="B18440" s="8"/>
      <c r="G18440" s="8"/>
      <c r="M18440" s="8"/>
    </row>
    <row r="18441">
      <c r="B18441" s="8"/>
      <c r="G18441" s="8"/>
      <c r="M18441" s="8"/>
    </row>
    <row r="18442">
      <c r="B18442" s="8"/>
      <c r="G18442" s="8"/>
      <c r="M18442" s="8"/>
    </row>
    <row r="18443">
      <c r="B18443" s="8"/>
      <c r="G18443" s="8"/>
      <c r="M18443" s="8"/>
    </row>
    <row r="18444">
      <c r="B18444" s="8"/>
      <c r="G18444" s="8"/>
      <c r="M18444" s="8"/>
    </row>
    <row r="18445">
      <c r="B18445" s="8"/>
      <c r="G18445" s="8"/>
      <c r="M18445" s="8"/>
    </row>
    <row r="18446">
      <c r="B18446" s="8"/>
      <c r="G18446" s="8"/>
      <c r="M18446" s="8"/>
    </row>
    <row r="18447">
      <c r="B18447" s="8"/>
      <c r="G18447" s="8"/>
      <c r="M18447" s="8"/>
    </row>
    <row r="18448">
      <c r="B18448" s="8"/>
      <c r="G18448" s="8"/>
      <c r="M18448" s="8"/>
    </row>
    <row r="18449">
      <c r="B18449" s="8"/>
      <c r="G18449" s="8"/>
      <c r="M18449" s="8"/>
    </row>
    <row r="18450">
      <c r="B18450" s="8"/>
      <c r="G18450" s="8"/>
      <c r="M18450" s="8"/>
    </row>
    <row r="18451">
      <c r="B18451" s="8"/>
      <c r="G18451" s="8"/>
      <c r="M18451" s="8"/>
    </row>
    <row r="18452">
      <c r="B18452" s="8"/>
      <c r="G18452" s="8"/>
      <c r="M18452" s="8"/>
    </row>
    <row r="18453">
      <c r="B18453" s="8"/>
      <c r="G18453" s="8"/>
      <c r="M18453" s="8"/>
    </row>
    <row r="18454">
      <c r="B18454" s="8"/>
      <c r="G18454" s="8"/>
      <c r="M18454" s="8"/>
    </row>
    <row r="18455">
      <c r="B18455" s="8"/>
      <c r="G18455" s="8"/>
      <c r="M18455" s="8"/>
    </row>
    <row r="18456">
      <c r="B18456" s="8"/>
      <c r="G18456" s="8"/>
      <c r="M18456" s="8"/>
    </row>
    <row r="18457">
      <c r="B18457" s="8"/>
      <c r="G18457" s="8"/>
      <c r="M18457" s="8"/>
    </row>
    <row r="18458">
      <c r="B18458" s="8"/>
      <c r="G18458" s="8"/>
      <c r="M18458" s="8"/>
    </row>
    <row r="18459">
      <c r="B18459" s="8"/>
      <c r="G18459" s="8"/>
      <c r="M18459" s="8"/>
    </row>
    <row r="18460">
      <c r="B18460" s="8"/>
      <c r="G18460" s="8"/>
      <c r="M18460" s="8"/>
    </row>
    <row r="18461">
      <c r="B18461" s="8"/>
      <c r="G18461" s="8"/>
      <c r="M18461" s="8"/>
    </row>
    <row r="18462">
      <c r="B18462" s="8"/>
      <c r="G18462" s="8"/>
      <c r="M18462" s="8"/>
    </row>
    <row r="18463">
      <c r="B18463" s="8"/>
      <c r="G18463" s="8"/>
      <c r="M18463" s="8"/>
    </row>
    <row r="18464">
      <c r="B18464" s="8"/>
      <c r="G18464" s="8"/>
      <c r="M18464" s="8"/>
    </row>
    <row r="18465">
      <c r="B18465" s="8"/>
      <c r="G18465" s="8"/>
      <c r="M18465" s="8"/>
    </row>
    <row r="18466">
      <c r="B18466" s="8"/>
      <c r="G18466" s="8"/>
      <c r="M18466" s="8"/>
    </row>
    <row r="18467">
      <c r="B18467" s="8"/>
      <c r="G18467" s="8"/>
      <c r="M18467" s="8"/>
    </row>
    <row r="18468">
      <c r="B18468" s="8"/>
      <c r="G18468" s="8"/>
      <c r="M18468" s="8"/>
    </row>
    <row r="18469">
      <c r="B18469" s="8"/>
      <c r="G18469" s="8"/>
      <c r="M18469" s="8"/>
    </row>
    <row r="18470">
      <c r="B18470" s="8"/>
      <c r="G18470" s="8"/>
      <c r="M18470" s="8"/>
    </row>
    <row r="18471">
      <c r="B18471" s="8"/>
      <c r="G18471" s="8"/>
      <c r="M18471" s="8"/>
    </row>
    <row r="18472">
      <c r="B18472" s="8"/>
      <c r="G18472" s="8"/>
      <c r="M18472" s="8"/>
    </row>
    <row r="18473">
      <c r="B18473" s="8"/>
      <c r="G18473" s="8"/>
      <c r="M18473" s="8"/>
    </row>
    <row r="18474">
      <c r="B18474" s="8"/>
      <c r="G18474" s="8"/>
      <c r="M18474" s="8"/>
    </row>
    <row r="18475">
      <c r="B18475" s="8"/>
      <c r="G18475" s="8"/>
      <c r="M18475" s="8"/>
    </row>
    <row r="18476">
      <c r="B18476" s="8"/>
      <c r="G18476" s="8"/>
      <c r="M18476" s="8"/>
    </row>
    <row r="18477">
      <c r="B18477" s="8"/>
      <c r="G18477" s="8"/>
      <c r="M18477" s="8"/>
    </row>
    <row r="18478">
      <c r="B18478" s="8"/>
      <c r="G18478" s="8"/>
      <c r="M18478" s="8"/>
    </row>
    <row r="18479">
      <c r="B18479" s="8"/>
      <c r="G18479" s="8"/>
      <c r="M18479" s="8"/>
    </row>
    <row r="18480">
      <c r="B18480" s="8"/>
      <c r="G18480" s="8"/>
      <c r="M18480" s="8"/>
    </row>
    <row r="18481">
      <c r="B18481" s="8"/>
      <c r="G18481" s="8"/>
      <c r="M18481" s="8"/>
    </row>
    <row r="18482">
      <c r="B18482" s="8"/>
      <c r="G18482" s="8"/>
      <c r="M18482" s="8"/>
    </row>
    <row r="18483">
      <c r="B18483" s="8"/>
      <c r="G18483" s="8"/>
      <c r="M18483" s="8"/>
    </row>
    <row r="18484">
      <c r="B18484" s="8"/>
      <c r="G18484" s="8"/>
      <c r="M18484" s="8"/>
    </row>
    <row r="18485">
      <c r="B18485" s="8"/>
      <c r="G18485" s="8"/>
      <c r="M18485" s="8"/>
    </row>
    <row r="18486">
      <c r="B18486" s="8"/>
      <c r="G18486" s="8"/>
      <c r="M18486" s="8"/>
    </row>
    <row r="18487">
      <c r="B18487" s="8"/>
      <c r="G18487" s="8"/>
      <c r="M18487" s="8"/>
    </row>
    <row r="18488">
      <c r="B18488" s="8"/>
      <c r="G18488" s="8"/>
      <c r="M18488" s="8"/>
    </row>
    <row r="18489">
      <c r="B18489" s="8"/>
      <c r="G18489" s="8"/>
      <c r="M18489" s="8"/>
    </row>
    <row r="18490">
      <c r="B18490" s="8"/>
      <c r="G18490" s="8"/>
      <c r="M18490" s="8"/>
    </row>
    <row r="18491">
      <c r="B18491" s="8"/>
      <c r="G18491" s="8"/>
      <c r="M18491" s="8"/>
    </row>
    <row r="18492">
      <c r="B18492" s="8"/>
      <c r="G18492" s="8"/>
      <c r="M18492" s="8"/>
    </row>
    <row r="18493">
      <c r="B18493" s="8"/>
      <c r="G18493" s="8"/>
      <c r="M18493" s="8"/>
    </row>
    <row r="18494">
      <c r="B18494" s="8"/>
      <c r="G18494" s="8"/>
      <c r="M18494" s="8"/>
    </row>
    <row r="18495">
      <c r="B18495" s="8"/>
      <c r="G18495" s="8"/>
      <c r="M18495" s="8"/>
    </row>
    <row r="18496">
      <c r="B18496" s="8"/>
      <c r="G18496" s="8"/>
      <c r="M18496" s="8"/>
    </row>
    <row r="18497">
      <c r="B18497" s="8"/>
      <c r="G18497" s="8"/>
      <c r="M18497" s="8"/>
    </row>
    <row r="18498">
      <c r="B18498" s="8"/>
      <c r="G18498" s="8"/>
      <c r="M18498" s="8"/>
    </row>
    <row r="18499">
      <c r="B18499" s="8"/>
      <c r="G18499" s="8"/>
      <c r="M18499" s="8"/>
    </row>
    <row r="18500">
      <c r="B18500" s="8"/>
      <c r="G18500" s="8"/>
      <c r="M18500" s="8"/>
    </row>
    <row r="18501">
      <c r="B18501" s="8"/>
      <c r="G18501" s="8"/>
      <c r="M18501" s="8"/>
    </row>
    <row r="18502">
      <c r="B18502" s="8"/>
      <c r="G18502" s="8"/>
      <c r="M18502" s="8"/>
    </row>
    <row r="18503">
      <c r="B18503" s="8"/>
      <c r="G18503" s="8"/>
      <c r="M18503" s="8"/>
    </row>
    <row r="18504">
      <c r="B18504" s="8"/>
      <c r="G18504" s="8"/>
      <c r="M18504" s="8"/>
    </row>
    <row r="18505">
      <c r="B18505" s="8"/>
      <c r="G18505" s="8"/>
      <c r="M18505" s="8"/>
    </row>
    <row r="18506">
      <c r="B18506" s="8"/>
      <c r="G18506" s="8"/>
      <c r="M18506" s="8"/>
    </row>
    <row r="18507">
      <c r="B18507" s="8"/>
      <c r="G18507" s="8"/>
      <c r="M18507" s="8"/>
    </row>
    <row r="18508">
      <c r="B18508" s="8"/>
      <c r="G18508" s="8"/>
      <c r="M18508" s="8"/>
    </row>
    <row r="18509">
      <c r="B18509" s="8"/>
      <c r="G18509" s="8"/>
      <c r="M18509" s="8"/>
    </row>
    <row r="18510">
      <c r="B18510" s="8"/>
      <c r="G18510" s="8"/>
      <c r="M18510" s="8"/>
    </row>
    <row r="18511">
      <c r="B18511" s="8"/>
      <c r="G18511" s="8"/>
      <c r="M18511" s="8"/>
    </row>
    <row r="18512">
      <c r="B18512" s="8"/>
      <c r="G18512" s="8"/>
      <c r="M18512" s="8"/>
    </row>
    <row r="18513">
      <c r="B18513" s="8"/>
      <c r="G18513" s="8"/>
      <c r="M18513" s="8"/>
    </row>
    <row r="18514">
      <c r="B18514" s="8"/>
      <c r="G18514" s="8"/>
      <c r="M18514" s="8"/>
    </row>
    <row r="18515">
      <c r="B18515" s="8"/>
      <c r="G18515" s="8"/>
      <c r="M18515" s="8"/>
    </row>
    <row r="18516">
      <c r="B18516" s="8"/>
      <c r="G18516" s="8"/>
      <c r="M18516" s="8"/>
    </row>
    <row r="18517">
      <c r="B18517" s="8"/>
      <c r="G18517" s="8"/>
      <c r="M18517" s="8"/>
    </row>
    <row r="18518">
      <c r="B18518" s="8"/>
      <c r="G18518" s="8"/>
      <c r="M18518" s="8"/>
    </row>
    <row r="18519">
      <c r="B18519" s="8"/>
      <c r="G18519" s="8"/>
      <c r="M18519" s="8"/>
    </row>
    <row r="18520">
      <c r="B18520" s="8"/>
      <c r="G18520" s="8"/>
      <c r="M18520" s="8"/>
    </row>
    <row r="18521">
      <c r="B18521" s="8"/>
      <c r="G18521" s="8"/>
      <c r="M18521" s="8"/>
    </row>
    <row r="18522">
      <c r="B18522" s="8"/>
      <c r="G18522" s="8"/>
      <c r="M18522" s="8"/>
    </row>
    <row r="18523">
      <c r="B18523" s="8"/>
      <c r="G18523" s="8"/>
      <c r="M18523" s="8"/>
    </row>
    <row r="18524">
      <c r="B18524" s="8"/>
      <c r="G18524" s="8"/>
      <c r="M18524" s="8"/>
    </row>
    <row r="18525">
      <c r="B18525" s="8"/>
      <c r="G18525" s="8"/>
      <c r="M18525" s="8"/>
    </row>
    <row r="18526">
      <c r="B18526" s="8"/>
      <c r="G18526" s="8"/>
      <c r="M18526" s="8"/>
    </row>
    <row r="18527">
      <c r="B18527" s="8"/>
      <c r="G18527" s="8"/>
      <c r="M18527" s="8"/>
    </row>
    <row r="18528">
      <c r="B18528" s="8"/>
      <c r="G18528" s="8"/>
      <c r="M18528" s="8"/>
    </row>
    <row r="18529">
      <c r="B18529" s="8"/>
      <c r="G18529" s="8"/>
      <c r="M18529" s="8"/>
    </row>
    <row r="18530">
      <c r="B18530" s="8"/>
      <c r="G18530" s="8"/>
      <c r="M18530" s="8"/>
    </row>
    <row r="18531">
      <c r="B18531" s="8"/>
      <c r="G18531" s="8"/>
      <c r="M18531" s="8"/>
    </row>
    <row r="18532">
      <c r="B18532" s="8"/>
      <c r="G18532" s="8"/>
      <c r="M18532" s="8"/>
    </row>
    <row r="18533">
      <c r="B18533" s="8"/>
      <c r="G18533" s="8"/>
      <c r="M18533" s="8"/>
    </row>
    <row r="18534">
      <c r="B18534" s="8"/>
      <c r="G18534" s="8"/>
      <c r="M18534" s="8"/>
    </row>
    <row r="18535">
      <c r="B18535" s="8"/>
      <c r="G18535" s="8"/>
      <c r="M18535" s="8"/>
    </row>
    <row r="18536">
      <c r="B18536" s="8"/>
      <c r="G18536" s="8"/>
      <c r="M18536" s="8"/>
    </row>
    <row r="18537">
      <c r="B18537" s="8"/>
      <c r="G18537" s="8"/>
      <c r="M18537" s="8"/>
    </row>
    <row r="18538">
      <c r="B18538" s="8"/>
      <c r="G18538" s="8"/>
      <c r="M18538" s="8"/>
    </row>
    <row r="18539">
      <c r="B18539" s="8"/>
      <c r="G18539" s="8"/>
      <c r="M18539" s="8"/>
    </row>
    <row r="18540">
      <c r="B18540" s="8"/>
      <c r="G18540" s="8"/>
      <c r="M18540" s="8"/>
    </row>
    <row r="18541">
      <c r="B18541" s="8"/>
      <c r="G18541" s="8"/>
      <c r="M18541" s="8"/>
    </row>
    <row r="18542">
      <c r="B18542" s="8"/>
      <c r="G18542" s="8"/>
      <c r="M18542" s="8"/>
    </row>
    <row r="18543">
      <c r="B18543" s="8"/>
      <c r="G18543" s="8"/>
      <c r="M18543" s="8"/>
    </row>
    <row r="18544">
      <c r="B18544" s="8"/>
      <c r="G18544" s="8"/>
      <c r="M18544" s="8"/>
    </row>
    <row r="18545">
      <c r="B18545" s="8"/>
      <c r="G18545" s="8"/>
      <c r="M18545" s="8"/>
    </row>
    <row r="18546">
      <c r="B18546" s="8"/>
      <c r="G18546" s="8"/>
      <c r="M18546" s="8"/>
    </row>
    <row r="18547">
      <c r="B18547" s="8"/>
      <c r="G18547" s="8"/>
      <c r="M18547" s="8"/>
    </row>
    <row r="18548">
      <c r="B18548" s="8"/>
      <c r="G18548" s="8"/>
      <c r="M18548" s="8"/>
    </row>
    <row r="18549">
      <c r="B18549" s="8"/>
      <c r="G18549" s="8"/>
      <c r="M18549" s="8"/>
    </row>
    <row r="18550">
      <c r="B18550" s="8"/>
      <c r="G18550" s="8"/>
      <c r="M18550" s="8"/>
    </row>
    <row r="18551">
      <c r="B18551" s="8"/>
      <c r="G18551" s="8"/>
      <c r="M18551" s="8"/>
    </row>
    <row r="18552">
      <c r="B18552" s="8"/>
      <c r="G18552" s="8"/>
      <c r="M18552" s="8"/>
    </row>
    <row r="18553">
      <c r="B18553" s="8"/>
      <c r="G18553" s="8"/>
      <c r="M18553" s="8"/>
    </row>
    <row r="18554">
      <c r="B18554" s="8"/>
      <c r="G18554" s="8"/>
      <c r="M18554" s="8"/>
    </row>
    <row r="18555">
      <c r="B18555" s="8"/>
      <c r="G18555" s="8"/>
      <c r="M18555" s="8"/>
    </row>
    <row r="18556">
      <c r="B18556" s="8"/>
      <c r="G18556" s="8"/>
      <c r="M18556" s="8"/>
    </row>
    <row r="18557">
      <c r="B18557" s="8"/>
      <c r="G18557" s="8"/>
      <c r="M18557" s="8"/>
    </row>
    <row r="18558">
      <c r="B18558" s="8"/>
      <c r="G18558" s="8"/>
      <c r="M18558" s="8"/>
    </row>
    <row r="18559">
      <c r="B18559" s="8"/>
      <c r="G18559" s="8"/>
      <c r="M18559" s="8"/>
    </row>
    <row r="18560">
      <c r="B18560" s="8"/>
      <c r="G18560" s="8"/>
      <c r="M18560" s="8"/>
    </row>
    <row r="18561">
      <c r="B18561" s="8"/>
      <c r="G18561" s="8"/>
      <c r="M18561" s="8"/>
    </row>
    <row r="18562">
      <c r="B18562" s="8"/>
      <c r="G18562" s="8"/>
      <c r="M18562" s="8"/>
    </row>
    <row r="18563">
      <c r="B18563" s="8"/>
      <c r="G18563" s="8"/>
      <c r="M18563" s="8"/>
    </row>
    <row r="18564">
      <c r="B18564" s="8"/>
      <c r="G18564" s="8"/>
      <c r="M18564" s="8"/>
    </row>
    <row r="18565">
      <c r="B18565" s="8"/>
      <c r="G18565" s="8"/>
      <c r="M18565" s="8"/>
    </row>
    <row r="18566">
      <c r="B18566" s="8"/>
      <c r="G18566" s="8"/>
      <c r="M18566" s="8"/>
    </row>
    <row r="18567">
      <c r="B18567" s="8"/>
      <c r="G18567" s="8"/>
      <c r="M18567" s="8"/>
    </row>
    <row r="18568">
      <c r="B18568" s="8"/>
      <c r="G18568" s="8"/>
      <c r="M18568" s="8"/>
    </row>
    <row r="18569">
      <c r="B18569" s="8"/>
      <c r="G18569" s="8"/>
      <c r="M18569" s="8"/>
    </row>
    <row r="18570">
      <c r="B18570" s="8"/>
      <c r="G18570" s="8"/>
      <c r="M18570" s="8"/>
    </row>
    <row r="18571">
      <c r="B18571" s="8"/>
      <c r="G18571" s="8"/>
      <c r="M18571" s="8"/>
    </row>
    <row r="18572">
      <c r="B18572" s="8"/>
      <c r="G18572" s="8"/>
      <c r="M18572" s="8"/>
    </row>
    <row r="18573">
      <c r="B18573" s="8"/>
      <c r="G18573" s="8"/>
      <c r="M18573" s="8"/>
    </row>
    <row r="18574">
      <c r="B18574" s="8"/>
      <c r="G18574" s="8"/>
      <c r="M18574" s="8"/>
    </row>
    <row r="18575">
      <c r="B18575" s="8"/>
      <c r="G18575" s="8"/>
      <c r="M18575" s="8"/>
    </row>
    <row r="18576">
      <c r="B18576" s="8"/>
      <c r="G18576" s="8"/>
      <c r="M18576" s="8"/>
    </row>
    <row r="18577">
      <c r="B18577" s="8"/>
      <c r="G18577" s="8"/>
      <c r="M18577" s="8"/>
    </row>
    <row r="18578">
      <c r="B18578" s="8"/>
      <c r="G18578" s="8"/>
      <c r="M18578" s="8"/>
    </row>
    <row r="18579">
      <c r="B18579" s="8"/>
      <c r="G18579" s="8"/>
      <c r="M18579" s="8"/>
    </row>
    <row r="18580">
      <c r="B18580" s="8"/>
      <c r="G18580" s="8"/>
      <c r="M18580" s="8"/>
    </row>
    <row r="18581">
      <c r="B18581" s="8"/>
      <c r="G18581" s="8"/>
      <c r="M18581" s="8"/>
    </row>
    <row r="18582">
      <c r="B18582" s="8"/>
      <c r="G18582" s="8"/>
      <c r="M18582" s="8"/>
    </row>
    <row r="18583">
      <c r="B18583" s="8"/>
      <c r="G18583" s="8"/>
      <c r="M18583" s="8"/>
    </row>
    <row r="18584">
      <c r="B18584" s="8"/>
      <c r="G18584" s="8"/>
      <c r="M18584" s="8"/>
    </row>
    <row r="18585">
      <c r="B18585" s="8"/>
      <c r="G18585" s="8"/>
      <c r="M18585" s="8"/>
    </row>
    <row r="18586">
      <c r="B18586" s="8"/>
      <c r="G18586" s="8"/>
      <c r="M18586" s="8"/>
    </row>
    <row r="18587">
      <c r="B18587" s="8"/>
      <c r="G18587" s="8"/>
      <c r="M18587" s="8"/>
    </row>
    <row r="18588">
      <c r="B18588" s="8"/>
      <c r="G18588" s="8"/>
      <c r="M18588" s="8"/>
    </row>
    <row r="18589">
      <c r="B18589" s="8"/>
      <c r="G18589" s="8"/>
      <c r="M18589" s="8"/>
    </row>
    <row r="18590">
      <c r="B18590" s="8"/>
      <c r="G18590" s="8"/>
      <c r="M18590" s="8"/>
    </row>
    <row r="18591">
      <c r="B18591" s="8"/>
      <c r="G18591" s="8"/>
      <c r="M18591" s="8"/>
    </row>
    <row r="18592">
      <c r="B18592" s="8"/>
      <c r="G18592" s="8"/>
      <c r="M18592" s="8"/>
    </row>
    <row r="18593">
      <c r="B18593" s="8"/>
      <c r="G18593" s="8"/>
      <c r="M18593" s="8"/>
    </row>
    <row r="18594">
      <c r="B18594" s="8"/>
      <c r="G18594" s="8"/>
      <c r="M18594" s="8"/>
    </row>
    <row r="18595">
      <c r="B18595" s="8"/>
      <c r="G18595" s="8"/>
      <c r="M18595" s="8"/>
    </row>
    <row r="18596">
      <c r="B18596" s="8"/>
      <c r="G18596" s="8"/>
      <c r="M18596" s="8"/>
    </row>
    <row r="18597">
      <c r="B18597" s="8"/>
      <c r="G18597" s="8"/>
      <c r="M18597" s="8"/>
    </row>
    <row r="18598">
      <c r="B18598" s="8"/>
      <c r="G18598" s="8"/>
      <c r="M18598" s="8"/>
    </row>
    <row r="18599">
      <c r="B18599" s="8"/>
      <c r="G18599" s="8"/>
      <c r="M18599" s="8"/>
    </row>
    <row r="18600">
      <c r="B18600" s="8"/>
      <c r="G18600" s="8"/>
      <c r="M18600" s="8"/>
    </row>
    <row r="18601">
      <c r="B18601" s="8"/>
      <c r="G18601" s="8"/>
      <c r="M18601" s="8"/>
    </row>
    <row r="18602">
      <c r="B18602" s="8"/>
      <c r="G18602" s="8"/>
      <c r="M18602" s="8"/>
    </row>
    <row r="18603">
      <c r="B18603" s="8"/>
      <c r="G18603" s="8"/>
      <c r="M18603" s="8"/>
    </row>
    <row r="18604">
      <c r="B18604" s="8"/>
      <c r="G18604" s="8"/>
      <c r="M18604" s="8"/>
    </row>
    <row r="18605">
      <c r="B18605" s="8"/>
      <c r="G18605" s="8"/>
      <c r="M18605" s="8"/>
    </row>
    <row r="18606">
      <c r="B18606" s="8"/>
      <c r="G18606" s="8"/>
      <c r="M18606" s="8"/>
    </row>
    <row r="18607">
      <c r="B18607" s="8"/>
      <c r="G18607" s="8"/>
      <c r="M18607" s="8"/>
    </row>
    <row r="18608">
      <c r="B18608" s="8"/>
      <c r="G18608" s="8"/>
      <c r="M18608" s="8"/>
    </row>
    <row r="18609">
      <c r="B18609" s="8"/>
      <c r="G18609" s="8"/>
      <c r="M18609" s="8"/>
    </row>
    <row r="18610">
      <c r="B18610" s="8"/>
      <c r="G18610" s="8"/>
      <c r="M18610" s="8"/>
    </row>
    <row r="18611">
      <c r="B18611" s="8"/>
      <c r="G18611" s="8"/>
      <c r="M18611" s="8"/>
    </row>
    <row r="18612">
      <c r="B18612" s="8"/>
      <c r="G18612" s="8"/>
      <c r="M18612" s="8"/>
    </row>
    <row r="18613">
      <c r="B18613" s="8"/>
      <c r="G18613" s="8"/>
      <c r="M18613" s="8"/>
    </row>
    <row r="18614">
      <c r="B18614" s="8"/>
      <c r="G18614" s="8"/>
      <c r="M18614" s="8"/>
    </row>
    <row r="18615">
      <c r="B18615" s="8"/>
      <c r="G18615" s="8"/>
      <c r="M18615" s="8"/>
    </row>
    <row r="18616">
      <c r="B18616" s="8"/>
      <c r="G18616" s="8"/>
      <c r="M18616" s="8"/>
    </row>
    <row r="18617">
      <c r="B18617" s="8"/>
      <c r="G18617" s="8"/>
      <c r="M18617" s="8"/>
    </row>
    <row r="18618">
      <c r="B18618" s="8"/>
      <c r="G18618" s="8"/>
      <c r="M18618" s="8"/>
    </row>
    <row r="18619">
      <c r="B18619" s="8"/>
      <c r="G18619" s="8"/>
      <c r="M18619" s="8"/>
    </row>
    <row r="18620">
      <c r="B18620" s="8"/>
      <c r="G18620" s="8"/>
      <c r="M18620" s="8"/>
    </row>
    <row r="18621">
      <c r="B18621" s="8"/>
      <c r="G18621" s="8"/>
      <c r="M18621" s="8"/>
    </row>
    <row r="18622">
      <c r="B18622" s="8"/>
      <c r="G18622" s="8"/>
      <c r="M18622" s="8"/>
    </row>
    <row r="18623">
      <c r="B18623" s="8"/>
      <c r="G18623" s="8"/>
      <c r="M18623" s="8"/>
    </row>
    <row r="18624">
      <c r="B18624" s="8"/>
      <c r="G18624" s="8"/>
      <c r="M18624" s="8"/>
    </row>
    <row r="18625">
      <c r="B18625" s="8"/>
      <c r="G18625" s="8"/>
      <c r="M18625" s="8"/>
    </row>
    <row r="18626">
      <c r="B18626" s="8"/>
      <c r="G18626" s="8"/>
      <c r="M18626" s="8"/>
    </row>
    <row r="18627">
      <c r="B18627" s="8"/>
      <c r="G18627" s="8"/>
      <c r="M18627" s="8"/>
    </row>
    <row r="18628">
      <c r="B18628" s="8"/>
      <c r="G18628" s="8"/>
      <c r="M18628" s="8"/>
    </row>
    <row r="18629">
      <c r="B18629" s="8"/>
      <c r="G18629" s="8"/>
      <c r="M18629" s="8"/>
    </row>
    <row r="18630">
      <c r="B18630" s="8"/>
      <c r="G18630" s="8"/>
      <c r="M18630" s="8"/>
    </row>
    <row r="18631">
      <c r="B18631" s="8"/>
      <c r="G18631" s="8"/>
      <c r="M18631" s="8"/>
    </row>
    <row r="18632">
      <c r="B18632" s="8"/>
      <c r="G18632" s="8"/>
      <c r="M18632" s="8"/>
    </row>
    <row r="18633">
      <c r="B18633" s="8"/>
      <c r="G18633" s="8"/>
      <c r="M18633" s="8"/>
    </row>
    <row r="18634">
      <c r="B18634" s="8"/>
      <c r="G18634" s="8"/>
      <c r="M18634" s="8"/>
    </row>
    <row r="18635">
      <c r="B18635" s="8"/>
      <c r="G18635" s="8"/>
      <c r="M18635" s="8"/>
    </row>
    <row r="18636">
      <c r="B18636" s="8"/>
      <c r="G18636" s="8"/>
      <c r="M18636" s="8"/>
    </row>
    <row r="18637">
      <c r="B18637" s="8"/>
      <c r="G18637" s="8"/>
      <c r="M18637" s="8"/>
    </row>
    <row r="18638">
      <c r="B18638" s="8"/>
      <c r="G18638" s="8"/>
      <c r="M18638" s="8"/>
    </row>
    <row r="18639">
      <c r="B18639" s="8"/>
      <c r="G18639" s="8"/>
      <c r="M18639" s="8"/>
    </row>
    <row r="18640">
      <c r="B18640" s="8"/>
      <c r="G18640" s="8"/>
      <c r="M18640" s="8"/>
    </row>
    <row r="18641">
      <c r="B18641" s="8"/>
      <c r="G18641" s="8"/>
      <c r="M18641" s="8"/>
    </row>
    <row r="18642">
      <c r="B18642" s="8"/>
      <c r="G18642" s="8"/>
      <c r="M18642" s="8"/>
    </row>
    <row r="18643">
      <c r="B18643" s="8"/>
      <c r="G18643" s="8"/>
      <c r="M18643" s="8"/>
    </row>
    <row r="18644">
      <c r="B18644" s="8"/>
      <c r="G18644" s="8"/>
      <c r="M18644" s="8"/>
    </row>
    <row r="18645">
      <c r="B18645" s="8"/>
      <c r="G18645" s="8"/>
      <c r="M18645" s="8"/>
    </row>
    <row r="18646">
      <c r="B18646" s="8"/>
      <c r="G18646" s="8"/>
      <c r="M18646" s="8"/>
    </row>
    <row r="18647">
      <c r="B18647" s="8"/>
      <c r="G18647" s="8"/>
      <c r="M18647" s="8"/>
    </row>
    <row r="18648">
      <c r="B18648" s="8"/>
      <c r="G18648" s="8"/>
      <c r="M18648" s="8"/>
    </row>
    <row r="18649">
      <c r="B18649" s="8"/>
      <c r="G18649" s="8"/>
      <c r="M18649" s="8"/>
    </row>
    <row r="18650">
      <c r="B18650" s="8"/>
      <c r="G18650" s="8"/>
      <c r="M18650" s="8"/>
    </row>
    <row r="18651">
      <c r="B18651" s="8"/>
      <c r="G18651" s="8"/>
      <c r="M18651" s="8"/>
    </row>
    <row r="18652">
      <c r="B18652" s="8"/>
      <c r="G18652" s="8"/>
      <c r="M18652" s="8"/>
    </row>
    <row r="18653">
      <c r="B18653" s="8"/>
      <c r="G18653" s="8"/>
      <c r="M18653" s="8"/>
    </row>
    <row r="18654">
      <c r="B18654" s="8"/>
      <c r="G18654" s="8"/>
      <c r="M18654" s="8"/>
    </row>
    <row r="18655">
      <c r="B18655" s="8"/>
      <c r="G18655" s="8"/>
      <c r="M18655" s="8"/>
    </row>
    <row r="18656">
      <c r="B18656" s="8"/>
      <c r="G18656" s="8"/>
      <c r="M18656" s="8"/>
    </row>
    <row r="18657">
      <c r="B18657" s="8"/>
      <c r="G18657" s="8"/>
      <c r="M18657" s="8"/>
    </row>
    <row r="18658">
      <c r="B18658" s="8"/>
      <c r="G18658" s="8"/>
      <c r="M18658" s="8"/>
    </row>
    <row r="18659">
      <c r="B18659" s="8"/>
      <c r="G18659" s="8"/>
      <c r="M18659" s="8"/>
    </row>
    <row r="18660">
      <c r="B18660" s="8"/>
      <c r="G18660" s="8"/>
      <c r="M18660" s="8"/>
    </row>
    <row r="18661">
      <c r="B18661" s="8"/>
      <c r="G18661" s="8"/>
      <c r="M18661" s="8"/>
    </row>
    <row r="18662">
      <c r="B18662" s="8"/>
      <c r="G18662" s="8"/>
      <c r="M18662" s="8"/>
    </row>
    <row r="18663">
      <c r="B18663" s="8"/>
      <c r="G18663" s="8"/>
      <c r="M18663" s="8"/>
    </row>
    <row r="18664">
      <c r="B18664" s="8"/>
      <c r="G18664" s="8"/>
      <c r="M18664" s="8"/>
    </row>
    <row r="18665">
      <c r="B18665" s="8"/>
      <c r="G18665" s="8"/>
      <c r="M18665" s="8"/>
    </row>
    <row r="18666">
      <c r="B18666" s="8"/>
      <c r="G18666" s="8"/>
      <c r="M18666" s="8"/>
    </row>
    <row r="18667">
      <c r="B18667" s="8"/>
      <c r="G18667" s="8"/>
      <c r="M18667" s="8"/>
    </row>
    <row r="18668">
      <c r="B18668" s="8"/>
      <c r="G18668" s="8"/>
      <c r="M18668" s="8"/>
    </row>
    <row r="18669">
      <c r="B18669" s="8"/>
      <c r="G18669" s="8"/>
      <c r="M18669" s="8"/>
    </row>
    <row r="18670">
      <c r="B18670" s="8"/>
      <c r="G18670" s="8"/>
      <c r="M18670" s="8"/>
    </row>
    <row r="18671">
      <c r="B18671" s="8"/>
      <c r="G18671" s="8"/>
      <c r="M18671" s="8"/>
    </row>
    <row r="18672">
      <c r="B18672" s="8"/>
      <c r="G18672" s="8"/>
      <c r="M18672" s="8"/>
    </row>
    <row r="18673">
      <c r="B18673" s="8"/>
      <c r="G18673" s="8"/>
      <c r="M18673" s="8"/>
    </row>
    <row r="18674">
      <c r="B18674" s="8"/>
      <c r="G18674" s="8"/>
      <c r="M18674" s="8"/>
    </row>
    <row r="18675">
      <c r="B18675" s="8"/>
      <c r="G18675" s="8"/>
      <c r="M18675" s="8"/>
    </row>
    <row r="18676">
      <c r="B18676" s="8"/>
      <c r="G18676" s="8"/>
      <c r="M18676" s="8"/>
    </row>
    <row r="18677">
      <c r="B18677" s="8"/>
      <c r="G18677" s="8"/>
      <c r="M18677" s="8"/>
    </row>
    <row r="18678">
      <c r="B18678" s="8"/>
      <c r="G18678" s="8"/>
      <c r="M18678" s="8"/>
    </row>
    <row r="18679">
      <c r="B18679" s="8"/>
      <c r="G18679" s="8"/>
      <c r="M18679" s="8"/>
    </row>
    <row r="18680">
      <c r="B18680" s="8"/>
      <c r="G18680" s="8"/>
      <c r="M18680" s="8"/>
    </row>
    <row r="18681">
      <c r="B18681" s="8"/>
      <c r="G18681" s="8"/>
      <c r="M18681" s="8"/>
    </row>
    <row r="18682">
      <c r="B18682" s="8"/>
      <c r="G18682" s="8"/>
      <c r="M18682" s="8"/>
    </row>
    <row r="18683">
      <c r="B18683" s="8"/>
      <c r="G18683" s="8"/>
      <c r="M18683" s="8"/>
    </row>
    <row r="18684">
      <c r="B18684" s="8"/>
      <c r="G18684" s="8"/>
      <c r="M18684" s="8"/>
    </row>
    <row r="18685">
      <c r="B18685" s="8"/>
      <c r="G18685" s="8"/>
      <c r="M18685" s="8"/>
    </row>
    <row r="18686">
      <c r="B18686" s="8"/>
      <c r="G18686" s="8"/>
      <c r="M18686" s="8"/>
    </row>
    <row r="18687">
      <c r="B18687" s="8"/>
      <c r="G18687" s="8"/>
      <c r="M18687" s="8"/>
    </row>
    <row r="18688">
      <c r="B18688" s="8"/>
      <c r="G18688" s="8"/>
      <c r="M18688" s="8"/>
    </row>
    <row r="18689">
      <c r="B18689" s="8"/>
      <c r="G18689" s="8"/>
      <c r="M18689" s="8"/>
    </row>
    <row r="18690">
      <c r="B18690" s="8"/>
      <c r="G18690" s="8"/>
      <c r="M18690" s="8"/>
    </row>
    <row r="18691">
      <c r="B18691" s="8"/>
      <c r="G18691" s="8"/>
      <c r="M18691" s="8"/>
    </row>
    <row r="18692">
      <c r="B18692" s="8"/>
      <c r="G18692" s="8"/>
      <c r="M18692" s="8"/>
    </row>
    <row r="18693">
      <c r="B18693" s="8"/>
      <c r="G18693" s="8"/>
      <c r="M18693" s="8"/>
    </row>
    <row r="18694">
      <c r="B18694" s="8"/>
      <c r="G18694" s="8"/>
      <c r="M18694" s="8"/>
    </row>
    <row r="18695">
      <c r="B18695" s="8"/>
      <c r="G18695" s="8"/>
      <c r="M18695" s="8"/>
    </row>
    <row r="18696">
      <c r="B18696" s="8"/>
      <c r="G18696" s="8"/>
      <c r="M18696" s="8"/>
    </row>
    <row r="18697">
      <c r="B18697" s="8"/>
      <c r="G18697" s="8"/>
      <c r="M18697" s="8"/>
    </row>
    <row r="18698">
      <c r="B18698" s="8"/>
      <c r="G18698" s="8"/>
      <c r="M18698" s="8"/>
    </row>
    <row r="18699">
      <c r="B18699" s="8"/>
      <c r="G18699" s="8"/>
      <c r="M18699" s="8"/>
    </row>
    <row r="18700">
      <c r="B18700" s="8"/>
      <c r="G18700" s="8"/>
      <c r="M18700" s="8"/>
    </row>
    <row r="18701">
      <c r="B18701" s="8"/>
      <c r="G18701" s="8"/>
      <c r="M18701" s="8"/>
    </row>
    <row r="18702">
      <c r="B18702" s="8"/>
      <c r="G18702" s="8"/>
      <c r="M18702" s="8"/>
    </row>
    <row r="18703">
      <c r="B18703" s="8"/>
      <c r="G18703" s="8"/>
      <c r="M18703" s="8"/>
    </row>
    <row r="18704">
      <c r="B18704" s="8"/>
      <c r="G18704" s="8"/>
      <c r="M18704" s="8"/>
    </row>
    <row r="18705">
      <c r="B18705" s="8"/>
      <c r="G18705" s="8"/>
      <c r="M18705" s="8"/>
    </row>
    <row r="18706">
      <c r="B18706" s="8"/>
      <c r="G18706" s="8"/>
      <c r="M18706" s="8"/>
    </row>
    <row r="18707">
      <c r="B18707" s="8"/>
      <c r="G18707" s="8"/>
      <c r="M18707" s="8"/>
    </row>
    <row r="18708">
      <c r="B18708" s="8"/>
      <c r="G18708" s="8"/>
      <c r="M18708" s="8"/>
    </row>
    <row r="18709">
      <c r="B18709" s="8"/>
      <c r="G18709" s="8"/>
      <c r="M18709" s="8"/>
    </row>
    <row r="18710">
      <c r="B18710" s="8"/>
      <c r="G18710" s="8"/>
      <c r="M18710" s="8"/>
    </row>
    <row r="18711">
      <c r="B18711" s="8"/>
      <c r="G18711" s="8"/>
      <c r="M18711" s="8"/>
    </row>
    <row r="18712">
      <c r="B18712" s="8"/>
      <c r="G18712" s="8"/>
      <c r="M18712" s="8"/>
    </row>
    <row r="18713">
      <c r="B18713" s="8"/>
      <c r="G18713" s="8"/>
      <c r="M18713" s="8"/>
    </row>
    <row r="18714">
      <c r="B18714" s="8"/>
      <c r="G18714" s="8"/>
      <c r="M18714" s="8"/>
    </row>
    <row r="18715">
      <c r="B18715" s="8"/>
      <c r="G18715" s="8"/>
      <c r="M18715" s="8"/>
    </row>
    <row r="18716">
      <c r="B18716" s="8"/>
      <c r="G18716" s="8"/>
      <c r="M18716" s="8"/>
    </row>
    <row r="18717">
      <c r="B18717" s="8"/>
      <c r="G18717" s="8"/>
      <c r="M18717" s="8"/>
    </row>
    <row r="18718">
      <c r="B18718" s="8"/>
      <c r="G18718" s="8"/>
      <c r="M18718" s="8"/>
    </row>
    <row r="18719">
      <c r="B18719" s="8"/>
      <c r="G18719" s="8"/>
      <c r="M18719" s="8"/>
    </row>
    <row r="18720">
      <c r="B18720" s="8"/>
      <c r="G18720" s="8"/>
      <c r="M18720" s="8"/>
    </row>
    <row r="18721">
      <c r="B18721" s="8"/>
      <c r="G18721" s="8"/>
      <c r="M18721" s="8"/>
    </row>
    <row r="18722">
      <c r="B18722" s="8"/>
      <c r="G18722" s="8"/>
      <c r="M18722" s="8"/>
    </row>
    <row r="18723">
      <c r="B18723" s="8"/>
      <c r="G18723" s="8"/>
      <c r="M18723" s="8"/>
    </row>
    <row r="18724">
      <c r="B18724" s="8"/>
      <c r="G18724" s="8"/>
      <c r="M18724" s="8"/>
    </row>
    <row r="18725">
      <c r="B18725" s="8"/>
      <c r="G18725" s="8"/>
      <c r="M18725" s="8"/>
    </row>
    <row r="18726">
      <c r="B18726" s="8"/>
      <c r="G18726" s="8"/>
      <c r="M18726" s="8"/>
    </row>
    <row r="18727">
      <c r="B18727" s="8"/>
      <c r="G18727" s="8"/>
      <c r="M18727" s="8"/>
    </row>
    <row r="18728">
      <c r="B18728" s="8"/>
      <c r="G18728" s="8"/>
      <c r="M18728" s="8"/>
    </row>
    <row r="18729">
      <c r="B18729" s="8"/>
      <c r="G18729" s="8"/>
      <c r="M18729" s="8"/>
    </row>
    <row r="18730">
      <c r="B18730" s="8"/>
      <c r="G18730" s="8"/>
      <c r="M18730" s="8"/>
    </row>
    <row r="18731">
      <c r="B18731" s="8"/>
      <c r="G18731" s="8"/>
      <c r="M18731" s="8"/>
    </row>
    <row r="18732">
      <c r="B18732" s="8"/>
      <c r="G18732" s="8"/>
      <c r="M18732" s="8"/>
    </row>
    <row r="18733">
      <c r="B18733" s="8"/>
      <c r="G18733" s="8"/>
      <c r="M18733" s="8"/>
    </row>
    <row r="18734">
      <c r="B18734" s="8"/>
      <c r="G18734" s="8"/>
      <c r="M18734" s="8"/>
    </row>
    <row r="18735">
      <c r="B18735" s="8"/>
      <c r="G18735" s="8"/>
      <c r="M18735" s="8"/>
    </row>
    <row r="18736">
      <c r="B18736" s="8"/>
      <c r="G18736" s="8"/>
      <c r="M18736" s="8"/>
    </row>
    <row r="18737">
      <c r="B18737" s="8"/>
      <c r="G18737" s="8"/>
      <c r="M18737" s="8"/>
    </row>
    <row r="18738">
      <c r="B18738" s="8"/>
      <c r="G18738" s="8"/>
      <c r="M18738" s="8"/>
    </row>
    <row r="18739">
      <c r="B18739" s="8"/>
      <c r="G18739" s="8"/>
      <c r="M18739" s="8"/>
    </row>
    <row r="18740">
      <c r="B18740" s="8"/>
      <c r="G18740" s="8"/>
      <c r="M18740" s="8"/>
    </row>
    <row r="18741">
      <c r="B18741" s="8"/>
      <c r="G18741" s="8"/>
      <c r="M18741" s="8"/>
    </row>
    <row r="18742">
      <c r="B18742" s="8"/>
      <c r="G18742" s="8"/>
      <c r="M18742" s="8"/>
    </row>
    <row r="18743">
      <c r="B18743" s="8"/>
      <c r="G18743" s="8"/>
      <c r="M18743" s="8"/>
    </row>
    <row r="18744">
      <c r="B18744" s="8"/>
      <c r="G18744" s="8"/>
      <c r="M18744" s="8"/>
    </row>
    <row r="18745">
      <c r="B18745" s="8"/>
      <c r="G18745" s="8"/>
      <c r="M18745" s="8"/>
    </row>
    <row r="18746">
      <c r="B18746" s="8"/>
      <c r="G18746" s="8"/>
      <c r="M18746" s="8"/>
    </row>
    <row r="18747">
      <c r="B18747" s="8"/>
      <c r="G18747" s="8"/>
      <c r="M18747" s="8"/>
    </row>
    <row r="18748">
      <c r="B18748" s="8"/>
      <c r="G18748" s="8"/>
      <c r="M18748" s="8"/>
    </row>
    <row r="18749">
      <c r="B18749" s="8"/>
      <c r="G18749" s="8"/>
      <c r="M18749" s="8"/>
    </row>
    <row r="18750">
      <c r="B18750" s="8"/>
      <c r="G18750" s="8"/>
      <c r="M18750" s="8"/>
    </row>
    <row r="18751">
      <c r="B18751" s="8"/>
      <c r="G18751" s="8"/>
      <c r="M18751" s="8"/>
    </row>
    <row r="18752">
      <c r="B18752" s="8"/>
      <c r="G18752" s="8"/>
      <c r="M18752" s="8"/>
    </row>
    <row r="18753">
      <c r="B18753" s="8"/>
      <c r="G18753" s="8"/>
      <c r="M18753" s="8"/>
    </row>
    <row r="18754">
      <c r="B18754" s="8"/>
      <c r="G18754" s="8"/>
      <c r="M18754" s="8"/>
    </row>
    <row r="18755">
      <c r="B18755" s="8"/>
      <c r="G18755" s="8"/>
      <c r="M18755" s="8"/>
    </row>
    <row r="18756">
      <c r="B18756" s="8"/>
      <c r="G18756" s="8"/>
      <c r="M18756" s="8"/>
    </row>
    <row r="18757">
      <c r="B18757" s="8"/>
      <c r="G18757" s="8"/>
      <c r="M18757" s="8"/>
    </row>
    <row r="18758">
      <c r="B18758" s="8"/>
      <c r="G18758" s="8"/>
      <c r="M18758" s="8"/>
    </row>
    <row r="18759">
      <c r="B18759" s="8"/>
      <c r="G18759" s="8"/>
      <c r="M18759" s="8"/>
    </row>
    <row r="18760">
      <c r="B18760" s="8"/>
      <c r="G18760" s="8"/>
      <c r="M18760" s="8"/>
    </row>
    <row r="18761">
      <c r="B18761" s="8"/>
      <c r="G18761" s="8"/>
      <c r="M18761" s="8"/>
    </row>
    <row r="18762">
      <c r="B18762" s="8"/>
      <c r="G18762" s="8"/>
      <c r="M18762" s="8"/>
    </row>
    <row r="18763">
      <c r="B18763" s="8"/>
      <c r="G18763" s="8"/>
      <c r="M18763" s="8"/>
    </row>
    <row r="18764">
      <c r="B18764" s="8"/>
      <c r="G18764" s="8"/>
      <c r="M18764" s="8"/>
    </row>
    <row r="18765">
      <c r="B18765" s="8"/>
      <c r="G18765" s="8"/>
      <c r="M18765" s="8"/>
    </row>
    <row r="18766">
      <c r="B18766" s="8"/>
      <c r="G18766" s="8"/>
      <c r="M18766" s="8"/>
    </row>
    <row r="18767">
      <c r="B18767" s="8"/>
      <c r="G18767" s="8"/>
      <c r="M18767" s="8"/>
    </row>
    <row r="18768">
      <c r="B18768" s="8"/>
      <c r="G18768" s="8"/>
      <c r="M18768" s="8"/>
    </row>
    <row r="18769">
      <c r="B18769" s="8"/>
      <c r="G18769" s="8"/>
      <c r="M18769" s="8"/>
    </row>
    <row r="18770">
      <c r="B18770" s="8"/>
      <c r="G18770" s="8"/>
      <c r="M18770" s="8"/>
    </row>
    <row r="18771">
      <c r="B18771" s="8"/>
      <c r="G18771" s="8"/>
      <c r="M18771" s="8"/>
    </row>
    <row r="18772">
      <c r="B18772" s="8"/>
      <c r="G18772" s="8"/>
      <c r="M18772" s="8"/>
    </row>
    <row r="18773">
      <c r="B18773" s="8"/>
      <c r="G18773" s="8"/>
      <c r="M18773" s="8"/>
    </row>
    <row r="18774">
      <c r="B18774" s="8"/>
      <c r="G18774" s="8"/>
      <c r="M18774" s="8"/>
    </row>
    <row r="18775">
      <c r="B18775" s="8"/>
      <c r="G18775" s="8"/>
      <c r="M18775" s="8"/>
    </row>
    <row r="18776">
      <c r="B18776" s="8"/>
      <c r="G18776" s="8"/>
      <c r="M18776" s="8"/>
    </row>
    <row r="18777">
      <c r="B18777" s="8"/>
      <c r="G18777" s="8"/>
      <c r="M18777" s="8"/>
    </row>
    <row r="18778">
      <c r="B18778" s="8"/>
      <c r="G18778" s="8"/>
      <c r="M18778" s="8"/>
    </row>
    <row r="18779">
      <c r="B18779" s="8"/>
      <c r="G18779" s="8"/>
      <c r="M18779" s="8"/>
    </row>
    <row r="18780">
      <c r="B18780" s="8"/>
      <c r="G18780" s="8"/>
      <c r="M18780" s="8"/>
    </row>
    <row r="18781">
      <c r="B18781" s="8"/>
      <c r="G18781" s="8"/>
      <c r="M18781" s="8"/>
    </row>
    <row r="18782">
      <c r="B18782" s="8"/>
      <c r="G18782" s="8"/>
      <c r="M18782" s="8"/>
    </row>
    <row r="18783">
      <c r="B18783" s="8"/>
      <c r="G18783" s="8"/>
      <c r="M18783" s="8"/>
    </row>
    <row r="18784">
      <c r="B18784" s="8"/>
      <c r="G18784" s="8"/>
      <c r="M18784" s="8"/>
    </row>
    <row r="18785">
      <c r="B18785" s="8"/>
      <c r="G18785" s="8"/>
      <c r="M18785" s="8"/>
    </row>
    <row r="18786">
      <c r="B18786" s="8"/>
      <c r="G18786" s="8"/>
      <c r="M18786" s="8"/>
    </row>
    <row r="18787">
      <c r="B18787" s="8"/>
      <c r="G18787" s="8"/>
      <c r="M18787" s="8"/>
    </row>
    <row r="18788">
      <c r="B18788" s="8"/>
      <c r="G18788" s="8"/>
      <c r="M18788" s="8"/>
    </row>
    <row r="18789">
      <c r="B18789" s="8"/>
      <c r="G18789" s="8"/>
      <c r="M18789" s="8"/>
    </row>
    <row r="18790">
      <c r="B18790" s="8"/>
      <c r="G18790" s="8"/>
      <c r="M18790" s="8"/>
    </row>
    <row r="18791">
      <c r="B18791" s="8"/>
      <c r="G18791" s="8"/>
      <c r="M18791" s="8"/>
    </row>
    <row r="18792">
      <c r="B18792" s="8"/>
      <c r="G18792" s="8"/>
      <c r="M18792" s="8"/>
    </row>
    <row r="18793">
      <c r="B18793" s="8"/>
      <c r="G18793" s="8"/>
      <c r="M18793" s="8"/>
    </row>
    <row r="18794">
      <c r="B18794" s="8"/>
      <c r="G18794" s="8"/>
      <c r="M18794" s="8"/>
    </row>
    <row r="18795">
      <c r="B18795" s="8"/>
      <c r="G18795" s="8"/>
      <c r="M18795" s="8"/>
    </row>
    <row r="18796">
      <c r="B18796" s="8"/>
      <c r="G18796" s="8"/>
      <c r="M18796" s="8"/>
    </row>
    <row r="18797">
      <c r="B18797" s="8"/>
      <c r="G18797" s="8"/>
      <c r="M18797" s="8"/>
    </row>
    <row r="18798">
      <c r="B18798" s="8"/>
      <c r="G18798" s="8"/>
      <c r="M18798" s="8"/>
    </row>
    <row r="18799">
      <c r="B18799" s="8"/>
      <c r="G18799" s="8"/>
      <c r="M18799" s="8"/>
    </row>
    <row r="18800">
      <c r="B18800" s="8"/>
      <c r="G18800" s="8"/>
      <c r="M18800" s="8"/>
    </row>
    <row r="18801">
      <c r="B18801" s="8"/>
      <c r="G18801" s="8"/>
      <c r="M18801" s="8"/>
    </row>
    <row r="18802">
      <c r="B18802" s="8"/>
      <c r="G18802" s="8"/>
      <c r="M18802" s="8"/>
    </row>
    <row r="18803">
      <c r="B18803" s="8"/>
      <c r="G18803" s="8"/>
      <c r="M18803" s="8"/>
    </row>
    <row r="18804">
      <c r="B18804" s="8"/>
      <c r="G18804" s="8"/>
      <c r="M18804" s="8"/>
    </row>
    <row r="18805">
      <c r="B18805" s="8"/>
      <c r="G18805" s="8"/>
      <c r="M18805" s="8"/>
    </row>
    <row r="18806">
      <c r="B18806" s="8"/>
      <c r="G18806" s="8"/>
      <c r="M18806" s="8"/>
    </row>
    <row r="18807">
      <c r="B18807" s="8"/>
      <c r="G18807" s="8"/>
      <c r="M18807" s="8"/>
    </row>
    <row r="18808">
      <c r="B18808" s="8"/>
      <c r="G18808" s="8"/>
      <c r="M18808" s="8"/>
    </row>
    <row r="18809">
      <c r="B18809" s="8"/>
      <c r="G18809" s="8"/>
      <c r="M18809" s="8"/>
    </row>
    <row r="18810">
      <c r="B18810" s="8"/>
      <c r="G18810" s="8"/>
      <c r="M18810" s="8"/>
    </row>
    <row r="18811">
      <c r="B18811" s="8"/>
      <c r="G18811" s="8"/>
      <c r="M18811" s="8"/>
    </row>
    <row r="18812">
      <c r="B18812" s="8"/>
      <c r="G18812" s="8"/>
      <c r="M18812" s="8"/>
    </row>
    <row r="18813">
      <c r="B18813" s="8"/>
      <c r="G18813" s="8"/>
      <c r="M18813" s="8"/>
    </row>
    <row r="18814">
      <c r="B18814" s="8"/>
      <c r="G18814" s="8"/>
      <c r="M18814" s="8"/>
    </row>
    <row r="18815">
      <c r="B18815" s="8"/>
      <c r="G18815" s="8"/>
      <c r="M18815" s="8"/>
    </row>
    <row r="18816">
      <c r="B18816" s="8"/>
      <c r="G18816" s="8"/>
      <c r="M18816" s="8"/>
    </row>
    <row r="18817">
      <c r="B18817" s="8"/>
      <c r="G18817" s="8"/>
      <c r="M18817" s="8"/>
    </row>
    <row r="18818">
      <c r="B18818" s="8"/>
      <c r="G18818" s="8"/>
      <c r="M18818" s="8"/>
    </row>
    <row r="18819">
      <c r="B18819" s="8"/>
      <c r="G18819" s="8"/>
      <c r="M18819" s="8"/>
    </row>
    <row r="18820">
      <c r="B18820" s="8"/>
      <c r="G18820" s="8"/>
      <c r="M18820" s="8"/>
    </row>
    <row r="18821">
      <c r="B18821" s="8"/>
      <c r="G18821" s="8"/>
      <c r="M18821" s="8"/>
    </row>
    <row r="18822">
      <c r="B18822" s="8"/>
      <c r="G18822" s="8"/>
      <c r="M18822" s="8"/>
    </row>
    <row r="18823">
      <c r="B18823" s="8"/>
      <c r="G18823" s="8"/>
      <c r="M18823" s="8"/>
    </row>
    <row r="18824">
      <c r="B18824" s="8"/>
      <c r="G18824" s="8"/>
      <c r="M18824" s="8"/>
    </row>
    <row r="18825">
      <c r="B18825" s="8"/>
      <c r="G18825" s="8"/>
      <c r="M18825" s="8"/>
    </row>
    <row r="18826">
      <c r="B18826" s="8"/>
      <c r="G18826" s="8"/>
      <c r="M18826" s="8"/>
    </row>
    <row r="18827">
      <c r="B18827" s="8"/>
      <c r="G18827" s="8"/>
      <c r="M18827" s="8"/>
    </row>
    <row r="18828">
      <c r="B18828" s="8"/>
      <c r="G18828" s="8"/>
      <c r="M18828" s="8"/>
    </row>
    <row r="18829">
      <c r="B18829" s="8"/>
      <c r="G18829" s="8"/>
      <c r="M18829" s="8"/>
    </row>
    <row r="18830">
      <c r="B18830" s="8"/>
      <c r="G18830" s="8"/>
      <c r="M18830" s="8"/>
    </row>
    <row r="18831">
      <c r="B18831" s="8"/>
      <c r="G18831" s="8"/>
      <c r="M18831" s="8"/>
    </row>
    <row r="18832">
      <c r="B18832" s="8"/>
      <c r="G18832" s="8"/>
      <c r="M18832" s="8"/>
    </row>
    <row r="18833">
      <c r="B18833" s="8"/>
      <c r="G18833" s="8"/>
      <c r="M18833" s="8"/>
    </row>
    <row r="18834">
      <c r="B18834" s="8"/>
      <c r="G18834" s="8"/>
      <c r="M18834" s="8"/>
    </row>
    <row r="18835">
      <c r="B18835" s="8"/>
      <c r="G18835" s="8"/>
      <c r="M18835" s="8"/>
    </row>
    <row r="18836">
      <c r="B18836" s="8"/>
      <c r="G18836" s="8"/>
      <c r="M18836" s="8"/>
    </row>
    <row r="18837">
      <c r="B18837" s="8"/>
      <c r="G18837" s="8"/>
      <c r="M18837" s="8"/>
    </row>
    <row r="18838">
      <c r="B18838" s="8"/>
      <c r="G18838" s="8"/>
      <c r="M18838" s="8"/>
    </row>
    <row r="18839">
      <c r="B18839" s="8"/>
      <c r="G18839" s="8"/>
      <c r="M18839" s="8"/>
    </row>
    <row r="18840">
      <c r="B18840" s="8"/>
      <c r="G18840" s="8"/>
      <c r="M18840" s="8"/>
    </row>
    <row r="18841">
      <c r="B18841" s="8"/>
      <c r="G18841" s="8"/>
      <c r="M18841" s="8"/>
    </row>
    <row r="18842">
      <c r="B18842" s="8"/>
      <c r="G18842" s="8"/>
      <c r="M18842" s="8"/>
    </row>
    <row r="18843">
      <c r="B18843" s="8"/>
      <c r="G18843" s="8"/>
      <c r="M18843" s="8"/>
    </row>
    <row r="18844">
      <c r="B18844" s="8"/>
      <c r="G18844" s="8"/>
      <c r="M18844" s="8"/>
    </row>
    <row r="18845">
      <c r="B18845" s="8"/>
      <c r="G18845" s="8"/>
      <c r="M18845" s="8"/>
    </row>
    <row r="18846">
      <c r="B18846" s="8"/>
      <c r="G18846" s="8"/>
      <c r="M18846" s="8"/>
    </row>
    <row r="18847">
      <c r="B18847" s="8"/>
      <c r="G18847" s="8"/>
      <c r="M18847" s="8"/>
    </row>
    <row r="18848">
      <c r="B18848" s="8"/>
      <c r="G18848" s="8"/>
      <c r="M18848" s="8"/>
    </row>
    <row r="18849">
      <c r="B18849" s="8"/>
      <c r="G18849" s="8"/>
      <c r="M18849" s="8"/>
    </row>
    <row r="18850">
      <c r="B18850" s="8"/>
      <c r="G18850" s="8"/>
      <c r="M18850" s="8"/>
    </row>
    <row r="18851">
      <c r="B18851" s="8"/>
      <c r="G18851" s="8"/>
      <c r="M18851" s="8"/>
    </row>
    <row r="18852">
      <c r="B18852" s="8"/>
      <c r="G18852" s="8"/>
      <c r="M18852" s="8"/>
    </row>
    <row r="18853">
      <c r="B18853" s="8"/>
      <c r="G18853" s="8"/>
      <c r="M18853" s="8"/>
    </row>
    <row r="18854">
      <c r="B18854" s="8"/>
      <c r="G18854" s="8"/>
      <c r="M18854" s="8"/>
    </row>
    <row r="18855">
      <c r="B18855" s="8"/>
      <c r="G18855" s="8"/>
      <c r="M18855" s="8"/>
    </row>
    <row r="18856">
      <c r="B18856" s="8"/>
      <c r="G18856" s="8"/>
      <c r="M18856" s="8"/>
    </row>
    <row r="18857">
      <c r="B18857" s="8"/>
      <c r="G18857" s="8"/>
      <c r="M18857" s="8"/>
    </row>
    <row r="18858">
      <c r="B18858" s="8"/>
      <c r="G18858" s="8"/>
      <c r="M18858" s="8"/>
    </row>
    <row r="18859">
      <c r="B18859" s="8"/>
      <c r="G18859" s="8"/>
      <c r="M18859" s="8"/>
    </row>
    <row r="18860">
      <c r="B18860" s="8"/>
      <c r="G18860" s="8"/>
      <c r="M18860" s="8"/>
    </row>
    <row r="18861">
      <c r="B18861" s="8"/>
      <c r="G18861" s="8"/>
      <c r="M18861" s="8"/>
    </row>
    <row r="18862">
      <c r="B18862" s="8"/>
      <c r="G18862" s="8"/>
      <c r="M18862" s="8"/>
    </row>
    <row r="18863">
      <c r="B18863" s="8"/>
      <c r="G18863" s="8"/>
      <c r="M18863" s="8"/>
    </row>
    <row r="18864">
      <c r="B18864" s="8"/>
      <c r="G18864" s="8"/>
      <c r="M18864" s="8"/>
    </row>
    <row r="18865">
      <c r="B18865" s="8"/>
      <c r="G18865" s="8"/>
      <c r="M18865" s="8"/>
    </row>
    <row r="18866">
      <c r="B18866" s="8"/>
      <c r="G18866" s="8"/>
      <c r="M18866" s="8"/>
    </row>
    <row r="18867">
      <c r="B18867" s="8"/>
      <c r="G18867" s="8"/>
      <c r="M18867" s="8"/>
    </row>
    <row r="18868">
      <c r="B18868" s="8"/>
      <c r="G18868" s="8"/>
      <c r="M18868" s="8"/>
    </row>
    <row r="18869">
      <c r="B18869" s="8"/>
      <c r="G18869" s="8"/>
      <c r="M18869" s="8"/>
    </row>
    <row r="18870">
      <c r="B18870" s="8"/>
      <c r="G18870" s="8"/>
      <c r="M18870" s="8"/>
    </row>
    <row r="18871">
      <c r="B18871" s="8"/>
      <c r="G18871" s="8"/>
      <c r="M18871" s="8"/>
    </row>
    <row r="18872">
      <c r="B18872" s="8"/>
      <c r="G18872" s="8"/>
      <c r="M18872" s="8"/>
    </row>
    <row r="18873">
      <c r="B18873" s="8"/>
      <c r="G18873" s="8"/>
      <c r="M18873" s="8"/>
    </row>
    <row r="18874">
      <c r="B18874" s="8"/>
      <c r="G18874" s="8"/>
      <c r="M18874" s="8"/>
    </row>
    <row r="18875">
      <c r="B18875" s="8"/>
      <c r="G18875" s="8"/>
      <c r="M18875" s="8"/>
    </row>
    <row r="18876">
      <c r="B18876" s="8"/>
      <c r="G18876" s="8"/>
      <c r="M18876" s="8"/>
    </row>
    <row r="18877">
      <c r="B18877" s="8"/>
      <c r="G18877" s="8"/>
      <c r="M18877" s="8"/>
    </row>
    <row r="18878">
      <c r="B18878" s="8"/>
      <c r="G18878" s="8"/>
      <c r="M18878" s="8"/>
    </row>
    <row r="18879">
      <c r="B18879" s="8"/>
      <c r="G18879" s="8"/>
      <c r="M18879" s="8"/>
    </row>
    <row r="18880">
      <c r="B18880" s="8"/>
      <c r="G18880" s="8"/>
      <c r="M18880" s="8"/>
    </row>
    <row r="18881">
      <c r="B18881" s="8"/>
      <c r="G18881" s="8"/>
      <c r="M18881" s="8"/>
    </row>
    <row r="18882">
      <c r="B18882" s="8"/>
      <c r="G18882" s="8"/>
      <c r="M18882" s="8"/>
    </row>
    <row r="18883">
      <c r="B18883" s="8"/>
      <c r="G18883" s="8"/>
      <c r="M18883" s="8"/>
    </row>
    <row r="18884">
      <c r="B18884" s="8"/>
      <c r="G18884" s="8"/>
      <c r="M18884" s="8"/>
    </row>
    <row r="18885">
      <c r="B18885" s="8"/>
      <c r="G18885" s="8"/>
      <c r="M18885" s="8"/>
    </row>
    <row r="18886">
      <c r="B18886" s="8"/>
      <c r="G18886" s="8"/>
      <c r="M18886" s="8"/>
    </row>
    <row r="18887">
      <c r="B18887" s="8"/>
      <c r="G18887" s="8"/>
      <c r="M18887" s="8"/>
    </row>
    <row r="18888">
      <c r="B18888" s="8"/>
      <c r="G18888" s="8"/>
      <c r="M18888" s="8"/>
    </row>
    <row r="18889">
      <c r="B18889" s="8"/>
      <c r="G18889" s="8"/>
      <c r="M18889" s="8"/>
    </row>
    <row r="18890">
      <c r="B18890" s="8"/>
      <c r="G18890" s="8"/>
      <c r="M18890" s="8"/>
    </row>
    <row r="18891">
      <c r="B18891" s="8"/>
      <c r="G18891" s="8"/>
      <c r="M18891" s="8"/>
    </row>
    <row r="18892">
      <c r="B18892" s="8"/>
      <c r="G18892" s="8"/>
      <c r="M18892" s="8"/>
    </row>
    <row r="18893">
      <c r="B18893" s="8"/>
      <c r="G18893" s="8"/>
      <c r="M18893" s="8"/>
    </row>
    <row r="18894">
      <c r="B18894" s="8"/>
      <c r="G18894" s="8"/>
      <c r="M18894" s="8"/>
    </row>
    <row r="18895">
      <c r="B18895" s="8"/>
      <c r="G18895" s="8"/>
      <c r="M18895" s="8"/>
    </row>
    <row r="18896">
      <c r="B18896" s="8"/>
      <c r="G18896" s="8"/>
      <c r="M18896" s="8"/>
    </row>
    <row r="18897">
      <c r="B18897" s="8"/>
      <c r="G18897" s="8"/>
      <c r="M18897" s="8"/>
    </row>
    <row r="18898">
      <c r="B18898" s="8"/>
      <c r="G18898" s="8"/>
      <c r="M18898" s="8"/>
    </row>
    <row r="18899">
      <c r="B18899" s="8"/>
      <c r="G18899" s="8"/>
      <c r="M18899" s="8"/>
    </row>
    <row r="18900">
      <c r="B18900" s="8"/>
      <c r="G18900" s="8"/>
      <c r="M18900" s="8"/>
    </row>
    <row r="18901">
      <c r="B18901" s="8"/>
      <c r="G18901" s="8"/>
      <c r="M18901" s="8"/>
    </row>
    <row r="18902">
      <c r="B18902" s="8"/>
      <c r="G18902" s="8"/>
      <c r="M18902" s="8"/>
    </row>
    <row r="18903">
      <c r="B18903" s="8"/>
      <c r="G18903" s="8"/>
      <c r="M18903" s="8"/>
    </row>
    <row r="18904">
      <c r="B18904" s="8"/>
      <c r="G18904" s="8"/>
      <c r="M18904" s="8"/>
    </row>
    <row r="18905">
      <c r="B18905" s="8"/>
      <c r="G18905" s="8"/>
      <c r="M18905" s="8"/>
    </row>
    <row r="18906">
      <c r="B18906" s="8"/>
      <c r="G18906" s="8"/>
      <c r="M18906" s="8"/>
    </row>
    <row r="18907">
      <c r="B18907" s="8"/>
      <c r="G18907" s="8"/>
      <c r="M18907" s="8"/>
    </row>
    <row r="18908">
      <c r="B18908" s="8"/>
      <c r="G18908" s="8"/>
      <c r="M18908" s="8"/>
    </row>
    <row r="18909">
      <c r="B18909" s="8"/>
      <c r="G18909" s="8"/>
      <c r="M18909" s="8"/>
    </row>
    <row r="18910">
      <c r="B18910" s="8"/>
      <c r="G18910" s="8"/>
      <c r="M18910" s="8"/>
    </row>
    <row r="18911">
      <c r="B18911" s="8"/>
      <c r="G18911" s="8"/>
      <c r="M18911" s="8"/>
    </row>
    <row r="18912">
      <c r="B18912" s="8"/>
      <c r="G18912" s="8"/>
      <c r="M18912" s="8"/>
    </row>
    <row r="18913">
      <c r="B18913" s="8"/>
      <c r="G18913" s="8"/>
      <c r="M18913" s="8"/>
    </row>
    <row r="18914">
      <c r="B18914" s="8"/>
      <c r="G18914" s="8"/>
      <c r="M18914" s="8"/>
    </row>
    <row r="18915">
      <c r="B18915" s="8"/>
      <c r="G18915" s="8"/>
      <c r="M18915" s="8"/>
    </row>
    <row r="18916">
      <c r="B18916" s="8"/>
      <c r="G18916" s="8"/>
      <c r="M18916" s="8"/>
    </row>
    <row r="18917">
      <c r="B18917" s="8"/>
      <c r="G18917" s="8"/>
      <c r="M18917" s="8"/>
    </row>
    <row r="18918">
      <c r="B18918" s="8"/>
      <c r="G18918" s="8"/>
      <c r="M18918" s="8"/>
    </row>
    <row r="18919">
      <c r="B18919" s="8"/>
      <c r="G18919" s="8"/>
      <c r="M18919" s="8"/>
    </row>
    <row r="18920">
      <c r="B18920" s="8"/>
      <c r="G18920" s="8"/>
      <c r="M18920" s="8"/>
    </row>
    <row r="18921">
      <c r="B18921" s="8"/>
      <c r="G18921" s="8"/>
      <c r="M18921" s="8"/>
    </row>
    <row r="18922">
      <c r="B18922" s="8"/>
      <c r="G18922" s="8"/>
      <c r="M18922" s="8"/>
    </row>
    <row r="18923">
      <c r="B18923" s="8"/>
      <c r="G18923" s="8"/>
      <c r="M18923" s="8"/>
    </row>
    <row r="18924">
      <c r="B18924" s="8"/>
      <c r="G18924" s="8"/>
      <c r="M18924" s="8"/>
    </row>
    <row r="18925">
      <c r="B18925" s="8"/>
      <c r="G18925" s="8"/>
      <c r="M18925" s="8"/>
    </row>
    <row r="18926">
      <c r="B18926" s="8"/>
      <c r="G18926" s="8"/>
      <c r="M18926" s="8"/>
    </row>
    <row r="18927">
      <c r="B18927" s="8"/>
      <c r="G18927" s="8"/>
      <c r="M18927" s="8"/>
    </row>
    <row r="18928">
      <c r="B18928" s="8"/>
      <c r="G18928" s="8"/>
      <c r="M18928" s="8"/>
    </row>
    <row r="18929">
      <c r="B18929" s="8"/>
      <c r="G18929" s="8"/>
      <c r="M18929" s="8"/>
    </row>
    <row r="18930">
      <c r="B18930" s="8"/>
      <c r="G18930" s="8"/>
      <c r="M18930" s="8"/>
    </row>
    <row r="18931">
      <c r="B18931" s="8"/>
      <c r="G18931" s="8"/>
      <c r="M18931" s="8"/>
    </row>
    <row r="18932">
      <c r="B18932" s="8"/>
      <c r="G18932" s="8"/>
      <c r="M18932" s="8"/>
    </row>
    <row r="18933">
      <c r="B18933" s="8"/>
      <c r="G18933" s="8"/>
      <c r="M18933" s="8"/>
    </row>
    <row r="18934">
      <c r="B18934" s="8"/>
      <c r="G18934" s="8"/>
      <c r="M18934" s="8"/>
    </row>
    <row r="18935">
      <c r="B18935" s="8"/>
      <c r="G18935" s="8"/>
      <c r="M18935" s="8"/>
    </row>
    <row r="18936">
      <c r="B18936" s="8"/>
      <c r="G18936" s="8"/>
      <c r="M18936" s="8"/>
    </row>
    <row r="18937">
      <c r="B18937" s="8"/>
      <c r="G18937" s="8"/>
      <c r="M18937" s="8"/>
    </row>
    <row r="18938">
      <c r="B18938" s="8"/>
      <c r="G18938" s="8"/>
      <c r="M18938" s="8"/>
    </row>
    <row r="18939">
      <c r="B18939" s="8"/>
      <c r="G18939" s="8"/>
      <c r="M18939" s="8"/>
    </row>
    <row r="18940">
      <c r="B18940" s="8"/>
      <c r="G18940" s="8"/>
      <c r="M18940" s="8"/>
    </row>
    <row r="18941">
      <c r="B18941" s="8"/>
      <c r="G18941" s="8"/>
      <c r="M18941" s="8"/>
    </row>
    <row r="18942">
      <c r="B18942" s="8"/>
      <c r="G18942" s="8"/>
      <c r="M18942" s="8"/>
    </row>
    <row r="18943">
      <c r="B18943" s="8"/>
      <c r="G18943" s="8"/>
      <c r="M18943" s="8"/>
    </row>
    <row r="18944">
      <c r="B18944" s="8"/>
      <c r="G18944" s="8"/>
      <c r="M18944" s="8"/>
    </row>
    <row r="18945">
      <c r="B18945" s="8"/>
      <c r="G18945" s="8"/>
      <c r="M18945" s="8"/>
    </row>
    <row r="18946">
      <c r="B18946" s="8"/>
      <c r="G18946" s="8"/>
      <c r="M18946" s="8"/>
    </row>
    <row r="18947">
      <c r="B18947" s="8"/>
      <c r="G18947" s="8"/>
      <c r="M18947" s="8"/>
    </row>
    <row r="18948">
      <c r="B18948" s="8"/>
      <c r="G18948" s="8"/>
      <c r="M18948" s="8"/>
    </row>
    <row r="18949">
      <c r="B18949" s="8"/>
      <c r="G18949" s="8"/>
      <c r="M18949" s="8"/>
    </row>
    <row r="18950">
      <c r="B18950" s="8"/>
      <c r="G18950" s="8"/>
      <c r="M18950" s="8"/>
    </row>
    <row r="18951">
      <c r="B18951" s="8"/>
      <c r="G18951" s="8"/>
      <c r="M18951" s="8"/>
    </row>
    <row r="18952">
      <c r="B18952" s="8"/>
      <c r="G18952" s="8"/>
      <c r="M18952" s="8"/>
    </row>
    <row r="18953">
      <c r="B18953" s="8"/>
      <c r="G18953" s="8"/>
      <c r="M18953" s="8"/>
    </row>
    <row r="18954">
      <c r="B18954" s="8"/>
      <c r="G18954" s="8"/>
      <c r="M18954" s="8"/>
    </row>
    <row r="18955">
      <c r="B18955" s="8"/>
      <c r="G18955" s="8"/>
      <c r="M18955" s="8"/>
    </row>
    <row r="18956">
      <c r="B18956" s="8"/>
      <c r="G18956" s="8"/>
      <c r="M18956" s="8"/>
    </row>
    <row r="18957">
      <c r="B18957" s="8"/>
      <c r="G18957" s="8"/>
      <c r="M18957" s="8"/>
    </row>
    <row r="18958">
      <c r="B18958" s="8"/>
      <c r="G18958" s="8"/>
      <c r="M18958" s="8"/>
    </row>
    <row r="18959">
      <c r="B18959" s="8"/>
      <c r="G18959" s="8"/>
      <c r="M18959" s="8"/>
    </row>
    <row r="18960">
      <c r="B18960" s="8"/>
      <c r="G18960" s="8"/>
      <c r="M18960" s="8"/>
    </row>
    <row r="18961">
      <c r="B18961" s="8"/>
      <c r="G18961" s="8"/>
      <c r="M18961" s="8"/>
    </row>
    <row r="18962">
      <c r="B18962" s="8"/>
      <c r="G18962" s="8"/>
      <c r="M18962" s="8"/>
    </row>
    <row r="18963">
      <c r="B18963" s="8"/>
      <c r="G18963" s="8"/>
      <c r="M18963" s="8"/>
    </row>
    <row r="18964">
      <c r="B18964" s="8"/>
      <c r="G18964" s="8"/>
      <c r="M18964" s="8"/>
    </row>
    <row r="18965">
      <c r="B18965" s="8"/>
      <c r="G18965" s="8"/>
      <c r="M18965" s="8"/>
    </row>
    <row r="18966">
      <c r="B18966" s="8"/>
      <c r="G18966" s="8"/>
      <c r="M18966" s="8"/>
    </row>
    <row r="18967">
      <c r="B18967" s="8"/>
      <c r="G18967" s="8"/>
      <c r="M18967" s="8"/>
    </row>
    <row r="18968">
      <c r="B18968" s="8"/>
      <c r="G18968" s="8"/>
      <c r="M18968" s="8"/>
    </row>
    <row r="18969">
      <c r="B18969" s="8"/>
      <c r="G18969" s="8"/>
      <c r="M18969" s="8"/>
    </row>
    <row r="18970">
      <c r="B18970" s="8"/>
      <c r="G18970" s="8"/>
      <c r="M18970" s="8"/>
    </row>
    <row r="18971">
      <c r="B18971" s="8"/>
      <c r="G18971" s="8"/>
      <c r="M18971" s="8"/>
    </row>
    <row r="18972">
      <c r="B18972" s="8"/>
      <c r="G18972" s="8"/>
      <c r="M18972" s="8"/>
    </row>
    <row r="18973">
      <c r="B18973" s="8"/>
      <c r="G18973" s="8"/>
      <c r="M18973" s="8"/>
    </row>
    <row r="18974">
      <c r="B18974" s="8"/>
      <c r="G18974" s="8"/>
      <c r="M18974" s="8"/>
    </row>
    <row r="18975">
      <c r="B18975" s="8"/>
      <c r="G18975" s="8"/>
      <c r="M18975" s="8"/>
    </row>
    <row r="18976">
      <c r="B18976" s="8"/>
      <c r="G18976" s="8"/>
      <c r="M18976" s="8"/>
    </row>
    <row r="18977">
      <c r="B18977" s="8"/>
      <c r="G18977" s="8"/>
      <c r="M18977" s="8"/>
    </row>
    <row r="18978">
      <c r="B18978" s="8"/>
      <c r="G18978" s="8"/>
      <c r="M18978" s="8"/>
    </row>
    <row r="18979">
      <c r="B18979" s="8"/>
      <c r="G18979" s="8"/>
      <c r="M18979" s="8"/>
    </row>
    <row r="18980">
      <c r="B18980" s="8"/>
      <c r="G18980" s="8"/>
      <c r="M18980" s="8"/>
    </row>
    <row r="18981">
      <c r="B18981" s="8"/>
      <c r="G18981" s="8"/>
      <c r="M18981" s="8"/>
    </row>
    <row r="18982">
      <c r="B18982" s="8"/>
      <c r="G18982" s="8"/>
      <c r="M18982" s="8"/>
    </row>
    <row r="18983">
      <c r="B18983" s="8"/>
      <c r="G18983" s="8"/>
      <c r="M18983" s="8"/>
    </row>
    <row r="18984">
      <c r="B18984" s="8"/>
      <c r="G18984" s="8"/>
      <c r="M18984" s="8"/>
    </row>
    <row r="18985">
      <c r="B18985" s="8"/>
      <c r="G18985" s="8"/>
      <c r="M18985" s="8"/>
    </row>
    <row r="18986">
      <c r="B18986" s="8"/>
      <c r="G18986" s="8"/>
      <c r="M18986" s="8"/>
    </row>
    <row r="18987">
      <c r="B18987" s="8"/>
      <c r="G18987" s="8"/>
      <c r="M18987" s="8"/>
    </row>
    <row r="18988">
      <c r="B18988" s="8"/>
      <c r="G18988" s="8"/>
      <c r="M18988" s="8"/>
    </row>
    <row r="18989">
      <c r="B18989" s="8"/>
      <c r="G18989" s="8"/>
      <c r="M18989" s="8"/>
    </row>
    <row r="18990">
      <c r="B18990" s="8"/>
      <c r="G18990" s="8"/>
      <c r="M18990" s="8"/>
    </row>
    <row r="18991">
      <c r="B18991" s="8"/>
      <c r="G18991" s="8"/>
      <c r="M18991" s="8"/>
    </row>
    <row r="18992">
      <c r="B18992" s="8"/>
      <c r="G18992" s="8"/>
      <c r="M18992" s="8"/>
    </row>
    <row r="18993">
      <c r="B18993" s="8"/>
      <c r="G18993" s="8"/>
      <c r="M18993" s="8"/>
    </row>
    <row r="18994">
      <c r="B18994" s="8"/>
      <c r="G18994" s="8"/>
      <c r="M18994" s="8"/>
    </row>
    <row r="18995">
      <c r="B18995" s="8"/>
      <c r="G18995" s="8"/>
      <c r="M18995" s="8"/>
    </row>
    <row r="18996">
      <c r="B18996" s="8"/>
      <c r="G18996" s="8"/>
      <c r="M18996" s="8"/>
    </row>
    <row r="18997">
      <c r="B18997" s="8"/>
      <c r="G18997" s="8"/>
      <c r="M18997" s="8"/>
    </row>
    <row r="18998">
      <c r="B18998" s="8"/>
      <c r="G18998" s="8"/>
      <c r="M18998" s="8"/>
    </row>
    <row r="18999">
      <c r="B18999" s="8"/>
      <c r="G18999" s="8"/>
      <c r="M18999" s="8"/>
    </row>
    <row r="19000">
      <c r="B19000" s="8"/>
      <c r="G19000" s="8"/>
      <c r="M19000" s="8"/>
    </row>
    <row r="19001">
      <c r="B19001" s="8"/>
      <c r="G19001" s="8"/>
      <c r="M19001" s="8"/>
    </row>
    <row r="19002">
      <c r="B19002" s="8"/>
      <c r="G19002" s="8"/>
      <c r="M19002" s="8"/>
    </row>
    <row r="19003">
      <c r="B19003" s="8"/>
      <c r="G19003" s="8"/>
      <c r="M19003" s="8"/>
    </row>
    <row r="19004">
      <c r="B19004" s="8"/>
      <c r="G19004" s="8"/>
      <c r="M19004" s="8"/>
    </row>
    <row r="19005">
      <c r="B19005" s="8"/>
      <c r="G19005" s="8"/>
      <c r="M19005" s="8"/>
    </row>
    <row r="19006">
      <c r="B19006" s="8"/>
      <c r="G19006" s="8"/>
      <c r="M19006" s="8"/>
    </row>
    <row r="19007">
      <c r="B19007" s="8"/>
      <c r="G19007" s="8"/>
      <c r="M19007" s="8"/>
    </row>
    <row r="19008">
      <c r="B19008" s="8"/>
      <c r="G19008" s="8"/>
      <c r="M19008" s="8"/>
    </row>
    <row r="19009">
      <c r="B19009" s="8"/>
      <c r="G19009" s="8"/>
      <c r="M19009" s="8"/>
    </row>
    <row r="19010">
      <c r="B19010" s="8"/>
      <c r="G19010" s="8"/>
      <c r="M19010" s="8"/>
    </row>
    <row r="19011">
      <c r="B19011" s="8"/>
      <c r="G19011" s="8"/>
      <c r="M19011" s="8"/>
    </row>
    <row r="19012">
      <c r="B19012" s="8"/>
      <c r="G19012" s="8"/>
      <c r="M19012" s="8"/>
    </row>
    <row r="19013">
      <c r="B19013" s="8"/>
      <c r="G19013" s="8"/>
      <c r="M19013" s="8"/>
    </row>
    <row r="19014">
      <c r="B19014" s="8"/>
      <c r="G19014" s="8"/>
      <c r="M19014" s="8"/>
    </row>
    <row r="19015">
      <c r="B19015" s="8"/>
      <c r="G19015" s="8"/>
      <c r="M19015" s="8"/>
    </row>
    <row r="19016">
      <c r="B19016" s="8"/>
      <c r="G19016" s="8"/>
      <c r="M19016" s="8"/>
    </row>
    <row r="19017">
      <c r="B19017" s="8"/>
      <c r="G19017" s="8"/>
      <c r="M19017" s="8"/>
    </row>
    <row r="19018">
      <c r="B19018" s="8"/>
      <c r="G19018" s="8"/>
      <c r="M19018" s="8"/>
    </row>
    <row r="19019">
      <c r="B19019" s="8"/>
      <c r="G19019" s="8"/>
      <c r="M19019" s="8"/>
    </row>
    <row r="19020">
      <c r="B19020" s="8"/>
      <c r="G19020" s="8"/>
      <c r="M19020" s="8"/>
    </row>
    <row r="19021">
      <c r="B19021" s="8"/>
      <c r="G19021" s="8"/>
      <c r="M19021" s="8"/>
    </row>
    <row r="19022">
      <c r="B19022" s="8"/>
      <c r="G19022" s="8"/>
      <c r="M19022" s="8"/>
    </row>
    <row r="19023">
      <c r="B19023" s="8"/>
      <c r="G19023" s="8"/>
      <c r="M19023" s="8"/>
    </row>
    <row r="19024">
      <c r="B19024" s="8"/>
      <c r="G19024" s="8"/>
      <c r="M19024" s="8"/>
    </row>
    <row r="19025">
      <c r="B19025" s="8"/>
      <c r="G19025" s="8"/>
      <c r="M19025" s="8"/>
    </row>
    <row r="19026">
      <c r="B19026" s="8"/>
      <c r="G19026" s="8"/>
      <c r="M19026" s="8"/>
    </row>
    <row r="19027">
      <c r="B19027" s="8"/>
      <c r="G19027" s="8"/>
      <c r="M19027" s="8"/>
    </row>
    <row r="19028">
      <c r="B19028" s="8"/>
      <c r="G19028" s="8"/>
      <c r="M19028" s="8"/>
    </row>
    <row r="19029">
      <c r="B19029" s="8"/>
      <c r="G19029" s="8"/>
      <c r="M19029" s="8"/>
    </row>
    <row r="19030">
      <c r="B19030" s="8"/>
      <c r="G19030" s="8"/>
      <c r="M19030" s="8"/>
    </row>
    <row r="19031">
      <c r="B19031" s="8"/>
      <c r="G19031" s="8"/>
      <c r="M19031" s="8"/>
    </row>
    <row r="19032">
      <c r="B19032" s="8"/>
      <c r="G19032" s="8"/>
      <c r="M19032" s="8"/>
    </row>
    <row r="19033">
      <c r="B19033" s="8"/>
      <c r="G19033" s="8"/>
      <c r="M19033" s="8"/>
    </row>
    <row r="19034">
      <c r="B19034" s="8"/>
      <c r="G19034" s="8"/>
      <c r="M19034" s="8"/>
    </row>
    <row r="19035">
      <c r="B19035" s="8"/>
      <c r="G19035" s="8"/>
      <c r="M19035" s="8"/>
    </row>
    <row r="19036">
      <c r="B19036" s="8"/>
      <c r="G19036" s="8"/>
      <c r="M19036" s="8"/>
    </row>
    <row r="19037">
      <c r="B19037" s="8"/>
      <c r="G19037" s="8"/>
      <c r="M19037" s="8"/>
    </row>
    <row r="19038">
      <c r="B19038" s="8"/>
      <c r="G19038" s="8"/>
      <c r="M19038" s="8"/>
    </row>
    <row r="19039">
      <c r="B19039" s="8"/>
      <c r="G19039" s="8"/>
      <c r="M19039" s="8"/>
    </row>
    <row r="19040">
      <c r="B19040" s="8"/>
      <c r="G19040" s="8"/>
      <c r="M19040" s="8"/>
    </row>
    <row r="19041">
      <c r="B19041" s="8"/>
      <c r="G19041" s="8"/>
      <c r="M19041" s="8"/>
    </row>
    <row r="19042">
      <c r="B19042" s="8"/>
      <c r="G19042" s="8"/>
      <c r="M19042" s="8"/>
    </row>
    <row r="19043">
      <c r="B19043" s="8"/>
      <c r="G19043" s="8"/>
      <c r="M19043" s="8"/>
    </row>
    <row r="19044">
      <c r="B19044" s="8"/>
      <c r="G19044" s="8"/>
      <c r="M19044" s="8"/>
    </row>
    <row r="19045">
      <c r="B19045" s="8"/>
      <c r="G19045" s="8"/>
      <c r="M19045" s="8"/>
    </row>
    <row r="19046">
      <c r="B19046" s="8"/>
      <c r="G19046" s="8"/>
      <c r="M19046" s="8"/>
    </row>
    <row r="19047">
      <c r="B19047" s="8"/>
      <c r="G19047" s="8"/>
      <c r="M19047" s="8"/>
    </row>
    <row r="19048">
      <c r="B19048" s="8"/>
      <c r="G19048" s="8"/>
      <c r="M19048" s="8"/>
    </row>
    <row r="19049">
      <c r="B19049" s="8"/>
      <c r="G19049" s="8"/>
      <c r="M19049" s="8"/>
    </row>
    <row r="19050">
      <c r="B19050" s="8"/>
      <c r="G19050" s="8"/>
      <c r="M19050" s="8"/>
    </row>
    <row r="19051">
      <c r="B19051" s="8"/>
      <c r="G19051" s="8"/>
      <c r="M19051" s="8"/>
    </row>
    <row r="19052">
      <c r="B19052" s="8"/>
      <c r="G19052" s="8"/>
      <c r="M19052" s="8"/>
    </row>
    <row r="19053">
      <c r="B19053" s="8"/>
      <c r="G19053" s="8"/>
      <c r="M19053" s="8"/>
    </row>
    <row r="19054">
      <c r="B19054" s="8"/>
      <c r="G19054" s="8"/>
      <c r="M19054" s="8"/>
    </row>
    <row r="19055">
      <c r="B19055" s="8"/>
      <c r="G19055" s="8"/>
      <c r="M19055" s="8"/>
    </row>
    <row r="19056">
      <c r="B19056" s="8"/>
      <c r="G19056" s="8"/>
      <c r="M19056" s="8"/>
    </row>
    <row r="19057">
      <c r="B19057" s="8"/>
      <c r="G19057" s="8"/>
      <c r="M19057" s="8"/>
    </row>
    <row r="19058">
      <c r="B19058" s="8"/>
      <c r="G19058" s="8"/>
      <c r="M19058" s="8"/>
    </row>
    <row r="19059">
      <c r="B19059" s="8"/>
      <c r="G19059" s="8"/>
      <c r="M19059" s="8"/>
    </row>
    <row r="19060">
      <c r="B19060" s="8"/>
      <c r="G19060" s="8"/>
      <c r="M19060" s="8"/>
    </row>
    <row r="19061">
      <c r="B19061" s="8"/>
      <c r="G19061" s="8"/>
      <c r="M19061" s="8"/>
    </row>
    <row r="19062">
      <c r="B19062" s="8"/>
      <c r="G19062" s="8"/>
      <c r="M19062" s="8"/>
    </row>
    <row r="19063">
      <c r="B19063" s="8"/>
      <c r="G19063" s="8"/>
      <c r="M19063" s="8"/>
    </row>
    <row r="19064">
      <c r="B19064" s="8"/>
      <c r="G19064" s="8"/>
      <c r="M19064" s="8"/>
    </row>
    <row r="19065">
      <c r="B19065" s="8"/>
      <c r="G19065" s="8"/>
      <c r="M19065" s="8"/>
    </row>
    <row r="19066">
      <c r="B19066" s="8"/>
      <c r="G19066" s="8"/>
      <c r="M19066" s="8"/>
    </row>
    <row r="19067">
      <c r="B19067" s="8"/>
      <c r="G19067" s="8"/>
      <c r="M19067" s="8"/>
    </row>
    <row r="19068">
      <c r="B19068" s="8"/>
      <c r="G19068" s="8"/>
      <c r="M19068" s="8"/>
    </row>
    <row r="19069">
      <c r="B19069" s="8"/>
      <c r="G19069" s="8"/>
      <c r="M19069" s="8"/>
    </row>
    <row r="19070">
      <c r="B19070" s="8"/>
      <c r="G19070" s="8"/>
      <c r="M19070" s="8"/>
    </row>
    <row r="19071">
      <c r="B19071" s="8"/>
      <c r="G19071" s="8"/>
      <c r="M19071" s="8"/>
    </row>
    <row r="19072">
      <c r="B19072" s="8"/>
      <c r="G19072" s="8"/>
      <c r="M19072" s="8"/>
    </row>
    <row r="19073">
      <c r="B19073" s="8"/>
      <c r="G19073" s="8"/>
      <c r="M19073" s="8"/>
    </row>
    <row r="19074">
      <c r="B19074" s="8"/>
      <c r="G19074" s="8"/>
      <c r="M19074" s="8"/>
    </row>
    <row r="19075">
      <c r="B19075" s="8"/>
      <c r="G19075" s="8"/>
      <c r="M19075" s="8"/>
    </row>
    <row r="19076">
      <c r="B19076" s="8"/>
      <c r="G19076" s="8"/>
      <c r="M19076" s="8"/>
    </row>
    <row r="19077">
      <c r="B19077" s="8"/>
      <c r="G19077" s="8"/>
      <c r="M19077" s="8"/>
    </row>
    <row r="19078">
      <c r="B19078" s="8"/>
      <c r="G19078" s="8"/>
      <c r="M19078" s="8"/>
    </row>
    <row r="19079">
      <c r="B19079" s="8"/>
      <c r="G19079" s="8"/>
      <c r="M19079" s="8"/>
    </row>
    <row r="19080">
      <c r="B19080" s="8"/>
      <c r="G19080" s="8"/>
      <c r="M19080" s="8"/>
    </row>
    <row r="19081">
      <c r="B19081" s="8"/>
      <c r="G19081" s="8"/>
      <c r="M19081" s="8"/>
    </row>
    <row r="19082">
      <c r="B19082" s="8"/>
      <c r="G19082" s="8"/>
      <c r="M19082" s="8"/>
    </row>
    <row r="19083">
      <c r="B19083" s="8"/>
      <c r="G19083" s="8"/>
      <c r="M19083" s="8"/>
    </row>
    <row r="19084">
      <c r="B19084" s="8"/>
      <c r="G19084" s="8"/>
      <c r="M19084" s="8"/>
    </row>
    <row r="19085">
      <c r="B19085" s="8"/>
      <c r="G19085" s="8"/>
      <c r="M19085" s="8"/>
    </row>
    <row r="19086">
      <c r="B19086" s="8"/>
      <c r="G19086" s="8"/>
      <c r="M19086" s="8"/>
    </row>
    <row r="19087">
      <c r="B19087" s="8"/>
      <c r="G19087" s="8"/>
      <c r="M19087" s="8"/>
    </row>
    <row r="19088">
      <c r="B19088" s="8"/>
      <c r="G19088" s="8"/>
      <c r="M19088" s="8"/>
    </row>
    <row r="19089">
      <c r="B19089" s="8"/>
      <c r="G19089" s="8"/>
      <c r="M19089" s="8"/>
    </row>
    <row r="19090">
      <c r="B19090" s="8"/>
      <c r="G19090" s="8"/>
      <c r="M19090" s="8"/>
    </row>
    <row r="19091">
      <c r="B19091" s="8"/>
      <c r="G19091" s="8"/>
      <c r="M19091" s="8"/>
    </row>
    <row r="19092">
      <c r="B19092" s="8"/>
      <c r="G19092" s="8"/>
      <c r="M19092" s="8"/>
    </row>
    <row r="19093">
      <c r="B19093" s="8"/>
      <c r="G19093" s="8"/>
      <c r="M19093" s="8"/>
    </row>
    <row r="19094">
      <c r="B19094" s="8"/>
      <c r="G19094" s="8"/>
      <c r="M19094" s="8"/>
    </row>
    <row r="19095">
      <c r="B19095" s="8"/>
      <c r="G19095" s="8"/>
      <c r="M19095" s="8"/>
    </row>
    <row r="19096">
      <c r="B19096" s="8"/>
      <c r="G19096" s="8"/>
      <c r="M19096" s="8"/>
    </row>
    <row r="19097">
      <c r="B19097" s="8"/>
      <c r="G19097" s="8"/>
      <c r="M19097" s="8"/>
    </row>
    <row r="19098">
      <c r="B19098" s="8"/>
      <c r="G19098" s="8"/>
      <c r="M19098" s="8"/>
    </row>
    <row r="19099">
      <c r="B19099" s="8"/>
      <c r="G19099" s="8"/>
      <c r="M19099" s="8"/>
    </row>
    <row r="19100">
      <c r="B19100" s="8"/>
      <c r="G19100" s="8"/>
      <c r="M19100" s="8"/>
    </row>
    <row r="19101">
      <c r="B19101" s="8"/>
      <c r="G19101" s="8"/>
      <c r="M19101" s="8"/>
    </row>
    <row r="19102">
      <c r="B19102" s="8"/>
      <c r="G19102" s="8"/>
      <c r="M19102" s="8"/>
    </row>
    <row r="19103">
      <c r="B19103" s="8"/>
      <c r="G19103" s="8"/>
      <c r="M19103" s="8"/>
    </row>
    <row r="19104">
      <c r="B19104" s="8"/>
      <c r="G19104" s="8"/>
      <c r="M19104" s="8"/>
    </row>
    <row r="19105">
      <c r="B19105" s="8"/>
      <c r="G19105" s="8"/>
      <c r="M19105" s="8"/>
    </row>
    <row r="19106">
      <c r="B19106" s="8"/>
      <c r="G19106" s="8"/>
      <c r="M19106" s="8"/>
    </row>
    <row r="19107">
      <c r="B19107" s="8"/>
      <c r="G19107" s="8"/>
      <c r="M19107" s="8"/>
    </row>
    <row r="19108">
      <c r="B19108" s="8"/>
      <c r="G19108" s="8"/>
      <c r="M19108" s="8"/>
    </row>
    <row r="19109">
      <c r="B19109" s="8"/>
      <c r="G19109" s="8"/>
      <c r="M19109" s="8"/>
    </row>
    <row r="19110">
      <c r="B19110" s="8"/>
      <c r="G19110" s="8"/>
      <c r="M19110" s="8"/>
    </row>
    <row r="19111">
      <c r="B19111" s="8"/>
      <c r="G19111" s="8"/>
      <c r="M19111" s="8"/>
    </row>
    <row r="19112">
      <c r="B19112" s="8"/>
      <c r="G19112" s="8"/>
      <c r="M19112" s="8"/>
    </row>
    <row r="19113">
      <c r="B19113" s="8"/>
      <c r="G19113" s="8"/>
      <c r="M19113" s="8"/>
    </row>
    <row r="19114">
      <c r="B19114" s="8"/>
      <c r="G19114" s="8"/>
      <c r="M19114" s="8"/>
    </row>
    <row r="19115">
      <c r="B19115" s="8"/>
      <c r="G19115" s="8"/>
      <c r="M19115" s="8"/>
    </row>
    <row r="19116">
      <c r="B19116" s="8"/>
      <c r="G19116" s="8"/>
      <c r="M19116" s="8"/>
    </row>
    <row r="19117">
      <c r="B19117" s="8"/>
      <c r="G19117" s="8"/>
      <c r="M19117" s="8"/>
    </row>
    <row r="19118">
      <c r="B19118" s="8"/>
      <c r="G19118" s="8"/>
      <c r="M19118" s="8"/>
    </row>
    <row r="19119">
      <c r="B19119" s="8"/>
      <c r="G19119" s="8"/>
      <c r="M19119" s="8"/>
    </row>
    <row r="19120">
      <c r="B19120" s="8"/>
      <c r="G19120" s="8"/>
      <c r="M19120" s="8"/>
    </row>
    <row r="19121">
      <c r="B19121" s="8"/>
      <c r="G19121" s="8"/>
      <c r="M19121" s="8"/>
    </row>
    <row r="19122">
      <c r="B19122" s="8"/>
      <c r="G19122" s="8"/>
      <c r="M19122" s="8"/>
    </row>
    <row r="19123">
      <c r="B19123" s="8"/>
      <c r="G19123" s="8"/>
      <c r="M19123" s="8"/>
    </row>
    <row r="19124">
      <c r="B19124" s="8"/>
      <c r="G19124" s="8"/>
      <c r="M19124" s="8"/>
    </row>
    <row r="19125">
      <c r="B19125" s="8"/>
      <c r="G19125" s="8"/>
      <c r="M19125" s="8"/>
    </row>
    <row r="19126">
      <c r="B19126" s="8"/>
      <c r="G19126" s="8"/>
      <c r="M19126" s="8"/>
    </row>
    <row r="19127">
      <c r="B19127" s="8"/>
      <c r="G19127" s="8"/>
      <c r="M19127" s="8"/>
    </row>
    <row r="19128">
      <c r="B19128" s="8"/>
      <c r="G19128" s="8"/>
      <c r="M19128" s="8"/>
    </row>
    <row r="19129">
      <c r="B19129" s="8"/>
      <c r="G19129" s="8"/>
      <c r="M19129" s="8"/>
    </row>
    <row r="19130">
      <c r="B19130" s="8"/>
      <c r="G19130" s="8"/>
      <c r="M19130" s="8"/>
    </row>
    <row r="19131">
      <c r="B19131" s="8"/>
      <c r="G19131" s="8"/>
      <c r="M19131" s="8"/>
    </row>
    <row r="19132">
      <c r="B19132" s="8"/>
      <c r="G19132" s="8"/>
      <c r="M19132" s="8"/>
    </row>
    <row r="19133">
      <c r="B19133" s="8"/>
      <c r="G19133" s="8"/>
      <c r="M19133" s="8"/>
    </row>
    <row r="19134">
      <c r="B19134" s="8"/>
      <c r="G19134" s="8"/>
      <c r="M19134" s="8"/>
    </row>
    <row r="19135">
      <c r="B19135" s="8"/>
      <c r="G19135" s="8"/>
      <c r="M19135" s="8"/>
    </row>
    <row r="19136">
      <c r="B19136" s="8"/>
      <c r="G19136" s="8"/>
      <c r="M19136" s="8"/>
    </row>
    <row r="19137">
      <c r="B19137" s="8"/>
      <c r="G19137" s="8"/>
      <c r="M19137" s="8"/>
    </row>
    <row r="19138">
      <c r="B19138" s="8"/>
      <c r="G19138" s="8"/>
      <c r="M19138" s="8"/>
    </row>
    <row r="19139">
      <c r="B19139" s="8"/>
      <c r="G19139" s="8"/>
      <c r="M19139" s="8"/>
    </row>
    <row r="19140">
      <c r="B19140" s="8"/>
      <c r="G19140" s="8"/>
      <c r="M19140" s="8"/>
    </row>
    <row r="19141">
      <c r="B19141" s="8"/>
      <c r="G19141" s="8"/>
      <c r="M19141" s="8"/>
    </row>
    <row r="19142">
      <c r="B19142" s="8"/>
      <c r="G19142" s="8"/>
      <c r="M19142" s="8"/>
    </row>
    <row r="19143">
      <c r="B19143" s="8"/>
      <c r="G19143" s="8"/>
      <c r="M19143" s="8"/>
    </row>
    <row r="19144">
      <c r="B19144" s="8"/>
      <c r="G19144" s="8"/>
      <c r="M19144" s="8"/>
    </row>
    <row r="19145">
      <c r="B19145" s="8"/>
      <c r="G19145" s="8"/>
      <c r="M19145" s="8"/>
    </row>
    <row r="19146">
      <c r="B19146" s="8"/>
      <c r="G19146" s="8"/>
      <c r="M19146" s="8"/>
    </row>
    <row r="19147">
      <c r="B19147" s="8"/>
      <c r="G19147" s="8"/>
      <c r="M19147" s="8"/>
    </row>
    <row r="19148">
      <c r="B19148" s="8"/>
      <c r="G19148" s="8"/>
      <c r="M19148" s="8"/>
    </row>
    <row r="19149">
      <c r="B19149" s="8"/>
      <c r="G19149" s="8"/>
      <c r="M19149" s="8"/>
    </row>
    <row r="19150">
      <c r="B19150" s="8"/>
      <c r="G19150" s="8"/>
      <c r="M19150" s="8"/>
    </row>
    <row r="19151">
      <c r="B19151" s="8"/>
      <c r="G19151" s="8"/>
      <c r="M19151" s="8"/>
    </row>
    <row r="19152">
      <c r="B19152" s="8"/>
      <c r="G19152" s="8"/>
      <c r="M19152" s="8"/>
    </row>
    <row r="19153">
      <c r="B19153" s="8"/>
      <c r="G19153" s="8"/>
      <c r="M19153" s="8"/>
    </row>
    <row r="19154">
      <c r="B19154" s="8"/>
      <c r="G19154" s="8"/>
      <c r="M19154" s="8"/>
    </row>
    <row r="19155">
      <c r="B19155" s="8"/>
      <c r="G19155" s="8"/>
      <c r="M19155" s="8"/>
    </row>
    <row r="19156">
      <c r="B19156" s="8"/>
      <c r="G19156" s="8"/>
      <c r="M19156" s="8"/>
    </row>
    <row r="19157">
      <c r="B19157" s="8"/>
      <c r="G19157" s="8"/>
      <c r="M19157" s="8"/>
    </row>
    <row r="19158">
      <c r="B19158" s="8"/>
      <c r="G19158" s="8"/>
      <c r="M19158" s="8"/>
    </row>
    <row r="19159">
      <c r="B19159" s="8"/>
      <c r="G19159" s="8"/>
      <c r="M19159" s="8"/>
    </row>
    <row r="19160">
      <c r="B19160" s="8"/>
      <c r="G19160" s="8"/>
      <c r="M19160" s="8"/>
    </row>
    <row r="19161">
      <c r="B19161" s="8"/>
      <c r="G19161" s="8"/>
      <c r="M19161" s="8"/>
    </row>
    <row r="19162">
      <c r="B19162" s="8"/>
      <c r="G19162" s="8"/>
      <c r="M19162" s="8"/>
    </row>
    <row r="19163">
      <c r="B19163" s="8"/>
      <c r="G19163" s="8"/>
      <c r="M19163" s="8"/>
    </row>
    <row r="19164">
      <c r="B19164" s="8"/>
      <c r="G19164" s="8"/>
      <c r="M19164" s="8"/>
    </row>
    <row r="19165">
      <c r="B19165" s="8"/>
      <c r="G19165" s="8"/>
      <c r="M19165" s="8"/>
    </row>
    <row r="19166">
      <c r="B19166" s="8"/>
      <c r="G19166" s="8"/>
      <c r="M19166" s="8"/>
    </row>
    <row r="19167">
      <c r="B19167" s="8"/>
      <c r="G19167" s="8"/>
      <c r="M19167" s="8"/>
    </row>
    <row r="19168">
      <c r="B19168" s="8"/>
      <c r="G19168" s="8"/>
      <c r="M19168" s="8"/>
    </row>
    <row r="19169">
      <c r="B19169" s="8"/>
      <c r="G19169" s="8"/>
      <c r="M19169" s="8"/>
    </row>
    <row r="19170">
      <c r="B19170" s="8"/>
      <c r="G19170" s="8"/>
      <c r="M19170" s="8"/>
    </row>
    <row r="19171">
      <c r="B19171" s="8"/>
      <c r="G19171" s="8"/>
      <c r="M19171" s="8"/>
    </row>
    <row r="19172">
      <c r="B19172" s="8"/>
      <c r="G19172" s="8"/>
      <c r="M19172" s="8"/>
    </row>
    <row r="19173">
      <c r="B19173" s="8"/>
      <c r="G19173" s="8"/>
      <c r="M19173" s="8"/>
    </row>
    <row r="19174">
      <c r="B19174" s="8"/>
      <c r="G19174" s="8"/>
      <c r="M19174" s="8"/>
    </row>
    <row r="19175">
      <c r="B19175" s="8"/>
      <c r="G19175" s="8"/>
      <c r="M19175" s="8"/>
    </row>
    <row r="19176">
      <c r="B19176" s="8"/>
      <c r="G19176" s="8"/>
      <c r="M19176" s="8"/>
    </row>
    <row r="19177">
      <c r="B19177" s="8"/>
      <c r="G19177" s="8"/>
      <c r="M19177" s="8"/>
    </row>
    <row r="19178">
      <c r="B19178" s="8"/>
      <c r="G19178" s="8"/>
      <c r="M19178" s="8"/>
    </row>
    <row r="19179">
      <c r="B19179" s="8"/>
      <c r="G19179" s="8"/>
      <c r="M19179" s="8"/>
    </row>
    <row r="19180">
      <c r="B19180" s="8"/>
      <c r="G19180" s="8"/>
      <c r="M19180" s="8"/>
    </row>
    <row r="19181">
      <c r="B19181" s="8"/>
      <c r="G19181" s="8"/>
      <c r="M19181" s="8"/>
    </row>
    <row r="19182">
      <c r="B19182" s="8"/>
      <c r="G19182" s="8"/>
      <c r="M19182" s="8"/>
    </row>
    <row r="19183">
      <c r="B19183" s="8"/>
      <c r="G19183" s="8"/>
      <c r="M19183" s="8"/>
    </row>
    <row r="19184">
      <c r="B19184" s="8"/>
      <c r="G19184" s="8"/>
      <c r="M19184" s="8"/>
    </row>
    <row r="19185">
      <c r="B19185" s="8"/>
      <c r="G19185" s="8"/>
      <c r="M19185" s="8"/>
    </row>
    <row r="19186">
      <c r="B19186" s="8"/>
      <c r="G19186" s="8"/>
      <c r="M19186" s="8"/>
    </row>
    <row r="19187">
      <c r="B19187" s="8"/>
      <c r="G19187" s="8"/>
      <c r="M19187" s="8"/>
    </row>
    <row r="19188">
      <c r="B19188" s="8"/>
      <c r="G19188" s="8"/>
      <c r="M19188" s="8"/>
    </row>
    <row r="19189">
      <c r="B19189" s="8"/>
      <c r="G19189" s="8"/>
      <c r="M19189" s="8"/>
    </row>
    <row r="19190">
      <c r="B19190" s="8"/>
      <c r="G19190" s="8"/>
      <c r="M19190" s="8"/>
    </row>
    <row r="19191">
      <c r="B19191" s="8"/>
      <c r="G19191" s="8"/>
      <c r="M19191" s="8"/>
    </row>
    <row r="19192">
      <c r="B19192" s="8"/>
      <c r="G19192" s="8"/>
      <c r="M19192" s="8"/>
    </row>
    <row r="19193">
      <c r="B19193" s="8"/>
      <c r="G19193" s="8"/>
      <c r="M19193" s="8"/>
    </row>
    <row r="19194">
      <c r="B19194" s="8"/>
      <c r="G19194" s="8"/>
      <c r="M19194" s="8"/>
    </row>
    <row r="19195">
      <c r="B19195" s="8"/>
      <c r="G19195" s="8"/>
      <c r="M19195" s="8"/>
    </row>
    <row r="19196">
      <c r="B19196" s="8"/>
      <c r="G19196" s="8"/>
      <c r="M19196" s="8"/>
    </row>
    <row r="19197">
      <c r="B19197" s="8"/>
      <c r="G19197" s="8"/>
      <c r="M19197" s="8"/>
    </row>
    <row r="19198">
      <c r="B19198" s="8"/>
      <c r="G19198" s="8"/>
      <c r="M19198" s="8"/>
    </row>
    <row r="19199">
      <c r="B19199" s="8"/>
      <c r="G19199" s="8"/>
      <c r="M19199" s="8"/>
    </row>
    <row r="19200">
      <c r="B19200" s="8"/>
      <c r="G19200" s="8"/>
      <c r="M19200" s="8"/>
    </row>
    <row r="19201">
      <c r="B19201" s="8"/>
      <c r="G19201" s="8"/>
      <c r="M19201" s="8"/>
    </row>
    <row r="19202">
      <c r="B19202" s="8"/>
      <c r="G19202" s="8"/>
      <c r="M19202" s="8"/>
    </row>
    <row r="19203">
      <c r="B19203" s="8"/>
      <c r="G19203" s="8"/>
      <c r="M19203" s="8"/>
    </row>
    <row r="19204">
      <c r="B19204" s="8"/>
      <c r="G19204" s="8"/>
      <c r="M19204" s="8"/>
    </row>
    <row r="19205">
      <c r="B19205" s="8"/>
      <c r="G19205" s="8"/>
      <c r="M19205" s="8"/>
    </row>
    <row r="19206">
      <c r="B19206" s="8"/>
      <c r="G19206" s="8"/>
      <c r="M19206" s="8"/>
    </row>
    <row r="19207">
      <c r="B19207" s="8"/>
      <c r="G19207" s="8"/>
      <c r="M19207" s="8"/>
    </row>
    <row r="19208">
      <c r="B19208" s="8"/>
      <c r="G19208" s="8"/>
      <c r="M19208" s="8"/>
    </row>
    <row r="19209">
      <c r="B19209" s="8"/>
      <c r="G19209" s="8"/>
      <c r="M19209" s="8"/>
    </row>
    <row r="19210">
      <c r="B19210" s="8"/>
      <c r="G19210" s="8"/>
      <c r="M19210" s="8"/>
    </row>
    <row r="19211">
      <c r="B19211" s="8"/>
      <c r="G19211" s="8"/>
      <c r="M19211" s="8"/>
    </row>
    <row r="19212">
      <c r="B19212" s="8"/>
      <c r="G19212" s="8"/>
      <c r="M19212" s="8"/>
    </row>
    <row r="19213">
      <c r="B19213" s="8"/>
      <c r="G19213" s="8"/>
      <c r="M19213" s="8"/>
    </row>
    <row r="19214">
      <c r="B19214" s="8"/>
      <c r="G19214" s="8"/>
      <c r="M19214" s="8"/>
    </row>
    <row r="19215">
      <c r="B19215" s="8"/>
      <c r="G19215" s="8"/>
      <c r="M19215" s="8"/>
    </row>
    <row r="19216">
      <c r="B19216" s="8"/>
      <c r="G19216" s="8"/>
      <c r="M19216" s="8"/>
    </row>
    <row r="19217">
      <c r="B19217" s="8"/>
      <c r="G19217" s="8"/>
      <c r="M19217" s="8"/>
    </row>
    <row r="19218">
      <c r="B19218" s="8"/>
      <c r="G19218" s="8"/>
      <c r="M19218" s="8"/>
    </row>
    <row r="19219">
      <c r="B19219" s="8"/>
      <c r="G19219" s="8"/>
      <c r="M19219" s="8"/>
    </row>
    <row r="19220">
      <c r="B19220" s="8"/>
      <c r="G19220" s="8"/>
      <c r="M19220" s="8"/>
    </row>
    <row r="19221">
      <c r="B19221" s="8"/>
      <c r="G19221" s="8"/>
      <c r="M19221" s="8"/>
    </row>
    <row r="19222">
      <c r="B19222" s="8"/>
      <c r="G19222" s="8"/>
      <c r="M19222" s="8"/>
    </row>
    <row r="19223">
      <c r="B19223" s="8"/>
      <c r="G19223" s="8"/>
      <c r="M19223" s="8"/>
    </row>
    <row r="19224">
      <c r="B19224" s="8"/>
      <c r="G19224" s="8"/>
      <c r="M19224" s="8"/>
    </row>
    <row r="19225">
      <c r="B19225" s="8"/>
      <c r="G19225" s="8"/>
      <c r="M19225" s="8"/>
    </row>
    <row r="19226">
      <c r="B19226" s="8"/>
      <c r="G19226" s="8"/>
      <c r="M19226" s="8"/>
    </row>
    <row r="19227">
      <c r="B19227" s="8"/>
      <c r="G19227" s="8"/>
      <c r="M19227" s="8"/>
    </row>
    <row r="19228">
      <c r="B19228" s="8"/>
      <c r="G19228" s="8"/>
      <c r="M19228" s="8"/>
    </row>
    <row r="19229">
      <c r="B19229" s="8"/>
      <c r="G19229" s="8"/>
      <c r="M19229" s="8"/>
    </row>
    <row r="19230">
      <c r="B19230" s="8"/>
      <c r="G19230" s="8"/>
      <c r="M19230" s="8"/>
    </row>
    <row r="19231">
      <c r="B19231" s="8"/>
      <c r="G19231" s="8"/>
      <c r="M19231" s="8"/>
    </row>
    <row r="19232">
      <c r="B19232" s="8"/>
      <c r="G19232" s="8"/>
      <c r="M19232" s="8"/>
    </row>
    <row r="19233">
      <c r="B19233" s="8"/>
      <c r="G19233" s="8"/>
      <c r="M19233" s="8"/>
    </row>
    <row r="19234">
      <c r="B19234" s="8"/>
      <c r="G19234" s="8"/>
      <c r="M19234" s="8"/>
    </row>
    <row r="19235">
      <c r="B19235" s="8"/>
      <c r="G19235" s="8"/>
      <c r="M19235" s="8"/>
    </row>
    <row r="19236">
      <c r="B19236" s="8"/>
      <c r="G19236" s="8"/>
      <c r="M19236" s="8"/>
    </row>
    <row r="19237">
      <c r="B19237" s="8"/>
      <c r="G19237" s="8"/>
      <c r="M19237" s="8"/>
    </row>
    <row r="19238">
      <c r="B19238" s="8"/>
      <c r="G19238" s="8"/>
      <c r="M19238" s="8"/>
    </row>
    <row r="19239">
      <c r="B19239" s="8"/>
      <c r="G19239" s="8"/>
      <c r="M19239" s="8"/>
    </row>
    <row r="19240">
      <c r="B19240" s="8"/>
      <c r="G19240" s="8"/>
      <c r="M19240" s="8"/>
    </row>
    <row r="19241">
      <c r="B19241" s="8"/>
      <c r="G19241" s="8"/>
      <c r="M19241" s="8"/>
    </row>
    <row r="19242">
      <c r="B19242" s="8"/>
      <c r="G19242" s="8"/>
      <c r="M19242" s="8"/>
    </row>
    <row r="19243">
      <c r="B19243" s="8"/>
      <c r="G19243" s="8"/>
      <c r="M19243" s="8"/>
    </row>
    <row r="19244">
      <c r="B19244" s="8"/>
      <c r="G19244" s="8"/>
      <c r="M19244" s="8"/>
    </row>
    <row r="19245">
      <c r="B19245" s="8"/>
      <c r="G19245" s="8"/>
      <c r="M19245" s="8"/>
    </row>
    <row r="19246">
      <c r="B19246" s="8"/>
      <c r="G19246" s="8"/>
      <c r="M19246" s="8"/>
    </row>
    <row r="19247">
      <c r="B19247" s="8"/>
      <c r="G19247" s="8"/>
      <c r="M19247" s="8"/>
    </row>
    <row r="19248">
      <c r="B19248" s="8"/>
      <c r="G19248" s="8"/>
      <c r="M19248" s="8"/>
    </row>
    <row r="19249">
      <c r="B19249" s="8"/>
      <c r="G19249" s="8"/>
      <c r="M19249" s="8"/>
    </row>
    <row r="19250">
      <c r="B19250" s="8"/>
      <c r="G19250" s="8"/>
      <c r="M19250" s="8"/>
    </row>
    <row r="19251">
      <c r="B19251" s="8"/>
      <c r="G19251" s="8"/>
      <c r="M19251" s="8"/>
    </row>
    <row r="19252">
      <c r="B19252" s="8"/>
      <c r="G19252" s="8"/>
      <c r="M19252" s="8"/>
    </row>
    <row r="19253">
      <c r="B19253" s="8"/>
      <c r="G19253" s="8"/>
      <c r="M19253" s="8"/>
    </row>
    <row r="19254">
      <c r="B19254" s="8"/>
      <c r="G19254" s="8"/>
      <c r="M19254" s="8"/>
    </row>
    <row r="19255">
      <c r="B19255" s="8"/>
      <c r="G19255" s="8"/>
      <c r="M19255" s="8"/>
    </row>
    <row r="19256">
      <c r="B19256" s="8"/>
      <c r="G19256" s="8"/>
      <c r="M19256" s="8"/>
    </row>
    <row r="19257">
      <c r="B19257" s="8"/>
      <c r="G19257" s="8"/>
      <c r="M19257" s="8"/>
    </row>
    <row r="19258">
      <c r="B19258" s="8"/>
      <c r="G19258" s="8"/>
      <c r="M19258" s="8"/>
    </row>
    <row r="19259">
      <c r="B19259" s="8"/>
      <c r="G19259" s="8"/>
      <c r="M19259" s="8"/>
    </row>
    <row r="19260">
      <c r="B19260" s="8"/>
      <c r="G19260" s="8"/>
      <c r="M19260" s="8"/>
    </row>
    <row r="19261">
      <c r="B19261" s="8"/>
      <c r="G19261" s="8"/>
      <c r="M19261" s="8"/>
    </row>
    <row r="19262">
      <c r="B19262" s="8"/>
      <c r="G19262" s="8"/>
      <c r="M19262" s="8"/>
    </row>
    <row r="19263">
      <c r="B19263" s="8"/>
      <c r="G19263" s="8"/>
      <c r="M19263" s="8"/>
    </row>
    <row r="19264">
      <c r="B19264" s="8"/>
      <c r="G19264" s="8"/>
      <c r="M19264" s="8"/>
    </row>
    <row r="19265">
      <c r="B19265" s="8"/>
      <c r="G19265" s="8"/>
      <c r="M19265" s="8"/>
    </row>
    <row r="19266">
      <c r="B19266" s="8"/>
      <c r="G19266" s="8"/>
      <c r="M19266" s="8"/>
    </row>
    <row r="19267">
      <c r="B19267" s="8"/>
      <c r="G19267" s="8"/>
      <c r="M19267" s="8"/>
    </row>
    <row r="19268">
      <c r="B19268" s="8"/>
      <c r="G19268" s="8"/>
      <c r="M19268" s="8"/>
    </row>
    <row r="19269">
      <c r="B19269" s="8"/>
      <c r="G19269" s="8"/>
      <c r="M19269" s="8"/>
    </row>
    <row r="19270">
      <c r="B19270" s="8"/>
      <c r="G19270" s="8"/>
      <c r="M19270" s="8"/>
    </row>
    <row r="19271">
      <c r="B19271" s="8"/>
      <c r="G19271" s="8"/>
      <c r="M19271" s="8"/>
    </row>
    <row r="19272">
      <c r="B19272" s="8"/>
      <c r="G19272" s="8"/>
      <c r="M19272" s="8"/>
    </row>
    <row r="19273">
      <c r="B19273" s="8"/>
      <c r="G19273" s="8"/>
      <c r="M19273" s="8"/>
    </row>
    <row r="19274">
      <c r="B19274" s="8"/>
      <c r="G19274" s="8"/>
      <c r="M19274" s="8"/>
    </row>
    <row r="19275">
      <c r="B19275" s="8"/>
      <c r="G19275" s="8"/>
      <c r="M19275" s="8"/>
    </row>
    <row r="19276">
      <c r="B19276" s="8"/>
      <c r="G19276" s="8"/>
      <c r="M19276" s="8"/>
    </row>
    <row r="19277">
      <c r="B19277" s="8"/>
      <c r="G19277" s="8"/>
      <c r="M19277" s="8"/>
    </row>
    <row r="19278">
      <c r="B19278" s="8"/>
      <c r="G19278" s="8"/>
      <c r="M19278" s="8"/>
    </row>
    <row r="19279">
      <c r="B19279" s="8"/>
      <c r="G19279" s="8"/>
      <c r="M19279" s="8"/>
    </row>
    <row r="19280">
      <c r="B19280" s="8"/>
      <c r="G19280" s="8"/>
      <c r="M19280" s="8"/>
    </row>
    <row r="19281">
      <c r="B19281" s="8"/>
      <c r="G19281" s="8"/>
      <c r="M19281" s="8"/>
    </row>
    <row r="19282">
      <c r="B19282" s="8"/>
      <c r="G19282" s="8"/>
      <c r="M19282" s="8"/>
    </row>
    <row r="19283">
      <c r="B19283" s="8"/>
      <c r="G19283" s="8"/>
      <c r="M19283" s="8"/>
    </row>
    <row r="19284">
      <c r="B19284" s="8"/>
      <c r="G19284" s="8"/>
      <c r="M19284" s="8"/>
    </row>
    <row r="19285">
      <c r="B19285" s="8"/>
      <c r="G19285" s="8"/>
      <c r="M19285" s="8"/>
    </row>
    <row r="19286">
      <c r="B19286" s="8"/>
      <c r="G19286" s="8"/>
      <c r="M19286" s="8"/>
    </row>
    <row r="19287">
      <c r="B19287" s="8"/>
      <c r="G19287" s="8"/>
      <c r="M19287" s="8"/>
    </row>
    <row r="19288">
      <c r="B19288" s="8"/>
      <c r="G19288" s="8"/>
      <c r="M19288" s="8"/>
    </row>
    <row r="19289">
      <c r="B19289" s="8"/>
      <c r="G19289" s="8"/>
      <c r="M19289" s="8"/>
    </row>
    <row r="19290">
      <c r="B19290" s="8"/>
      <c r="G19290" s="8"/>
      <c r="M19290" s="8"/>
    </row>
    <row r="19291">
      <c r="B19291" s="8"/>
      <c r="G19291" s="8"/>
      <c r="M19291" s="8"/>
    </row>
    <row r="19292">
      <c r="B19292" s="8"/>
      <c r="G19292" s="8"/>
      <c r="M19292" s="8"/>
    </row>
    <row r="19293">
      <c r="B19293" s="8"/>
      <c r="G19293" s="8"/>
      <c r="M19293" s="8"/>
    </row>
    <row r="19294">
      <c r="B19294" s="8"/>
      <c r="G19294" s="8"/>
      <c r="M19294" s="8"/>
    </row>
    <row r="19295">
      <c r="B19295" s="8"/>
      <c r="G19295" s="8"/>
      <c r="M19295" s="8"/>
    </row>
    <row r="19296">
      <c r="B19296" s="8"/>
      <c r="G19296" s="8"/>
      <c r="M19296" s="8"/>
    </row>
    <row r="19297">
      <c r="B19297" s="8"/>
      <c r="G19297" s="8"/>
      <c r="M19297" s="8"/>
    </row>
    <row r="19298">
      <c r="B19298" s="8"/>
      <c r="G19298" s="8"/>
      <c r="M19298" s="8"/>
    </row>
    <row r="19299">
      <c r="B19299" s="8"/>
      <c r="G19299" s="8"/>
      <c r="M19299" s="8"/>
    </row>
    <row r="19300">
      <c r="B19300" s="8"/>
      <c r="G19300" s="8"/>
      <c r="M19300" s="8"/>
    </row>
    <row r="19301">
      <c r="B19301" s="8"/>
      <c r="G19301" s="8"/>
      <c r="M19301" s="8"/>
    </row>
    <row r="19302">
      <c r="B19302" s="8"/>
      <c r="G19302" s="8"/>
      <c r="M19302" s="8"/>
    </row>
    <row r="19303">
      <c r="B19303" s="8"/>
      <c r="G19303" s="8"/>
      <c r="M19303" s="8"/>
    </row>
    <row r="19304">
      <c r="B19304" s="8"/>
      <c r="G19304" s="8"/>
      <c r="M19304" s="8"/>
    </row>
    <row r="19305">
      <c r="B19305" s="8"/>
      <c r="G19305" s="8"/>
      <c r="M19305" s="8"/>
    </row>
    <row r="19306">
      <c r="B19306" s="8"/>
      <c r="G19306" s="8"/>
      <c r="M19306" s="8"/>
    </row>
    <row r="19307">
      <c r="B19307" s="8"/>
      <c r="G19307" s="8"/>
      <c r="M19307" s="8"/>
    </row>
    <row r="19308">
      <c r="B19308" s="8"/>
      <c r="G19308" s="8"/>
      <c r="M19308" s="8"/>
    </row>
    <row r="19309">
      <c r="B19309" s="8"/>
      <c r="G19309" s="8"/>
      <c r="M19309" s="8"/>
    </row>
    <row r="19310">
      <c r="B19310" s="8"/>
      <c r="G19310" s="8"/>
      <c r="M19310" s="8"/>
    </row>
    <row r="19311">
      <c r="B19311" s="8"/>
      <c r="G19311" s="8"/>
      <c r="M19311" s="8"/>
    </row>
    <row r="19312">
      <c r="B19312" s="8"/>
      <c r="G19312" s="8"/>
      <c r="M19312" s="8"/>
    </row>
    <row r="19313">
      <c r="B19313" s="8"/>
      <c r="G19313" s="8"/>
      <c r="M19313" s="8"/>
    </row>
    <row r="19314">
      <c r="B19314" s="8"/>
      <c r="G19314" s="8"/>
      <c r="M19314" s="8"/>
    </row>
    <row r="19315">
      <c r="B19315" s="8"/>
      <c r="G19315" s="8"/>
      <c r="M19315" s="8"/>
    </row>
    <row r="19316">
      <c r="B19316" s="8"/>
      <c r="G19316" s="8"/>
      <c r="M19316" s="8"/>
    </row>
    <row r="19317">
      <c r="B19317" s="8"/>
      <c r="G19317" s="8"/>
      <c r="M19317" s="8"/>
    </row>
    <row r="19318">
      <c r="B19318" s="8"/>
      <c r="G19318" s="8"/>
      <c r="M19318" s="8"/>
    </row>
    <row r="19319">
      <c r="B19319" s="8"/>
      <c r="G19319" s="8"/>
      <c r="M19319" s="8"/>
    </row>
    <row r="19320">
      <c r="B19320" s="8"/>
      <c r="G19320" s="8"/>
      <c r="M19320" s="8"/>
    </row>
    <row r="19321">
      <c r="B19321" s="8"/>
      <c r="G19321" s="8"/>
      <c r="M19321" s="8"/>
    </row>
    <row r="19322">
      <c r="B19322" s="8"/>
      <c r="G19322" s="8"/>
      <c r="M19322" s="8"/>
    </row>
    <row r="19323">
      <c r="B19323" s="8"/>
      <c r="G19323" s="8"/>
      <c r="M19323" s="8"/>
    </row>
    <row r="19324">
      <c r="B19324" s="8"/>
      <c r="G19324" s="8"/>
      <c r="M19324" s="8"/>
    </row>
    <row r="19325">
      <c r="B19325" s="8"/>
      <c r="G19325" s="8"/>
      <c r="M19325" s="8"/>
    </row>
    <row r="19326">
      <c r="B19326" s="8"/>
      <c r="G19326" s="8"/>
      <c r="M19326" s="8"/>
    </row>
    <row r="19327">
      <c r="B19327" s="8"/>
      <c r="G19327" s="8"/>
      <c r="M19327" s="8"/>
    </row>
    <row r="19328">
      <c r="B19328" s="8"/>
      <c r="G19328" s="8"/>
      <c r="M19328" s="8"/>
    </row>
    <row r="19329">
      <c r="B19329" s="8"/>
      <c r="G19329" s="8"/>
      <c r="M19329" s="8"/>
    </row>
    <row r="19330">
      <c r="B19330" s="8"/>
      <c r="G19330" s="8"/>
      <c r="M19330" s="8"/>
    </row>
    <row r="19331">
      <c r="B19331" s="8"/>
      <c r="G19331" s="8"/>
      <c r="M19331" s="8"/>
    </row>
    <row r="19332">
      <c r="B19332" s="8"/>
      <c r="G19332" s="8"/>
      <c r="M19332" s="8"/>
    </row>
    <row r="19333">
      <c r="B19333" s="8"/>
      <c r="G19333" s="8"/>
      <c r="M19333" s="8"/>
    </row>
    <row r="19334">
      <c r="B19334" s="8"/>
      <c r="G19334" s="8"/>
      <c r="M19334" s="8"/>
    </row>
    <row r="19335">
      <c r="B19335" s="8"/>
      <c r="G19335" s="8"/>
      <c r="M19335" s="8"/>
    </row>
    <row r="19336">
      <c r="B19336" s="8"/>
      <c r="G19336" s="8"/>
      <c r="M19336" s="8"/>
    </row>
    <row r="19337">
      <c r="B19337" s="8"/>
      <c r="G19337" s="8"/>
      <c r="M19337" s="8"/>
    </row>
    <row r="19338">
      <c r="B19338" s="8"/>
      <c r="G19338" s="8"/>
      <c r="M19338" s="8"/>
    </row>
    <row r="19339">
      <c r="B19339" s="8"/>
      <c r="G19339" s="8"/>
      <c r="M19339" s="8"/>
    </row>
    <row r="19340">
      <c r="B19340" s="8"/>
      <c r="G19340" s="8"/>
      <c r="M19340" s="8"/>
    </row>
    <row r="19341">
      <c r="B19341" s="8"/>
      <c r="G19341" s="8"/>
      <c r="M19341" s="8"/>
    </row>
    <row r="19342">
      <c r="B19342" s="8"/>
      <c r="G19342" s="8"/>
      <c r="M19342" s="8"/>
    </row>
    <row r="19343">
      <c r="B19343" s="8"/>
      <c r="G19343" s="8"/>
      <c r="M19343" s="8"/>
    </row>
    <row r="19344">
      <c r="B19344" s="8"/>
      <c r="G19344" s="8"/>
      <c r="M19344" s="8"/>
    </row>
    <row r="19345">
      <c r="B19345" s="8"/>
      <c r="G19345" s="8"/>
      <c r="M19345" s="8"/>
    </row>
    <row r="19346">
      <c r="B19346" s="8"/>
      <c r="G19346" s="8"/>
      <c r="M19346" s="8"/>
    </row>
    <row r="19347">
      <c r="B19347" s="8"/>
      <c r="G19347" s="8"/>
      <c r="M19347" s="8"/>
    </row>
    <row r="19348">
      <c r="B19348" s="8"/>
      <c r="G19348" s="8"/>
      <c r="M19348" s="8"/>
    </row>
    <row r="19349">
      <c r="B19349" s="8"/>
      <c r="G19349" s="8"/>
      <c r="M19349" s="8"/>
    </row>
    <row r="19350">
      <c r="B19350" s="8"/>
      <c r="G19350" s="8"/>
      <c r="M19350" s="8"/>
    </row>
    <row r="19351">
      <c r="B19351" s="8"/>
      <c r="G19351" s="8"/>
      <c r="M19351" s="8"/>
    </row>
    <row r="19352">
      <c r="B19352" s="8"/>
      <c r="G19352" s="8"/>
      <c r="M19352" s="8"/>
    </row>
    <row r="19353">
      <c r="B19353" s="8"/>
      <c r="G19353" s="8"/>
      <c r="M19353" s="8"/>
    </row>
    <row r="19354">
      <c r="B19354" s="8"/>
      <c r="G19354" s="8"/>
      <c r="M19354" s="8"/>
    </row>
    <row r="19355">
      <c r="B19355" s="8"/>
      <c r="G19355" s="8"/>
      <c r="M19355" s="8"/>
    </row>
    <row r="19356">
      <c r="B19356" s="8"/>
      <c r="G19356" s="8"/>
      <c r="M19356" s="8"/>
    </row>
    <row r="19357">
      <c r="B19357" s="8"/>
      <c r="G19357" s="8"/>
      <c r="M19357" s="8"/>
    </row>
    <row r="19358">
      <c r="B19358" s="8"/>
      <c r="G19358" s="8"/>
      <c r="M19358" s="8"/>
    </row>
    <row r="19359">
      <c r="B19359" s="8"/>
      <c r="G19359" s="8"/>
      <c r="M19359" s="8"/>
    </row>
    <row r="19360">
      <c r="B19360" s="8"/>
      <c r="G19360" s="8"/>
      <c r="M19360" s="8"/>
    </row>
    <row r="19361">
      <c r="B19361" s="8"/>
      <c r="G19361" s="8"/>
      <c r="M19361" s="8"/>
    </row>
    <row r="19362">
      <c r="B19362" s="8"/>
      <c r="G19362" s="8"/>
      <c r="M19362" s="8"/>
    </row>
    <row r="19363">
      <c r="B19363" s="8"/>
      <c r="G19363" s="8"/>
      <c r="M19363" s="8"/>
    </row>
    <row r="19364">
      <c r="B19364" s="8"/>
      <c r="G19364" s="8"/>
      <c r="M19364" s="8"/>
    </row>
    <row r="19365">
      <c r="B19365" s="8"/>
      <c r="G19365" s="8"/>
      <c r="M19365" s="8"/>
    </row>
    <row r="19366">
      <c r="B19366" s="8"/>
      <c r="G19366" s="8"/>
      <c r="M19366" s="8"/>
    </row>
    <row r="19367">
      <c r="B19367" s="8"/>
      <c r="G19367" s="8"/>
      <c r="M19367" s="8"/>
    </row>
    <row r="19368">
      <c r="B19368" s="8"/>
      <c r="G19368" s="8"/>
      <c r="M19368" s="8"/>
    </row>
    <row r="19369">
      <c r="B19369" s="8"/>
      <c r="G19369" s="8"/>
      <c r="M19369" s="8"/>
    </row>
    <row r="19370">
      <c r="B19370" s="8"/>
      <c r="G19370" s="8"/>
      <c r="M19370" s="8"/>
    </row>
    <row r="19371">
      <c r="B19371" s="8"/>
      <c r="G19371" s="8"/>
      <c r="M19371" s="8"/>
    </row>
    <row r="19372">
      <c r="B19372" s="8"/>
      <c r="G19372" s="8"/>
      <c r="M19372" s="8"/>
    </row>
    <row r="19373">
      <c r="B19373" s="8"/>
      <c r="G19373" s="8"/>
      <c r="M19373" s="8"/>
    </row>
    <row r="19374">
      <c r="B19374" s="8"/>
      <c r="G19374" s="8"/>
      <c r="M19374" s="8"/>
    </row>
    <row r="19375">
      <c r="B19375" s="8"/>
      <c r="G19375" s="8"/>
      <c r="M19375" s="8"/>
    </row>
    <row r="19376">
      <c r="B19376" s="8"/>
      <c r="G19376" s="8"/>
      <c r="M19376" s="8"/>
    </row>
    <row r="19377">
      <c r="B19377" s="8"/>
      <c r="G19377" s="8"/>
      <c r="M19377" s="8"/>
    </row>
    <row r="19378">
      <c r="B19378" s="8"/>
      <c r="G19378" s="8"/>
      <c r="M19378" s="8"/>
    </row>
    <row r="19379">
      <c r="B19379" s="8"/>
      <c r="G19379" s="8"/>
      <c r="M19379" s="8"/>
    </row>
    <row r="19380">
      <c r="B19380" s="8"/>
      <c r="G19380" s="8"/>
      <c r="M19380" s="8"/>
    </row>
    <row r="19381">
      <c r="B19381" s="8"/>
      <c r="G19381" s="8"/>
      <c r="M19381" s="8"/>
    </row>
    <row r="19382">
      <c r="B19382" s="8"/>
      <c r="G19382" s="8"/>
      <c r="M19382" s="8"/>
    </row>
    <row r="19383">
      <c r="B19383" s="8"/>
      <c r="G19383" s="8"/>
      <c r="M19383" s="8"/>
    </row>
    <row r="19384">
      <c r="B19384" s="8"/>
      <c r="G19384" s="8"/>
      <c r="M19384" s="8"/>
    </row>
    <row r="19385">
      <c r="B19385" s="8"/>
      <c r="G19385" s="8"/>
      <c r="M19385" s="8"/>
    </row>
    <row r="19386">
      <c r="B19386" s="8"/>
      <c r="G19386" s="8"/>
      <c r="M19386" s="8"/>
    </row>
    <row r="19387">
      <c r="B19387" s="8"/>
      <c r="G19387" s="8"/>
      <c r="M19387" s="8"/>
    </row>
    <row r="19388">
      <c r="B19388" s="8"/>
      <c r="G19388" s="8"/>
      <c r="M19388" s="8"/>
    </row>
    <row r="19389">
      <c r="B19389" s="8"/>
      <c r="G19389" s="8"/>
      <c r="M19389" s="8"/>
    </row>
    <row r="19390">
      <c r="B19390" s="8"/>
      <c r="G19390" s="8"/>
      <c r="M19390" s="8"/>
    </row>
    <row r="19391">
      <c r="B19391" s="8"/>
      <c r="G19391" s="8"/>
      <c r="M19391" s="8"/>
    </row>
    <row r="19392">
      <c r="B19392" s="8"/>
      <c r="G19392" s="8"/>
      <c r="M19392" s="8"/>
    </row>
    <row r="19393">
      <c r="B19393" s="8"/>
      <c r="G19393" s="8"/>
      <c r="M19393" s="8"/>
    </row>
    <row r="19394">
      <c r="B19394" s="8"/>
      <c r="G19394" s="8"/>
      <c r="M19394" s="8"/>
    </row>
    <row r="19395">
      <c r="B19395" s="8"/>
      <c r="G19395" s="8"/>
      <c r="M19395" s="8"/>
    </row>
    <row r="19396">
      <c r="B19396" s="8"/>
      <c r="G19396" s="8"/>
      <c r="M19396" s="8"/>
    </row>
    <row r="19397">
      <c r="B19397" s="8"/>
      <c r="G19397" s="8"/>
      <c r="M19397" s="8"/>
    </row>
    <row r="19398">
      <c r="B19398" s="8"/>
      <c r="G19398" s="8"/>
      <c r="M19398" s="8"/>
    </row>
    <row r="19399">
      <c r="B19399" s="8"/>
      <c r="G19399" s="8"/>
      <c r="M19399" s="8"/>
    </row>
    <row r="19400">
      <c r="B19400" s="8"/>
      <c r="G19400" s="8"/>
      <c r="M19400" s="8"/>
    </row>
    <row r="19401">
      <c r="B19401" s="8"/>
      <c r="G19401" s="8"/>
      <c r="M19401" s="8"/>
    </row>
    <row r="19402">
      <c r="B19402" s="8"/>
      <c r="G19402" s="8"/>
      <c r="M19402" s="8"/>
    </row>
    <row r="19403">
      <c r="B19403" s="8"/>
      <c r="G19403" s="8"/>
      <c r="M19403" s="8"/>
    </row>
    <row r="19404">
      <c r="B19404" s="8"/>
      <c r="G19404" s="8"/>
      <c r="M19404" s="8"/>
    </row>
    <row r="19405">
      <c r="B19405" s="8"/>
      <c r="G19405" s="8"/>
      <c r="M19405" s="8"/>
    </row>
    <row r="19406">
      <c r="B19406" s="8"/>
      <c r="G19406" s="8"/>
      <c r="M19406" s="8"/>
    </row>
    <row r="19407">
      <c r="B19407" s="8"/>
      <c r="G19407" s="8"/>
      <c r="M19407" s="8"/>
    </row>
    <row r="19408">
      <c r="B19408" s="8"/>
      <c r="G19408" s="8"/>
      <c r="M19408" s="8"/>
    </row>
    <row r="19409">
      <c r="B19409" s="8"/>
      <c r="G19409" s="8"/>
      <c r="M19409" s="8"/>
    </row>
    <row r="19410">
      <c r="B19410" s="8"/>
      <c r="G19410" s="8"/>
      <c r="M19410" s="8"/>
    </row>
    <row r="19411">
      <c r="B19411" s="8"/>
      <c r="G19411" s="8"/>
      <c r="M19411" s="8"/>
    </row>
    <row r="19412">
      <c r="B19412" s="8"/>
      <c r="G19412" s="8"/>
      <c r="M19412" s="8"/>
    </row>
    <row r="19413">
      <c r="B19413" s="8"/>
      <c r="G19413" s="8"/>
      <c r="M19413" s="8"/>
    </row>
    <row r="19414">
      <c r="B19414" s="8"/>
      <c r="G19414" s="8"/>
      <c r="M19414" s="8"/>
    </row>
    <row r="19415">
      <c r="B19415" s="8"/>
      <c r="G19415" s="8"/>
      <c r="M19415" s="8"/>
    </row>
    <row r="19416">
      <c r="B19416" s="8"/>
      <c r="G19416" s="8"/>
      <c r="M19416" s="8"/>
    </row>
    <row r="19417">
      <c r="B19417" s="8"/>
      <c r="G19417" s="8"/>
      <c r="M19417" s="8"/>
    </row>
    <row r="19418">
      <c r="B19418" s="8"/>
      <c r="G19418" s="8"/>
      <c r="M19418" s="8"/>
    </row>
    <row r="19419">
      <c r="B19419" s="8"/>
      <c r="G19419" s="8"/>
      <c r="M19419" s="8"/>
    </row>
    <row r="19420">
      <c r="B19420" s="8"/>
      <c r="G19420" s="8"/>
      <c r="M19420" s="8"/>
    </row>
    <row r="19421">
      <c r="B19421" s="8"/>
      <c r="G19421" s="8"/>
      <c r="M19421" s="8"/>
    </row>
    <row r="19422">
      <c r="B19422" s="8"/>
      <c r="G19422" s="8"/>
      <c r="M19422" s="8"/>
    </row>
    <row r="19423">
      <c r="B19423" s="8"/>
      <c r="G19423" s="8"/>
      <c r="M19423" s="8"/>
    </row>
    <row r="19424">
      <c r="B19424" s="8"/>
      <c r="G19424" s="8"/>
      <c r="M19424" s="8"/>
    </row>
    <row r="19425">
      <c r="B19425" s="8"/>
      <c r="G19425" s="8"/>
      <c r="M19425" s="8"/>
    </row>
    <row r="19426">
      <c r="B19426" s="8"/>
      <c r="G19426" s="8"/>
      <c r="M19426" s="8"/>
    </row>
    <row r="19427">
      <c r="B19427" s="8"/>
      <c r="G19427" s="8"/>
      <c r="M19427" s="8"/>
    </row>
    <row r="19428">
      <c r="B19428" s="8"/>
      <c r="G19428" s="8"/>
      <c r="M19428" s="8"/>
    </row>
    <row r="19429">
      <c r="B19429" s="8"/>
      <c r="G19429" s="8"/>
      <c r="M19429" s="8"/>
    </row>
    <row r="19430">
      <c r="B19430" s="8"/>
      <c r="G19430" s="8"/>
      <c r="M19430" s="8"/>
    </row>
    <row r="19431">
      <c r="B19431" s="8"/>
      <c r="G19431" s="8"/>
      <c r="M19431" s="8"/>
    </row>
    <row r="19432">
      <c r="B19432" s="8"/>
      <c r="G19432" s="8"/>
      <c r="M19432" s="8"/>
    </row>
    <row r="19433">
      <c r="B19433" s="8"/>
      <c r="G19433" s="8"/>
      <c r="M19433" s="8"/>
    </row>
    <row r="19434">
      <c r="B19434" s="8"/>
      <c r="G19434" s="8"/>
      <c r="M19434" s="8"/>
    </row>
    <row r="19435">
      <c r="B19435" s="8"/>
      <c r="G19435" s="8"/>
      <c r="M19435" s="8"/>
    </row>
    <row r="19436">
      <c r="B19436" s="8"/>
      <c r="G19436" s="8"/>
      <c r="M19436" s="8"/>
    </row>
    <row r="19437">
      <c r="B19437" s="8"/>
      <c r="G19437" s="8"/>
      <c r="M19437" s="8"/>
    </row>
    <row r="19438">
      <c r="B19438" s="8"/>
      <c r="G19438" s="8"/>
      <c r="M19438" s="8"/>
    </row>
    <row r="19439">
      <c r="B19439" s="8"/>
      <c r="G19439" s="8"/>
      <c r="M19439" s="8"/>
    </row>
    <row r="19440">
      <c r="B19440" s="8"/>
      <c r="G19440" s="8"/>
      <c r="M19440" s="8"/>
    </row>
    <row r="19441">
      <c r="B19441" s="8"/>
      <c r="G19441" s="8"/>
      <c r="M19441" s="8"/>
    </row>
    <row r="19442">
      <c r="B19442" s="8"/>
      <c r="G19442" s="8"/>
      <c r="M19442" s="8"/>
    </row>
    <row r="19443">
      <c r="B19443" s="8"/>
      <c r="G19443" s="8"/>
      <c r="M19443" s="8"/>
    </row>
    <row r="19444">
      <c r="B19444" s="8"/>
      <c r="G19444" s="8"/>
      <c r="M19444" s="8"/>
    </row>
    <row r="19445">
      <c r="B19445" s="8"/>
      <c r="G19445" s="8"/>
      <c r="M19445" s="8"/>
    </row>
    <row r="19446">
      <c r="B19446" s="8"/>
      <c r="G19446" s="8"/>
      <c r="M19446" s="8"/>
    </row>
    <row r="19447">
      <c r="B19447" s="8"/>
      <c r="G19447" s="8"/>
      <c r="M19447" s="8"/>
    </row>
    <row r="19448">
      <c r="B19448" s="8"/>
      <c r="G19448" s="8"/>
      <c r="M19448" s="8"/>
    </row>
    <row r="19449">
      <c r="B19449" s="8"/>
      <c r="G19449" s="8"/>
      <c r="M19449" s="8"/>
    </row>
    <row r="19450">
      <c r="B19450" s="8"/>
      <c r="G19450" s="8"/>
      <c r="M19450" s="8"/>
    </row>
    <row r="19451">
      <c r="B19451" s="8"/>
      <c r="G19451" s="8"/>
      <c r="M19451" s="8"/>
    </row>
    <row r="19452">
      <c r="B19452" s="8"/>
      <c r="G19452" s="8"/>
      <c r="M19452" s="8"/>
    </row>
    <row r="19453">
      <c r="B19453" s="8"/>
      <c r="G19453" s="8"/>
      <c r="M19453" s="8"/>
    </row>
    <row r="19454">
      <c r="B19454" s="8"/>
      <c r="G19454" s="8"/>
      <c r="M19454" s="8"/>
    </row>
    <row r="19455">
      <c r="B19455" s="8"/>
      <c r="G19455" s="8"/>
      <c r="M19455" s="8"/>
    </row>
    <row r="19456">
      <c r="B19456" s="8"/>
      <c r="G19456" s="8"/>
      <c r="M19456" s="8"/>
    </row>
    <row r="19457">
      <c r="B19457" s="8"/>
      <c r="G19457" s="8"/>
      <c r="M19457" s="8"/>
    </row>
    <row r="19458">
      <c r="B19458" s="8"/>
      <c r="G19458" s="8"/>
      <c r="M19458" s="8"/>
    </row>
    <row r="19459">
      <c r="B19459" s="8"/>
      <c r="G19459" s="8"/>
      <c r="M19459" s="8"/>
    </row>
    <row r="19460">
      <c r="B19460" s="8"/>
      <c r="G19460" s="8"/>
      <c r="M19460" s="8"/>
    </row>
    <row r="19461">
      <c r="B19461" s="8"/>
      <c r="G19461" s="8"/>
      <c r="M19461" s="8"/>
    </row>
    <row r="19462">
      <c r="B19462" s="8"/>
      <c r="G19462" s="8"/>
      <c r="M19462" s="8"/>
    </row>
    <row r="19463">
      <c r="B19463" s="8"/>
      <c r="G19463" s="8"/>
      <c r="M19463" s="8"/>
    </row>
    <row r="19464">
      <c r="B19464" s="8"/>
      <c r="G19464" s="8"/>
      <c r="M19464" s="8"/>
    </row>
    <row r="19465">
      <c r="B19465" s="8"/>
      <c r="G19465" s="8"/>
      <c r="M19465" s="8"/>
    </row>
    <row r="19466">
      <c r="B19466" s="8"/>
      <c r="G19466" s="8"/>
      <c r="M19466" s="8"/>
    </row>
    <row r="19467">
      <c r="B19467" s="8"/>
      <c r="G19467" s="8"/>
      <c r="M19467" s="8"/>
    </row>
    <row r="19468">
      <c r="B19468" s="8"/>
      <c r="G19468" s="8"/>
      <c r="M19468" s="8"/>
    </row>
    <row r="19469">
      <c r="B19469" s="8"/>
      <c r="G19469" s="8"/>
      <c r="M19469" s="8"/>
    </row>
    <row r="19470">
      <c r="B19470" s="8"/>
      <c r="G19470" s="8"/>
      <c r="M19470" s="8"/>
    </row>
    <row r="19471">
      <c r="B19471" s="8"/>
      <c r="G19471" s="8"/>
      <c r="M19471" s="8"/>
    </row>
    <row r="19472">
      <c r="B19472" s="8"/>
      <c r="G19472" s="8"/>
      <c r="M19472" s="8"/>
    </row>
    <row r="19473">
      <c r="B19473" s="8"/>
      <c r="G19473" s="8"/>
      <c r="M19473" s="8"/>
    </row>
    <row r="19474">
      <c r="B19474" s="8"/>
      <c r="G19474" s="8"/>
      <c r="M19474" s="8"/>
    </row>
    <row r="19475">
      <c r="B19475" s="8"/>
      <c r="G19475" s="8"/>
      <c r="M19475" s="8"/>
    </row>
    <row r="19476">
      <c r="B19476" s="8"/>
      <c r="G19476" s="8"/>
      <c r="M19476" s="8"/>
    </row>
    <row r="19477">
      <c r="B19477" s="8"/>
      <c r="G19477" s="8"/>
      <c r="M19477" s="8"/>
    </row>
    <row r="19478">
      <c r="B19478" s="8"/>
      <c r="G19478" s="8"/>
      <c r="M19478" s="8"/>
    </row>
    <row r="19479">
      <c r="B19479" s="8"/>
      <c r="G19479" s="8"/>
      <c r="M19479" s="8"/>
    </row>
    <row r="19480">
      <c r="B19480" s="8"/>
      <c r="G19480" s="8"/>
      <c r="M19480" s="8"/>
    </row>
    <row r="19481">
      <c r="B19481" s="8"/>
      <c r="G19481" s="8"/>
      <c r="M19481" s="8"/>
    </row>
    <row r="19482">
      <c r="B19482" s="8"/>
      <c r="G19482" s="8"/>
      <c r="M19482" s="8"/>
    </row>
    <row r="19483">
      <c r="B19483" s="8"/>
      <c r="G19483" s="8"/>
      <c r="M19483" s="8"/>
    </row>
    <row r="19484">
      <c r="B19484" s="8"/>
      <c r="G19484" s="8"/>
      <c r="M19484" s="8"/>
    </row>
    <row r="19485">
      <c r="B19485" s="8"/>
      <c r="G19485" s="8"/>
      <c r="M19485" s="8"/>
    </row>
    <row r="19486">
      <c r="B19486" s="8"/>
      <c r="G19486" s="8"/>
      <c r="M19486" s="8"/>
    </row>
    <row r="19487">
      <c r="B19487" s="8"/>
      <c r="G19487" s="8"/>
      <c r="M19487" s="8"/>
    </row>
    <row r="19488">
      <c r="B19488" s="8"/>
      <c r="G19488" s="8"/>
      <c r="M19488" s="8"/>
    </row>
    <row r="19489">
      <c r="B19489" s="8"/>
      <c r="G19489" s="8"/>
      <c r="M19489" s="8"/>
    </row>
    <row r="19490">
      <c r="B19490" s="8"/>
      <c r="G19490" s="8"/>
      <c r="M19490" s="8"/>
    </row>
    <row r="19491">
      <c r="B19491" s="8"/>
      <c r="G19491" s="8"/>
      <c r="M19491" s="8"/>
    </row>
    <row r="19492">
      <c r="B19492" s="8"/>
      <c r="G19492" s="8"/>
      <c r="M19492" s="8"/>
    </row>
    <row r="19493">
      <c r="B19493" s="8"/>
      <c r="G19493" s="8"/>
      <c r="M19493" s="8"/>
    </row>
    <row r="19494">
      <c r="B19494" s="8"/>
      <c r="G19494" s="8"/>
      <c r="M19494" s="8"/>
    </row>
    <row r="19495">
      <c r="B19495" s="8"/>
      <c r="G19495" s="8"/>
      <c r="M19495" s="8"/>
    </row>
    <row r="19496">
      <c r="B19496" s="8"/>
      <c r="G19496" s="8"/>
      <c r="M19496" s="8"/>
    </row>
    <row r="19497">
      <c r="B19497" s="8"/>
      <c r="G19497" s="8"/>
      <c r="M19497" s="8"/>
    </row>
    <row r="19498">
      <c r="B19498" s="8"/>
      <c r="G19498" s="8"/>
      <c r="M19498" s="8"/>
    </row>
    <row r="19499">
      <c r="B19499" s="8"/>
      <c r="G19499" s="8"/>
      <c r="M19499" s="8"/>
    </row>
    <row r="19500">
      <c r="B19500" s="8"/>
      <c r="G19500" s="8"/>
      <c r="M19500" s="8"/>
    </row>
    <row r="19501">
      <c r="B19501" s="8"/>
      <c r="G19501" s="8"/>
      <c r="M19501" s="8"/>
    </row>
    <row r="19502">
      <c r="B19502" s="8"/>
      <c r="G19502" s="8"/>
      <c r="M19502" s="8"/>
    </row>
    <row r="19503">
      <c r="B19503" s="8"/>
      <c r="G19503" s="8"/>
      <c r="M19503" s="8"/>
    </row>
    <row r="19504">
      <c r="B19504" s="8"/>
      <c r="G19504" s="8"/>
      <c r="M19504" s="8"/>
    </row>
    <row r="19505">
      <c r="B19505" s="8"/>
      <c r="G19505" s="8"/>
      <c r="M19505" s="8"/>
    </row>
    <row r="19506">
      <c r="B19506" s="8"/>
      <c r="G19506" s="8"/>
      <c r="M19506" s="8"/>
    </row>
    <row r="19507">
      <c r="B19507" s="8"/>
      <c r="G19507" s="8"/>
      <c r="M19507" s="8"/>
    </row>
    <row r="19508">
      <c r="B19508" s="8"/>
      <c r="G19508" s="8"/>
      <c r="M19508" s="8"/>
    </row>
    <row r="19509">
      <c r="B19509" s="8"/>
      <c r="G19509" s="8"/>
      <c r="M19509" s="8"/>
    </row>
    <row r="19510">
      <c r="B19510" s="8"/>
      <c r="G19510" s="8"/>
      <c r="M19510" s="8"/>
    </row>
    <row r="19511">
      <c r="B19511" s="8"/>
      <c r="G19511" s="8"/>
      <c r="M19511" s="8"/>
    </row>
    <row r="19512">
      <c r="B19512" s="8"/>
      <c r="G19512" s="8"/>
      <c r="M19512" s="8"/>
    </row>
    <row r="19513">
      <c r="B19513" s="8"/>
      <c r="G19513" s="8"/>
      <c r="M19513" s="8"/>
    </row>
    <row r="19514">
      <c r="B19514" s="8"/>
      <c r="G19514" s="8"/>
      <c r="M19514" s="8"/>
    </row>
    <row r="19515">
      <c r="B19515" s="8"/>
      <c r="G19515" s="8"/>
      <c r="M19515" s="8"/>
    </row>
    <row r="19516">
      <c r="B19516" s="8"/>
      <c r="G19516" s="8"/>
      <c r="M19516" s="8"/>
    </row>
    <row r="19517">
      <c r="B19517" s="8"/>
      <c r="G19517" s="8"/>
      <c r="M19517" s="8"/>
    </row>
    <row r="19518">
      <c r="B19518" s="8"/>
      <c r="G19518" s="8"/>
      <c r="M19518" s="8"/>
    </row>
    <row r="19519">
      <c r="B19519" s="8"/>
      <c r="G19519" s="8"/>
      <c r="M19519" s="8"/>
    </row>
    <row r="19520">
      <c r="B19520" s="8"/>
      <c r="G19520" s="8"/>
      <c r="M19520" s="8"/>
    </row>
    <row r="19521">
      <c r="B19521" s="8"/>
      <c r="G19521" s="8"/>
      <c r="M19521" s="8"/>
    </row>
    <row r="19522">
      <c r="B19522" s="8"/>
      <c r="G19522" s="8"/>
      <c r="M19522" s="8"/>
    </row>
    <row r="19523">
      <c r="B19523" s="8"/>
      <c r="G19523" s="8"/>
      <c r="M19523" s="8"/>
    </row>
    <row r="19524">
      <c r="B19524" s="8"/>
      <c r="G19524" s="8"/>
      <c r="M19524" s="8"/>
    </row>
    <row r="19525">
      <c r="B19525" s="8"/>
      <c r="G19525" s="8"/>
      <c r="M19525" s="8"/>
    </row>
    <row r="19526">
      <c r="B19526" s="8"/>
      <c r="G19526" s="8"/>
      <c r="M19526" s="8"/>
    </row>
    <row r="19527">
      <c r="B19527" s="8"/>
      <c r="G19527" s="8"/>
      <c r="M19527" s="8"/>
    </row>
    <row r="19528">
      <c r="B19528" s="8"/>
      <c r="G19528" s="8"/>
      <c r="M19528" s="8"/>
    </row>
    <row r="19529">
      <c r="B19529" s="8"/>
      <c r="G19529" s="8"/>
      <c r="M19529" s="8"/>
    </row>
    <row r="19530">
      <c r="B19530" s="8"/>
      <c r="G19530" s="8"/>
      <c r="M19530" s="8"/>
    </row>
    <row r="19531">
      <c r="B19531" s="8"/>
      <c r="G19531" s="8"/>
      <c r="M19531" s="8"/>
    </row>
    <row r="19532">
      <c r="B19532" s="8"/>
      <c r="G19532" s="8"/>
      <c r="M19532" s="8"/>
    </row>
    <row r="19533">
      <c r="B19533" s="8"/>
      <c r="G19533" s="8"/>
      <c r="M19533" s="8"/>
    </row>
    <row r="19534">
      <c r="B19534" s="8"/>
      <c r="G19534" s="8"/>
      <c r="M19534" s="8"/>
    </row>
    <row r="19535">
      <c r="B19535" s="8"/>
      <c r="G19535" s="8"/>
      <c r="M19535" s="8"/>
    </row>
    <row r="19536">
      <c r="B19536" s="8"/>
      <c r="G19536" s="8"/>
      <c r="M19536" s="8"/>
    </row>
    <row r="19537">
      <c r="B19537" s="8"/>
      <c r="G19537" s="8"/>
      <c r="M19537" s="8"/>
    </row>
    <row r="19538">
      <c r="B19538" s="8"/>
      <c r="G19538" s="8"/>
      <c r="M19538" s="8"/>
    </row>
    <row r="19539">
      <c r="B19539" s="8"/>
      <c r="G19539" s="8"/>
      <c r="M19539" s="8"/>
    </row>
    <row r="19540">
      <c r="B19540" s="8"/>
      <c r="G19540" s="8"/>
      <c r="M19540" s="8"/>
    </row>
    <row r="19541">
      <c r="B19541" s="8"/>
      <c r="G19541" s="8"/>
      <c r="M19541" s="8"/>
    </row>
    <row r="19542">
      <c r="B19542" s="8"/>
      <c r="G19542" s="8"/>
      <c r="M19542" s="8"/>
    </row>
    <row r="19543">
      <c r="B19543" s="8"/>
      <c r="G19543" s="8"/>
      <c r="M19543" s="8"/>
    </row>
    <row r="19544">
      <c r="B19544" s="8"/>
      <c r="G19544" s="8"/>
      <c r="M19544" s="8"/>
    </row>
    <row r="19545">
      <c r="B19545" s="8"/>
      <c r="G19545" s="8"/>
      <c r="M19545" s="8"/>
    </row>
    <row r="19546">
      <c r="B19546" s="8"/>
      <c r="G19546" s="8"/>
      <c r="M19546" s="8"/>
    </row>
    <row r="19547">
      <c r="B19547" s="8"/>
      <c r="G19547" s="8"/>
      <c r="M19547" s="8"/>
    </row>
    <row r="19548">
      <c r="B19548" s="8"/>
      <c r="G19548" s="8"/>
      <c r="M19548" s="8"/>
    </row>
    <row r="19549">
      <c r="B19549" s="8"/>
      <c r="G19549" s="8"/>
      <c r="M19549" s="8"/>
    </row>
    <row r="19550">
      <c r="B19550" s="8"/>
      <c r="G19550" s="8"/>
      <c r="M19550" s="8"/>
    </row>
    <row r="19551">
      <c r="B19551" s="8"/>
      <c r="G19551" s="8"/>
      <c r="M19551" s="8"/>
    </row>
    <row r="19552">
      <c r="B19552" s="8"/>
      <c r="G19552" s="8"/>
      <c r="M19552" s="8"/>
    </row>
    <row r="19553">
      <c r="B19553" s="8"/>
      <c r="G19553" s="8"/>
      <c r="M19553" s="8"/>
    </row>
    <row r="19554">
      <c r="B19554" s="8"/>
      <c r="G19554" s="8"/>
      <c r="M19554" s="8"/>
    </row>
    <row r="19555">
      <c r="B19555" s="8"/>
      <c r="G19555" s="8"/>
      <c r="M19555" s="8"/>
    </row>
    <row r="19556">
      <c r="B19556" s="8"/>
      <c r="G19556" s="8"/>
      <c r="M19556" s="8"/>
    </row>
    <row r="19557">
      <c r="B19557" s="8"/>
      <c r="G19557" s="8"/>
      <c r="M19557" s="8"/>
    </row>
    <row r="19558">
      <c r="B19558" s="8"/>
      <c r="G19558" s="8"/>
      <c r="M19558" s="8"/>
    </row>
    <row r="19559">
      <c r="B19559" s="8"/>
      <c r="G19559" s="8"/>
      <c r="M19559" s="8"/>
    </row>
    <row r="19560">
      <c r="B19560" s="8"/>
      <c r="G19560" s="8"/>
      <c r="M19560" s="8"/>
    </row>
    <row r="19561">
      <c r="B19561" s="8"/>
      <c r="G19561" s="8"/>
      <c r="M19561" s="8"/>
    </row>
    <row r="19562">
      <c r="B19562" s="8"/>
      <c r="G19562" s="8"/>
      <c r="M19562" s="8"/>
    </row>
    <row r="19563">
      <c r="B19563" s="8"/>
      <c r="G19563" s="8"/>
      <c r="M19563" s="8"/>
    </row>
    <row r="19564">
      <c r="B19564" s="8"/>
      <c r="G19564" s="8"/>
      <c r="M19564" s="8"/>
    </row>
    <row r="19565">
      <c r="B19565" s="8"/>
      <c r="G19565" s="8"/>
      <c r="M19565" s="8"/>
    </row>
    <row r="19566">
      <c r="B19566" s="8"/>
      <c r="G19566" s="8"/>
      <c r="M19566" s="8"/>
    </row>
    <row r="19567">
      <c r="B19567" s="8"/>
      <c r="G19567" s="8"/>
      <c r="M19567" s="8"/>
    </row>
    <row r="19568">
      <c r="B19568" s="8"/>
      <c r="G19568" s="8"/>
      <c r="M19568" s="8"/>
    </row>
    <row r="19569">
      <c r="B19569" s="8"/>
      <c r="G19569" s="8"/>
      <c r="M19569" s="8"/>
    </row>
    <row r="19570">
      <c r="B19570" s="8"/>
      <c r="G19570" s="8"/>
      <c r="M19570" s="8"/>
    </row>
    <row r="19571">
      <c r="B19571" s="8"/>
      <c r="G19571" s="8"/>
      <c r="M19571" s="8"/>
    </row>
    <row r="19572">
      <c r="B19572" s="8"/>
      <c r="G19572" s="8"/>
      <c r="M19572" s="8"/>
    </row>
    <row r="19573">
      <c r="B19573" s="8"/>
      <c r="G19573" s="8"/>
      <c r="M19573" s="8"/>
    </row>
    <row r="19574">
      <c r="B19574" s="8"/>
      <c r="G19574" s="8"/>
      <c r="M19574" s="8"/>
    </row>
    <row r="19575">
      <c r="B19575" s="8"/>
      <c r="G19575" s="8"/>
      <c r="M19575" s="8"/>
    </row>
    <row r="19576">
      <c r="B19576" s="8"/>
      <c r="G19576" s="8"/>
      <c r="M19576" s="8"/>
    </row>
    <row r="19577">
      <c r="B19577" s="8"/>
      <c r="G19577" s="8"/>
      <c r="M19577" s="8"/>
    </row>
    <row r="19578">
      <c r="B19578" s="8"/>
      <c r="G19578" s="8"/>
      <c r="M19578" s="8"/>
    </row>
    <row r="19579">
      <c r="B19579" s="8"/>
      <c r="G19579" s="8"/>
      <c r="M19579" s="8"/>
    </row>
    <row r="19580">
      <c r="B19580" s="8"/>
      <c r="G19580" s="8"/>
      <c r="M19580" s="8"/>
    </row>
    <row r="19581">
      <c r="B19581" s="8"/>
      <c r="G19581" s="8"/>
      <c r="M19581" s="8"/>
    </row>
    <row r="19582">
      <c r="B19582" s="8"/>
      <c r="G19582" s="8"/>
      <c r="M19582" s="8"/>
    </row>
    <row r="19583">
      <c r="B19583" s="8"/>
      <c r="G19583" s="8"/>
      <c r="M19583" s="8"/>
    </row>
    <row r="19584">
      <c r="B19584" s="8"/>
      <c r="G19584" s="8"/>
      <c r="M19584" s="8"/>
    </row>
    <row r="19585">
      <c r="B19585" s="8"/>
      <c r="G19585" s="8"/>
      <c r="M19585" s="8"/>
    </row>
    <row r="19586">
      <c r="B19586" s="8"/>
      <c r="G19586" s="8"/>
      <c r="M19586" s="8"/>
    </row>
    <row r="19587">
      <c r="B19587" s="8"/>
      <c r="G19587" s="8"/>
      <c r="M19587" s="8"/>
    </row>
    <row r="19588">
      <c r="B19588" s="8"/>
      <c r="G19588" s="8"/>
      <c r="M19588" s="8"/>
    </row>
    <row r="19589">
      <c r="B19589" s="8"/>
      <c r="G19589" s="8"/>
      <c r="M19589" s="8"/>
    </row>
    <row r="19590">
      <c r="B19590" s="8"/>
      <c r="G19590" s="8"/>
      <c r="M19590" s="8"/>
    </row>
    <row r="19591">
      <c r="B19591" s="8"/>
      <c r="G19591" s="8"/>
      <c r="M19591" s="8"/>
    </row>
    <row r="19592">
      <c r="B19592" s="8"/>
      <c r="G19592" s="8"/>
      <c r="M19592" s="8"/>
    </row>
    <row r="19593">
      <c r="B19593" s="8"/>
      <c r="G19593" s="8"/>
      <c r="M19593" s="8"/>
    </row>
    <row r="19594">
      <c r="B19594" s="8"/>
      <c r="G19594" s="8"/>
      <c r="M19594" s="8"/>
    </row>
    <row r="19595">
      <c r="B19595" s="8"/>
      <c r="G19595" s="8"/>
      <c r="M19595" s="8"/>
    </row>
    <row r="19596">
      <c r="B19596" s="8"/>
      <c r="G19596" s="8"/>
      <c r="M19596" s="8"/>
    </row>
    <row r="19597">
      <c r="B19597" s="8"/>
      <c r="G19597" s="8"/>
      <c r="M19597" s="8"/>
    </row>
    <row r="19598">
      <c r="B19598" s="8"/>
      <c r="G19598" s="8"/>
      <c r="M19598" s="8"/>
    </row>
    <row r="19599">
      <c r="B19599" s="8"/>
      <c r="G19599" s="8"/>
      <c r="M19599" s="8"/>
    </row>
    <row r="19600">
      <c r="B19600" s="8"/>
      <c r="G19600" s="8"/>
      <c r="M19600" s="8"/>
    </row>
    <row r="19601">
      <c r="B19601" s="8"/>
      <c r="G19601" s="8"/>
      <c r="M19601" s="8"/>
    </row>
    <row r="19602">
      <c r="B19602" s="8"/>
      <c r="G19602" s="8"/>
      <c r="M19602" s="8"/>
    </row>
    <row r="19603">
      <c r="B19603" s="8"/>
      <c r="G19603" s="8"/>
      <c r="M19603" s="8"/>
    </row>
    <row r="19604">
      <c r="B19604" s="8"/>
      <c r="G19604" s="8"/>
      <c r="M19604" s="8"/>
    </row>
    <row r="19605">
      <c r="B19605" s="8"/>
      <c r="G19605" s="8"/>
      <c r="M19605" s="8"/>
    </row>
    <row r="19606">
      <c r="B19606" s="8"/>
      <c r="G19606" s="8"/>
      <c r="M19606" s="8"/>
    </row>
    <row r="19607">
      <c r="B19607" s="8"/>
      <c r="G19607" s="8"/>
      <c r="M19607" s="8"/>
    </row>
    <row r="19608">
      <c r="B19608" s="8"/>
      <c r="G19608" s="8"/>
      <c r="M19608" s="8"/>
    </row>
    <row r="19609">
      <c r="B19609" s="8"/>
      <c r="G19609" s="8"/>
      <c r="M19609" s="8"/>
    </row>
    <row r="19610">
      <c r="B19610" s="8"/>
      <c r="G19610" s="8"/>
      <c r="M19610" s="8"/>
    </row>
    <row r="19611">
      <c r="B19611" s="8"/>
      <c r="G19611" s="8"/>
      <c r="M19611" s="8"/>
    </row>
    <row r="19612">
      <c r="B19612" s="8"/>
      <c r="G19612" s="8"/>
      <c r="M19612" s="8"/>
    </row>
    <row r="19613">
      <c r="B19613" s="8"/>
      <c r="G19613" s="8"/>
      <c r="M19613" s="8"/>
    </row>
    <row r="19614">
      <c r="B19614" s="8"/>
      <c r="G19614" s="8"/>
      <c r="M19614" s="8"/>
    </row>
    <row r="19615">
      <c r="B19615" s="8"/>
      <c r="G19615" s="8"/>
      <c r="M19615" s="8"/>
    </row>
    <row r="19616">
      <c r="B19616" s="8"/>
      <c r="G19616" s="8"/>
      <c r="M19616" s="8"/>
    </row>
    <row r="19617">
      <c r="B19617" s="8"/>
      <c r="G19617" s="8"/>
      <c r="M19617" s="8"/>
    </row>
    <row r="19618">
      <c r="B19618" s="8"/>
      <c r="G19618" s="8"/>
      <c r="M19618" s="8"/>
    </row>
    <row r="19619">
      <c r="B19619" s="8"/>
      <c r="G19619" s="8"/>
      <c r="M19619" s="8"/>
    </row>
    <row r="19620">
      <c r="B19620" s="8"/>
      <c r="G19620" s="8"/>
      <c r="M19620" s="8"/>
    </row>
    <row r="19621">
      <c r="B19621" s="8"/>
      <c r="G19621" s="8"/>
      <c r="M19621" s="8"/>
    </row>
    <row r="19622">
      <c r="B19622" s="8"/>
      <c r="G19622" s="8"/>
      <c r="M19622" s="8"/>
    </row>
    <row r="19623">
      <c r="B19623" s="8"/>
      <c r="G19623" s="8"/>
      <c r="M19623" s="8"/>
    </row>
    <row r="19624">
      <c r="B19624" s="8"/>
      <c r="G19624" s="8"/>
      <c r="M19624" s="8"/>
    </row>
    <row r="19625">
      <c r="B19625" s="8"/>
      <c r="G19625" s="8"/>
      <c r="M19625" s="8"/>
    </row>
    <row r="19626">
      <c r="B19626" s="8"/>
      <c r="G19626" s="8"/>
      <c r="M19626" s="8"/>
    </row>
    <row r="19627">
      <c r="B19627" s="8"/>
      <c r="G19627" s="8"/>
      <c r="M19627" s="8"/>
    </row>
    <row r="19628">
      <c r="B19628" s="8"/>
      <c r="G19628" s="8"/>
      <c r="M19628" s="8"/>
    </row>
    <row r="19629">
      <c r="B19629" s="8"/>
      <c r="G19629" s="8"/>
      <c r="M19629" s="8"/>
    </row>
    <row r="19630">
      <c r="B19630" s="8"/>
      <c r="G19630" s="8"/>
      <c r="M19630" s="8"/>
    </row>
    <row r="19631">
      <c r="B19631" s="8"/>
      <c r="G19631" s="8"/>
      <c r="M19631" s="8"/>
    </row>
    <row r="19632">
      <c r="B19632" s="8"/>
      <c r="G19632" s="8"/>
      <c r="M19632" s="8"/>
    </row>
    <row r="19633">
      <c r="B19633" s="8"/>
      <c r="G19633" s="8"/>
      <c r="M19633" s="8"/>
    </row>
    <row r="19634">
      <c r="B19634" s="8"/>
      <c r="G19634" s="8"/>
      <c r="M19634" s="8"/>
    </row>
    <row r="19635">
      <c r="B19635" s="8"/>
      <c r="G19635" s="8"/>
      <c r="M19635" s="8"/>
    </row>
    <row r="19636">
      <c r="B19636" s="8"/>
      <c r="G19636" s="8"/>
      <c r="M19636" s="8"/>
    </row>
    <row r="19637">
      <c r="B19637" s="8"/>
      <c r="G19637" s="8"/>
      <c r="M19637" s="8"/>
    </row>
    <row r="19638">
      <c r="B19638" s="8"/>
      <c r="G19638" s="8"/>
      <c r="M19638" s="8"/>
    </row>
    <row r="19639">
      <c r="B19639" s="8"/>
      <c r="G19639" s="8"/>
      <c r="M19639" s="8"/>
    </row>
    <row r="19640">
      <c r="B19640" s="8"/>
      <c r="G19640" s="8"/>
      <c r="M19640" s="8"/>
    </row>
    <row r="19641">
      <c r="B19641" s="8"/>
      <c r="G19641" s="8"/>
      <c r="M19641" s="8"/>
    </row>
    <row r="19642">
      <c r="B19642" s="8"/>
      <c r="G19642" s="8"/>
      <c r="M19642" s="8"/>
    </row>
    <row r="19643">
      <c r="B19643" s="8"/>
      <c r="G19643" s="8"/>
      <c r="M19643" s="8"/>
    </row>
    <row r="19644">
      <c r="B19644" s="8"/>
      <c r="G19644" s="8"/>
      <c r="M19644" s="8"/>
    </row>
    <row r="19645">
      <c r="B19645" s="8"/>
      <c r="G19645" s="8"/>
      <c r="M19645" s="8"/>
    </row>
    <row r="19646">
      <c r="B19646" s="8"/>
      <c r="G19646" s="8"/>
      <c r="M19646" s="8"/>
    </row>
    <row r="19647">
      <c r="B19647" s="8"/>
      <c r="G19647" s="8"/>
      <c r="M19647" s="8"/>
    </row>
    <row r="19648">
      <c r="B19648" s="8"/>
      <c r="G19648" s="8"/>
      <c r="M19648" s="8"/>
    </row>
    <row r="19649">
      <c r="B19649" s="8"/>
      <c r="G19649" s="8"/>
      <c r="M19649" s="8"/>
    </row>
    <row r="19650">
      <c r="B19650" s="8"/>
      <c r="G19650" s="8"/>
      <c r="M19650" s="8"/>
    </row>
    <row r="19651">
      <c r="B19651" s="8"/>
      <c r="G19651" s="8"/>
      <c r="M19651" s="8"/>
    </row>
    <row r="19652">
      <c r="B19652" s="8"/>
      <c r="G19652" s="8"/>
      <c r="M19652" s="8"/>
    </row>
    <row r="19653">
      <c r="B19653" s="8"/>
      <c r="G19653" s="8"/>
      <c r="M19653" s="8"/>
    </row>
    <row r="19654">
      <c r="B19654" s="8"/>
      <c r="G19654" s="8"/>
      <c r="M19654" s="8"/>
    </row>
    <row r="19655">
      <c r="B19655" s="8"/>
      <c r="G19655" s="8"/>
      <c r="M19655" s="8"/>
    </row>
    <row r="19656">
      <c r="B19656" s="8"/>
      <c r="G19656" s="8"/>
      <c r="M19656" s="8"/>
    </row>
    <row r="19657">
      <c r="B19657" s="8"/>
      <c r="G19657" s="8"/>
      <c r="M19657" s="8"/>
    </row>
    <row r="19658">
      <c r="B19658" s="8"/>
      <c r="G19658" s="8"/>
      <c r="M19658" s="8"/>
    </row>
    <row r="19659">
      <c r="B19659" s="8"/>
      <c r="G19659" s="8"/>
      <c r="M19659" s="8"/>
    </row>
    <row r="19660">
      <c r="B19660" s="8"/>
      <c r="G19660" s="8"/>
      <c r="M19660" s="8"/>
    </row>
    <row r="19661">
      <c r="B19661" s="8"/>
      <c r="G19661" s="8"/>
      <c r="M19661" s="8"/>
    </row>
    <row r="19662">
      <c r="B19662" s="8"/>
      <c r="G19662" s="8"/>
      <c r="M19662" s="8"/>
    </row>
    <row r="19663">
      <c r="B19663" s="8"/>
      <c r="G19663" s="8"/>
      <c r="M19663" s="8"/>
    </row>
    <row r="19664">
      <c r="B19664" s="8"/>
      <c r="G19664" s="8"/>
      <c r="M19664" s="8"/>
    </row>
    <row r="19665">
      <c r="B19665" s="8"/>
      <c r="G19665" s="8"/>
      <c r="M19665" s="8"/>
    </row>
    <row r="19666">
      <c r="B19666" s="8"/>
      <c r="G19666" s="8"/>
      <c r="M19666" s="8"/>
    </row>
    <row r="19667">
      <c r="B19667" s="8"/>
      <c r="G19667" s="8"/>
      <c r="M19667" s="8"/>
    </row>
    <row r="19668">
      <c r="B19668" s="8"/>
      <c r="G19668" s="8"/>
      <c r="M19668" s="8"/>
    </row>
    <row r="19669">
      <c r="B19669" s="8"/>
      <c r="G19669" s="8"/>
      <c r="M19669" s="8"/>
    </row>
    <row r="19670">
      <c r="B19670" s="8"/>
      <c r="G19670" s="8"/>
      <c r="M19670" s="8"/>
    </row>
    <row r="19671">
      <c r="B19671" s="8"/>
      <c r="G19671" s="8"/>
      <c r="M19671" s="8"/>
    </row>
    <row r="19672">
      <c r="B19672" s="8"/>
      <c r="G19672" s="8"/>
      <c r="M19672" s="8"/>
    </row>
    <row r="19673">
      <c r="B19673" s="8"/>
      <c r="G19673" s="8"/>
      <c r="M19673" s="8"/>
    </row>
    <row r="19674">
      <c r="B19674" s="8"/>
      <c r="G19674" s="8"/>
      <c r="M19674" s="8"/>
    </row>
    <row r="19675">
      <c r="B19675" s="8"/>
      <c r="G19675" s="8"/>
      <c r="M19675" s="8"/>
    </row>
    <row r="19676">
      <c r="B19676" s="8"/>
      <c r="G19676" s="8"/>
      <c r="M19676" s="8"/>
    </row>
    <row r="19677">
      <c r="B19677" s="8"/>
      <c r="G19677" s="8"/>
      <c r="M19677" s="8"/>
    </row>
    <row r="19678">
      <c r="B19678" s="8"/>
      <c r="G19678" s="8"/>
      <c r="M19678" s="8"/>
    </row>
    <row r="19679">
      <c r="B19679" s="8"/>
      <c r="G19679" s="8"/>
      <c r="M19679" s="8"/>
    </row>
    <row r="19680">
      <c r="B19680" s="8"/>
      <c r="G19680" s="8"/>
      <c r="M19680" s="8"/>
    </row>
    <row r="19681">
      <c r="B19681" s="8"/>
      <c r="G19681" s="8"/>
      <c r="M19681" s="8"/>
    </row>
    <row r="19682">
      <c r="B19682" s="8"/>
      <c r="G19682" s="8"/>
      <c r="M19682" s="8"/>
    </row>
    <row r="19683">
      <c r="B19683" s="8"/>
      <c r="G19683" s="8"/>
      <c r="M19683" s="8"/>
    </row>
    <row r="19684">
      <c r="B19684" s="8"/>
      <c r="G19684" s="8"/>
      <c r="M19684" s="8"/>
    </row>
    <row r="19685">
      <c r="B19685" s="8"/>
      <c r="G19685" s="8"/>
      <c r="M19685" s="8"/>
    </row>
    <row r="19686">
      <c r="B19686" s="8"/>
      <c r="G19686" s="8"/>
      <c r="M19686" s="8"/>
    </row>
    <row r="19687">
      <c r="B19687" s="8"/>
      <c r="G19687" s="8"/>
      <c r="M19687" s="8"/>
    </row>
    <row r="19688">
      <c r="B19688" s="8"/>
      <c r="G19688" s="8"/>
      <c r="M19688" s="8"/>
    </row>
    <row r="19689">
      <c r="B19689" s="8"/>
      <c r="G19689" s="8"/>
      <c r="M19689" s="8"/>
    </row>
    <row r="19690">
      <c r="B19690" s="8"/>
      <c r="G19690" s="8"/>
      <c r="M19690" s="8"/>
    </row>
    <row r="19691">
      <c r="B19691" s="8"/>
      <c r="G19691" s="8"/>
      <c r="M19691" s="8"/>
    </row>
    <row r="19692">
      <c r="B19692" s="8"/>
      <c r="G19692" s="8"/>
      <c r="M19692" s="8"/>
    </row>
    <row r="19693">
      <c r="B19693" s="8"/>
      <c r="G19693" s="8"/>
      <c r="M19693" s="8"/>
    </row>
    <row r="19694">
      <c r="B19694" s="8"/>
      <c r="G19694" s="8"/>
      <c r="M19694" s="8"/>
    </row>
    <row r="19695">
      <c r="B19695" s="8"/>
      <c r="G19695" s="8"/>
      <c r="M19695" s="8"/>
    </row>
    <row r="19696">
      <c r="B19696" s="8"/>
      <c r="G19696" s="8"/>
      <c r="M19696" s="8"/>
    </row>
    <row r="19697">
      <c r="B19697" s="8"/>
      <c r="G19697" s="8"/>
      <c r="M19697" s="8"/>
    </row>
    <row r="19698">
      <c r="B19698" s="8"/>
      <c r="G19698" s="8"/>
      <c r="M19698" s="8"/>
    </row>
    <row r="19699">
      <c r="B19699" s="8"/>
      <c r="G19699" s="8"/>
      <c r="M19699" s="8"/>
    </row>
    <row r="19700">
      <c r="B19700" s="8"/>
      <c r="G19700" s="8"/>
      <c r="M19700" s="8"/>
    </row>
    <row r="19701">
      <c r="B19701" s="8"/>
      <c r="G19701" s="8"/>
      <c r="M19701" s="8"/>
    </row>
    <row r="19702">
      <c r="B19702" s="8"/>
      <c r="G19702" s="8"/>
      <c r="M19702" s="8"/>
    </row>
    <row r="19703">
      <c r="B19703" s="8"/>
      <c r="G19703" s="8"/>
      <c r="M19703" s="8"/>
    </row>
    <row r="19704">
      <c r="B19704" s="8"/>
      <c r="G19704" s="8"/>
      <c r="M19704" s="8"/>
    </row>
    <row r="19705">
      <c r="B19705" s="8"/>
      <c r="G19705" s="8"/>
      <c r="M19705" s="8"/>
    </row>
    <row r="19706">
      <c r="B19706" s="8"/>
      <c r="G19706" s="8"/>
      <c r="M19706" s="8"/>
    </row>
    <row r="19707">
      <c r="B19707" s="8"/>
      <c r="G19707" s="8"/>
      <c r="M19707" s="8"/>
    </row>
    <row r="19708">
      <c r="B19708" s="8"/>
      <c r="G19708" s="8"/>
      <c r="M19708" s="8"/>
    </row>
    <row r="19709">
      <c r="B19709" s="8"/>
      <c r="G19709" s="8"/>
      <c r="M19709" s="8"/>
    </row>
    <row r="19710">
      <c r="B19710" s="8"/>
      <c r="G19710" s="8"/>
      <c r="M19710" s="8"/>
    </row>
    <row r="19711">
      <c r="B19711" s="8"/>
      <c r="G19711" s="8"/>
      <c r="M19711" s="8"/>
    </row>
    <row r="19712">
      <c r="B19712" s="8"/>
      <c r="G19712" s="8"/>
      <c r="M19712" s="8"/>
    </row>
    <row r="19713">
      <c r="B19713" s="8"/>
      <c r="G19713" s="8"/>
      <c r="M19713" s="8"/>
    </row>
    <row r="19714">
      <c r="B19714" s="8"/>
      <c r="G19714" s="8"/>
      <c r="M19714" s="8"/>
    </row>
    <row r="19715">
      <c r="B19715" s="8"/>
      <c r="G19715" s="8"/>
      <c r="M19715" s="8"/>
    </row>
    <row r="19716">
      <c r="B19716" s="8"/>
      <c r="G19716" s="8"/>
      <c r="M19716" s="8"/>
    </row>
    <row r="19717">
      <c r="B19717" s="8"/>
      <c r="G19717" s="8"/>
      <c r="M19717" s="8"/>
    </row>
    <row r="19718">
      <c r="B19718" s="8"/>
      <c r="G19718" s="8"/>
      <c r="M19718" s="8"/>
    </row>
    <row r="19719">
      <c r="B19719" s="8"/>
      <c r="G19719" s="8"/>
      <c r="M19719" s="8"/>
    </row>
    <row r="19720">
      <c r="B19720" s="8"/>
      <c r="G19720" s="8"/>
      <c r="M19720" s="8"/>
    </row>
    <row r="19721">
      <c r="B19721" s="8"/>
      <c r="G19721" s="8"/>
      <c r="M19721" s="8"/>
    </row>
    <row r="19722">
      <c r="B19722" s="8"/>
      <c r="G19722" s="8"/>
      <c r="M19722" s="8"/>
    </row>
    <row r="19723">
      <c r="B19723" s="8"/>
      <c r="G19723" s="8"/>
      <c r="M19723" s="8"/>
    </row>
    <row r="19724">
      <c r="B19724" s="8"/>
      <c r="G19724" s="8"/>
      <c r="M19724" s="8"/>
    </row>
    <row r="19725">
      <c r="B19725" s="8"/>
      <c r="G19725" s="8"/>
      <c r="M19725" s="8"/>
    </row>
    <row r="19726">
      <c r="B19726" s="8"/>
      <c r="G19726" s="8"/>
      <c r="M19726" s="8"/>
    </row>
    <row r="19727">
      <c r="B19727" s="8"/>
      <c r="G19727" s="8"/>
      <c r="M19727" s="8"/>
    </row>
    <row r="19728">
      <c r="B19728" s="8"/>
      <c r="G19728" s="8"/>
      <c r="M19728" s="8"/>
    </row>
    <row r="19729">
      <c r="B19729" s="8"/>
      <c r="G19729" s="8"/>
      <c r="M19729" s="8"/>
    </row>
    <row r="19730">
      <c r="B19730" s="8"/>
      <c r="G19730" s="8"/>
      <c r="M19730" s="8"/>
    </row>
    <row r="19731">
      <c r="B19731" s="8"/>
      <c r="G19731" s="8"/>
      <c r="M19731" s="8"/>
    </row>
    <row r="19732">
      <c r="B19732" s="8"/>
      <c r="G19732" s="8"/>
      <c r="M19732" s="8"/>
    </row>
    <row r="19733">
      <c r="B19733" s="8"/>
      <c r="G19733" s="8"/>
      <c r="M19733" s="8"/>
    </row>
    <row r="19734">
      <c r="B19734" s="8"/>
      <c r="G19734" s="8"/>
      <c r="M19734" s="8"/>
    </row>
    <row r="19735">
      <c r="B19735" s="8"/>
      <c r="G19735" s="8"/>
      <c r="M19735" s="8"/>
    </row>
    <row r="19736">
      <c r="B19736" s="8"/>
      <c r="G19736" s="8"/>
      <c r="M19736" s="8"/>
    </row>
    <row r="19737">
      <c r="B19737" s="8"/>
      <c r="G19737" s="8"/>
      <c r="M19737" s="8"/>
    </row>
    <row r="19738">
      <c r="B19738" s="8"/>
      <c r="G19738" s="8"/>
      <c r="M19738" s="8"/>
    </row>
    <row r="19739">
      <c r="B19739" s="8"/>
      <c r="G19739" s="8"/>
      <c r="M19739" s="8"/>
    </row>
    <row r="19740">
      <c r="B19740" s="8"/>
      <c r="G19740" s="8"/>
      <c r="M19740" s="8"/>
    </row>
    <row r="19741">
      <c r="B19741" s="8"/>
      <c r="G19741" s="8"/>
      <c r="M19741" s="8"/>
    </row>
    <row r="19742">
      <c r="B19742" s="8"/>
      <c r="G19742" s="8"/>
      <c r="M19742" s="8"/>
    </row>
    <row r="19743">
      <c r="B19743" s="8"/>
      <c r="G19743" s="8"/>
      <c r="M19743" s="8"/>
    </row>
    <row r="19744">
      <c r="B19744" s="8"/>
      <c r="G19744" s="8"/>
      <c r="M19744" s="8"/>
    </row>
    <row r="19745">
      <c r="B19745" s="8"/>
      <c r="G19745" s="8"/>
      <c r="M19745" s="8"/>
    </row>
    <row r="19746">
      <c r="B19746" s="8"/>
      <c r="G19746" s="8"/>
      <c r="M19746" s="8"/>
    </row>
    <row r="19747">
      <c r="B19747" s="8"/>
      <c r="G19747" s="8"/>
      <c r="M19747" s="8"/>
    </row>
    <row r="19748">
      <c r="B19748" s="8"/>
      <c r="G19748" s="8"/>
      <c r="M19748" s="8"/>
    </row>
    <row r="19749">
      <c r="B19749" s="8"/>
      <c r="G19749" s="8"/>
      <c r="M19749" s="8"/>
    </row>
    <row r="19750">
      <c r="B19750" s="8"/>
      <c r="G19750" s="8"/>
      <c r="M19750" s="8"/>
    </row>
    <row r="19751">
      <c r="B19751" s="8"/>
      <c r="G19751" s="8"/>
      <c r="M19751" s="8"/>
    </row>
    <row r="19752">
      <c r="B19752" s="8"/>
      <c r="G19752" s="8"/>
      <c r="M19752" s="8"/>
    </row>
    <row r="19753">
      <c r="B19753" s="8"/>
      <c r="G19753" s="8"/>
      <c r="M19753" s="8"/>
    </row>
    <row r="19754">
      <c r="B19754" s="8"/>
      <c r="G19754" s="8"/>
      <c r="M19754" s="8"/>
    </row>
    <row r="19755">
      <c r="B19755" s="8"/>
      <c r="G19755" s="8"/>
      <c r="M19755" s="8"/>
    </row>
    <row r="19756">
      <c r="B19756" s="8"/>
      <c r="G19756" s="8"/>
      <c r="M19756" s="8"/>
    </row>
    <row r="19757">
      <c r="B19757" s="8"/>
      <c r="G19757" s="8"/>
      <c r="M19757" s="8"/>
    </row>
    <row r="19758">
      <c r="B19758" s="8"/>
      <c r="G19758" s="8"/>
      <c r="M19758" s="8"/>
    </row>
    <row r="19759">
      <c r="B19759" s="8"/>
      <c r="G19759" s="8"/>
      <c r="M19759" s="8"/>
    </row>
    <row r="19760">
      <c r="B19760" s="8"/>
      <c r="G19760" s="8"/>
      <c r="M19760" s="8"/>
    </row>
    <row r="19761">
      <c r="B19761" s="8"/>
      <c r="G19761" s="8"/>
      <c r="M19761" s="8"/>
    </row>
    <row r="19762">
      <c r="B19762" s="8"/>
      <c r="G19762" s="8"/>
      <c r="M19762" s="8"/>
    </row>
    <row r="19763">
      <c r="B19763" s="8"/>
      <c r="G19763" s="8"/>
      <c r="M19763" s="8"/>
    </row>
    <row r="19764">
      <c r="B19764" s="8"/>
      <c r="G19764" s="8"/>
      <c r="M19764" s="8"/>
    </row>
    <row r="19765">
      <c r="B19765" s="8"/>
      <c r="G19765" s="8"/>
      <c r="M19765" s="8"/>
    </row>
    <row r="19766">
      <c r="B19766" s="8"/>
      <c r="G19766" s="8"/>
      <c r="M19766" s="8"/>
    </row>
    <row r="19767">
      <c r="B19767" s="8"/>
      <c r="G19767" s="8"/>
      <c r="M19767" s="8"/>
    </row>
    <row r="19768">
      <c r="B19768" s="8"/>
      <c r="G19768" s="8"/>
      <c r="M19768" s="8"/>
    </row>
    <row r="19769">
      <c r="B19769" s="8"/>
      <c r="G19769" s="8"/>
      <c r="M19769" s="8"/>
    </row>
    <row r="19770">
      <c r="B19770" s="8"/>
      <c r="G19770" s="8"/>
      <c r="M19770" s="8"/>
    </row>
    <row r="19771">
      <c r="B19771" s="8"/>
      <c r="G19771" s="8"/>
      <c r="M19771" s="8"/>
    </row>
    <row r="19772">
      <c r="B19772" s="8"/>
      <c r="G19772" s="8"/>
      <c r="M19772" s="8"/>
    </row>
    <row r="19773">
      <c r="B19773" s="8"/>
      <c r="G19773" s="8"/>
      <c r="M19773" s="8"/>
    </row>
    <row r="19774">
      <c r="B19774" s="8"/>
      <c r="G19774" s="8"/>
      <c r="M19774" s="8"/>
    </row>
    <row r="19775">
      <c r="B19775" s="8"/>
      <c r="G19775" s="8"/>
      <c r="M19775" s="8"/>
    </row>
    <row r="19776">
      <c r="B19776" s="8"/>
      <c r="G19776" s="8"/>
      <c r="M19776" s="8"/>
    </row>
    <row r="19777">
      <c r="B19777" s="8"/>
      <c r="G19777" s="8"/>
      <c r="M19777" s="8"/>
    </row>
    <row r="19778">
      <c r="B19778" s="8"/>
      <c r="G19778" s="8"/>
      <c r="M19778" s="8"/>
    </row>
    <row r="19779">
      <c r="B19779" s="8"/>
      <c r="G19779" s="8"/>
      <c r="M19779" s="8"/>
    </row>
    <row r="19780">
      <c r="B19780" s="8"/>
      <c r="G19780" s="8"/>
      <c r="M19780" s="8"/>
    </row>
    <row r="19781">
      <c r="B19781" s="8"/>
      <c r="G19781" s="8"/>
      <c r="M19781" s="8"/>
    </row>
    <row r="19782">
      <c r="B19782" s="8"/>
      <c r="G19782" s="8"/>
      <c r="M19782" s="8"/>
    </row>
    <row r="19783">
      <c r="B19783" s="8"/>
      <c r="G19783" s="8"/>
      <c r="M19783" s="8"/>
    </row>
    <row r="19784">
      <c r="B19784" s="8"/>
      <c r="G19784" s="8"/>
      <c r="M19784" s="8"/>
    </row>
    <row r="19785">
      <c r="B19785" s="8"/>
      <c r="G19785" s="8"/>
      <c r="M19785" s="8"/>
    </row>
    <row r="19786">
      <c r="B19786" s="8"/>
      <c r="G19786" s="8"/>
      <c r="M19786" s="8"/>
    </row>
    <row r="19787">
      <c r="B19787" s="8"/>
      <c r="G19787" s="8"/>
      <c r="M19787" s="8"/>
    </row>
    <row r="19788">
      <c r="B19788" s="8"/>
      <c r="G19788" s="8"/>
      <c r="M19788" s="8"/>
    </row>
    <row r="19789">
      <c r="B19789" s="8"/>
      <c r="G19789" s="8"/>
      <c r="M19789" s="8"/>
    </row>
    <row r="19790">
      <c r="B19790" s="8"/>
      <c r="G19790" s="8"/>
      <c r="M19790" s="8"/>
    </row>
    <row r="19791">
      <c r="B19791" s="8"/>
      <c r="G19791" s="8"/>
      <c r="M19791" s="8"/>
    </row>
    <row r="19792">
      <c r="B19792" s="8"/>
      <c r="G19792" s="8"/>
      <c r="M19792" s="8"/>
    </row>
    <row r="19793">
      <c r="B19793" s="8"/>
      <c r="G19793" s="8"/>
      <c r="M19793" s="8"/>
    </row>
    <row r="19794">
      <c r="B19794" s="8"/>
      <c r="G19794" s="8"/>
      <c r="M19794" s="8"/>
    </row>
    <row r="19795">
      <c r="B19795" s="8"/>
      <c r="G19795" s="8"/>
      <c r="M19795" s="8"/>
    </row>
    <row r="19796">
      <c r="B19796" s="8"/>
      <c r="G19796" s="8"/>
      <c r="M19796" s="8"/>
    </row>
    <row r="19797">
      <c r="B19797" s="8"/>
      <c r="G19797" s="8"/>
      <c r="M19797" s="8"/>
    </row>
    <row r="19798">
      <c r="B19798" s="8"/>
      <c r="G19798" s="8"/>
      <c r="M19798" s="8"/>
    </row>
    <row r="19799">
      <c r="B19799" s="8"/>
      <c r="G19799" s="8"/>
      <c r="M19799" s="8"/>
    </row>
    <row r="19800">
      <c r="B19800" s="8"/>
      <c r="G19800" s="8"/>
      <c r="M19800" s="8"/>
    </row>
    <row r="19801">
      <c r="B19801" s="8"/>
      <c r="G19801" s="8"/>
      <c r="M19801" s="8"/>
    </row>
    <row r="19802">
      <c r="B19802" s="8"/>
      <c r="G19802" s="8"/>
      <c r="M19802" s="8"/>
    </row>
    <row r="19803">
      <c r="B19803" s="8"/>
      <c r="G19803" s="8"/>
      <c r="M19803" s="8"/>
    </row>
    <row r="19804">
      <c r="B19804" s="8"/>
      <c r="G19804" s="8"/>
      <c r="M19804" s="8"/>
    </row>
    <row r="19805">
      <c r="B19805" s="8"/>
      <c r="G19805" s="8"/>
      <c r="M19805" s="8"/>
    </row>
    <row r="19806">
      <c r="B19806" s="8"/>
      <c r="G19806" s="8"/>
      <c r="M19806" s="8"/>
    </row>
    <row r="19807">
      <c r="B19807" s="8"/>
      <c r="G19807" s="8"/>
      <c r="M19807" s="8"/>
    </row>
    <row r="19808">
      <c r="B19808" s="8"/>
      <c r="G19808" s="8"/>
      <c r="M19808" s="8"/>
    </row>
    <row r="19809">
      <c r="B19809" s="8"/>
      <c r="G19809" s="8"/>
      <c r="M19809" s="8"/>
    </row>
    <row r="19810">
      <c r="B19810" s="8"/>
      <c r="G19810" s="8"/>
      <c r="M19810" s="8"/>
    </row>
    <row r="19811">
      <c r="B19811" s="8"/>
      <c r="G19811" s="8"/>
      <c r="M19811" s="8"/>
    </row>
    <row r="19812">
      <c r="B19812" s="8"/>
      <c r="G19812" s="8"/>
      <c r="M19812" s="8"/>
    </row>
    <row r="19813">
      <c r="B19813" s="8"/>
      <c r="G19813" s="8"/>
      <c r="M19813" s="8"/>
    </row>
    <row r="19814">
      <c r="B19814" s="8"/>
      <c r="G19814" s="8"/>
      <c r="M19814" s="8"/>
    </row>
    <row r="19815">
      <c r="B19815" s="8"/>
      <c r="G19815" s="8"/>
      <c r="M19815" s="8"/>
    </row>
    <row r="19816">
      <c r="B19816" s="8"/>
      <c r="G19816" s="8"/>
      <c r="M19816" s="8"/>
    </row>
    <row r="19817">
      <c r="B19817" s="8"/>
      <c r="G19817" s="8"/>
      <c r="M19817" s="8"/>
    </row>
    <row r="19818">
      <c r="B19818" s="8"/>
      <c r="G19818" s="8"/>
      <c r="M19818" s="8"/>
    </row>
    <row r="19819">
      <c r="B19819" s="8"/>
      <c r="G19819" s="8"/>
      <c r="M19819" s="8"/>
    </row>
    <row r="19820">
      <c r="B19820" s="8"/>
      <c r="G19820" s="8"/>
      <c r="M19820" s="8"/>
    </row>
    <row r="19821">
      <c r="B19821" s="8"/>
      <c r="G19821" s="8"/>
      <c r="M19821" s="8"/>
    </row>
    <row r="19822">
      <c r="B19822" s="8"/>
      <c r="G19822" s="8"/>
      <c r="M19822" s="8"/>
    </row>
    <row r="19823">
      <c r="B19823" s="8"/>
      <c r="G19823" s="8"/>
      <c r="M19823" s="8"/>
    </row>
    <row r="19824">
      <c r="B19824" s="8"/>
      <c r="G19824" s="8"/>
      <c r="M19824" s="8"/>
    </row>
    <row r="19825">
      <c r="B19825" s="8"/>
      <c r="G19825" s="8"/>
      <c r="M19825" s="8"/>
    </row>
    <row r="19826">
      <c r="B19826" s="8"/>
      <c r="G19826" s="8"/>
      <c r="M19826" s="8"/>
    </row>
    <row r="19827">
      <c r="B19827" s="8"/>
      <c r="G19827" s="8"/>
      <c r="M19827" s="8"/>
    </row>
    <row r="19828">
      <c r="B19828" s="8"/>
      <c r="G19828" s="8"/>
      <c r="M19828" s="8"/>
    </row>
    <row r="19829">
      <c r="B19829" s="8"/>
      <c r="G19829" s="8"/>
      <c r="M19829" s="8"/>
    </row>
    <row r="19830">
      <c r="B19830" s="8"/>
      <c r="G19830" s="8"/>
      <c r="M19830" s="8"/>
    </row>
    <row r="19831">
      <c r="B19831" s="8"/>
      <c r="G19831" s="8"/>
      <c r="M19831" s="8"/>
    </row>
    <row r="19832">
      <c r="B19832" s="8"/>
      <c r="G19832" s="8"/>
      <c r="M19832" s="8"/>
    </row>
    <row r="19833">
      <c r="B19833" s="8"/>
      <c r="G19833" s="8"/>
      <c r="M19833" s="8"/>
    </row>
    <row r="19834">
      <c r="B19834" s="8"/>
      <c r="G19834" s="8"/>
      <c r="M19834" s="8"/>
    </row>
    <row r="19835">
      <c r="B19835" s="8"/>
      <c r="G19835" s="8"/>
      <c r="M19835" s="8"/>
    </row>
    <row r="19836">
      <c r="B19836" s="8"/>
      <c r="G19836" s="8"/>
      <c r="M19836" s="8"/>
    </row>
    <row r="19837">
      <c r="B19837" s="8"/>
      <c r="G19837" s="8"/>
      <c r="M19837" s="8"/>
    </row>
    <row r="19838">
      <c r="B19838" s="8"/>
      <c r="G19838" s="8"/>
      <c r="M19838" s="8"/>
    </row>
    <row r="19839">
      <c r="B19839" s="8"/>
      <c r="G19839" s="8"/>
      <c r="M19839" s="8"/>
    </row>
    <row r="19840">
      <c r="B19840" s="8"/>
      <c r="G19840" s="8"/>
      <c r="M19840" s="8"/>
    </row>
    <row r="19841">
      <c r="B19841" s="8"/>
      <c r="G19841" s="8"/>
      <c r="M19841" s="8"/>
    </row>
    <row r="19842">
      <c r="B19842" s="8"/>
      <c r="G19842" s="8"/>
      <c r="M19842" s="8"/>
    </row>
    <row r="19843">
      <c r="B19843" s="8"/>
      <c r="G19843" s="8"/>
      <c r="M19843" s="8"/>
    </row>
    <row r="19844">
      <c r="B19844" s="8"/>
      <c r="G19844" s="8"/>
      <c r="M19844" s="8"/>
    </row>
    <row r="19845">
      <c r="B19845" s="8"/>
      <c r="G19845" s="8"/>
      <c r="M19845" s="8"/>
    </row>
    <row r="19846">
      <c r="B19846" s="8"/>
      <c r="G19846" s="8"/>
      <c r="M19846" s="8"/>
    </row>
    <row r="19847">
      <c r="B19847" s="8"/>
      <c r="G19847" s="8"/>
      <c r="M19847" s="8"/>
    </row>
    <row r="19848">
      <c r="B19848" s="8"/>
      <c r="G19848" s="8"/>
      <c r="M19848" s="8"/>
    </row>
    <row r="19849">
      <c r="B19849" s="8"/>
      <c r="G19849" s="8"/>
      <c r="M19849" s="8"/>
    </row>
    <row r="19850">
      <c r="B19850" s="8"/>
      <c r="G19850" s="8"/>
      <c r="M19850" s="8"/>
    </row>
    <row r="19851">
      <c r="B19851" s="8"/>
      <c r="G19851" s="8"/>
      <c r="M19851" s="8"/>
    </row>
    <row r="19852">
      <c r="B19852" s="8"/>
      <c r="G19852" s="8"/>
      <c r="M19852" s="8"/>
    </row>
    <row r="19853">
      <c r="B19853" s="8"/>
      <c r="G19853" s="8"/>
      <c r="M19853" s="8"/>
    </row>
    <row r="19854">
      <c r="B19854" s="8"/>
      <c r="G19854" s="8"/>
      <c r="M19854" s="8"/>
    </row>
    <row r="19855">
      <c r="B19855" s="8"/>
      <c r="G19855" s="8"/>
      <c r="M19855" s="8"/>
    </row>
    <row r="19856">
      <c r="B19856" s="8"/>
      <c r="G19856" s="8"/>
      <c r="M19856" s="8"/>
    </row>
    <row r="19857">
      <c r="B19857" s="8"/>
      <c r="G19857" s="8"/>
      <c r="M19857" s="8"/>
    </row>
    <row r="19858">
      <c r="B19858" s="8"/>
      <c r="G19858" s="8"/>
      <c r="M19858" s="8"/>
    </row>
    <row r="19859">
      <c r="B19859" s="8"/>
      <c r="G19859" s="8"/>
      <c r="M19859" s="8"/>
    </row>
    <row r="19860">
      <c r="B19860" s="8"/>
      <c r="G19860" s="8"/>
      <c r="M19860" s="8"/>
    </row>
    <row r="19861">
      <c r="B19861" s="8"/>
      <c r="G19861" s="8"/>
      <c r="M19861" s="8"/>
    </row>
    <row r="19862">
      <c r="B19862" s="8"/>
      <c r="G19862" s="8"/>
      <c r="M19862" s="8"/>
    </row>
    <row r="19863">
      <c r="B19863" s="8"/>
      <c r="G19863" s="8"/>
      <c r="M19863" s="8"/>
    </row>
    <row r="19864">
      <c r="B19864" s="8"/>
      <c r="G19864" s="8"/>
      <c r="M19864" s="8"/>
    </row>
    <row r="19865">
      <c r="B19865" s="8"/>
      <c r="G19865" s="8"/>
      <c r="M19865" s="8"/>
    </row>
    <row r="19866">
      <c r="B19866" s="8"/>
      <c r="G19866" s="8"/>
      <c r="M19866" s="8"/>
    </row>
    <row r="19867">
      <c r="B19867" s="8"/>
      <c r="G19867" s="8"/>
      <c r="M19867" s="8"/>
    </row>
    <row r="19868">
      <c r="B19868" s="8"/>
      <c r="G19868" s="8"/>
      <c r="M19868" s="8"/>
    </row>
    <row r="19869">
      <c r="B19869" s="8"/>
      <c r="G19869" s="8"/>
      <c r="M19869" s="8"/>
    </row>
    <row r="19870">
      <c r="B19870" s="8"/>
      <c r="G19870" s="8"/>
      <c r="M19870" s="8"/>
    </row>
    <row r="19871">
      <c r="B19871" s="8"/>
      <c r="G19871" s="8"/>
      <c r="M19871" s="8"/>
    </row>
    <row r="19872">
      <c r="B19872" s="8"/>
      <c r="G19872" s="8"/>
      <c r="M19872" s="8"/>
    </row>
    <row r="19873">
      <c r="B19873" s="8"/>
      <c r="G19873" s="8"/>
      <c r="M19873" s="8"/>
    </row>
    <row r="19874">
      <c r="B19874" s="8"/>
      <c r="G19874" s="8"/>
      <c r="M19874" s="8"/>
    </row>
    <row r="19875">
      <c r="B19875" s="8"/>
      <c r="G19875" s="8"/>
      <c r="M19875" s="8"/>
    </row>
    <row r="19876">
      <c r="B19876" s="8"/>
      <c r="G19876" s="8"/>
      <c r="M19876" s="8"/>
    </row>
    <row r="19877">
      <c r="B19877" s="8"/>
      <c r="G19877" s="8"/>
      <c r="M19877" s="8"/>
    </row>
    <row r="19878">
      <c r="B19878" s="8"/>
      <c r="G19878" s="8"/>
      <c r="M19878" s="8"/>
    </row>
    <row r="19879">
      <c r="B19879" s="8"/>
      <c r="G19879" s="8"/>
      <c r="M19879" s="8"/>
    </row>
    <row r="19880">
      <c r="B19880" s="8"/>
      <c r="G19880" s="8"/>
      <c r="M19880" s="8"/>
    </row>
    <row r="19881">
      <c r="B19881" s="8"/>
      <c r="G19881" s="8"/>
      <c r="M19881" s="8"/>
    </row>
    <row r="19882">
      <c r="B19882" s="8"/>
      <c r="G19882" s="8"/>
      <c r="M19882" s="8"/>
    </row>
    <row r="19883">
      <c r="B19883" s="8"/>
      <c r="G19883" s="8"/>
      <c r="M19883" s="8"/>
    </row>
    <row r="19884">
      <c r="B19884" s="8"/>
      <c r="G19884" s="8"/>
      <c r="M19884" s="8"/>
    </row>
    <row r="19885">
      <c r="B19885" s="8"/>
      <c r="G19885" s="8"/>
      <c r="M19885" s="8"/>
    </row>
    <row r="19886">
      <c r="B19886" s="8"/>
      <c r="G19886" s="8"/>
      <c r="M19886" s="8"/>
    </row>
    <row r="19887">
      <c r="B19887" s="8"/>
      <c r="G19887" s="8"/>
      <c r="M19887" s="8"/>
    </row>
    <row r="19888">
      <c r="B19888" s="8"/>
      <c r="G19888" s="8"/>
      <c r="M19888" s="8"/>
    </row>
    <row r="19889">
      <c r="B19889" s="8"/>
      <c r="G19889" s="8"/>
      <c r="M19889" s="8"/>
    </row>
    <row r="19890">
      <c r="B19890" s="8"/>
      <c r="G19890" s="8"/>
      <c r="M19890" s="8"/>
    </row>
    <row r="19891">
      <c r="B19891" s="8"/>
      <c r="G19891" s="8"/>
      <c r="M19891" s="8"/>
    </row>
    <row r="19892">
      <c r="B19892" s="8"/>
      <c r="G19892" s="8"/>
      <c r="M19892" s="8"/>
    </row>
    <row r="19893">
      <c r="B19893" s="8"/>
      <c r="G19893" s="8"/>
      <c r="M19893" s="8"/>
    </row>
    <row r="19894">
      <c r="B19894" s="8"/>
      <c r="G19894" s="8"/>
      <c r="M19894" s="8"/>
    </row>
    <row r="19895">
      <c r="B19895" s="8"/>
      <c r="G19895" s="8"/>
      <c r="M19895" s="8"/>
    </row>
    <row r="19896">
      <c r="B19896" s="8"/>
      <c r="G19896" s="8"/>
      <c r="M19896" s="8"/>
    </row>
    <row r="19897">
      <c r="B19897" s="8"/>
      <c r="G19897" s="8"/>
      <c r="M19897" s="8"/>
    </row>
    <row r="19898">
      <c r="B19898" s="8"/>
      <c r="G19898" s="8"/>
      <c r="M19898" s="8"/>
    </row>
    <row r="19899">
      <c r="B19899" s="8"/>
      <c r="G19899" s="8"/>
      <c r="M19899" s="8"/>
    </row>
    <row r="19900">
      <c r="B19900" s="8"/>
      <c r="G19900" s="8"/>
      <c r="M19900" s="8"/>
    </row>
    <row r="19901">
      <c r="B19901" s="8"/>
      <c r="G19901" s="8"/>
      <c r="M19901" s="8"/>
    </row>
    <row r="19902">
      <c r="B19902" s="8"/>
      <c r="G19902" s="8"/>
      <c r="M19902" s="8"/>
    </row>
    <row r="19903">
      <c r="B19903" s="8"/>
      <c r="G19903" s="8"/>
      <c r="M19903" s="8"/>
    </row>
    <row r="19904">
      <c r="B19904" s="8"/>
      <c r="G19904" s="8"/>
      <c r="M19904" s="8"/>
    </row>
    <row r="19905">
      <c r="B19905" s="8"/>
      <c r="G19905" s="8"/>
      <c r="M19905" s="8"/>
    </row>
    <row r="19906">
      <c r="B19906" s="8"/>
      <c r="G19906" s="8"/>
      <c r="M19906" s="8"/>
    </row>
    <row r="19907">
      <c r="B19907" s="8"/>
      <c r="G19907" s="8"/>
      <c r="M19907" s="8"/>
    </row>
    <row r="19908">
      <c r="B19908" s="8"/>
      <c r="G19908" s="8"/>
      <c r="M19908" s="8"/>
    </row>
    <row r="19909">
      <c r="B19909" s="8"/>
      <c r="G19909" s="8"/>
      <c r="M19909" s="8"/>
    </row>
    <row r="19910">
      <c r="B19910" s="8"/>
      <c r="G19910" s="8"/>
      <c r="M19910" s="8"/>
    </row>
    <row r="19911">
      <c r="B19911" s="8"/>
      <c r="G19911" s="8"/>
      <c r="M19911" s="8"/>
    </row>
    <row r="19912">
      <c r="B19912" s="8"/>
      <c r="G19912" s="8"/>
      <c r="M19912" s="8"/>
    </row>
    <row r="19913">
      <c r="B19913" s="8"/>
      <c r="G19913" s="8"/>
      <c r="M19913" s="8"/>
    </row>
    <row r="19914">
      <c r="B19914" s="8"/>
      <c r="G19914" s="8"/>
      <c r="M19914" s="8"/>
    </row>
    <row r="19915">
      <c r="B19915" s="8"/>
      <c r="G19915" s="8"/>
      <c r="M19915" s="8"/>
    </row>
    <row r="19916">
      <c r="B19916" s="8"/>
      <c r="G19916" s="8"/>
      <c r="M19916" s="8"/>
    </row>
    <row r="19917">
      <c r="B19917" s="8"/>
      <c r="G19917" s="8"/>
      <c r="M19917" s="8"/>
    </row>
    <row r="19918">
      <c r="B19918" s="8"/>
      <c r="G19918" s="8"/>
      <c r="M19918" s="8"/>
    </row>
    <row r="19919">
      <c r="B19919" s="8"/>
      <c r="G19919" s="8"/>
      <c r="M19919" s="8"/>
    </row>
    <row r="19920">
      <c r="B19920" s="8"/>
      <c r="G19920" s="8"/>
      <c r="M19920" s="8"/>
    </row>
    <row r="19921">
      <c r="B19921" s="8"/>
      <c r="G19921" s="8"/>
      <c r="M19921" s="8"/>
    </row>
    <row r="19922">
      <c r="B19922" s="8"/>
      <c r="G19922" s="8"/>
      <c r="M19922" s="8"/>
    </row>
    <row r="19923">
      <c r="B19923" s="8"/>
      <c r="G19923" s="8"/>
      <c r="M19923" s="8"/>
    </row>
    <row r="19924">
      <c r="B19924" s="8"/>
      <c r="G19924" s="8"/>
      <c r="M19924" s="8"/>
    </row>
    <row r="19925">
      <c r="B19925" s="8"/>
      <c r="G19925" s="8"/>
      <c r="M19925" s="8"/>
    </row>
    <row r="19926">
      <c r="B19926" s="8"/>
      <c r="G19926" s="8"/>
      <c r="M19926" s="8"/>
    </row>
    <row r="19927">
      <c r="B19927" s="8"/>
      <c r="G19927" s="8"/>
      <c r="M19927" s="8"/>
    </row>
    <row r="19928">
      <c r="B19928" s="8"/>
      <c r="G19928" s="8"/>
      <c r="M19928" s="8"/>
    </row>
    <row r="19929">
      <c r="B19929" s="8"/>
      <c r="G19929" s="8"/>
      <c r="M19929" s="8"/>
    </row>
    <row r="19930">
      <c r="B19930" s="8"/>
      <c r="G19930" s="8"/>
      <c r="M19930" s="8"/>
    </row>
    <row r="19931">
      <c r="B19931" s="8"/>
      <c r="G19931" s="8"/>
      <c r="M19931" s="8"/>
    </row>
    <row r="19932">
      <c r="B19932" s="8"/>
      <c r="G19932" s="8"/>
      <c r="M19932" s="8"/>
    </row>
    <row r="19933">
      <c r="B19933" s="8"/>
      <c r="G19933" s="8"/>
      <c r="M19933" s="8"/>
    </row>
    <row r="19934">
      <c r="B19934" s="8"/>
      <c r="G19934" s="8"/>
      <c r="M19934" s="8"/>
    </row>
    <row r="19935">
      <c r="B19935" s="8"/>
      <c r="G19935" s="8"/>
      <c r="M19935" s="8"/>
    </row>
    <row r="19936">
      <c r="B19936" s="8"/>
      <c r="G19936" s="8"/>
      <c r="M19936" s="8"/>
    </row>
    <row r="19937">
      <c r="B19937" s="8"/>
      <c r="G19937" s="8"/>
      <c r="M19937" s="8"/>
    </row>
    <row r="19938">
      <c r="B19938" s="8"/>
      <c r="G19938" s="8"/>
      <c r="M19938" s="8"/>
    </row>
    <row r="19939">
      <c r="B19939" s="8"/>
      <c r="G19939" s="8"/>
      <c r="M19939" s="8"/>
    </row>
    <row r="19940">
      <c r="B19940" s="8"/>
      <c r="G19940" s="8"/>
      <c r="M19940" s="8"/>
    </row>
    <row r="19941">
      <c r="B19941" s="8"/>
      <c r="G19941" s="8"/>
      <c r="M19941" s="8"/>
    </row>
    <row r="19942">
      <c r="B19942" s="8"/>
      <c r="G19942" s="8"/>
      <c r="M19942" s="8"/>
    </row>
    <row r="19943">
      <c r="B19943" s="8"/>
      <c r="G19943" s="8"/>
      <c r="M19943" s="8"/>
    </row>
    <row r="19944">
      <c r="B19944" s="8"/>
      <c r="G19944" s="8"/>
      <c r="M19944" s="8"/>
    </row>
    <row r="19945">
      <c r="B19945" s="8"/>
      <c r="G19945" s="8"/>
      <c r="M19945" s="8"/>
    </row>
    <row r="19946">
      <c r="B19946" s="8"/>
      <c r="G19946" s="8"/>
      <c r="M19946" s="8"/>
    </row>
    <row r="19947">
      <c r="B19947" s="8"/>
      <c r="G19947" s="8"/>
      <c r="M19947" s="8"/>
    </row>
    <row r="19948">
      <c r="B19948" s="8"/>
      <c r="G19948" s="8"/>
      <c r="M19948" s="8"/>
    </row>
    <row r="19949">
      <c r="B19949" s="8"/>
      <c r="G19949" s="8"/>
      <c r="M19949" s="8"/>
    </row>
    <row r="19950">
      <c r="B19950" s="8"/>
      <c r="G19950" s="8"/>
      <c r="M19950" s="8"/>
    </row>
    <row r="19951">
      <c r="B19951" s="8"/>
      <c r="G19951" s="8"/>
      <c r="M19951" s="8"/>
    </row>
    <row r="19952">
      <c r="B19952" s="8"/>
      <c r="G19952" s="8"/>
      <c r="M19952" s="8"/>
    </row>
    <row r="19953">
      <c r="B19953" s="8"/>
      <c r="G19953" s="8"/>
      <c r="M19953" s="8"/>
    </row>
    <row r="19954">
      <c r="B19954" s="8"/>
      <c r="G19954" s="8"/>
      <c r="M19954" s="8"/>
    </row>
    <row r="19955">
      <c r="B19955" s="8"/>
      <c r="G19955" s="8"/>
      <c r="M19955" s="8"/>
    </row>
    <row r="19956">
      <c r="B19956" s="8"/>
      <c r="G19956" s="8"/>
      <c r="M19956" s="8"/>
    </row>
    <row r="19957">
      <c r="B19957" s="8"/>
      <c r="G19957" s="8"/>
      <c r="M19957" s="8"/>
    </row>
    <row r="19958">
      <c r="B19958" s="8"/>
      <c r="G19958" s="8"/>
      <c r="M19958" s="8"/>
    </row>
    <row r="19959">
      <c r="B19959" s="8"/>
      <c r="G19959" s="8"/>
      <c r="M19959" s="8"/>
    </row>
    <row r="19960">
      <c r="B19960" s="8"/>
      <c r="G19960" s="8"/>
      <c r="M19960" s="8"/>
    </row>
    <row r="19961">
      <c r="B19961" s="8"/>
      <c r="G19961" s="8"/>
      <c r="M19961" s="8"/>
    </row>
    <row r="19962">
      <c r="B19962" s="8"/>
      <c r="G19962" s="8"/>
      <c r="M19962" s="8"/>
    </row>
    <row r="19963">
      <c r="B19963" s="8"/>
      <c r="G19963" s="8"/>
      <c r="M19963" s="8"/>
    </row>
    <row r="19964">
      <c r="B19964" s="8"/>
      <c r="G19964" s="8"/>
      <c r="M19964" s="8"/>
    </row>
    <row r="19965">
      <c r="B19965" s="8"/>
      <c r="G19965" s="8"/>
      <c r="M19965" s="8"/>
    </row>
    <row r="19966">
      <c r="B19966" s="8"/>
      <c r="G19966" s="8"/>
      <c r="M19966" s="8"/>
    </row>
    <row r="19967">
      <c r="B19967" s="8"/>
      <c r="G19967" s="8"/>
      <c r="M19967" s="8"/>
    </row>
    <row r="19968">
      <c r="B19968" s="8"/>
      <c r="G19968" s="8"/>
      <c r="M19968" s="8"/>
    </row>
    <row r="19969">
      <c r="B19969" s="8"/>
      <c r="G19969" s="8"/>
      <c r="M19969" s="8"/>
    </row>
    <row r="19970">
      <c r="B19970" s="8"/>
      <c r="G19970" s="8"/>
      <c r="M19970" s="8"/>
    </row>
    <row r="19971">
      <c r="B19971" s="8"/>
      <c r="G19971" s="8"/>
      <c r="M19971" s="8"/>
    </row>
    <row r="19972">
      <c r="B19972" s="8"/>
      <c r="G19972" s="8"/>
      <c r="M19972" s="8"/>
    </row>
    <row r="19973">
      <c r="B19973" s="8"/>
      <c r="G19973" s="8"/>
      <c r="M19973" s="8"/>
    </row>
    <row r="19974">
      <c r="B19974" s="8"/>
      <c r="G19974" s="8"/>
      <c r="M19974" s="8"/>
    </row>
    <row r="19975">
      <c r="B19975" s="8"/>
      <c r="G19975" s="8"/>
      <c r="M19975" s="8"/>
    </row>
    <row r="19976">
      <c r="B19976" s="8"/>
      <c r="G19976" s="8"/>
      <c r="M19976" s="8"/>
    </row>
    <row r="19977">
      <c r="B19977" s="8"/>
      <c r="G19977" s="8"/>
      <c r="M19977" s="8"/>
    </row>
    <row r="19978">
      <c r="B19978" s="8"/>
      <c r="G19978" s="8"/>
      <c r="M19978" s="8"/>
    </row>
    <row r="19979">
      <c r="B19979" s="8"/>
      <c r="G19979" s="8"/>
      <c r="M19979" s="8"/>
    </row>
    <row r="19980">
      <c r="B19980" s="8"/>
      <c r="G19980" s="8"/>
      <c r="M19980" s="8"/>
    </row>
    <row r="19981">
      <c r="B19981" s="8"/>
      <c r="G19981" s="8"/>
      <c r="M19981" s="8"/>
    </row>
    <row r="19982">
      <c r="B19982" s="8"/>
      <c r="G19982" s="8"/>
      <c r="M19982" s="8"/>
    </row>
    <row r="19983">
      <c r="B19983" s="8"/>
      <c r="G19983" s="8"/>
      <c r="M19983" s="8"/>
    </row>
    <row r="19984">
      <c r="B19984" s="8"/>
      <c r="G19984" s="8"/>
      <c r="M19984" s="8"/>
    </row>
    <row r="19985">
      <c r="B19985" s="8"/>
      <c r="G19985" s="8"/>
      <c r="M19985" s="8"/>
    </row>
    <row r="19986">
      <c r="B19986" s="8"/>
      <c r="G19986" s="8"/>
      <c r="M19986" s="8"/>
    </row>
    <row r="19987">
      <c r="B19987" s="8"/>
      <c r="G19987" s="8"/>
      <c r="M19987" s="8"/>
    </row>
    <row r="19988">
      <c r="B19988" s="8"/>
      <c r="G19988" s="8"/>
      <c r="M19988" s="8"/>
    </row>
    <row r="19989">
      <c r="B19989" s="8"/>
      <c r="G19989" s="8"/>
      <c r="M19989" s="8"/>
    </row>
    <row r="19990">
      <c r="B19990" s="8"/>
      <c r="G19990" s="8"/>
      <c r="M19990" s="8"/>
    </row>
    <row r="19991">
      <c r="B19991" s="8"/>
      <c r="G19991" s="8"/>
      <c r="M19991" s="8"/>
    </row>
    <row r="19992">
      <c r="B19992" s="8"/>
      <c r="G19992" s="8"/>
      <c r="M19992" s="8"/>
    </row>
    <row r="19993">
      <c r="B19993" s="8"/>
      <c r="G19993" s="8"/>
      <c r="M19993" s="8"/>
    </row>
    <row r="19994">
      <c r="B19994" s="8"/>
      <c r="G19994" s="8"/>
      <c r="M19994" s="8"/>
    </row>
    <row r="19995">
      <c r="B19995" s="8"/>
      <c r="G19995" s="8"/>
      <c r="M19995" s="8"/>
    </row>
    <row r="19996">
      <c r="B19996" s="8"/>
      <c r="G19996" s="8"/>
      <c r="M19996" s="8"/>
    </row>
    <row r="19997">
      <c r="B19997" s="8"/>
      <c r="G19997" s="8"/>
      <c r="M19997" s="8"/>
    </row>
    <row r="19998">
      <c r="B19998" s="8"/>
      <c r="G19998" s="8"/>
      <c r="M19998" s="8"/>
    </row>
    <row r="19999">
      <c r="B19999" s="8"/>
      <c r="G19999" s="8"/>
      <c r="M19999" s="8"/>
    </row>
    <row r="20000">
      <c r="B20000" s="8"/>
      <c r="G20000" s="8"/>
      <c r="M20000" s="8"/>
    </row>
    <row r="20001">
      <c r="B20001" s="8"/>
      <c r="G20001" s="8"/>
      <c r="M20001" s="8"/>
    </row>
    <row r="20002">
      <c r="B20002" s="8"/>
      <c r="G20002" s="8"/>
      <c r="M20002" s="8"/>
    </row>
    <row r="20003">
      <c r="B20003" s="8"/>
      <c r="G20003" s="8"/>
      <c r="M20003" s="8"/>
    </row>
    <row r="20004">
      <c r="B20004" s="8"/>
      <c r="G20004" s="8"/>
      <c r="M20004" s="8"/>
    </row>
    <row r="20005">
      <c r="B20005" s="8"/>
      <c r="G20005" s="8"/>
      <c r="M20005" s="8"/>
    </row>
    <row r="20006">
      <c r="B20006" s="8"/>
      <c r="G20006" s="8"/>
      <c r="M20006" s="8"/>
    </row>
    <row r="20007">
      <c r="B20007" s="8"/>
      <c r="G20007" s="8"/>
      <c r="M20007" s="8"/>
    </row>
    <row r="20008">
      <c r="B20008" s="8"/>
      <c r="G20008" s="8"/>
      <c r="M20008" s="8"/>
    </row>
    <row r="20009">
      <c r="B20009" s="8"/>
      <c r="G20009" s="8"/>
      <c r="M20009" s="8"/>
    </row>
    <row r="20010">
      <c r="B20010" s="8"/>
      <c r="G20010" s="8"/>
      <c r="M20010" s="8"/>
    </row>
    <row r="20011">
      <c r="B20011" s="8"/>
      <c r="G20011" s="8"/>
      <c r="M20011" s="8"/>
    </row>
    <row r="20012">
      <c r="B20012" s="8"/>
      <c r="G20012" s="8"/>
      <c r="M20012" s="8"/>
    </row>
    <row r="20013">
      <c r="B20013" s="8"/>
      <c r="G20013" s="8"/>
      <c r="M20013" s="8"/>
    </row>
    <row r="20014">
      <c r="B20014" s="8"/>
      <c r="G20014" s="8"/>
      <c r="M20014" s="8"/>
    </row>
    <row r="20015">
      <c r="B20015" s="8"/>
      <c r="G20015" s="8"/>
      <c r="M20015" s="8"/>
    </row>
    <row r="20016">
      <c r="B20016" s="8"/>
      <c r="G20016" s="8"/>
      <c r="M20016" s="8"/>
    </row>
    <row r="20017">
      <c r="B20017" s="8"/>
      <c r="G20017" s="8"/>
      <c r="M20017" s="8"/>
    </row>
    <row r="20018">
      <c r="B20018" s="8"/>
      <c r="G20018" s="8"/>
      <c r="M20018" s="8"/>
    </row>
    <row r="20019">
      <c r="B20019" s="8"/>
      <c r="G20019" s="8"/>
      <c r="M20019" s="8"/>
    </row>
    <row r="20020">
      <c r="B20020" s="8"/>
      <c r="G20020" s="8"/>
      <c r="M20020" s="8"/>
    </row>
    <row r="20021">
      <c r="B20021" s="8"/>
      <c r="G20021" s="8"/>
      <c r="M20021" s="8"/>
    </row>
    <row r="20022">
      <c r="B20022" s="8"/>
      <c r="G20022" s="8"/>
      <c r="M20022" s="8"/>
    </row>
    <row r="20023">
      <c r="B20023" s="8"/>
      <c r="G20023" s="8"/>
      <c r="M20023" s="8"/>
    </row>
    <row r="20024">
      <c r="B20024" s="8"/>
      <c r="G20024" s="8"/>
      <c r="M20024" s="8"/>
    </row>
    <row r="20025">
      <c r="B20025" s="8"/>
      <c r="G20025" s="8"/>
      <c r="M20025" s="8"/>
    </row>
    <row r="20026">
      <c r="B20026" s="8"/>
      <c r="G20026" s="8"/>
      <c r="M20026" s="8"/>
    </row>
    <row r="20027">
      <c r="B20027" s="8"/>
      <c r="G20027" s="8"/>
      <c r="M20027" s="8"/>
    </row>
    <row r="20028">
      <c r="B20028" s="8"/>
      <c r="G20028" s="8"/>
      <c r="M20028" s="8"/>
    </row>
    <row r="20029">
      <c r="B20029" s="8"/>
      <c r="G20029" s="8"/>
      <c r="M20029" s="8"/>
    </row>
    <row r="20030">
      <c r="B20030" s="8"/>
      <c r="G20030" s="8"/>
      <c r="M20030" s="8"/>
    </row>
    <row r="20031">
      <c r="B20031" s="8"/>
      <c r="G20031" s="8"/>
      <c r="M20031" s="8"/>
    </row>
    <row r="20032">
      <c r="B20032" s="8"/>
      <c r="G20032" s="8"/>
      <c r="M20032" s="8"/>
    </row>
    <row r="20033">
      <c r="B20033" s="8"/>
      <c r="G20033" s="8"/>
      <c r="M20033" s="8"/>
    </row>
    <row r="20034">
      <c r="B20034" s="8"/>
      <c r="G20034" s="8"/>
      <c r="M20034" s="8"/>
    </row>
    <row r="20035">
      <c r="B20035" s="8"/>
      <c r="G20035" s="8"/>
      <c r="M20035" s="8"/>
    </row>
    <row r="20036">
      <c r="B20036" s="8"/>
      <c r="G20036" s="8"/>
      <c r="M20036" s="8"/>
    </row>
    <row r="20037">
      <c r="B20037" s="8"/>
      <c r="G20037" s="8"/>
      <c r="M20037" s="8"/>
    </row>
    <row r="20038">
      <c r="B20038" s="8"/>
      <c r="G20038" s="8"/>
      <c r="M20038" s="8"/>
    </row>
    <row r="20039">
      <c r="B20039" s="8"/>
      <c r="G20039" s="8"/>
      <c r="M20039" s="8"/>
    </row>
    <row r="20040">
      <c r="B20040" s="8"/>
      <c r="G20040" s="8"/>
      <c r="M20040" s="8"/>
    </row>
    <row r="20041">
      <c r="B20041" s="8"/>
      <c r="G20041" s="8"/>
      <c r="M20041" s="8"/>
    </row>
    <row r="20042">
      <c r="B20042" s="8"/>
      <c r="G20042" s="8"/>
      <c r="M20042" s="8"/>
    </row>
    <row r="20043">
      <c r="B20043" s="8"/>
      <c r="G20043" s="8"/>
      <c r="M20043" s="8"/>
    </row>
    <row r="20044">
      <c r="B20044" s="8"/>
      <c r="G20044" s="8"/>
      <c r="M20044" s="8"/>
    </row>
    <row r="20045">
      <c r="B20045" s="8"/>
      <c r="G20045" s="8"/>
      <c r="M20045" s="8"/>
    </row>
    <row r="20046">
      <c r="B20046" s="8"/>
      <c r="G20046" s="8"/>
      <c r="M20046" s="8"/>
    </row>
    <row r="20047">
      <c r="B20047" s="8"/>
      <c r="G20047" s="8"/>
      <c r="M20047" s="8"/>
    </row>
    <row r="20048">
      <c r="B20048" s="8"/>
      <c r="G20048" s="8"/>
      <c r="M20048" s="8"/>
    </row>
    <row r="20049">
      <c r="B20049" s="8"/>
      <c r="G20049" s="8"/>
      <c r="M20049" s="8"/>
    </row>
    <row r="20050">
      <c r="B20050" s="8"/>
      <c r="G20050" s="8"/>
      <c r="M20050" s="8"/>
    </row>
    <row r="20051">
      <c r="B20051" s="8"/>
      <c r="G20051" s="8"/>
      <c r="M20051" s="8"/>
    </row>
    <row r="20052">
      <c r="B20052" s="8"/>
      <c r="G20052" s="8"/>
      <c r="M20052" s="8"/>
    </row>
    <row r="20053">
      <c r="B20053" s="8"/>
      <c r="G20053" s="8"/>
      <c r="M20053" s="8"/>
    </row>
    <row r="20054">
      <c r="B20054" s="8"/>
      <c r="G20054" s="8"/>
      <c r="M20054" s="8"/>
    </row>
    <row r="20055">
      <c r="B20055" s="8"/>
      <c r="G20055" s="8"/>
      <c r="M20055" s="8"/>
    </row>
    <row r="20056">
      <c r="B20056" s="8"/>
      <c r="G20056" s="8"/>
      <c r="M20056" s="8"/>
    </row>
    <row r="20057">
      <c r="B20057" s="8"/>
      <c r="G20057" s="8"/>
      <c r="M20057" s="8"/>
    </row>
    <row r="20058">
      <c r="B20058" s="8"/>
      <c r="G20058" s="8"/>
      <c r="M20058" s="8"/>
    </row>
    <row r="20059">
      <c r="B20059" s="8"/>
      <c r="G20059" s="8"/>
      <c r="M20059" s="8"/>
    </row>
    <row r="20060">
      <c r="B20060" s="8"/>
      <c r="G20060" s="8"/>
      <c r="M20060" s="8"/>
    </row>
    <row r="20061">
      <c r="B20061" s="8"/>
      <c r="G20061" s="8"/>
      <c r="M20061" s="8"/>
    </row>
    <row r="20062">
      <c r="B20062" s="8"/>
      <c r="G20062" s="8"/>
      <c r="M20062" s="8"/>
    </row>
    <row r="20063">
      <c r="B20063" s="8"/>
      <c r="G20063" s="8"/>
      <c r="M20063" s="8"/>
    </row>
    <row r="20064">
      <c r="B20064" s="8"/>
      <c r="G20064" s="8"/>
      <c r="M20064" s="8"/>
    </row>
    <row r="20065">
      <c r="B20065" s="8"/>
      <c r="G20065" s="8"/>
      <c r="M20065" s="8"/>
    </row>
    <row r="20066">
      <c r="B20066" s="8"/>
      <c r="G20066" s="8"/>
      <c r="M20066" s="8"/>
    </row>
    <row r="20067">
      <c r="B20067" s="8"/>
      <c r="G20067" s="8"/>
      <c r="M20067" s="8"/>
    </row>
    <row r="20068">
      <c r="B20068" s="8"/>
      <c r="G20068" s="8"/>
      <c r="M20068" s="8"/>
    </row>
    <row r="20069">
      <c r="B20069" s="8"/>
      <c r="G20069" s="8"/>
      <c r="M20069" s="8"/>
    </row>
    <row r="20070">
      <c r="B20070" s="8"/>
      <c r="G20070" s="8"/>
      <c r="M20070" s="8"/>
    </row>
    <row r="20071">
      <c r="B20071" s="8"/>
      <c r="G20071" s="8"/>
      <c r="M20071" s="8"/>
    </row>
    <row r="20072">
      <c r="B20072" s="8"/>
      <c r="G20072" s="8"/>
      <c r="M20072" s="8"/>
    </row>
    <row r="20073">
      <c r="B20073" s="8"/>
      <c r="G20073" s="8"/>
      <c r="M20073" s="8"/>
    </row>
    <row r="20074">
      <c r="B20074" s="8"/>
      <c r="G20074" s="8"/>
      <c r="M20074" s="8"/>
    </row>
    <row r="20075">
      <c r="B20075" s="8"/>
      <c r="G20075" s="8"/>
      <c r="M20075" s="8"/>
    </row>
    <row r="20076">
      <c r="B20076" s="8"/>
      <c r="G20076" s="8"/>
      <c r="M20076" s="8"/>
    </row>
    <row r="20077">
      <c r="B20077" s="8"/>
      <c r="G20077" s="8"/>
      <c r="M20077" s="8"/>
    </row>
    <row r="20078">
      <c r="B20078" s="8"/>
      <c r="G20078" s="8"/>
      <c r="M20078" s="8"/>
    </row>
    <row r="20079">
      <c r="B20079" s="8"/>
      <c r="G20079" s="8"/>
      <c r="M20079" s="8"/>
    </row>
    <row r="20080">
      <c r="B20080" s="8"/>
      <c r="G20080" s="8"/>
      <c r="M20080" s="8"/>
    </row>
    <row r="20081">
      <c r="B20081" s="8"/>
      <c r="G20081" s="8"/>
      <c r="M20081" s="8"/>
    </row>
    <row r="20082">
      <c r="B20082" s="8"/>
      <c r="G20082" s="8"/>
      <c r="M20082" s="8"/>
    </row>
    <row r="20083">
      <c r="B20083" s="8"/>
      <c r="G20083" s="8"/>
      <c r="M20083" s="8"/>
    </row>
    <row r="20084">
      <c r="B20084" s="8"/>
      <c r="G20084" s="8"/>
      <c r="M20084" s="8"/>
    </row>
    <row r="20085">
      <c r="B20085" s="8"/>
      <c r="G20085" s="8"/>
      <c r="M20085" s="8"/>
    </row>
    <row r="20086">
      <c r="B20086" s="8"/>
      <c r="G20086" s="8"/>
      <c r="M20086" s="8"/>
    </row>
    <row r="20087">
      <c r="B20087" s="8"/>
      <c r="G20087" s="8"/>
      <c r="M20087" s="8"/>
    </row>
    <row r="20088">
      <c r="B20088" s="8"/>
      <c r="G20088" s="8"/>
      <c r="M20088" s="8"/>
    </row>
    <row r="20089">
      <c r="B20089" s="8"/>
      <c r="G20089" s="8"/>
      <c r="M20089" s="8"/>
    </row>
    <row r="20090">
      <c r="B20090" s="8"/>
      <c r="G20090" s="8"/>
      <c r="M20090" s="8"/>
    </row>
    <row r="20091">
      <c r="B20091" s="8"/>
      <c r="G20091" s="8"/>
      <c r="M20091" s="8"/>
    </row>
    <row r="20092">
      <c r="B20092" s="8"/>
      <c r="G20092" s="8"/>
      <c r="M20092" s="8"/>
    </row>
    <row r="20093">
      <c r="B20093" s="8"/>
      <c r="G20093" s="8"/>
      <c r="M20093" s="8"/>
    </row>
    <row r="20094">
      <c r="B20094" s="8"/>
      <c r="G20094" s="8"/>
      <c r="M20094" s="8"/>
    </row>
    <row r="20095">
      <c r="B20095" s="8"/>
      <c r="G20095" s="8"/>
      <c r="M20095" s="8"/>
    </row>
    <row r="20096">
      <c r="B20096" s="8"/>
      <c r="G20096" s="8"/>
      <c r="M20096" s="8"/>
    </row>
    <row r="20097">
      <c r="B20097" s="8"/>
      <c r="G20097" s="8"/>
      <c r="M20097" s="8"/>
    </row>
    <row r="20098">
      <c r="B20098" s="8"/>
      <c r="G20098" s="8"/>
      <c r="M20098" s="8"/>
    </row>
    <row r="20099">
      <c r="B20099" s="8"/>
      <c r="G20099" s="8"/>
      <c r="M20099" s="8"/>
    </row>
    <row r="20100">
      <c r="B20100" s="8"/>
      <c r="G20100" s="8"/>
      <c r="M20100" s="8"/>
    </row>
    <row r="20101">
      <c r="B20101" s="8"/>
      <c r="G20101" s="8"/>
      <c r="M20101" s="8"/>
    </row>
    <row r="20102">
      <c r="B20102" s="8"/>
      <c r="G20102" s="8"/>
      <c r="M20102" s="8"/>
    </row>
    <row r="20103">
      <c r="B20103" s="8"/>
      <c r="G20103" s="8"/>
      <c r="M20103" s="8"/>
    </row>
    <row r="20104">
      <c r="B20104" s="8"/>
      <c r="G20104" s="8"/>
      <c r="M20104" s="8"/>
    </row>
    <row r="20105">
      <c r="B20105" s="8"/>
      <c r="G20105" s="8"/>
      <c r="M20105" s="8"/>
    </row>
    <row r="20106">
      <c r="B20106" s="8"/>
      <c r="G20106" s="8"/>
      <c r="M20106" s="8"/>
    </row>
    <row r="20107">
      <c r="B20107" s="8"/>
      <c r="G20107" s="8"/>
      <c r="M20107" s="8"/>
    </row>
    <row r="20108">
      <c r="B20108" s="8"/>
      <c r="G20108" s="8"/>
      <c r="M20108" s="8"/>
    </row>
    <row r="20109">
      <c r="B20109" s="8"/>
      <c r="G20109" s="8"/>
      <c r="M20109" s="8"/>
    </row>
    <row r="20110">
      <c r="B20110" s="8"/>
      <c r="G20110" s="8"/>
      <c r="M20110" s="8"/>
    </row>
    <row r="20111">
      <c r="B20111" s="8"/>
      <c r="G20111" s="8"/>
      <c r="M20111" s="8"/>
    </row>
    <row r="20112">
      <c r="B20112" s="8"/>
      <c r="G20112" s="8"/>
      <c r="M20112" s="8"/>
    </row>
    <row r="20113">
      <c r="B20113" s="8"/>
      <c r="G20113" s="8"/>
      <c r="M20113" s="8"/>
    </row>
    <row r="20114">
      <c r="B20114" s="8"/>
      <c r="G20114" s="8"/>
      <c r="M20114" s="8"/>
    </row>
    <row r="20115">
      <c r="B20115" s="8"/>
      <c r="G20115" s="8"/>
      <c r="M20115" s="8"/>
    </row>
    <row r="20116">
      <c r="B20116" s="8"/>
      <c r="G20116" s="8"/>
      <c r="M20116" s="8"/>
    </row>
    <row r="20117">
      <c r="B20117" s="8"/>
      <c r="G20117" s="8"/>
      <c r="M20117" s="8"/>
    </row>
    <row r="20118">
      <c r="B20118" s="8"/>
      <c r="G20118" s="8"/>
      <c r="M20118" s="8"/>
    </row>
    <row r="20119">
      <c r="B20119" s="8"/>
      <c r="G20119" s="8"/>
      <c r="M20119" s="8"/>
    </row>
    <row r="20120">
      <c r="B20120" s="8"/>
      <c r="G20120" s="8"/>
      <c r="M20120" s="8"/>
    </row>
    <row r="20121">
      <c r="B20121" s="8"/>
      <c r="G20121" s="8"/>
      <c r="M20121" s="8"/>
    </row>
    <row r="20122">
      <c r="B20122" s="8"/>
      <c r="G20122" s="8"/>
      <c r="M20122" s="8"/>
    </row>
    <row r="20123">
      <c r="B20123" s="8"/>
      <c r="G20123" s="8"/>
      <c r="M20123" s="8"/>
    </row>
    <row r="20124">
      <c r="B20124" s="8"/>
      <c r="G20124" s="8"/>
      <c r="M20124" s="8"/>
    </row>
    <row r="20125">
      <c r="B20125" s="8"/>
      <c r="G20125" s="8"/>
      <c r="M20125" s="8"/>
    </row>
    <row r="20126">
      <c r="B20126" s="8"/>
      <c r="G20126" s="8"/>
      <c r="M20126" s="8"/>
    </row>
    <row r="20127">
      <c r="B20127" s="8"/>
      <c r="G20127" s="8"/>
      <c r="M20127" s="8"/>
    </row>
    <row r="20128">
      <c r="B20128" s="8"/>
      <c r="G20128" s="8"/>
      <c r="M20128" s="8"/>
    </row>
    <row r="20129">
      <c r="B20129" s="8"/>
      <c r="G20129" s="8"/>
      <c r="M20129" s="8"/>
    </row>
    <row r="20130">
      <c r="B20130" s="8"/>
      <c r="G20130" s="8"/>
      <c r="M20130" s="8"/>
    </row>
    <row r="20131">
      <c r="B20131" s="8"/>
      <c r="G20131" s="8"/>
      <c r="M20131" s="8"/>
    </row>
    <row r="20132">
      <c r="B20132" s="8"/>
      <c r="G20132" s="8"/>
      <c r="M20132" s="8"/>
    </row>
    <row r="20133">
      <c r="B20133" s="8"/>
      <c r="G20133" s="8"/>
      <c r="M20133" s="8"/>
    </row>
    <row r="20134">
      <c r="B20134" s="8"/>
      <c r="G20134" s="8"/>
      <c r="M20134" s="8"/>
    </row>
    <row r="20135">
      <c r="B20135" s="8"/>
      <c r="G20135" s="8"/>
      <c r="M20135" s="8"/>
    </row>
    <row r="20136">
      <c r="B20136" s="8"/>
      <c r="G20136" s="8"/>
      <c r="M20136" s="8"/>
    </row>
    <row r="20137">
      <c r="B20137" s="8"/>
      <c r="G20137" s="8"/>
      <c r="M20137" s="8"/>
    </row>
    <row r="20138">
      <c r="B20138" s="8"/>
      <c r="G20138" s="8"/>
      <c r="M20138" s="8"/>
    </row>
    <row r="20139">
      <c r="B20139" s="8"/>
      <c r="G20139" s="8"/>
      <c r="M20139" s="8"/>
    </row>
    <row r="20140">
      <c r="B20140" s="8"/>
      <c r="G20140" s="8"/>
      <c r="M20140" s="8"/>
    </row>
    <row r="20141">
      <c r="B20141" s="8"/>
      <c r="G20141" s="8"/>
      <c r="M20141" s="8"/>
    </row>
    <row r="20142">
      <c r="B20142" s="8"/>
      <c r="G20142" s="8"/>
      <c r="M20142" s="8"/>
    </row>
    <row r="20143">
      <c r="B20143" s="8"/>
      <c r="G20143" s="8"/>
      <c r="M20143" s="8"/>
    </row>
    <row r="20144">
      <c r="B20144" s="8"/>
      <c r="G20144" s="8"/>
      <c r="M20144" s="8"/>
    </row>
    <row r="20145">
      <c r="B20145" s="8"/>
      <c r="G20145" s="8"/>
      <c r="M20145" s="8"/>
    </row>
    <row r="20146">
      <c r="B20146" s="8"/>
      <c r="G20146" s="8"/>
      <c r="M20146" s="8"/>
    </row>
    <row r="20147">
      <c r="B20147" s="8"/>
      <c r="G20147" s="8"/>
      <c r="M20147" s="8"/>
    </row>
    <row r="20148">
      <c r="B20148" s="8"/>
      <c r="G20148" s="8"/>
      <c r="M20148" s="8"/>
    </row>
    <row r="20149">
      <c r="B20149" s="8"/>
      <c r="G20149" s="8"/>
      <c r="M20149" s="8"/>
    </row>
    <row r="20150">
      <c r="B20150" s="8"/>
      <c r="G20150" s="8"/>
      <c r="M20150" s="8"/>
    </row>
    <row r="20151">
      <c r="B20151" s="8"/>
      <c r="G20151" s="8"/>
      <c r="M20151" s="8"/>
    </row>
    <row r="20152">
      <c r="B20152" s="8"/>
      <c r="G20152" s="8"/>
      <c r="M20152" s="8"/>
    </row>
    <row r="20153">
      <c r="B20153" s="8"/>
      <c r="G20153" s="8"/>
      <c r="M20153" s="8"/>
    </row>
    <row r="20154">
      <c r="B20154" s="8"/>
      <c r="G20154" s="8"/>
      <c r="M20154" s="8"/>
    </row>
    <row r="20155">
      <c r="B20155" s="8"/>
      <c r="G20155" s="8"/>
      <c r="M20155" s="8"/>
    </row>
    <row r="20156">
      <c r="B20156" s="8"/>
      <c r="G20156" s="8"/>
      <c r="M20156" s="8"/>
    </row>
    <row r="20157">
      <c r="B20157" s="8"/>
      <c r="G20157" s="8"/>
      <c r="M20157" s="8"/>
    </row>
    <row r="20158">
      <c r="B20158" s="8"/>
      <c r="G20158" s="8"/>
      <c r="M20158" s="8"/>
    </row>
    <row r="20159">
      <c r="B20159" s="8"/>
      <c r="G20159" s="8"/>
      <c r="M20159" s="8"/>
    </row>
    <row r="20160">
      <c r="B20160" s="8"/>
      <c r="G20160" s="8"/>
      <c r="M20160" s="8"/>
    </row>
    <row r="20161">
      <c r="B20161" s="8"/>
      <c r="G20161" s="8"/>
      <c r="M20161" s="8"/>
    </row>
    <row r="20162">
      <c r="B20162" s="8"/>
      <c r="G20162" s="8"/>
      <c r="M20162" s="8"/>
    </row>
    <row r="20163">
      <c r="B20163" s="8"/>
      <c r="G20163" s="8"/>
      <c r="M20163" s="8"/>
    </row>
    <row r="20164">
      <c r="B20164" s="8"/>
      <c r="G20164" s="8"/>
      <c r="M20164" s="8"/>
    </row>
    <row r="20165">
      <c r="B20165" s="8"/>
      <c r="G20165" s="8"/>
      <c r="M20165" s="8"/>
    </row>
    <row r="20166">
      <c r="B20166" s="8"/>
      <c r="G20166" s="8"/>
      <c r="M20166" s="8"/>
    </row>
    <row r="20167">
      <c r="B20167" s="8"/>
      <c r="G20167" s="8"/>
      <c r="M20167" s="8"/>
    </row>
    <row r="20168">
      <c r="B20168" s="8"/>
      <c r="G20168" s="8"/>
      <c r="M20168" s="8"/>
    </row>
    <row r="20169">
      <c r="B20169" s="8"/>
      <c r="G20169" s="8"/>
      <c r="M20169" s="8"/>
    </row>
    <row r="20170">
      <c r="B20170" s="8"/>
      <c r="G20170" s="8"/>
      <c r="M20170" s="8"/>
    </row>
    <row r="20171">
      <c r="B20171" s="8"/>
      <c r="G20171" s="8"/>
      <c r="M20171" s="8"/>
    </row>
    <row r="20172">
      <c r="B20172" s="8"/>
      <c r="G20172" s="8"/>
      <c r="M20172" s="8"/>
    </row>
    <row r="20173">
      <c r="B20173" s="8"/>
      <c r="G20173" s="8"/>
      <c r="M20173" s="8"/>
    </row>
    <row r="20174">
      <c r="B20174" s="8"/>
      <c r="G20174" s="8"/>
      <c r="M20174" s="8"/>
    </row>
    <row r="20175">
      <c r="B20175" s="8"/>
      <c r="G20175" s="8"/>
      <c r="M20175" s="8"/>
    </row>
    <row r="20176">
      <c r="B20176" s="8"/>
      <c r="G20176" s="8"/>
      <c r="M20176" s="8"/>
    </row>
    <row r="20177">
      <c r="B20177" s="8"/>
      <c r="G20177" s="8"/>
      <c r="M20177" s="8"/>
    </row>
    <row r="20178">
      <c r="B20178" s="8"/>
      <c r="G20178" s="8"/>
      <c r="M20178" s="8"/>
    </row>
    <row r="20179">
      <c r="B20179" s="8"/>
      <c r="G20179" s="8"/>
      <c r="M20179" s="8"/>
    </row>
    <row r="20180">
      <c r="B20180" s="8"/>
      <c r="G20180" s="8"/>
      <c r="M20180" s="8"/>
    </row>
    <row r="20181">
      <c r="B20181" s="8"/>
      <c r="G20181" s="8"/>
      <c r="M20181" s="8"/>
    </row>
    <row r="20182">
      <c r="B20182" s="8"/>
      <c r="G20182" s="8"/>
      <c r="M20182" s="8"/>
    </row>
    <row r="20183">
      <c r="B20183" s="8"/>
      <c r="G20183" s="8"/>
      <c r="M20183" s="8"/>
    </row>
    <row r="20184">
      <c r="B20184" s="8"/>
      <c r="G20184" s="8"/>
      <c r="M20184" s="8"/>
    </row>
    <row r="20185">
      <c r="B20185" s="8"/>
      <c r="G20185" s="8"/>
      <c r="M20185" s="8"/>
    </row>
    <row r="20186">
      <c r="B20186" s="8"/>
      <c r="G20186" s="8"/>
      <c r="M20186" s="8"/>
    </row>
    <row r="20187">
      <c r="B20187" s="8"/>
      <c r="G20187" s="8"/>
      <c r="M20187" s="8"/>
    </row>
    <row r="20188">
      <c r="B20188" s="8"/>
      <c r="G20188" s="8"/>
      <c r="M20188" s="8"/>
    </row>
    <row r="20189">
      <c r="B20189" s="8"/>
      <c r="G20189" s="8"/>
      <c r="M20189" s="8"/>
    </row>
    <row r="20190">
      <c r="B20190" s="8"/>
      <c r="G20190" s="8"/>
      <c r="M20190" s="8"/>
    </row>
    <row r="20191">
      <c r="B20191" s="8"/>
      <c r="G20191" s="8"/>
      <c r="M20191" s="8"/>
    </row>
    <row r="20192">
      <c r="B20192" s="8"/>
      <c r="G20192" s="8"/>
      <c r="M20192" s="8"/>
    </row>
    <row r="20193">
      <c r="B20193" s="8"/>
      <c r="G20193" s="8"/>
      <c r="M20193" s="8"/>
    </row>
    <row r="20194">
      <c r="B20194" s="8"/>
      <c r="G20194" s="8"/>
      <c r="M20194" s="8"/>
    </row>
    <row r="20195">
      <c r="B20195" s="8"/>
      <c r="G20195" s="8"/>
      <c r="M20195" s="8"/>
    </row>
    <row r="20196">
      <c r="B20196" s="8"/>
      <c r="G20196" s="8"/>
      <c r="M20196" s="8"/>
    </row>
    <row r="20197">
      <c r="B20197" s="8"/>
      <c r="G20197" s="8"/>
      <c r="M20197" s="8"/>
    </row>
    <row r="20198">
      <c r="B20198" s="8"/>
      <c r="G20198" s="8"/>
      <c r="M20198" s="8"/>
    </row>
    <row r="20199">
      <c r="B20199" s="8"/>
      <c r="G20199" s="8"/>
      <c r="M20199" s="8"/>
    </row>
    <row r="20200">
      <c r="B20200" s="8"/>
      <c r="G20200" s="8"/>
      <c r="M20200" s="8"/>
    </row>
    <row r="20201">
      <c r="B20201" s="8"/>
      <c r="G20201" s="8"/>
      <c r="M20201" s="8"/>
    </row>
    <row r="20202">
      <c r="B20202" s="8"/>
      <c r="G20202" s="8"/>
      <c r="M20202" s="8"/>
    </row>
    <row r="20203">
      <c r="B20203" s="8"/>
      <c r="G20203" s="8"/>
      <c r="M20203" s="8"/>
    </row>
    <row r="20204">
      <c r="B20204" s="8"/>
      <c r="G20204" s="8"/>
      <c r="M20204" s="8"/>
    </row>
    <row r="20205">
      <c r="B20205" s="8"/>
      <c r="G20205" s="8"/>
      <c r="M20205" s="8"/>
    </row>
    <row r="20206">
      <c r="B20206" s="8"/>
      <c r="G20206" s="8"/>
      <c r="M20206" s="8"/>
    </row>
    <row r="20207">
      <c r="B20207" s="8"/>
      <c r="G20207" s="8"/>
      <c r="M20207" s="8"/>
    </row>
    <row r="20208">
      <c r="B20208" s="8"/>
      <c r="G20208" s="8"/>
      <c r="M20208" s="8"/>
    </row>
    <row r="20209">
      <c r="B20209" s="8"/>
      <c r="G20209" s="8"/>
      <c r="M20209" s="8"/>
    </row>
    <row r="20210">
      <c r="B20210" s="8"/>
      <c r="G20210" s="8"/>
      <c r="M20210" s="8"/>
    </row>
    <row r="20211">
      <c r="B20211" s="8"/>
      <c r="G20211" s="8"/>
      <c r="M20211" s="8"/>
    </row>
    <row r="20212">
      <c r="B20212" s="8"/>
      <c r="G20212" s="8"/>
      <c r="M20212" s="8"/>
    </row>
    <row r="20213">
      <c r="B20213" s="8"/>
      <c r="G20213" s="8"/>
      <c r="M20213" s="8"/>
    </row>
    <row r="20214">
      <c r="B20214" s="8"/>
      <c r="G20214" s="8"/>
      <c r="M20214" s="8"/>
    </row>
    <row r="20215">
      <c r="B20215" s="8"/>
      <c r="G20215" s="8"/>
      <c r="M20215" s="8"/>
    </row>
    <row r="20216">
      <c r="B20216" s="8"/>
      <c r="G20216" s="8"/>
      <c r="M20216" s="8"/>
    </row>
    <row r="20217">
      <c r="B20217" s="8"/>
      <c r="G20217" s="8"/>
      <c r="M20217" s="8"/>
    </row>
    <row r="20218">
      <c r="B20218" s="8"/>
      <c r="G20218" s="8"/>
      <c r="M20218" s="8"/>
    </row>
    <row r="20219">
      <c r="B20219" s="8"/>
      <c r="G20219" s="8"/>
      <c r="M20219" s="8"/>
    </row>
    <row r="20220">
      <c r="B20220" s="8"/>
      <c r="G20220" s="8"/>
      <c r="M20220" s="8"/>
    </row>
    <row r="20221">
      <c r="B20221" s="8"/>
      <c r="G20221" s="8"/>
      <c r="M20221" s="8"/>
    </row>
    <row r="20222">
      <c r="B20222" s="8"/>
      <c r="G20222" s="8"/>
      <c r="M20222" s="8"/>
    </row>
    <row r="20223">
      <c r="B20223" s="8"/>
      <c r="G20223" s="8"/>
      <c r="M20223" s="8"/>
    </row>
    <row r="20224">
      <c r="B20224" s="8"/>
      <c r="G20224" s="8"/>
      <c r="M20224" s="8"/>
    </row>
    <row r="20225">
      <c r="B20225" s="8"/>
      <c r="G20225" s="8"/>
      <c r="M20225" s="8"/>
    </row>
    <row r="20226">
      <c r="B20226" s="8"/>
      <c r="G20226" s="8"/>
      <c r="M20226" s="8"/>
    </row>
    <row r="20227">
      <c r="B20227" s="8"/>
      <c r="G20227" s="8"/>
      <c r="M20227" s="8"/>
    </row>
    <row r="20228">
      <c r="B20228" s="8"/>
      <c r="G20228" s="8"/>
      <c r="M20228" s="8"/>
    </row>
    <row r="20229">
      <c r="B20229" s="8"/>
      <c r="G20229" s="8"/>
      <c r="M20229" s="8"/>
    </row>
    <row r="20230">
      <c r="B20230" s="8"/>
      <c r="G20230" s="8"/>
      <c r="M20230" s="8"/>
    </row>
    <row r="20231">
      <c r="B20231" s="8"/>
      <c r="G20231" s="8"/>
      <c r="M20231" s="8"/>
    </row>
    <row r="20232">
      <c r="B20232" s="8"/>
      <c r="G20232" s="8"/>
      <c r="M20232" s="8"/>
    </row>
    <row r="20233">
      <c r="B20233" s="8"/>
      <c r="G20233" s="8"/>
      <c r="M20233" s="8"/>
    </row>
    <row r="20234">
      <c r="B20234" s="8"/>
      <c r="G20234" s="8"/>
      <c r="M20234" s="8"/>
    </row>
    <row r="20235">
      <c r="B20235" s="8"/>
      <c r="G20235" s="8"/>
      <c r="M20235" s="8"/>
    </row>
    <row r="20236">
      <c r="B20236" s="8"/>
      <c r="G20236" s="8"/>
      <c r="M20236" s="8"/>
    </row>
    <row r="20237">
      <c r="B20237" s="8"/>
      <c r="G20237" s="8"/>
      <c r="M20237" s="8"/>
    </row>
    <row r="20238">
      <c r="B20238" s="8"/>
      <c r="G20238" s="8"/>
      <c r="M20238" s="8"/>
    </row>
    <row r="20239">
      <c r="B20239" s="8"/>
      <c r="G20239" s="8"/>
      <c r="M20239" s="8"/>
    </row>
    <row r="20240">
      <c r="B20240" s="8"/>
      <c r="G20240" s="8"/>
      <c r="M20240" s="8"/>
    </row>
    <row r="20241">
      <c r="B20241" s="8"/>
      <c r="G20241" s="8"/>
      <c r="M20241" s="8"/>
    </row>
    <row r="20242">
      <c r="B20242" s="8"/>
      <c r="G20242" s="8"/>
      <c r="M20242" s="8"/>
    </row>
    <row r="20243">
      <c r="B20243" s="8"/>
      <c r="G20243" s="8"/>
      <c r="M20243" s="8"/>
    </row>
    <row r="20244">
      <c r="B20244" s="8"/>
      <c r="G20244" s="8"/>
      <c r="M20244" s="8"/>
    </row>
    <row r="20245">
      <c r="B20245" s="8"/>
      <c r="G20245" s="8"/>
      <c r="M20245" s="8"/>
    </row>
    <row r="20246">
      <c r="B20246" s="8"/>
      <c r="G20246" s="8"/>
      <c r="M20246" s="8"/>
    </row>
    <row r="20247">
      <c r="B20247" s="8"/>
      <c r="G20247" s="8"/>
      <c r="M20247" s="8"/>
    </row>
    <row r="20248">
      <c r="B20248" s="8"/>
      <c r="G20248" s="8"/>
      <c r="M20248" s="8"/>
    </row>
    <row r="20249">
      <c r="B20249" s="8"/>
      <c r="G20249" s="8"/>
      <c r="M20249" s="8"/>
    </row>
    <row r="20250">
      <c r="B20250" s="8"/>
      <c r="G20250" s="8"/>
      <c r="M20250" s="8"/>
    </row>
    <row r="20251">
      <c r="B20251" s="8"/>
      <c r="G20251" s="8"/>
      <c r="M20251" s="8"/>
    </row>
    <row r="20252">
      <c r="B20252" s="8"/>
      <c r="G20252" s="8"/>
      <c r="M20252" s="8"/>
    </row>
    <row r="20253">
      <c r="B20253" s="8"/>
      <c r="G20253" s="8"/>
      <c r="M20253" s="8"/>
    </row>
    <row r="20254">
      <c r="B20254" s="8"/>
      <c r="G20254" s="8"/>
      <c r="M20254" s="8"/>
    </row>
    <row r="20255">
      <c r="B20255" s="8"/>
      <c r="G20255" s="8"/>
      <c r="M20255" s="8"/>
    </row>
    <row r="20256">
      <c r="B20256" s="8"/>
      <c r="G20256" s="8"/>
      <c r="M20256" s="8"/>
    </row>
    <row r="20257">
      <c r="B20257" s="8"/>
      <c r="G20257" s="8"/>
      <c r="M20257" s="8"/>
    </row>
    <row r="20258">
      <c r="B20258" s="8"/>
      <c r="G20258" s="8"/>
      <c r="M20258" s="8"/>
    </row>
    <row r="20259">
      <c r="B20259" s="8"/>
      <c r="G20259" s="8"/>
      <c r="M20259" s="8"/>
    </row>
    <row r="20260">
      <c r="B20260" s="8"/>
      <c r="G20260" s="8"/>
      <c r="M20260" s="8"/>
    </row>
    <row r="20261">
      <c r="B20261" s="8"/>
      <c r="G20261" s="8"/>
      <c r="M20261" s="8"/>
    </row>
    <row r="20262">
      <c r="B20262" s="8"/>
      <c r="G20262" s="8"/>
      <c r="M20262" s="8"/>
    </row>
    <row r="20263">
      <c r="B20263" s="8"/>
      <c r="G20263" s="8"/>
      <c r="M20263" s="8"/>
    </row>
    <row r="20264">
      <c r="B20264" s="8"/>
      <c r="G20264" s="8"/>
      <c r="M20264" s="8"/>
    </row>
    <row r="20265">
      <c r="B20265" s="8"/>
      <c r="G20265" s="8"/>
      <c r="M20265" s="8"/>
    </row>
    <row r="20266">
      <c r="B20266" s="8"/>
      <c r="G20266" s="8"/>
      <c r="M20266" s="8"/>
    </row>
    <row r="20267">
      <c r="B20267" s="8"/>
      <c r="G20267" s="8"/>
      <c r="M20267" s="8"/>
    </row>
    <row r="20268">
      <c r="B20268" s="8"/>
      <c r="G20268" s="8"/>
      <c r="M20268" s="8"/>
    </row>
    <row r="20269">
      <c r="B20269" s="8"/>
      <c r="G20269" s="8"/>
      <c r="M20269" s="8"/>
    </row>
    <row r="20270">
      <c r="B20270" s="8"/>
      <c r="G20270" s="8"/>
      <c r="M20270" s="8"/>
    </row>
    <row r="20271">
      <c r="B20271" s="8"/>
      <c r="G20271" s="8"/>
      <c r="M20271" s="8"/>
    </row>
    <row r="20272">
      <c r="B20272" s="8"/>
      <c r="G20272" s="8"/>
      <c r="M20272" s="8"/>
    </row>
    <row r="20273">
      <c r="B20273" s="8"/>
      <c r="G20273" s="8"/>
      <c r="M20273" s="8"/>
    </row>
    <row r="20274">
      <c r="B20274" s="8"/>
      <c r="G20274" s="8"/>
      <c r="M20274" s="8"/>
    </row>
    <row r="20275">
      <c r="B20275" s="8"/>
      <c r="G20275" s="8"/>
      <c r="M20275" s="8"/>
    </row>
    <row r="20276">
      <c r="B20276" s="8"/>
      <c r="G20276" s="8"/>
      <c r="M20276" s="8"/>
    </row>
    <row r="20277">
      <c r="B20277" s="8"/>
      <c r="G20277" s="8"/>
      <c r="M20277" s="8"/>
    </row>
    <row r="20278">
      <c r="B20278" s="8"/>
      <c r="G20278" s="8"/>
      <c r="M20278" s="8"/>
    </row>
    <row r="20279">
      <c r="B20279" s="8"/>
      <c r="G20279" s="8"/>
      <c r="M20279" s="8"/>
    </row>
    <row r="20280">
      <c r="B20280" s="8"/>
      <c r="G20280" s="8"/>
      <c r="M20280" s="8"/>
    </row>
    <row r="20281">
      <c r="B20281" s="8"/>
      <c r="G20281" s="8"/>
      <c r="M20281" s="8"/>
    </row>
    <row r="20282">
      <c r="B20282" s="8"/>
      <c r="G20282" s="8"/>
      <c r="M20282" s="8"/>
    </row>
    <row r="20283">
      <c r="B20283" s="8"/>
      <c r="G20283" s="8"/>
      <c r="M20283" s="8"/>
    </row>
    <row r="20284">
      <c r="B20284" s="8"/>
      <c r="G20284" s="8"/>
      <c r="M20284" s="8"/>
    </row>
    <row r="20285">
      <c r="B20285" s="8"/>
      <c r="G20285" s="8"/>
      <c r="M20285" s="8"/>
    </row>
    <row r="20286">
      <c r="B20286" s="8"/>
      <c r="G20286" s="8"/>
      <c r="M20286" s="8"/>
    </row>
    <row r="20287">
      <c r="B20287" s="8"/>
      <c r="G20287" s="8"/>
      <c r="M20287" s="8"/>
    </row>
    <row r="20288">
      <c r="B20288" s="8"/>
      <c r="G20288" s="8"/>
      <c r="M20288" s="8"/>
    </row>
    <row r="20289">
      <c r="B20289" s="8"/>
      <c r="G20289" s="8"/>
      <c r="M20289" s="8"/>
    </row>
    <row r="20290">
      <c r="B20290" s="8"/>
      <c r="G20290" s="8"/>
      <c r="M20290" s="8"/>
    </row>
    <row r="20291">
      <c r="B20291" s="8"/>
      <c r="G20291" s="8"/>
      <c r="M20291" s="8"/>
    </row>
    <row r="20292">
      <c r="B20292" s="8"/>
      <c r="G20292" s="8"/>
      <c r="M20292" s="8"/>
    </row>
    <row r="20293">
      <c r="B20293" s="8"/>
      <c r="G20293" s="8"/>
      <c r="M20293" s="8"/>
    </row>
    <row r="20294">
      <c r="B20294" s="8"/>
      <c r="G20294" s="8"/>
      <c r="M20294" s="8"/>
    </row>
    <row r="20295">
      <c r="B20295" s="8"/>
      <c r="G20295" s="8"/>
      <c r="M20295" s="8"/>
    </row>
    <row r="20296">
      <c r="B20296" s="8"/>
      <c r="G20296" s="8"/>
      <c r="M20296" s="8"/>
    </row>
    <row r="20297">
      <c r="B20297" s="8"/>
      <c r="G20297" s="8"/>
      <c r="M20297" s="8"/>
    </row>
    <row r="20298">
      <c r="B20298" s="8"/>
      <c r="G20298" s="8"/>
      <c r="M20298" s="8"/>
    </row>
    <row r="20299">
      <c r="B20299" s="8"/>
      <c r="G20299" s="8"/>
      <c r="M20299" s="8"/>
    </row>
    <row r="20300">
      <c r="B20300" s="8"/>
      <c r="G20300" s="8"/>
      <c r="M20300" s="8"/>
    </row>
    <row r="20301">
      <c r="B20301" s="8"/>
      <c r="G20301" s="8"/>
      <c r="M20301" s="8"/>
    </row>
    <row r="20302">
      <c r="B20302" s="8"/>
      <c r="G20302" s="8"/>
      <c r="M20302" s="8"/>
    </row>
    <row r="20303">
      <c r="B20303" s="8"/>
      <c r="G20303" s="8"/>
      <c r="M20303" s="8"/>
    </row>
    <row r="20304">
      <c r="B20304" s="8"/>
      <c r="G20304" s="8"/>
      <c r="M20304" s="8"/>
    </row>
    <row r="20305">
      <c r="B20305" s="8"/>
      <c r="G20305" s="8"/>
      <c r="M20305" s="8"/>
    </row>
    <row r="20306">
      <c r="B20306" s="8"/>
      <c r="G20306" s="8"/>
      <c r="M20306" s="8"/>
    </row>
    <row r="20307">
      <c r="B20307" s="8"/>
      <c r="G20307" s="8"/>
      <c r="M20307" s="8"/>
    </row>
    <row r="20308">
      <c r="B20308" s="8"/>
      <c r="G20308" s="8"/>
      <c r="M20308" s="8"/>
    </row>
    <row r="20309">
      <c r="B20309" s="8"/>
      <c r="G20309" s="8"/>
      <c r="M20309" s="8"/>
    </row>
    <row r="20310">
      <c r="B20310" s="8"/>
      <c r="G20310" s="8"/>
      <c r="M20310" s="8"/>
    </row>
    <row r="20311">
      <c r="B20311" s="8"/>
      <c r="G20311" s="8"/>
      <c r="M20311" s="8"/>
    </row>
    <row r="20312">
      <c r="B20312" s="8"/>
      <c r="G20312" s="8"/>
      <c r="M20312" s="8"/>
    </row>
    <row r="20313">
      <c r="B20313" s="8"/>
      <c r="G20313" s="8"/>
      <c r="M20313" s="8"/>
    </row>
    <row r="20314">
      <c r="B20314" s="8"/>
      <c r="G20314" s="8"/>
      <c r="M20314" s="8"/>
    </row>
    <row r="20315">
      <c r="B20315" s="8"/>
      <c r="G20315" s="8"/>
      <c r="M20315" s="8"/>
    </row>
    <row r="20316">
      <c r="B20316" s="8"/>
      <c r="G20316" s="8"/>
      <c r="M20316" s="8"/>
    </row>
    <row r="20317">
      <c r="B20317" s="8"/>
      <c r="G20317" s="8"/>
      <c r="M20317" s="8"/>
    </row>
    <row r="20318">
      <c r="B20318" s="8"/>
      <c r="G20318" s="8"/>
      <c r="M20318" s="8"/>
    </row>
    <row r="20319">
      <c r="B20319" s="8"/>
      <c r="G20319" s="8"/>
      <c r="M20319" s="8"/>
    </row>
    <row r="20320">
      <c r="B20320" s="8"/>
      <c r="G20320" s="8"/>
      <c r="M20320" s="8"/>
    </row>
    <row r="20321">
      <c r="B20321" s="8"/>
      <c r="G20321" s="8"/>
      <c r="M20321" s="8"/>
    </row>
    <row r="20322">
      <c r="B20322" s="8"/>
      <c r="G20322" s="8"/>
      <c r="M20322" s="8"/>
    </row>
    <row r="20323">
      <c r="B20323" s="8"/>
      <c r="G20323" s="8"/>
      <c r="M20323" s="8"/>
    </row>
    <row r="20324">
      <c r="B20324" s="8"/>
      <c r="G20324" s="8"/>
      <c r="M20324" s="8"/>
    </row>
    <row r="20325">
      <c r="B20325" s="8"/>
      <c r="G20325" s="8"/>
      <c r="M20325" s="8"/>
    </row>
    <row r="20326">
      <c r="B20326" s="8"/>
      <c r="G20326" s="8"/>
      <c r="M20326" s="8"/>
    </row>
    <row r="20327">
      <c r="B20327" s="8"/>
      <c r="G20327" s="8"/>
      <c r="M20327" s="8"/>
    </row>
    <row r="20328">
      <c r="B20328" s="8"/>
      <c r="G20328" s="8"/>
      <c r="M20328" s="8"/>
    </row>
    <row r="20329">
      <c r="B20329" s="8"/>
      <c r="G20329" s="8"/>
      <c r="M20329" s="8"/>
    </row>
    <row r="20330">
      <c r="B20330" s="8"/>
      <c r="G20330" s="8"/>
      <c r="M20330" s="8"/>
    </row>
    <row r="20331">
      <c r="B20331" s="8"/>
      <c r="G20331" s="8"/>
      <c r="M20331" s="8"/>
    </row>
    <row r="20332">
      <c r="B20332" s="8"/>
      <c r="G20332" s="8"/>
      <c r="M20332" s="8"/>
    </row>
    <row r="20333">
      <c r="B20333" s="8"/>
      <c r="G20333" s="8"/>
      <c r="M20333" s="8"/>
    </row>
    <row r="20334">
      <c r="B20334" s="8"/>
      <c r="G20334" s="8"/>
      <c r="M20334" s="8"/>
    </row>
    <row r="20335">
      <c r="B20335" s="8"/>
      <c r="G20335" s="8"/>
      <c r="M20335" s="8"/>
    </row>
    <row r="20336">
      <c r="B20336" s="8"/>
      <c r="G20336" s="8"/>
      <c r="M20336" s="8"/>
    </row>
    <row r="20337">
      <c r="B20337" s="8"/>
      <c r="G20337" s="8"/>
      <c r="M20337" s="8"/>
    </row>
    <row r="20338">
      <c r="B20338" s="8"/>
      <c r="G20338" s="8"/>
      <c r="M20338" s="8"/>
    </row>
    <row r="20339">
      <c r="B20339" s="8"/>
      <c r="G20339" s="8"/>
      <c r="M20339" s="8"/>
    </row>
    <row r="20340">
      <c r="B20340" s="8"/>
      <c r="G20340" s="8"/>
      <c r="M20340" s="8"/>
    </row>
    <row r="20341">
      <c r="B20341" s="8"/>
      <c r="G20341" s="8"/>
      <c r="M20341" s="8"/>
    </row>
    <row r="20342">
      <c r="B20342" s="8"/>
      <c r="G20342" s="8"/>
      <c r="M20342" s="8"/>
    </row>
    <row r="20343">
      <c r="B20343" s="8"/>
      <c r="G20343" s="8"/>
      <c r="M20343" s="8"/>
    </row>
    <row r="20344">
      <c r="B20344" s="8"/>
      <c r="G20344" s="8"/>
      <c r="M20344" s="8"/>
    </row>
    <row r="20345">
      <c r="B20345" s="8"/>
      <c r="G20345" s="8"/>
      <c r="M20345" s="8"/>
    </row>
    <row r="20346">
      <c r="B20346" s="8"/>
      <c r="G20346" s="8"/>
      <c r="M20346" s="8"/>
    </row>
    <row r="20347">
      <c r="B20347" s="8"/>
      <c r="G20347" s="8"/>
      <c r="M20347" s="8"/>
    </row>
    <row r="20348">
      <c r="B20348" s="8"/>
      <c r="G20348" s="8"/>
      <c r="M20348" s="8"/>
    </row>
    <row r="20349">
      <c r="B20349" s="8"/>
      <c r="G20349" s="8"/>
      <c r="M20349" s="8"/>
    </row>
    <row r="20350">
      <c r="B20350" s="8"/>
      <c r="G20350" s="8"/>
      <c r="M20350" s="8"/>
    </row>
    <row r="20351">
      <c r="B20351" s="8"/>
      <c r="G20351" s="8"/>
      <c r="M20351" s="8"/>
    </row>
    <row r="20352">
      <c r="B20352" s="8"/>
      <c r="G20352" s="8"/>
      <c r="M20352" s="8"/>
    </row>
    <row r="20353">
      <c r="B20353" s="8"/>
      <c r="G20353" s="8"/>
      <c r="M20353" s="8"/>
    </row>
    <row r="20354">
      <c r="B20354" s="8"/>
      <c r="G20354" s="8"/>
      <c r="M20354" s="8"/>
    </row>
    <row r="20355">
      <c r="B20355" s="8"/>
      <c r="G20355" s="8"/>
      <c r="M20355" s="8"/>
    </row>
    <row r="20356">
      <c r="B20356" s="8"/>
      <c r="G20356" s="8"/>
      <c r="M20356" s="8"/>
    </row>
    <row r="20357">
      <c r="B20357" s="8"/>
      <c r="G20357" s="8"/>
      <c r="M20357" s="8"/>
    </row>
    <row r="20358">
      <c r="B20358" s="8"/>
      <c r="G20358" s="8"/>
      <c r="M20358" s="8"/>
    </row>
    <row r="20359">
      <c r="B20359" s="8"/>
      <c r="G20359" s="8"/>
      <c r="M20359" s="8"/>
    </row>
    <row r="20360">
      <c r="B20360" s="8"/>
      <c r="G20360" s="8"/>
      <c r="M20360" s="8"/>
    </row>
    <row r="20361">
      <c r="B20361" s="8"/>
      <c r="G20361" s="8"/>
      <c r="M20361" s="8"/>
    </row>
    <row r="20362">
      <c r="B20362" s="8"/>
      <c r="G20362" s="8"/>
      <c r="M20362" s="8"/>
    </row>
    <row r="20363">
      <c r="B20363" s="8"/>
      <c r="G20363" s="8"/>
      <c r="M20363" s="8"/>
    </row>
    <row r="20364">
      <c r="B20364" s="8"/>
      <c r="G20364" s="8"/>
      <c r="M20364" s="8"/>
    </row>
    <row r="20365">
      <c r="B20365" s="8"/>
      <c r="G20365" s="8"/>
      <c r="M20365" s="8"/>
    </row>
    <row r="20366">
      <c r="B20366" s="8"/>
      <c r="G20366" s="8"/>
      <c r="M20366" s="8"/>
    </row>
    <row r="20367">
      <c r="B20367" s="8"/>
      <c r="G20367" s="8"/>
      <c r="M20367" s="8"/>
    </row>
    <row r="20368">
      <c r="B20368" s="8"/>
      <c r="G20368" s="8"/>
      <c r="M20368" s="8"/>
    </row>
    <row r="20369">
      <c r="B20369" s="8"/>
      <c r="G20369" s="8"/>
      <c r="M20369" s="8"/>
    </row>
    <row r="20370">
      <c r="B20370" s="8"/>
      <c r="G20370" s="8"/>
      <c r="M20370" s="8"/>
    </row>
    <row r="20371">
      <c r="B20371" s="8"/>
      <c r="G20371" s="8"/>
      <c r="M20371" s="8"/>
    </row>
    <row r="20372">
      <c r="B20372" s="8"/>
      <c r="G20372" s="8"/>
      <c r="M20372" s="8"/>
    </row>
    <row r="20373">
      <c r="B20373" s="8"/>
      <c r="G20373" s="8"/>
      <c r="M20373" s="8"/>
    </row>
    <row r="20374">
      <c r="B20374" s="8"/>
      <c r="G20374" s="8"/>
      <c r="M20374" s="8"/>
    </row>
    <row r="20375">
      <c r="B20375" s="8"/>
      <c r="G20375" s="8"/>
      <c r="M20375" s="8"/>
    </row>
    <row r="20376">
      <c r="B20376" s="8"/>
      <c r="G20376" s="8"/>
      <c r="M20376" s="8"/>
    </row>
    <row r="20377">
      <c r="B20377" s="8"/>
      <c r="G20377" s="8"/>
      <c r="M20377" s="8"/>
    </row>
    <row r="20378">
      <c r="B20378" s="8"/>
      <c r="G20378" s="8"/>
      <c r="M20378" s="8"/>
    </row>
    <row r="20379">
      <c r="B20379" s="8"/>
      <c r="G20379" s="8"/>
      <c r="M20379" s="8"/>
    </row>
    <row r="20380">
      <c r="B20380" s="8"/>
      <c r="G20380" s="8"/>
      <c r="M20380" s="8"/>
    </row>
    <row r="20381">
      <c r="B20381" s="8"/>
      <c r="G20381" s="8"/>
      <c r="M20381" s="8"/>
    </row>
    <row r="20382">
      <c r="B20382" s="8"/>
      <c r="G20382" s="8"/>
      <c r="M20382" s="8"/>
    </row>
    <row r="20383">
      <c r="B20383" s="8"/>
      <c r="G20383" s="8"/>
      <c r="M20383" s="8"/>
    </row>
    <row r="20384">
      <c r="B20384" s="8"/>
      <c r="G20384" s="8"/>
      <c r="M20384" s="8"/>
    </row>
    <row r="20385">
      <c r="B20385" s="8"/>
      <c r="G20385" s="8"/>
      <c r="M20385" s="8"/>
    </row>
    <row r="20386">
      <c r="B20386" s="8"/>
      <c r="G20386" s="8"/>
      <c r="M20386" s="8"/>
    </row>
    <row r="20387">
      <c r="B20387" s="8"/>
      <c r="G20387" s="8"/>
      <c r="M20387" s="8"/>
    </row>
    <row r="20388">
      <c r="B20388" s="8"/>
      <c r="G20388" s="8"/>
      <c r="M20388" s="8"/>
    </row>
    <row r="20389">
      <c r="B20389" s="8"/>
      <c r="G20389" s="8"/>
      <c r="M20389" s="8"/>
    </row>
    <row r="20390">
      <c r="B20390" s="8"/>
      <c r="G20390" s="8"/>
      <c r="M20390" s="8"/>
    </row>
    <row r="20391">
      <c r="B20391" s="8"/>
      <c r="G20391" s="8"/>
      <c r="M20391" s="8"/>
    </row>
    <row r="20392">
      <c r="B20392" s="8"/>
      <c r="G20392" s="8"/>
      <c r="M20392" s="8"/>
    </row>
    <row r="20393">
      <c r="B20393" s="8"/>
      <c r="G20393" s="8"/>
      <c r="M20393" s="8"/>
    </row>
    <row r="20394">
      <c r="B20394" s="8"/>
      <c r="G20394" s="8"/>
      <c r="M20394" s="8"/>
    </row>
    <row r="20395">
      <c r="B20395" s="8"/>
      <c r="G20395" s="8"/>
      <c r="M20395" s="8"/>
    </row>
    <row r="20396">
      <c r="B20396" s="8"/>
      <c r="G20396" s="8"/>
      <c r="M20396" s="8"/>
    </row>
    <row r="20397">
      <c r="B20397" s="8"/>
      <c r="G20397" s="8"/>
      <c r="M20397" s="8"/>
    </row>
    <row r="20398">
      <c r="B20398" s="8"/>
      <c r="G20398" s="8"/>
      <c r="M20398" s="8"/>
    </row>
    <row r="20399">
      <c r="B20399" s="8"/>
      <c r="G20399" s="8"/>
      <c r="M20399" s="8"/>
    </row>
    <row r="20400">
      <c r="B20400" s="8"/>
      <c r="G20400" s="8"/>
      <c r="M20400" s="8"/>
    </row>
    <row r="20401">
      <c r="B20401" s="8"/>
      <c r="G20401" s="8"/>
      <c r="M20401" s="8"/>
    </row>
    <row r="20402">
      <c r="B20402" s="8"/>
      <c r="G20402" s="8"/>
      <c r="M20402" s="8"/>
    </row>
    <row r="20403">
      <c r="B20403" s="8"/>
      <c r="G20403" s="8"/>
      <c r="M20403" s="8"/>
    </row>
    <row r="20404">
      <c r="B20404" s="8"/>
      <c r="G20404" s="8"/>
      <c r="M20404" s="8"/>
    </row>
    <row r="20405">
      <c r="B20405" s="8"/>
      <c r="G20405" s="8"/>
      <c r="M20405" s="8"/>
    </row>
    <row r="20406">
      <c r="B20406" s="8"/>
      <c r="G20406" s="8"/>
      <c r="M20406" s="8"/>
    </row>
    <row r="20407">
      <c r="B20407" s="8"/>
      <c r="G20407" s="8"/>
      <c r="M20407" s="8"/>
    </row>
    <row r="20408">
      <c r="B20408" s="8"/>
      <c r="G20408" s="8"/>
      <c r="M20408" s="8"/>
    </row>
    <row r="20409">
      <c r="B20409" s="8"/>
      <c r="G20409" s="8"/>
      <c r="M20409" s="8"/>
    </row>
    <row r="20410">
      <c r="B20410" s="8"/>
      <c r="G20410" s="8"/>
      <c r="M20410" s="8"/>
    </row>
    <row r="20411">
      <c r="B20411" s="8"/>
      <c r="G20411" s="8"/>
      <c r="M20411" s="8"/>
    </row>
    <row r="20412">
      <c r="B20412" s="8"/>
      <c r="G20412" s="8"/>
      <c r="M20412" s="8"/>
    </row>
    <row r="20413">
      <c r="B20413" s="8"/>
      <c r="G20413" s="8"/>
      <c r="M20413" s="8"/>
    </row>
    <row r="20414">
      <c r="B20414" s="8"/>
      <c r="G20414" s="8"/>
      <c r="M20414" s="8"/>
    </row>
    <row r="20415">
      <c r="B20415" s="8"/>
      <c r="G20415" s="8"/>
      <c r="M20415" s="8"/>
    </row>
    <row r="20416">
      <c r="B20416" s="8"/>
      <c r="G20416" s="8"/>
      <c r="M20416" s="8"/>
    </row>
    <row r="20417">
      <c r="B20417" s="8"/>
      <c r="G20417" s="8"/>
      <c r="M20417" s="8"/>
    </row>
    <row r="20418">
      <c r="B20418" s="8"/>
      <c r="G20418" s="8"/>
      <c r="M20418" s="8"/>
    </row>
    <row r="20419">
      <c r="B20419" s="8"/>
      <c r="G20419" s="8"/>
      <c r="M20419" s="8"/>
    </row>
    <row r="20420">
      <c r="B20420" s="8"/>
      <c r="G20420" s="8"/>
      <c r="M20420" s="8"/>
    </row>
    <row r="20421">
      <c r="B20421" s="8"/>
      <c r="G20421" s="8"/>
      <c r="M20421" s="8"/>
    </row>
    <row r="20422">
      <c r="B20422" s="8"/>
      <c r="G20422" s="8"/>
      <c r="M20422" s="8"/>
    </row>
    <row r="20423">
      <c r="B20423" s="8"/>
      <c r="G20423" s="8"/>
      <c r="M20423" s="8"/>
    </row>
    <row r="20424">
      <c r="B20424" s="8"/>
      <c r="G20424" s="8"/>
      <c r="M20424" s="8"/>
    </row>
    <row r="20425">
      <c r="B20425" s="8"/>
      <c r="G20425" s="8"/>
      <c r="M20425" s="8"/>
    </row>
    <row r="20426">
      <c r="B20426" s="8"/>
      <c r="G20426" s="8"/>
      <c r="M20426" s="8"/>
    </row>
    <row r="20427">
      <c r="B20427" s="8"/>
      <c r="G20427" s="8"/>
      <c r="M20427" s="8"/>
    </row>
    <row r="20428">
      <c r="B20428" s="8"/>
      <c r="G20428" s="8"/>
      <c r="M20428" s="8"/>
    </row>
    <row r="20429">
      <c r="B20429" s="8"/>
      <c r="G20429" s="8"/>
      <c r="M20429" s="8"/>
    </row>
    <row r="20430">
      <c r="B20430" s="8"/>
      <c r="G20430" s="8"/>
      <c r="M20430" s="8"/>
    </row>
    <row r="20431">
      <c r="B20431" s="8"/>
      <c r="G20431" s="8"/>
      <c r="M20431" s="8"/>
    </row>
    <row r="20432">
      <c r="B20432" s="8"/>
      <c r="G20432" s="8"/>
      <c r="M20432" s="8"/>
    </row>
    <row r="20433">
      <c r="B20433" s="8"/>
      <c r="G20433" s="8"/>
      <c r="M20433" s="8"/>
    </row>
    <row r="20434">
      <c r="B20434" s="8"/>
      <c r="G20434" s="8"/>
      <c r="M20434" s="8"/>
    </row>
    <row r="20435">
      <c r="B20435" s="8"/>
      <c r="G20435" s="8"/>
      <c r="M20435" s="8"/>
    </row>
    <row r="20436">
      <c r="B20436" s="8"/>
      <c r="G20436" s="8"/>
      <c r="M20436" s="8"/>
    </row>
    <row r="20437">
      <c r="B20437" s="8"/>
      <c r="G20437" s="8"/>
      <c r="M20437" s="8"/>
    </row>
    <row r="20438">
      <c r="B20438" s="8"/>
      <c r="G20438" s="8"/>
      <c r="M20438" s="8"/>
    </row>
    <row r="20439">
      <c r="B20439" s="8"/>
      <c r="G20439" s="8"/>
      <c r="M20439" s="8"/>
    </row>
    <row r="20440">
      <c r="B20440" s="8"/>
      <c r="G20440" s="8"/>
      <c r="M20440" s="8"/>
    </row>
    <row r="20441">
      <c r="B20441" s="8"/>
      <c r="G20441" s="8"/>
      <c r="M20441" s="8"/>
    </row>
    <row r="20442">
      <c r="B20442" s="8"/>
      <c r="G20442" s="8"/>
      <c r="M20442" s="8"/>
    </row>
    <row r="20443">
      <c r="B20443" s="8"/>
      <c r="G20443" s="8"/>
      <c r="M20443" s="8"/>
    </row>
    <row r="20444">
      <c r="B20444" s="8"/>
      <c r="G20444" s="8"/>
      <c r="M20444" s="8"/>
    </row>
    <row r="20445">
      <c r="B20445" s="8"/>
      <c r="G20445" s="8"/>
      <c r="M20445" s="8"/>
    </row>
    <row r="20446">
      <c r="B20446" s="8"/>
      <c r="G20446" s="8"/>
      <c r="M20446" s="8"/>
    </row>
    <row r="20447">
      <c r="B20447" s="8"/>
      <c r="G20447" s="8"/>
      <c r="M20447" s="8"/>
    </row>
    <row r="20448">
      <c r="B20448" s="8"/>
      <c r="G20448" s="8"/>
      <c r="M20448" s="8"/>
    </row>
    <row r="20449">
      <c r="B20449" s="8"/>
      <c r="G20449" s="8"/>
      <c r="M20449" s="8"/>
    </row>
    <row r="20450">
      <c r="B20450" s="8"/>
      <c r="G20450" s="8"/>
      <c r="M20450" s="8"/>
    </row>
    <row r="20451">
      <c r="B20451" s="8"/>
      <c r="G20451" s="8"/>
      <c r="M20451" s="8"/>
    </row>
    <row r="20452">
      <c r="B20452" s="8"/>
      <c r="G20452" s="8"/>
      <c r="M20452" s="8"/>
    </row>
    <row r="20453">
      <c r="B20453" s="8"/>
      <c r="G20453" s="8"/>
      <c r="M20453" s="8"/>
    </row>
    <row r="20454">
      <c r="B20454" s="8"/>
      <c r="G20454" s="8"/>
      <c r="M20454" s="8"/>
    </row>
    <row r="20455">
      <c r="B20455" s="8"/>
      <c r="G20455" s="8"/>
      <c r="M20455" s="8"/>
    </row>
    <row r="20456">
      <c r="B20456" s="8"/>
      <c r="G20456" s="8"/>
      <c r="M20456" s="8"/>
    </row>
    <row r="20457">
      <c r="B20457" s="8"/>
      <c r="G20457" s="8"/>
      <c r="M20457" s="8"/>
    </row>
    <row r="20458">
      <c r="B20458" s="8"/>
      <c r="G20458" s="8"/>
      <c r="M20458" s="8"/>
    </row>
    <row r="20459">
      <c r="B20459" s="8"/>
      <c r="G20459" s="8"/>
      <c r="M20459" s="8"/>
    </row>
    <row r="20460">
      <c r="B20460" s="8"/>
      <c r="G20460" s="8"/>
      <c r="M20460" s="8"/>
    </row>
    <row r="20461">
      <c r="B20461" s="8"/>
      <c r="G20461" s="8"/>
      <c r="M20461" s="8"/>
    </row>
    <row r="20462">
      <c r="B20462" s="8"/>
      <c r="G20462" s="8"/>
      <c r="M20462" s="8"/>
    </row>
    <row r="20463">
      <c r="B20463" s="8"/>
      <c r="G20463" s="8"/>
      <c r="M20463" s="8"/>
    </row>
    <row r="20464">
      <c r="B20464" s="8"/>
      <c r="G20464" s="8"/>
      <c r="M20464" s="8"/>
    </row>
    <row r="20465">
      <c r="B20465" s="8"/>
      <c r="G20465" s="8"/>
      <c r="M20465" s="8"/>
    </row>
    <row r="20466">
      <c r="B20466" s="8"/>
      <c r="G20466" s="8"/>
      <c r="M20466" s="8"/>
    </row>
    <row r="20467">
      <c r="B20467" s="8"/>
      <c r="G20467" s="8"/>
      <c r="M20467" s="8"/>
    </row>
    <row r="20468">
      <c r="B20468" s="8"/>
      <c r="G20468" s="8"/>
      <c r="M20468" s="8"/>
    </row>
    <row r="20469">
      <c r="B20469" s="8"/>
      <c r="G20469" s="8"/>
      <c r="M20469" s="8"/>
    </row>
    <row r="20470">
      <c r="B20470" s="8"/>
      <c r="G20470" s="8"/>
      <c r="M20470" s="8"/>
    </row>
    <row r="20471">
      <c r="B20471" s="8"/>
      <c r="G20471" s="8"/>
      <c r="M20471" s="8"/>
    </row>
    <row r="20472">
      <c r="B20472" s="8"/>
      <c r="G20472" s="8"/>
      <c r="M20472" s="8"/>
    </row>
    <row r="20473">
      <c r="B20473" s="8"/>
      <c r="G20473" s="8"/>
      <c r="M20473" s="8"/>
    </row>
    <row r="20474">
      <c r="B20474" s="8"/>
      <c r="G20474" s="8"/>
      <c r="M20474" s="8"/>
    </row>
    <row r="20475">
      <c r="B20475" s="8"/>
      <c r="G20475" s="8"/>
      <c r="M20475" s="8"/>
    </row>
    <row r="20476">
      <c r="B20476" s="8"/>
      <c r="G20476" s="8"/>
      <c r="M20476" s="8"/>
    </row>
    <row r="20477">
      <c r="B20477" s="8"/>
      <c r="G20477" s="8"/>
      <c r="M20477" s="8"/>
    </row>
    <row r="20478">
      <c r="B20478" s="8"/>
      <c r="G20478" s="8"/>
      <c r="M20478" s="8"/>
    </row>
    <row r="20479">
      <c r="B20479" s="8"/>
      <c r="G20479" s="8"/>
      <c r="M20479" s="8"/>
    </row>
    <row r="20480">
      <c r="B20480" s="8"/>
      <c r="G20480" s="8"/>
      <c r="M20480" s="8"/>
    </row>
    <row r="20481">
      <c r="B20481" s="8"/>
      <c r="G20481" s="8"/>
      <c r="M20481" s="8"/>
    </row>
    <row r="20482">
      <c r="B20482" s="8"/>
      <c r="G20482" s="8"/>
      <c r="M20482" s="8"/>
    </row>
    <row r="20483">
      <c r="B20483" s="8"/>
      <c r="G20483" s="8"/>
      <c r="M20483" s="8"/>
    </row>
    <row r="20484">
      <c r="B20484" s="8"/>
      <c r="G20484" s="8"/>
      <c r="M20484" s="8"/>
    </row>
    <row r="20485">
      <c r="B20485" s="8"/>
      <c r="G20485" s="8"/>
      <c r="M20485" s="8"/>
    </row>
    <row r="20486">
      <c r="B20486" s="8"/>
      <c r="G20486" s="8"/>
      <c r="M20486" s="8"/>
    </row>
    <row r="20487">
      <c r="B20487" s="8"/>
      <c r="G20487" s="8"/>
      <c r="M20487" s="8"/>
    </row>
    <row r="20488">
      <c r="B20488" s="8"/>
      <c r="G20488" s="8"/>
      <c r="M20488" s="8"/>
    </row>
    <row r="20489">
      <c r="B20489" s="8"/>
      <c r="G20489" s="8"/>
      <c r="M20489" s="8"/>
    </row>
    <row r="20490">
      <c r="B20490" s="8"/>
      <c r="G20490" s="8"/>
      <c r="M20490" s="8"/>
    </row>
    <row r="20491">
      <c r="B20491" s="8"/>
      <c r="G20491" s="8"/>
      <c r="M20491" s="8"/>
    </row>
    <row r="20492">
      <c r="B20492" s="8"/>
      <c r="G20492" s="8"/>
      <c r="M20492" s="8"/>
    </row>
    <row r="20493">
      <c r="B20493" s="8"/>
      <c r="G20493" s="8"/>
      <c r="M20493" s="8"/>
    </row>
    <row r="20494">
      <c r="B20494" s="8"/>
      <c r="G20494" s="8"/>
      <c r="M20494" s="8"/>
    </row>
    <row r="20495">
      <c r="B20495" s="8"/>
      <c r="G20495" s="8"/>
      <c r="M20495" s="8"/>
    </row>
    <row r="20496">
      <c r="B20496" s="8"/>
      <c r="G20496" s="8"/>
      <c r="M20496" s="8"/>
    </row>
    <row r="20497">
      <c r="B20497" s="8"/>
      <c r="G20497" s="8"/>
      <c r="M20497" s="8"/>
    </row>
    <row r="20498">
      <c r="B20498" s="8"/>
      <c r="G20498" s="8"/>
      <c r="M20498" s="8"/>
    </row>
    <row r="20499">
      <c r="B20499" s="8"/>
      <c r="G20499" s="8"/>
      <c r="M20499" s="8"/>
    </row>
    <row r="20500">
      <c r="B20500" s="8"/>
      <c r="G20500" s="8"/>
      <c r="M20500" s="8"/>
    </row>
    <row r="20501">
      <c r="B20501" s="8"/>
      <c r="G20501" s="8"/>
      <c r="M20501" s="8"/>
    </row>
    <row r="20502">
      <c r="B20502" s="8"/>
      <c r="G20502" s="8"/>
      <c r="M20502" s="8"/>
    </row>
    <row r="20503">
      <c r="B20503" s="8"/>
      <c r="G20503" s="8"/>
      <c r="M20503" s="8"/>
    </row>
    <row r="20504">
      <c r="B20504" s="8"/>
      <c r="G20504" s="8"/>
      <c r="M20504" s="8"/>
    </row>
    <row r="20505">
      <c r="B20505" s="8"/>
      <c r="G20505" s="8"/>
      <c r="M20505" s="8"/>
    </row>
    <row r="20506">
      <c r="B20506" s="8"/>
      <c r="G20506" s="8"/>
      <c r="M20506" s="8"/>
    </row>
    <row r="20507">
      <c r="B20507" s="8"/>
      <c r="G20507" s="8"/>
      <c r="M20507" s="8"/>
    </row>
    <row r="20508">
      <c r="B20508" s="8"/>
      <c r="G20508" s="8"/>
      <c r="M20508" s="8"/>
    </row>
    <row r="20509">
      <c r="B20509" s="8"/>
      <c r="G20509" s="8"/>
      <c r="M20509" s="8"/>
    </row>
    <row r="20510">
      <c r="B20510" s="8"/>
      <c r="G20510" s="8"/>
      <c r="M20510" s="8"/>
    </row>
    <row r="20511">
      <c r="B20511" s="8"/>
      <c r="G20511" s="8"/>
      <c r="M20511" s="8"/>
    </row>
    <row r="20512">
      <c r="B20512" s="8"/>
      <c r="G20512" s="8"/>
      <c r="M20512" s="8"/>
    </row>
    <row r="20513">
      <c r="B20513" s="8"/>
      <c r="G20513" s="8"/>
      <c r="M20513" s="8"/>
    </row>
    <row r="20514">
      <c r="B20514" s="8"/>
      <c r="G20514" s="8"/>
      <c r="M20514" s="8"/>
    </row>
    <row r="20515">
      <c r="B20515" s="8"/>
      <c r="G20515" s="8"/>
      <c r="M20515" s="8"/>
    </row>
    <row r="20516">
      <c r="B20516" s="8"/>
      <c r="G20516" s="8"/>
      <c r="M20516" s="8"/>
    </row>
    <row r="20517">
      <c r="B20517" s="8"/>
      <c r="G20517" s="8"/>
      <c r="M20517" s="8"/>
    </row>
    <row r="20518">
      <c r="B20518" s="8"/>
      <c r="G20518" s="8"/>
      <c r="M20518" s="8"/>
    </row>
    <row r="20519">
      <c r="B20519" s="8"/>
      <c r="G20519" s="8"/>
      <c r="M20519" s="8"/>
    </row>
    <row r="20520">
      <c r="B20520" s="8"/>
      <c r="G20520" s="8"/>
      <c r="M20520" s="8"/>
    </row>
    <row r="20521">
      <c r="B20521" s="8"/>
      <c r="G20521" s="8"/>
      <c r="M20521" s="8"/>
    </row>
    <row r="20522">
      <c r="B20522" s="8"/>
      <c r="G20522" s="8"/>
      <c r="M20522" s="8"/>
    </row>
    <row r="20523">
      <c r="B20523" s="8"/>
      <c r="G20523" s="8"/>
      <c r="M20523" s="8"/>
    </row>
    <row r="20524">
      <c r="B20524" s="8"/>
      <c r="G20524" s="8"/>
      <c r="M20524" s="8"/>
    </row>
    <row r="20525">
      <c r="B20525" s="8"/>
      <c r="G20525" s="8"/>
      <c r="M20525" s="8"/>
    </row>
    <row r="20526">
      <c r="B20526" s="8"/>
      <c r="G20526" s="8"/>
      <c r="M20526" s="8"/>
    </row>
    <row r="20527">
      <c r="B20527" s="8"/>
      <c r="G20527" s="8"/>
      <c r="M20527" s="8"/>
    </row>
    <row r="20528">
      <c r="B20528" s="8"/>
      <c r="G20528" s="8"/>
      <c r="M20528" s="8"/>
    </row>
    <row r="20529">
      <c r="B20529" s="8"/>
      <c r="G20529" s="8"/>
      <c r="M20529" s="8"/>
    </row>
    <row r="20530">
      <c r="B20530" s="8"/>
      <c r="G20530" s="8"/>
      <c r="M20530" s="8"/>
    </row>
    <row r="20531">
      <c r="B20531" s="8"/>
      <c r="G20531" s="8"/>
      <c r="M20531" s="8"/>
    </row>
    <row r="20532">
      <c r="B20532" s="8"/>
      <c r="G20532" s="8"/>
      <c r="M20532" s="8"/>
    </row>
    <row r="20533">
      <c r="B20533" s="8"/>
      <c r="G20533" s="8"/>
      <c r="M20533" s="8"/>
    </row>
    <row r="20534">
      <c r="B20534" s="8"/>
      <c r="G20534" s="8"/>
      <c r="M20534" s="8"/>
    </row>
    <row r="20535">
      <c r="B20535" s="8"/>
      <c r="G20535" s="8"/>
      <c r="M20535" s="8"/>
    </row>
    <row r="20536">
      <c r="B20536" s="8"/>
      <c r="G20536" s="8"/>
      <c r="M20536" s="8"/>
    </row>
    <row r="20537">
      <c r="B20537" s="8"/>
      <c r="G20537" s="8"/>
      <c r="M20537" s="8"/>
    </row>
    <row r="20538">
      <c r="B20538" s="8"/>
      <c r="G20538" s="8"/>
      <c r="M20538" s="8"/>
    </row>
    <row r="20539">
      <c r="B20539" s="8"/>
      <c r="G20539" s="8"/>
      <c r="M20539" s="8"/>
    </row>
    <row r="20540">
      <c r="B20540" s="8"/>
      <c r="G20540" s="8"/>
      <c r="M20540" s="8"/>
    </row>
    <row r="20541">
      <c r="B20541" s="8"/>
      <c r="G20541" s="8"/>
      <c r="M20541" s="8"/>
    </row>
    <row r="20542">
      <c r="B20542" s="8"/>
      <c r="G20542" s="8"/>
      <c r="M20542" s="8"/>
    </row>
    <row r="20543">
      <c r="B20543" s="8"/>
      <c r="G20543" s="8"/>
      <c r="M20543" s="8"/>
    </row>
    <row r="20544">
      <c r="B20544" s="8"/>
      <c r="G20544" s="8"/>
      <c r="M20544" s="8"/>
    </row>
    <row r="20545">
      <c r="B20545" s="8"/>
      <c r="G20545" s="8"/>
      <c r="M20545" s="8"/>
    </row>
    <row r="20546">
      <c r="B20546" s="8"/>
      <c r="G20546" s="8"/>
      <c r="M20546" s="8"/>
    </row>
    <row r="20547">
      <c r="B20547" s="8"/>
      <c r="G20547" s="8"/>
      <c r="M20547" s="8"/>
    </row>
    <row r="20548">
      <c r="B20548" s="8"/>
      <c r="G20548" s="8"/>
      <c r="M20548" s="8"/>
    </row>
    <row r="20549">
      <c r="B20549" s="8"/>
      <c r="G20549" s="8"/>
      <c r="M20549" s="8"/>
    </row>
    <row r="20550">
      <c r="B20550" s="8"/>
      <c r="G20550" s="8"/>
      <c r="M20550" s="8"/>
    </row>
    <row r="20551">
      <c r="B20551" s="8"/>
      <c r="G20551" s="8"/>
      <c r="M20551" s="8"/>
    </row>
    <row r="20552">
      <c r="B20552" s="8"/>
      <c r="G20552" s="8"/>
      <c r="M20552" s="8"/>
    </row>
    <row r="20553">
      <c r="B20553" s="8"/>
      <c r="G20553" s="8"/>
      <c r="M20553" s="8"/>
    </row>
    <row r="20554">
      <c r="B20554" s="8"/>
      <c r="G20554" s="8"/>
      <c r="M20554" s="8"/>
    </row>
    <row r="20555">
      <c r="B20555" s="8"/>
      <c r="G20555" s="8"/>
      <c r="M20555" s="8"/>
    </row>
    <row r="20556">
      <c r="B20556" s="8"/>
      <c r="G20556" s="8"/>
      <c r="M20556" s="8"/>
    </row>
    <row r="20557">
      <c r="B20557" s="8"/>
      <c r="G20557" s="8"/>
      <c r="M20557" s="8"/>
    </row>
    <row r="20558">
      <c r="B20558" s="8"/>
      <c r="G20558" s="8"/>
      <c r="M20558" s="8"/>
    </row>
    <row r="20559">
      <c r="B20559" s="8"/>
      <c r="G20559" s="8"/>
      <c r="M20559" s="8"/>
    </row>
    <row r="20560">
      <c r="B20560" s="8"/>
      <c r="G20560" s="8"/>
      <c r="M20560" s="8"/>
    </row>
    <row r="20561">
      <c r="B20561" s="8"/>
      <c r="G20561" s="8"/>
      <c r="M20561" s="8"/>
    </row>
    <row r="20562">
      <c r="B20562" s="8"/>
      <c r="G20562" s="8"/>
      <c r="M20562" s="8"/>
    </row>
    <row r="20563">
      <c r="B20563" s="8"/>
      <c r="G20563" s="8"/>
      <c r="M20563" s="8"/>
    </row>
    <row r="20564">
      <c r="B20564" s="8"/>
      <c r="G20564" s="8"/>
      <c r="M20564" s="8"/>
    </row>
    <row r="20565">
      <c r="B20565" s="8"/>
      <c r="G20565" s="8"/>
      <c r="M20565" s="8"/>
    </row>
    <row r="20566">
      <c r="B20566" s="8"/>
      <c r="G20566" s="8"/>
      <c r="M20566" s="8"/>
    </row>
    <row r="20567">
      <c r="B20567" s="8"/>
      <c r="G20567" s="8"/>
      <c r="M20567" s="8"/>
    </row>
    <row r="20568">
      <c r="B20568" s="8"/>
      <c r="G20568" s="8"/>
      <c r="M20568" s="8"/>
    </row>
    <row r="20569">
      <c r="B20569" s="8"/>
      <c r="G20569" s="8"/>
      <c r="M20569" s="8"/>
    </row>
    <row r="20570">
      <c r="B20570" s="8"/>
      <c r="G20570" s="8"/>
      <c r="M20570" s="8"/>
    </row>
    <row r="20571">
      <c r="B20571" s="8"/>
      <c r="G20571" s="8"/>
      <c r="M20571" s="8"/>
    </row>
    <row r="20572">
      <c r="B20572" s="8"/>
      <c r="G20572" s="8"/>
      <c r="M20572" s="8"/>
    </row>
    <row r="20573">
      <c r="B20573" s="8"/>
      <c r="G20573" s="8"/>
      <c r="M20573" s="8"/>
    </row>
    <row r="20574">
      <c r="B20574" s="8"/>
      <c r="G20574" s="8"/>
      <c r="M20574" s="8"/>
    </row>
    <row r="20575">
      <c r="B20575" s="8"/>
      <c r="G20575" s="8"/>
      <c r="M20575" s="8"/>
    </row>
    <row r="20576">
      <c r="B20576" s="8"/>
      <c r="G20576" s="8"/>
      <c r="M20576" s="8"/>
    </row>
    <row r="20577">
      <c r="B20577" s="8"/>
      <c r="G20577" s="8"/>
      <c r="M20577" s="8"/>
    </row>
    <row r="20578">
      <c r="B20578" s="8"/>
      <c r="G20578" s="8"/>
      <c r="M20578" s="8"/>
    </row>
    <row r="20579">
      <c r="B20579" s="8"/>
      <c r="G20579" s="8"/>
      <c r="M20579" s="8"/>
    </row>
    <row r="20580">
      <c r="B20580" s="8"/>
      <c r="G20580" s="8"/>
      <c r="M20580" s="8"/>
    </row>
    <row r="20581">
      <c r="B20581" s="8"/>
      <c r="G20581" s="8"/>
      <c r="M20581" s="8"/>
    </row>
    <row r="20582">
      <c r="B20582" s="8"/>
      <c r="G20582" s="8"/>
      <c r="M20582" s="8"/>
    </row>
    <row r="20583">
      <c r="B20583" s="8"/>
      <c r="G20583" s="8"/>
      <c r="M20583" s="8"/>
    </row>
    <row r="20584">
      <c r="B20584" s="8"/>
      <c r="G20584" s="8"/>
      <c r="M20584" s="8"/>
    </row>
    <row r="20585">
      <c r="B20585" s="8"/>
      <c r="G20585" s="8"/>
      <c r="M20585" s="8"/>
    </row>
    <row r="20586">
      <c r="B20586" s="8"/>
      <c r="G20586" s="8"/>
      <c r="M20586" s="8"/>
    </row>
    <row r="20587">
      <c r="B20587" s="8"/>
      <c r="G20587" s="8"/>
      <c r="M20587" s="8"/>
    </row>
    <row r="20588">
      <c r="B20588" s="8"/>
      <c r="G20588" s="8"/>
      <c r="M20588" s="8"/>
    </row>
    <row r="20589">
      <c r="B20589" s="8"/>
      <c r="G20589" s="8"/>
      <c r="M20589" s="8"/>
    </row>
    <row r="20590">
      <c r="B20590" s="8"/>
      <c r="G20590" s="8"/>
      <c r="M20590" s="8"/>
    </row>
    <row r="20591">
      <c r="B20591" s="8"/>
      <c r="G20591" s="8"/>
      <c r="M20591" s="8"/>
    </row>
    <row r="20592">
      <c r="B20592" s="8"/>
      <c r="G20592" s="8"/>
      <c r="M20592" s="8"/>
    </row>
    <row r="20593">
      <c r="B20593" s="8"/>
      <c r="G20593" s="8"/>
      <c r="M20593" s="8"/>
    </row>
    <row r="20594">
      <c r="B20594" s="8"/>
      <c r="G20594" s="8"/>
      <c r="M20594" s="8"/>
    </row>
    <row r="20595">
      <c r="B20595" s="8"/>
      <c r="G20595" s="8"/>
      <c r="M20595" s="8"/>
    </row>
    <row r="20596">
      <c r="B20596" s="8"/>
      <c r="G20596" s="8"/>
      <c r="M20596" s="8"/>
    </row>
    <row r="20597">
      <c r="B20597" s="8"/>
      <c r="G20597" s="8"/>
      <c r="M20597" s="8"/>
    </row>
    <row r="20598">
      <c r="B20598" s="8"/>
      <c r="G20598" s="8"/>
      <c r="M20598" s="8"/>
    </row>
    <row r="20599">
      <c r="B20599" s="8"/>
      <c r="G20599" s="8"/>
      <c r="M20599" s="8"/>
    </row>
    <row r="20600">
      <c r="B20600" s="8"/>
      <c r="G20600" s="8"/>
      <c r="M20600" s="8"/>
    </row>
    <row r="20601">
      <c r="B20601" s="8"/>
      <c r="G20601" s="8"/>
      <c r="M20601" s="8"/>
    </row>
    <row r="20602">
      <c r="B20602" s="8"/>
      <c r="G20602" s="8"/>
      <c r="M20602" s="8"/>
    </row>
    <row r="20603">
      <c r="B20603" s="8"/>
      <c r="G20603" s="8"/>
      <c r="M20603" s="8"/>
    </row>
    <row r="20604">
      <c r="B20604" s="8"/>
      <c r="G20604" s="8"/>
      <c r="M20604" s="8"/>
    </row>
    <row r="20605">
      <c r="B20605" s="8"/>
      <c r="G20605" s="8"/>
      <c r="M20605" s="8"/>
    </row>
    <row r="20606">
      <c r="B20606" s="8"/>
      <c r="G20606" s="8"/>
      <c r="M20606" s="8"/>
    </row>
    <row r="20607">
      <c r="B20607" s="8"/>
      <c r="G20607" s="8"/>
      <c r="M20607" s="8"/>
    </row>
    <row r="20608">
      <c r="B20608" s="8"/>
      <c r="G20608" s="8"/>
      <c r="M20608" s="8"/>
    </row>
    <row r="20609">
      <c r="B20609" s="8"/>
      <c r="G20609" s="8"/>
      <c r="M20609" s="8"/>
    </row>
    <row r="20610">
      <c r="B20610" s="8"/>
      <c r="G20610" s="8"/>
      <c r="M20610" s="8"/>
    </row>
    <row r="20611">
      <c r="B20611" s="8"/>
      <c r="G20611" s="8"/>
      <c r="M20611" s="8"/>
    </row>
    <row r="20612">
      <c r="B20612" s="8"/>
      <c r="G20612" s="8"/>
      <c r="M20612" s="8"/>
    </row>
    <row r="20613">
      <c r="B20613" s="8"/>
      <c r="G20613" s="8"/>
      <c r="M20613" s="8"/>
    </row>
    <row r="20614">
      <c r="B20614" s="8"/>
      <c r="G20614" s="8"/>
      <c r="M20614" s="8"/>
    </row>
    <row r="20615">
      <c r="B20615" s="8"/>
      <c r="G20615" s="8"/>
      <c r="M20615" s="8"/>
    </row>
    <row r="20616">
      <c r="B20616" s="8"/>
      <c r="G20616" s="8"/>
      <c r="M20616" s="8"/>
    </row>
    <row r="20617">
      <c r="B20617" s="8"/>
      <c r="G20617" s="8"/>
      <c r="M20617" s="8"/>
    </row>
    <row r="20618">
      <c r="B20618" s="8"/>
      <c r="G20618" s="8"/>
      <c r="M20618" s="8"/>
    </row>
    <row r="20619">
      <c r="B20619" s="8"/>
      <c r="G20619" s="8"/>
      <c r="M20619" s="8"/>
    </row>
    <row r="20620">
      <c r="B20620" s="8"/>
      <c r="G20620" s="8"/>
      <c r="M20620" s="8"/>
    </row>
    <row r="20621">
      <c r="B20621" s="8"/>
      <c r="G20621" s="8"/>
      <c r="M20621" s="8"/>
    </row>
    <row r="20622">
      <c r="B20622" s="8"/>
      <c r="G20622" s="8"/>
      <c r="M20622" s="8"/>
    </row>
    <row r="20623">
      <c r="B20623" s="8"/>
      <c r="G20623" s="8"/>
      <c r="M20623" s="8"/>
    </row>
    <row r="20624">
      <c r="B20624" s="8"/>
      <c r="G20624" s="8"/>
      <c r="M20624" s="8"/>
    </row>
    <row r="20625">
      <c r="B20625" s="8"/>
      <c r="G20625" s="8"/>
      <c r="M20625" s="8"/>
    </row>
    <row r="20626">
      <c r="B20626" s="8"/>
      <c r="G20626" s="8"/>
      <c r="M20626" s="8"/>
    </row>
    <row r="20627">
      <c r="B20627" s="8"/>
      <c r="G20627" s="8"/>
      <c r="M20627" s="8"/>
    </row>
    <row r="20628">
      <c r="B20628" s="8"/>
      <c r="G20628" s="8"/>
      <c r="M20628" s="8"/>
    </row>
    <row r="20629">
      <c r="B20629" s="8"/>
      <c r="G20629" s="8"/>
      <c r="M20629" s="8"/>
    </row>
    <row r="20630">
      <c r="B20630" s="8"/>
      <c r="G20630" s="8"/>
      <c r="M20630" s="8"/>
    </row>
    <row r="20631">
      <c r="B20631" s="8"/>
      <c r="G20631" s="8"/>
      <c r="M20631" s="8"/>
    </row>
    <row r="20632">
      <c r="B20632" s="8"/>
      <c r="G20632" s="8"/>
      <c r="M20632" s="8"/>
    </row>
    <row r="20633">
      <c r="B20633" s="8"/>
      <c r="G20633" s="8"/>
      <c r="M20633" s="8"/>
    </row>
    <row r="20634">
      <c r="B20634" s="8"/>
      <c r="G20634" s="8"/>
      <c r="M20634" s="8"/>
    </row>
    <row r="20635">
      <c r="B20635" s="8"/>
      <c r="G20635" s="8"/>
      <c r="M20635" s="8"/>
    </row>
    <row r="20636">
      <c r="B20636" s="8"/>
      <c r="G20636" s="8"/>
      <c r="M20636" s="8"/>
    </row>
    <row r="20637">
      <c r="B20637" s="8"/>
      <c r="G20637" s="8"/>
      <c r="M20637" s="8"/>
    </row>
    <row r="20638">
      <c r="B20638" s="8"/>
      <c r="G20638" s="8"/>
      <c r="M20638" s="8"/>
    </row>
    <row r="20639">
      <c r="B20639" s="8"/>
      <c r="G20639" s="8"/>
      <c r="M20639" s="8"/>
    </row>
    <row r="20640">
      <c r="B20640" s="8"/>
      <c r="G20640" s="8"/>
      <c r="M20640" s="8"/>
    </row>
    <row r="20641">
      <c r="B20641" s="8"/>
      <c r="G20641" s="8"/>
      <c r="M20641" s="8"/>
    </row>
    <row r="20642">
      <c r="B20642" s="8"/>
      <c r="G20642" s="8"/>
      <c r="M20642" s="8"/>
    </row>
    <row r="20643">
      <c r="B20643" s="8"/>
      <c r="G20643" s="8"/>
      <c r="M20643" s="8"/>
    </row>
    <row r="20644">
      <c r="B20644" s="8"/>
      <c r="G20644" s="8"/>
      <c r="M20644" s="8"/>
    </row>
    <row r="20645">
      <c r="B20645" s="8"/>
      <c r="G20645" s="8"/>
      <c r="M20645" s="8"/>
    </row>
    <row r="20646">
      <c r="B20646" s="8"/>
      <c r="G20646" s="8"/>
      <c r="M20646" s="8"/>
    </row>
    <row r="20647">
      <c r="B20647" s="8"/>
      <c r="G20647" s="8"/>
      <c r="M20647" s="8"/>
    </row>
    <row r="20648">
      <c r="B20648" s="8"/>
      <c r="G20648" s="8"/>
      <c r="M20648" s="8"/>
    </row>
    <row r="20649">
      <c r="B20649" s="8"/>
      <c r="G20649" s="8"/>
      <c r="M20649" s="8"/>
    </row>
    <row r="20650">
      <c r="B20650" s="8"/>
      <c r="G20650" s="8"/>
      <c r="M20650" s="8"/>
    </row>
    <row r="20651">
      <c r="B20651" s="8"/>
      <c r="G20651" s="8"/>
      <c r="M20651" s="8"/>
    </row>
    <row r="20652">
      <c r="B20652" s="8"/>
      <c r="G20652" s="8"/>
      <c r="M20652" s="8"/>
    </row>
    <row r="20653">
      <c r="B20653" s="8"/>
      <c r="G20653" s="8"/>
      <c r="M20653" s="8"/>
    </row>
    <row r="20654">
      <c r="B20654" s="8"/>
      <c r="G20654" s="8"/>
      <c r="M20654" s="8"/>
    </row>
    <row r="20655">
      <c r="B20655" s="8"/>
      <c r="G20655" s="8"/>
      <c r="M20655" s="8"/>
    </row>
    <row r="20656">
      <c r="B20656" s="8"/>
      <c r="G20656" s="8"/>
      <c r="M20656" s="8"/>
    </row>
    <row r="20657">
      <c r="B20657" s="8"/>
      <c r="G20657" s="8"/>
      <c r="M20657" s="8"/>
    </row>
    <row r="20658">
      <c r="B20658" s="8"/>
      <c r="G20658" s="8"/>
      <c r="M20658" s="8"/>
    </row>
    <row r="20659">
      <c r="B20659" s="8"/>
      <c r="G20659" s="8"/>
      <c r="M20659" s="8"/>
    </row>
    <row r="20660">
      <c r="B20660" s="8"/>
      <c r="G20660" s="8"/>
      <c r="M20660" s="8"/>
    </row>
    <row r="20661">
      <c r="B20661" s="8"/>
      <c r="G20661" s="8"/>
      <c r="M20661" s="8"/>
    </row>
    <row r="20662">
      <c r="B20662" s="8"/>
      <c r="G20662" s="8"/>
      <c r="M20662" s="8"/>
    </row>
    <row r="20663">
      <c r="B20663" s="8"/>
      <c r="G20663" s="8"/>
      <c r="M20663" s="8"/>
    </row>
    <row r="20664">
      <c r="B20664" s="8"/>
      <c r="G20664" s="8"/>
      <c r="M20664" s="8"/>
    </row>
    <row r="20665">
      <c r="B20665" s="8"/>
      <c r="G20665" s="8"/>
      <c r="M20665" s="8"/>
    </row>
    <row r="20666">
      <c r="B20666" s="8"/>
      <c r="G20666" s="8"/>
      <c r="M20666" s="8"/>
    </row>
    <row r="20667">
      <c r="B20667" s="8"/>
      <c r="G20667" s="8"/>
      <c r="M20667" s="8"/>
    </row>
    <row r="20668">
      <c r="B20668" s="8"/>
      <c r="G20668" s="8"/>
      <c r="M20668" s="8"/>
    </row>
    <row r="20669">
      <c r="B20669" s="8"/>
      <c r="G20669" s="8"/>
      <c r="M20669" s="8"/>
    </row>
    <row r="20670">
      <c r="B20670" s="8"/>
      <c r="G20670" s="8"/>
      <c r="M20670" s="8"/>
    </row>
    <row r="20671">
      <c r="B20671" s="8"/>
      <c r="G20671" s="8"/>
      <c r="M20671" s="8"/>
    </row>
    <row r="20672">
      <c r="B20672" s="8"/>
      <c r="G20672" s="8"/>
      <c r="M20672" s="8"/>
    </row>
    <row r="20673">
      <c r="B20673" s="8"/>
      <c r="G20673" s="8"/>
      <c r="M20673" s="8"/>
    </row>
    <row r="20674">
      <c r="B20674" s="8"/>
      <c r="G20674" s="8"/>
      <c r="M20674" s="8"/>
    </row>
    <row r="20675">
      <c r="B20675" s="8"/>
      <c r="G20675" s="8"/>
      <c r="M20675" s="8"/>
    </row>
    <row r="20676">
      <c r="B20676" s="8"/>
      <c r="G20676" s="8"/>
      <c r="M20676" s="8"/>
    </row>
    <row r="20677">
      <c r="B20677" s="8"/>
      <c r="G20677" s="8"/>
      <c r="M20677" s="8"/>
    </row>
    <row r="20678">
      <c r="B20678" s="8"/>
      <c r="G20678" s="8"/>
      <c r="M20678" s="8"/>
    </row>
    <row r="20679">
      <c r="B20679" s="8"/>
      <c r="G20679" s="8"/>
      <c r="M20679" s="8"/>
    </row>
    <row r="20680">
      <c r="B20680" s="8"/>
      <c r="G20680" s="8"/>
      <c r="M20680" s="8"/>
    </row>
    <row r="20681">
      <c r="B20681" s="8"/>
      <c r="G20681" s="8"/>
      <c r="M20681" s="8"/>
    </row>
    <row r="20682">
      <c r="B20682" s="8"/>
      <c r="G20682" s="8"/>
      <c r="M20682" s="8"/>
    </row>
    <row r="20683">
      <c r="B20683" s="8"/>
      <c r="G20683" s="8"/>
      <c r="M20683" s="8"/>
    </row>
    <row r="20684">
      <c r="B20684" s="8"/>
      <c r="G20684" s="8"/>
      <c r="M20684" s="8"/>
    </row>
    <row r="20685">
      <c r="B20685" s="8"/>
      <c r="G20685" s="8"/>
      <c r="M20685" s="8"/>
    </row>
    <row r="20686">
      <c r="B20686" s="8"/>
      <c r="G20686" s="8"/>
      <c r="M20686" s="8"/>
    </row>
    <row r="20687">
      <c r="B20687" s="8"/>
      <c r="G20687" s="8"/>
      <c r="M20687" s="8"/>
    </row>
    <row r="20688">
      <c r="B20688" s="8"/>
      <c r="G20688" s="8"/>
      <c r="M20688" s="8"/>
    </row>
    <row r="20689">
      <c r="B20689" s="8"/>
      <c r="G20689" s="8"/>
      <c r="M20689" s="8"/>
    </row>
    <row r="20690">
      <c r="B20690" s="8"/>
      <c r="G20690" s="8"/>
      <c r="M20690" s="8"/>
    </row>
    <row r="20691">
      <c r="B20691" s="8"/>
      <c r="G20691" s="8"/>
      <c r="M20691" s="8"/>
    </row>
    <row r="20692">
      <c r="B20692" s="8"/>
      <c r="G20692" s="8"/>
      <c r="M20692" s="8"/>
    </row>
    <row r="20693">
      <c r="B20693" s="8"/>
      <c r="G20693" s="8"/>
      <c r="M20693" s="8"/>
    </row>
    <row r="20694">
      <c r="B20694" s="8"/>
      <c r="G20694" s="8"/>
      <c r="M20694" s="8"/>
    </row>
    <row r="20695">
      <c r="B20695" s="8"/>
      <c r="G20695" s="8"/>
      <c r="M20695" s="8"/>
    </row>
    <row r="20696">
      <c r="B20696" s="8"/>
      <c r="G20696" s="8"/>
      <c r="M20696" s="8"/>
    </row>
    <row r="20697">
      <c r="B20697" s="8"/>
      <c r="G20697" s="8"/>
      <c r="M20697" s="8"/>
    </row>
    <row r="20698">
      <c r="B20698" s="8"/>
      <c r="G20698" s="8"/>
      <c r="M20698" s="8"/>
    </row>
    <row r="20699">
      <c r="B20699" s="8"/>
      <c r="G20699" s="8"/>
      <c r="M20699" s="8"/>
    </row>
    <row r="20700">
      <c r="B20700" s="8"/>
      <c r="G20700" s="8"/>
      <c r="M20700" s="8"/>
    </row>
    <row r="20701">
      <c r="B20701" s="8"/>
      <c r="G20701" s="8"/>
      <c r="M20701" s="8"/>
    </row>
    <row r="20702">
      <c r="B20702" s="8"/>
      <c r="G20702" s="8"/>
      <c r="M20702" s="8"/>
    </row>
    <row r="20703">
      <c r="B20703" s="8"/>
      <c r="G20703" s="8"/>
      <c r="M20703" s="8"/>
    </row>
    <row r="20704">
      <c r="B20704" s="8"/>
      <c r="G20704" s="8"/>
      <c r="M20704" s="8"/>
    </row>
    <row r="20705">
      <c r="B20705" s="8"/>
      <c r="G20705" s="8"/>
      <c r="M20705" s="8"/>
    </row>
    <row r="20706">
      <c r="B20706" s="8"/>
      <c r="G20706" s="8"/>
      <c r="M20706" s="8"/>
    </row>
    <row r="20707">
      <c r="B20707" s="8"/>
      <c r="G20707" s="8"/>
      <c r="M20707" s="8"/>
    </row>
    <row r="20708">
      <c r="B20708" s="8"/>
      <c r="G20708" s="8"/>
      <c r="M20708" s="8"/>
    </row>
    <row r="20709">
      <c r="B20709" s="8"/>
      <c r="G20709" s="8"/>
      <c r="M20709" s="8"/>
    </row>
    <row r="20710">
      <c r="B20710" s="8"/>
      <c r="G20710" s="8"/>
      <c r="M20710" s="8"/>
    </row>
    <row r="20711">
      <c r="B20711" s="8"/>
      <c r="G20711" s="8"/>
      <c r="M20711" s="8"/>
    </row>
    <row r="20712">
      <c r="B20712" s="8"/>
      <c r="G20712" s="8"/>
      <c r="M20712" s="8"/>
    </row>
    <row r="20713">
      <c r="B20713" s="8"/>
      <c r="G20713" s="8"/>
      <c r="M20713" s="8"/>
    </row>
    <row r="20714">
      <c r="B20714" s="8"/>
      <c r="G20714" s="8"/>
      <c r="M20714" s="8"/>
    </row>
    <row r="20715">
      <c r="B20715" s="8"/>
      <c r="G20715" s="8"/>
      <c r="M20715" s="8"/>
    </row>
    <row r="20716">
      <c r="B20716" s="8"/>
      <c r="G20716" s="8"/>
      <c r="M20716" s="8"/>
    </row>
    <row r="20717">
      <c r="B20717" s="8"/>
      <c r="G20717" s="8"/>
      <c r="M20717" s="8"/>
    </row>
    <row r="20718">
      <c r="B20718" s="8"/>
      <c r="G20718" s="8"/>
      <c r="M20718" s="8"/>
    </row>
    <row r="20719">
      <c r="B20719" s="8"/>
      <c r="G20719" s="8"/>
      <c r="M20719" s="8"/>
    </row>
    <row r="20720">
      <c r="B20720" s="8"/>
      <c r="G20720" s="8"/>
      <c r="M20720" s="8"/>
    </row>
    <row r="20721">
      <c r="B20721" s="8"/>
      <c r="G20721" s="8"/>
      <c r="M20721" s="8"/>
    </row>
    <row r="20722">
      <c r="B20722" s="8"/>
      <c r="G20722" s="8"/>
      <c r="M20722" s="8"/>
    </row>
    <row r="20723">
      <c r="B20723" s="8"/>
      <c r="G20723" s="8"/>
      <c r="M20723" s="8"/>
    </row>
    <row r="20724">
      <c r="B20724" s="8"/>
      <c r="G20724" s="8"/>
      <c r="M20724" s="8"/>
    </row>
    <row r="20725">
      <c r="B20725" s="8"/>
      <c r="G20725" s="8"/>
      <c r="M20725" s="8"/>
    </row>
    <row r="20726">
      <c r="B20726" s="8"/>
      <c r="G20726" s="8"/>
      <c r="M20726" s="8"/>
    </row>
    <row r="20727">
      <c r="B20727" s="8"/>
      <c r="G20727" s="8"/>
      <c r="M20727" s="8"/>
    </row>
    <row r="20728">
      <c r="B20728" s="8"/>
      <c r="G20728" s="8"/>
      <c r="M20728" s="8"/>
    </row>
    <row r="20729">
      <c r="B20729" s="8"/>
      <c r="G20729" s="8"/>
      <c r="M20729" s="8"/>
    </row>
    <row r="20730">
      <c r="B20730" s="8"/>
      <c r="G20730" s="8"/>
      <c r="M20730" s="8"/>
    </row>
    <row r="20731">
      <c r="B20731" s="8"/>
      <c r="G20731" s="8"/>
      <c r="M20731" s="8"/>
    </row>
    <row r="20732">
      <c r="B20732" s="8"/>
      <c r="G20732" s="8"/>
      <c r="M20732" s="8"/>
    </row>
    <row r="20733">
      <c r="B20733" s="8"/>
      <c r="G20733" s="8"/>
      <c r="M20733" s="8"/>
    </row>
    <row r="20734">
      <c r="B20734" s="8"/>
      <c r="G20734" s="8"/>
      <c r="M20734" s="8"/>
    </row>
    <row r="20735">
      <c r="B20735" s="8"/>
      <c r="G20735" s="8"/>
      <c r="M20735" s="8"/>
    </row>
    <row r="20736">
      <c r="B20736" s="8"/>
      <c r="G20736" s="8"/>
      <c r="M20736" s="8"/>
    </row>
    <row r="20737">
      <c r="B20737" s="8"/>
      <c r="G20737" s="8"/>
      <c r="M20737" s="8"/>
    </row>
    <row r="20738">
      <c r="B20738" s="8"/>
      <c r="G20738" s="8"/>
      <c r="M20738" s="8"/>
    </row>
    <row r="20739">
      <c r="B20739" s="8"/>
      <c r="G20739" s="8"/>
      <c r="M20739" s="8"/>
    </row>
    <row r="20740">
      <c r="B20740" s="8"/>
      <c r="G20740" s="8"/>
      <c r="M20740" s="8"/>
    </row>
    <row r="20741">
      <c r="B20741" s="8"/>
      <c r="G20741" s="8"/>
      <c r="M20741" s="8"/>
    </row>
    <row r="20742">
      <c r="B20742" s="8"/>
      <c r="G20742" s="8"/>
      <c r="M20742" s="8"/>
    </row>
    <row r="20743">
      <c r="B20743" s="8"/>
      <c r="G20743" s="8"/>
      <c r="M20743" s="8"/>
    </row>
    <row r="20744">
      <c r="B20744" s="8"/>
      <c r="G20744" s="8"/>
      <c r="M20744" s="8"/>
    </row>
    <row r="20745">
      <c r="B20745" s="8"/>
      <c r="G20745" s="8"/>
      <c r="M20745" s="8"/>
    </row>
    <row r="20746">
      <c r="B20746" s="8"/>
      <c r="G20746" s="8"/>
      <c r="M20746" s="8"/>
    </row>
    <row r="20747">
      <c r="B20747" s="8"/>
      <c r="G20747" s="8"/>
      <c r="M20747" s="8"/>
    </row>
    <row r="20748">
      <c r="B20748" s="8"/>
      <c r="G20748" s="8"/>
      <c r="M20748" s="8"/>
    </row>
    <row r="20749">
      <c r="B20749" s="8"/>
      <c r="G20749" s="8"/>
      <c r="M20749" s="8"/>
    </row>
    <row r="20750">
      <c r="B20750" s="8"/>
      <c r="G20750" s="8"/>
      <c r="M20750" s="8"/>
    </row>
    <row r="20751">
      <c r="B20751" s="8"/>
      <c r="G20751" s="8"/>
      <c r="M20751" s="8"/>
    </row>
    <row r="20752">
      <c r="B20752" s="8"/>
      <c r="G20752" s="8"/>
      <c r="M20752" s="8"/>
    </row>
    <row r="20753">
      <c r="B20753" s="8"/>
      <c r="G20753" s="8"/>
      <c r="M20753" s="8"/>
    </row>
    <row r="20754">
      <c r="B20754" s="8"/>
      <c r="G20754" s="8"/>
      <c r="M20754" s="8"/>
    </row>
    <row r="20755">
      <c r="B20755" s="8"/>
      <c r="G20755" s="8"/>
      <c r="M20755" s="8"/>
    </row>
    <row r="20756">
      <c r="B20756" s="8"/>
      <c r="G20756" s="8"/>
      <c r="M20756" s="8"/>
    </row>
    <row r="20757">
      <c r="B20757" s="8"/>
      <c r="G20757" s="8"/>
      <c r="M20757" s="8"/>
    </row>
    <row r="20758">
      <c r="B20758" s="8"/>
      <c r="G20758" s="8"/>
      <c r="M20758" s="8"/>
    </row>
    <row r="20759">
      <c r="B20759" s="8"/>
      <c r="G20759" s="8"/>
      <c r="M20759" s="8"/>
    </row>
    <row r="20760">
      <c r="B20760" s="8"/>
      <c r="G20760" s="8"/>
      <c r="M20760" s="8"/>
    </row>
    <row r="20761">
      <c r="B20761" s="8"/>
      <c r="G20761" s="8"/>
      <c r="M20761" s="8"/>
    </row>
    <row r="20762">
      <c r="B20762" s="8"/>
      <c r="G20762" s="8"/>
      <c r="M20762" s="8"/>
    </row>
    <row r="20763">
      <c r="B20763" s="8"/>
      <c r="G20763" s="8"/>
      <c r="M20763" s="8"/>
    </row>
    <row r="20764">
      <c r="B20764" s="8"/>
      <c r="G20764" s="8"/>
      <c r="M20764" s="8"/>
    </row>
    <row r="20765">
      <c r="B20765" s="8"/>
      <c r="G20765" s="8"/>
      <c r="M20765" s="8"/>
    </row>
    <row r="20766">
      <c r="B20766" s="8"/>
      <c r="G20766" s="8"/>
      <c r="M20766" s="8"/>
    </row>
    <row r="20767">
      <c r="B20767" s="8"/>
      <c r="G20767" s="8"/>
      <c r="M20767" s="8"/>
    </row>
    <row r="20768">
      <c r="B20768" s="8"/>
      <c r="G20768" s="8"/>
      <c r="M20768" s="8"/>
    </row>
    <row r="20769">
      <c r="B20769" s="8"/>
      <c r="G20769" s="8"/>
      <c r="M20769" s="8"/>
    </row>
    <row r="20770">
      <c r="B20770" s="8"/>
      <c r="G20770" s="8"/>
      <c r="M20770" s="8"/>
    </row>
    <row r="20771">
      <c r="B20771" s="8"/>
      <c r="G20771" s="8"/>
      <c r="M20771" s="8"/>
    </row>
    <row r="20772">
      <c r="B20772" s="8"/>
      <c r="G20772" s="8"/>
      <c r="M20772" s="8"/>
    </row>
    <row r="20773">
      <c r="B20773" s="8"/>
      <c r="G20773" s="8"/>
      <c r="M20773" s="8"/>
    </row>
    <row r="20774">
      <c r="B20774" s="8"/>
      <c r="G20774" s="8"/>
      <c r="M20774" s="8"/>
    </row>
    <row r="20775">
      <c r="B20775" s="8"/>
      <c r="G20775" s="8"/>
      <c r="M20775" s="8"/>
    </row>
    <row r="20776">
      <c r="B20776" s="8"/>
      <c r="G20776" s="8"/>
      <c r="M20776" s="8"/>
    </row>
    <row r="20777">
      <c r="B20777" s="8"/>
      <c r="G20777" s="8"/>
      <c r="M20777" s="8"/>
    </row>
    <row r="20778">
      <c r="B20778" s="8"/>
      <c r="G20778" s="8"/>
      <c r="M20778" s="8"/>
    </row>
    <row r="20779">
      <c r="B20779" s="8"/>
      <c r="G20779" s="8"/>
      <c r="M20779" s="8"/>
    </row>
    <row r="20780">
      <c r="B20780" s="8"/>
      <c r="G20780" s="8"/>
      <c r="M20780" s="8"/>
    </row>
    <row r="20781">
      <c r="B20781" s="8"/>
      <c r="G20781" s="8"/>
      <c r="M20781" s="8"/>
    </row>
    <row r="20782">
      <c r="B20782" s="8"/>
      <c r="G20782" s="8"/>
      <c r="M20782" s="8"/>
    </row>
    <row r="20783">
      <c r="B20783" s="8"/>
      <c r="G20783" s="8"/>
      <c r="M20783" s="8"/>
    </row>
    <row r="20784">
      <c r="B20784" s="8"/>
      <c r="G20784" s="8"/>
      <c r="M20784" s="8"/>
    </row>
    <row r="20785">
      <c r="B20785" s="8"/>
      <c r="G20785" s="8"/>
      <c r="M20785" s="8"/>
    </row>
    <row r="20786">
      <c r="B20786" s="8"/>
      <c r="G20786" s="8"/>
      <c r="M20786" s="8"/>
    </row>
    <row r="20787">
      <c r="B20787" s="8"/>
      <c r="G20787" s="8"/>
      <c r="M20787" s="8"/>
    </row>
    <row r="20788">
      <c r="B20788" s="8"/>
      <c r="G20788" s="8"/>
      <c r="M20788" s="8"/>
    </row>
    <row r="20789">
      <c r="B20789" s="8"/>
      <c r="G20789" s="8"/>
      <c r="M20789" s="8"/>
    </row>
    <row r="20790">
      <c r="B20790" s="8"/>
      <c r="G20790" s="8"/>
      <c r="M20790" s="8"/>
    </row>
    <row r="20791">
      <c r="B20791" s="8"/>
      <c r="G20791" s="8"/>
      <c r="M20791" s="8"/>
    </row>
    <row r="20792">
      <c r="B20792" s="8"/>
      <c r="G20792" s="8"/>
      <c r="M20792" s="8"/>
    </row>
    <row r="20793">
      <c r="B20793" s="8"/>
      <c r="G20793" s="8"/>
      <c r="M20793" s="8"/>
    </row>
    <row r="20794">
      <c r="B20794" s="8"/>
      <c r="G20794" s="8"/>
      <c r="M20794" s="8"/>
    </row>
    <row r="20795">
      <c r="B20795" s="8"/>
      <c r="G20795" s="8"/>
      <c r="M20795" s="8"/>
    </row>
    <row r="20796">
      <c r="B20796" s="8"/>
      <c r="G20796" s="8"/>
      <c r="M20796" s="8"/>
    </row>
    <row r="20797">
      <c r="B20797" s="8"/>
      <c r="G20797" s="8"/>
      <c r="M20797" s="8"/>
    </row>
    <row r="20798">
      <c r="B20798" s="8"/>
      <c r="G20798" s="8"/>
      <c r="M20798" s="8"/>
    </row>
    <row r="20799">
      <c r="B20799" s="8"/>
      <c r="G20799" s="8"/>
      <c r="M20799" s="8"/>
    </row>
    <row r="20800">
      <c r="B20800" s="8"/>
      <c r="G20800" s="8"/>
      <c r="M20800" s="8"/>
    </row>
    <row r="20801">
      <c r="B20801" s="8"/>
      <c r="G20801" s="8"/>
      <c r="M20801" s="8"/>
    </row>
    <row r="20802">
      <c r="B20802" s="8"/>
      <c r="G20802" s="8"/>
      <c r="M20802" s="8"/>
    </row>
    <row r="20803">
      <c r="B20803" s="8"/>
      <c r="G20803" s="8"/>
      <c r="M20803" s="8"/>
    </row>
    <row r="20804">
      <c r="B20804" s="8"/>
      <c r="G20804" s="8"/>
      <c r="M20804" s="8"/>
    </row>
    <row r="20805">
      <c r="B20805" s="8"/>
      <c r="G20805" s="8"/>
      <c r="M20805" s="8"/>
    </row>
    <row r="20806">
      <c r="B20806" s="8"/>
      <c r="G20806" s="8"/>
      <c r="M20806" s="8"/>
    </row>
    <row r="20807">
      <c r="B20807" s="8"/>
      <c r="G20807" s="8"/>
      <c r="M20807" s="8"/>
    </row>
    <row r="20808">
      <c r="B20808" s="8"/>
      <c r="G20808" s="8"/>
      <c r="M20808" s="8"/>
    </row>
    <row r="20809">
      <c r="B20809" s="8"/>
      <c r="G20809" s="8"/>
      <c r="M20809" s="8"/>
    </row>
    <row r="20810">
      <c r="B20810" s="8"/>
      <c r="G20810" s="8"/>
      <c r="M20810" s="8"/>
    </row>
    <row r="20811">
      <c r="B20811" s="8"/>
      <c r="G20811" s="8"/>
      <c r="M20811" s="8"/>
    </row>
    <row r="20812">
      <c r="B20812" s="8"/>
      <c r="G20812" s="8"/>
      <c r="M20812" s="8"/>
    </row>
    <row r="20813">
      <c r="B20813" s="8"/>
      <c r="G20813" s="8"/>
      <c r="M20813" s="8"/>
    </row>
    <row r="20814">
      <c r="B20814" s="8"/>
      <c r="G20814" s="8"/>
      <c r="M20814" s="8"/>
    </row>
    <row r="20815">
      <c r="B20815" s="8"/>
      <c r="G20815" s="8"/>
      <c r="M20815" s="8"/>
    </row>
    <row r="20816">
      <c r="B20816" s="8"/>
      <c r="G20816" s="8"/>
      <c r="M20816" s="8"/>
    </row>
    <row r="20817">
      <c r="B20817" s="8"/>
      <c r="G20817" s="8"/>
      <c r="M20817" s="8"/>
    </row>
    <row r="20818">
      <c r="B20818" s="8"/>
      <c r="G20818" s="8"/>
      <c r="M20818" s="8"/>
    </row>
    <row r="20819">
      <c r="B20819" s="8"/>
      <c r="G20819" s="8"/>
      <c r="M20819" s="8"/>
    </row>
    <row r="20820">
      <c r="B20820" s="8"/>
      <c r="G20820" s="8"/>
      <c r="M20820" s="8"/>
    </row>
    <row r="20821">
      <c r="B20821" s="8"/>
      <c r="G20821" s="8"/>
      <c r="M20821" s="8"/>
    </row>
    <row r="20822">
      <c r="B20822" s="8"/>
      <c r="G20822" s="8"/>
      <c r="M20822" s="8"/>
    </row>
    <row r="20823">
      <c r="B20823" s="8"/>
      <c r="G20823" s="8"/>
      <c r="M20823" s="8"/>
    </row>
    <row r="20824">
      <c r="B20824" s="8"/>
      <c r="G20824" s="8"/>
      <c r="M20824" s="8"/>
    </row>
    <row r="20825">
      <c r="B20825" s="8"/>
      <c r="G20825" s="8"/>
      <c r="M20825" s="8"/>
    </row>
    <row r="20826">
      <c r="B20826" s="8"/>
      <c r="G20826" s="8"/>
      <c r="M20826" s="8"/>
    </row>
    <row r="20827">
      <c r="B20827" s="8"/>
      <c r="G20827" s="8"/>
      <c r="M20827" s="8"/>
    </row>
    <row r="20828">
      <c r="B20828" s="8"/>
      <c r="G20828" s="8"/>
      <c r="M20828" s="8"/>
    </row>
    <row r="20829">
      <c r="B20829" s="8"/>
      <c r="G20829" s="8"/>
      <c r="M20829" s="8"/>
    </row>
    <row r="20830">
      <c r="B20830" s="8"/>
      <c r="G20830" s="8"/>
      <c r="M20830" s="8"/>
    </row>
    <row r="20831">
      <c r="B20831" s="8"/>
      <c r="G20831" s="8"/>
      <c r="M20831" s="8"/>
    </row>
    <row r="20832">
      <c r="B20832" s="8"/>
      <c r="G20832" s="8"/>
      <c r="M20832" s="8"/>
    </row>
    <row r="20833">
      <c r="B20833" s="8"/>
      <c r="G20833" s="8"/>
      <c r="M20833" s="8"/>
    </row>
    <row r="20834">
      <c r="B20834" s="8"/>
      <c r="G20834" s="8"/>
      <c r="M20834" s="8"/>
    </row>
    <row r="20835">
      <c r="B20835" s="8"/>
      <c r="G20835" s="8"/>
      <c r="M20835" s="8"/>
    </row>
    <row r="20836">
      <c r="B20836" s="8"/>
      <c r="G20836" s="8"/>
      <c r="M20836" s="8"/>
    </row>
    <row r="20837">
      <c r="B20837" s="8"/>
      <c r="G20837" s="8"/>
      <c r="M20837" s="8"/>
    </row>
    <row r="20838">
      <c r="B20838" s="8"/>
      <c r="G20838" s="8"/>
      <c r="M20838" s="8"/>
    </row>
    <row r="20839">
      <c r="B20839" s="8"/>
      <c r="G20839" s="8"/>
      <c r="M20839" s="8"/>
    </row>
    <row r="20840">
      <c r="B20840" s="8"/>
      <c r="G20840" s="8"/>
      <c r="M20840" s="8"/>
    </row>
    <row r="20841">
      <c r="B20841" s="8"/>
      <c r="G20841" s="8"/>
      <c r="M20841" s="8"/>
    </row>
    <row r="20842">
      <c r="B20842" s="8"/>
      <c r="G20842" s="8"/>
      <c r="M20842" s="8"/>
    </row>
    <row r="20843">
      <c r="B20843" s="8"/>
      <c r="G20843" s="8"/>
      <c r="M20843" s="8"/>
    </row>
    <row r="20844">
      <c r="B20844" s="8"/>
      <c r="G20844" s="8"/>
      <c r="M20844" s="8"/>
    </row>
    <row r="20845">
      <c r="B20845" s="8"/>
      <c r="G20845" s="8"/>
      <c r="M20845" s="8"/>
    </row>
    <row r="20846">
      <c r="B20846" s="8"/>
      <c r="G20846" s="8"/>
      <c r="M20846" s="8"/>
    </row>
    <row r="20847">
      <c r="B20847" s="8"/>
      <c r="G20847" s="8"/>
      <c r="M20847" s="8"/>
    </row>
    <row r="20848">
      <c r="B20848" s="8"/>
      <c r="G20848" s="8"/>
      <c r="M20848" s="8"/>
    </row>
    <row r="20849">
      <c r="B20849" s="8"/>
      <c r="G20849" s="8"/>
      <c r="M20849" s="8"/>
    </row>
    <row r="20850">
      <c r="B20850" s="8"/>
      <c r="G20850" s="8"/>
      <c r="M20850" s="8"/>
    </row>
    <row r="20851">
      <c r="B20851" s="8"/>
      <c r="G20851" s="8"/>
      <c r="M20851" s="8"/>
    </row>
    <row r="20852">
      <c r="B20852" s="8"/>
      <c r="G20852" s="8"/>
      <c r="M20852" s="8"/>
    </row>
    <row r="20853">
      <c r="B20853" s="8"/>
      <c r="G20853" s="8"/>
      <c r="M20853" s="8"/>
    </row>
    <row r="20854">
      <c r="B20854" s="8"/>
      <c r="G20854" s="8"/>
      <c r="M20854" s="8"/>
    </row>
    <row r="20855">
      <c r="B20855" s="8"/>
      <c r="G20855" s="8"/>
      <c r="M20855" s="8"/>
    </row>
    <row r="20856">
      <c r="B20856" s="8"/>
      <c r="G20856" s="8"/>
      <c r="M20856" s="8"/>
    </row>
    <row r="20857">
      <c r="B20857" s="8"/>
      <c r="G20857" s="8"/>
      <c r="M20857" s="8"/>
    </row>
    <row r="20858">
      <c r="B20858" s="8"/>
      <c r="G20858" s="8"/>
      <c r="M20858" s="8"/>
    </row>
    <row r="20859">
      <c r="B20859" s="8"/>
      <c r="G20859" s="8"/>
      <c r="M20859" s="8"/>
    </row>
    <row r="20860">
      <c r="B20860" s="8"/>
      <c r="G20860" s="8"/>
      <c r="M20860" s="8"/>
    </row>
    <row r="20861">
      <c r="B20861" s="8"/>
      <c r="G20861" s="8"/>
      <c r="M20861" s="8"/>
    </row>
    <row r="20862">
      <c r="B20862" s="8"/>
      <c r="G20862" s="8"/>
      <c r="M20862" s="8"/>
    </row>
    <row r="20863">
      <c r="B20863" s="8"/>
      <c r="G20863" s="8"/>
      <c r="M20863" s="8"/>
    </row>
    <row r="20864">
      <c r="B20864" s="8"/>
      <c r="G20864" s="8"/>
      <c r="M20864" s="8"/>
    </row>
    <row r="20865">
      <c r="B20865" s="8"/>
      <c r="G20865" s="8"/>
      <c r="M20865" s="8"/>
    </row>
    <row r="20866">
      <c r="B20866" s="8"/>
      <c r="G20866" s="8"/>
      <c r="M20866" s="8"/>
    </row>
    <row r="20867">
      <c r="B20867" s="8"/>
      <c r="G20867" s="8"/>
      <c r="M20867" s="8"/>
    </row>
    <row r="20868">
      <c r="B20868" s="8"/>
      <c r="G20868" s="8"/>
      <c r="M20868" s="8"/>
    </row>
    <row r="20869">
      <c r="B20869" s="8"/>
      <c r="G20869" s="8"/>
      <c r="M20869" s="8"/>
    </row>
    <row r="20870">
      <c r="B20870" s="8"/>
      <c r="G20870" s="8"/>
      <c r="M20870" s="8"/>
    </row>
    <row r="20871">
      <c r="B20871" s="8"/>
      <c r="G20871" s="8"/>
      <c r="M20871" s="8"/>
    </row>
    <row r="20872">
      <c r="B20872" s="8"/>
      <c r="G20872" s="8"/>
      <c r="M20872" s="8"/>
    </row>
    <row r="20873">
      <c r="B20873" s="8"/>
      <c r="G20873" s="8"/>
      <c r="M20873" s="8"/>
    </row>
    <row r="20874">
      <c r="B20874" s="8"/>
      <c r="G20874" s="8"/>
      <c r="M20874" s="8"/>
    </row>
    <row r="20875">
      <c r="B20875" s="8"/>
      <c r="G20875" s="8"/>
      <c r="M20875" s="8"/>
    </row>
    <row r="20876">
      <c r="B20876" s="8"/>
      <c r="G20876" s="8"/>
      <c r="M20876" s="8"/>
    </row>
    <row r="20877">
      <c r="B20877" s="8"/>
      <c r="G20877" s="8"/>
      <c r="M20877" s="8"/>
    </row>
    <row r="20878">
      <c r="B20878" s="8"/>
      <c r="G20878" s="8"/>
      <c r="M20878" s="8"/>
    </row>
    <row r="20879">
      <c r="B20879" s="8"/>
      <c r="G20879" s="8"/>
      <c r="M20879" s="8"/>
    </row>
    <row r="20880">
      <c r="B20880" s="8"/>
      <c r="G20880" s="8"/>
      <c r="M20880" s="8"/>
    </row>
    <row r="20881">
      <c r="B20881" s="8"/>
      <c r="G20881" s="8"/>
      <c r="M20881" s="8"/>
    </row>
    <row r="20882">
      <c r="B20882" s="8"/>
      <c r="G20882" s="8"/>
      <c r="M20882" s="8"/>
    </row>
    <row r="20883">
      <c r="B20883" s="8"/>
      <c r="G20883" s="8"/>
      <c r="M20883" s="8"/>
    </row>
    <row r="20884">
      <c r="B20884" s="8"/>
      <c r="G20884" s="8"/>
      <c r="M20884" s="8"/>
    </row>
    <row r="20885">
      <c r="B20885" s="8"/>
      <c r="G20885" s="8"/>
      <c r="M20885" s="8"/>
    </row>
    <row r="20886">
      <c r="B20886" s="8"/>
      <c r="G20886" s="8"/>
      <c r="M20886" s="8"/>
    </row>
    <row r="20887">
      <c r="B20887" s="8"/>
      <c r="G20887" s="8"/>
      <c r="M20887" s="8"/>
    </row>
    <row r="20888">
      <c r="B20888" s="8"/>
      <c r="G20888" s="8"/>
      <c r="M20888" s="8"/>
    </row>
    <row r="20889">
      <c r="B20889" s="8"/>
      <c r="G20889" s="8"/>
      <c r="M20889" s="8"/>
    </row>
    <row r="20890">
      <c r="B20890" s="8"/>
      <c r="G20890" s="8"/>
      <c r="M20890" s="8"/>
    </row>
    <row r="20891">
      <c r="B20891" s="8"/>
      <c r="G20891" s="8"/>
      <c r="M20891" s="8"/>
    </row>
    <row r="20892">
      <c r="B20892" s="8"/>
      <c r="G20892" s="8"/>
      <c r="M20892" s="8"/>
    </row>
    <row r="20893">
      <c r="B20893" s="8"/>
      <c r="G20893" s="8"/>
      <c r="M20893" s="8"/>
    </row>
    <row r="20894">
      <c r="B20894" s="8"/>
      <c r="G20894" s="8"/>
      <c r="M20894" s="8"/>
    </row>
    <row r="20895">
      <c r="B20895" s="8"/>
      <c r="G20895" s="8"/>
      <c r="M20895" s="8"/>
    </row>
    <row r="20896">
      <c r="B20896" s="8"/>
      <c r="G20896" s="8"/>
      <c r="M20896" s="8"/>
    </row>
    <row r="20897">
      <c r="B20897" s="8"/>
      <c r="G20897" s="8"/>
      <c r="M20897" s="8"/>
    </row>
    <row r="20898">
      <c r="B20898" s="8"/>
      <c r="G20898" s="8"/>
      <c r="M20898" s="8"/>
    </row>
    <row r="20899">
      <c r="B20899" s="8"/>
      <c r="G20899" s="8"/>
      <c r="M20899" s="8"/>
    </row>
    <row r="20900">
      <c r="B20900" s="8"/>
      <c r="G20900" s="8"/>
      <c r="M20900" s="8"/>
    </row>
    <row r="20901">
      <c r="B20901" s="8"/>
      <c r="G20901" s="8"/>
      <c r="M20901" s="8"/>
    </row>
    <row r="20902">
      <c r="B20902" s="8"/>
      <c r="G20902" s="8"/>
      <c r="M20902" s="8"/>
    </row>
    <row r="20903">
      <c r="B20903" s="8"/>
      <c r="G20903" s="8"/>
      <c r="M20903" s="8"/>
    </row>
    <row r="20904">
      <c r="B20904" s="8"/>
      <c r="G20904" s="8"/>
      <c r="M20904" s="8"/>
    </row>
    <row r="20905">
      <c r="B20905" s="8"/>
      <c r="G20905" s="8"/>
      <c r="M20905" s="8"/>
    </row>
    <row r="20906">
      <c r="B20906" s="8"/>
      <c r="G20906" s="8"/>
      <c r="M20906" s="8"/>
    </row>
    <row r="20907">
      <c r="B20907" s="8"/>
      <c r="G20907" s="8"/>
      <c r="M20907" s="8"/>
    </row>
    <row r="20908">
      <c r="B20908" s="8"/>
      <c r="G20908" s="8"/>
      <c r="M20908" s="8"/>
    </row>
    <row r="20909">
      <c r="B20909" s="8"/>
      <c r="G20909" s="8"/>
      <c r="M20909" s="8"/>
    </row>
    <row r="20910">
      <c r="B20910" s="8"/>
      <c r="G20910" s="8"/>
      <c r="M20910" s="8"/>
    </row>
    <row r="20911">
      <c r="B20911" s="8"/>
      <c r="G20911" s="8"/>
      <c r="M20911" s="8"/>
    </row>
    <row r="20912">
      <c r="B20912" s="8"/>
      <c r="G20912" s="8"/>
      <c r="M20912" s="8"/>
    </row>
    <row r="20913">
      <c r="B20913" s="8"/>
      <c r="G20913" s="8"/>
      <c r="M20913" s="8"/>
    </row>
    <row r="20914">
      <c r="B20914" s="8"/>
      <c r="G20914" s="8"/>
      <c r="M20914" s="8"/>
    </row>
    <row r="20915">
      <c r="B20915" s="8"/>
      <c r="G20915" s="8"/>
      <c r="M20915" s="8"/>
    </row>
    <row r="20916">
      <c r="B20916" s="8"/>
      <c r="G20916" s="8"/>
      <c r="M20916" s="8"/>
    </row>
    <row r="20917">
      <c r="B20917" s="8"/>
      <c r="G20917" s="8"/>
      <c r="M20917" s="8"/>
    </row>
    <row r="20918">
      <c r="B20918" s="8"/>
      <c r="G20918" s="8"/>
      <c r="M20918" s="8"/>
    </row>
    <row r="20919">
      <c r="B20919" s="8"/>
      <c r="G20919" s="8"/>
      <c r="M20919" s="8"/>
    </row>
    <row r="20920">
      <c r="B20920" s="8"/>
      <c r="G20920" s="8"/>
      <c r="M20920" s="8"/>
    </row>
    <row r="20921">
      <c r="B20921" s="8"/>
      <c r="G20921" s="8"/>
      <c r="M20921" s="8"/>
    </row>
    <row r="20922">
      <c r="B20922" s="8"/>
      <c r="G20922" s="8"/>
      <c r="M20922" s="8"/>
    </row>
    <row r="20923">
      <c r="B20923" s="8"/>
      <c r="G20923" s="8"/>
      <c r="M20923" s="8"/>
    </row>
    <row r="20924">
      <c r="B20924" s="8"/>
      <c r="G20924" s="8"/>
      <c r="M20924" s="8"/>
    </row>
    <row r="20925">
      <c r="B20925" s="8"/>
      <c r="G20925" s="8"/>
      <c r="M20925" s="8"/>
    </row>
    <row r="20926">
      <c r="B20926" s="8"/>
      <c r="G20926" s="8"/>
      <c r="M20926" s="8"/>
    </row>
    <row r="20927">
      <c r="B20927" s="8"/>
      <c r="G20927" s="8"/>
      <c r="M20927" s="8"/>
    </row>
    <row r="20928">
      <c r="B20928" s="8"/>
      <c r="G20928" s="8"/>
      <c r="M20928" s="8"/>
    </row>
    <row r="20929">
      <c r="B20929" s="8"/>
      <c r="G20929" s="8"/>
      <c r="M20929" s="8"/>
    </row>
    <row r="20930">
      <c r="B20930" s="8"/>
      <c r="G20930" s="8"/>
      <c r="M20930" s="8"/>
    </row>
    <row r="20931">
      <c r="B20931" s="8"/>
      <c r="G20931" s="8"/>
      <c r="M20931" s="8"/>
    </row>
    <row r="20932">
      <c r="B20932" s="8"/>
      <c r="G20932" s="8"/>
      <c r="M20932" s="8"/>
    </row>
    <row r="20933">
      <c r="B20933" s="8"/>
      <c r="G20933" s="8"/>
      <c r="M20933" s="8"/>
    </row>
    <row r="20934">
      <c r="B20934" s="8"/>
      <c r="G20934" s="8"/>
      <c r="M20934" s="8"/>
    </row>
    <row r="20935">
      <c r="B20935" s="8"/>
      <c r="G20935" s="8"/>
      <c r="M20935" s="8"/>
    </row>
    <row r="20936">
      <c r="B20936" s="8"/>
      <c r="G20936" s="8"/>
      <c r="M20936" s="8"/>
    </row>
    <row r="20937">
      <c r="B20937" s="8"/>
      <c r="G20937" s="8"/>
      <c r="M20937" s="8"/>
    </row>
    <row r="20938">
      <c r="B20938" s="8"/>
      <c r="G20938" s="8"/>
      <c r="M20938" s="8"/>
    </row>
    <row r="20939">
      <c r="B20939" s="8"/>
      <c r="G20939" s="8"/>
      <c r="M20939" s="8"/>
    </row>
    <row r="20940">
      <c r="B20940" s="8"/>
      <c r="G20940" s="8"/>
      <c r="M20940" s="8"/>
    </row>
    <row r="20941">
      <c r="B20941" s="8"/>
      <c r="G20941" s="8"/>
      <c r="M20941" s="8"/>
    </row>
    <row r="20942">
      <c r="B20942" s="8"/>
      <c r="G20942" s="8"/>
      <c r="M20942" s="8"/>
    </row>
    <row r="20943">
      <c r="B20943" s="8"/>
      <c r="G20943" s="8"/>
      <c r="M20943" s="8"/>
    </row>
    <row r="20944">
      <c r="B20944" s="8"/>
      <c r="G20944" s="8"/>
      <c r="M20944" s="8"/>
    </row>
    <row r="20945">
      <c r="B20945" s="8"/>
      <c r="G20945" s="8"/>
      <c r="M20945" s="8"/>
    </row>
    <row r="20946">
      <c r="B20946" s="8"/>
      <c r="G20946" s="8"/>
      <c r="M20946" s="8"/>
    </row>
    <row r="20947">
      <c r="B20947" s="8"/>
      <c r="G20947" s="8"/>
      <c r="M20947" s="8"/>
    </row>
    <row r="20948">
      <c r="B20948" s="8"/>
      <c r="G20948" s="8"/>
      <c r="M20948" s="8"/>
    </row>
    <row r="20949">
      <c r="B20949" s="8"/>
      <c r="G20949" s="8"/>
      <c r="M20949" s="8"/>
    </row>
    <row r="20950">
      <c r="B20950" s="8"/>
      <c r="G20950" s="8"/>
      <c r="M20950" s="8"/>
    </row>
    <row r="20951">
      <c r="B20951" s="8"/>
      <c r="G20951" s="8"/>
      <c r="M20951" s="8"/>
    </row>
    <row r="20952">
      <c r="B20952" s="8"/>
      <c r="G20952" s="8"/>
      <c r="M20952" s="8"/>
    </row>
    <row r="20953">
      <c r="B20953" s="8"/>
      <c r="G20953" s="8"/>
      <c r="M20953" s="8"/>
    </row>
    <row r="20954">
      <c r="B20954" s="8"/>
      <c r="G20954" s="8"/>
      <c r="M20954" s="8"/>
    </row>
    <row r="20955">
      <c r="B20955" s="8"/>
      <c r="G20955" s="8"/>
      <c r="M20955" s="8"/>
    </row>
    <row r="20956">
      <c r="B20956" s="8"/>
      <c r="G20956" s="8"/>
      <c r="M20956" s="8"/>
    </row>
    <row r="20957">
      <c r="B20957" s="8"/>
      <c r="G20957" s="8"/>
      <c r="M20957" s="8"/>
    </row>
    <row r="20958">
      <c r="B20958" s="8"/>
      <c r="G20958" s="8"/>
      <c r="M20958" s="8"/>
    </row>
    <row r="20959">
      <c r="B20959" s="8"/>
      <c r="G20959" s="8"/>
      <c r="M20959" s="8"/>
    </row>
    <row r="20960">
      <c r="B20960" s="8"/>
      <c r="G20960" s="8"/>
      <c r="M20960" s="8"/>
    </row>
    <row r="20961">
      <c r="B20961" s="8"/>
      <c r="G20961" s="8"/>
      <c r="M20961" s="8"/>
    </row>
    <row r="20962">
      <c r="B20962" s="8"/>
      <c r="G20962" s="8"/>
      <c r="M20962" s="8"/>
    </row>
    <row r="20963">
      <c r="B20963" s="8"/>
      <c r="G20963" s="8"/>
      <c r="M20963" s="8"/>
    </row>
    <row r="20964">
      <c r="B20964" s="8"/>
      <c r="G20964" s="8"/>
      <c r="M20964" s="8"/>
    </row>
    <row r="20965">
      <c r="B20965" s="8"/>
      <c r="G20965" s="8"/>
      <c r="M20965" s="8"/>
    </row>
    <row r="20966">
      <c r="B20966" s="8"/>
      <c r="G20966" s="8"/>
      <c r="M20966" s="8"/>
    </row>
    <row r="20967">
      <c r="B20967" s="8"/>
      <c r="G20967" s="8"/>
      <c r="M20967" s="8"/>
    </row>
    <row r="20968">
      <c r="B20968" s="8"/>
      <c r="G20968" s="8"/>
      <c r="M20968" s="8"/>
    </row>
    <row r="20969">
      <c r="B20969" s="8"/>
      <c r="G20969" s="8"/>
      <c r="M20969" s="8"/>
    </row>
    <row r="20970">
      <c r="B20970" s="8"/>
      <c r="G20970" s="8"/>
      <c r="M20970" s="8"/>
    </row>
    <row r="20971">
      <c r="B20971" s="8"/>
      <c r="G20971" s="8"/>
      <c r="M20971" s="8"/>
    </row>
    <row r="20972">
      <c r="B20972" s="8"/>
      <c r="G20972" s="8"/>
      <c r="M20972" s="8"/>
    </row>
    <row r="20973">
      <c r="B20973" s="8"/>
      <c r="G20973" s="8"/>
      <c r="M20973" s="8"/>
    </row>
    <row r="20974">
      <c r="B20974" s="8"/>
      <c r="G20974" s="8"/>
      <c r="M20974" s="8"/>
    </row>
    <row r="20975">
      <c r="B20975" s="8"/>
      <c r="G20975" s="8"/>
      <c r="M20975" s="8"/>
    </row>
    <row r="20976">
      <c r="B20976" s="8"/>
      <c r="G20976" s="8"/>
      <c r="M20976" s="8"/>
    </row>
    <row r="20977">
      <c r="B20977" s="8"/>
      <c r="G20977" s="8"/>
      <c r="M20977" s="8"/>
    </row>
    <row r="20978">
      <c r="B20978" s="8"/>
      <c r="G20978" s="8"/>
      <c r="M20978" s="8"/>
    </row>
    <row r="20979">
      <c r="B20979" s="8"/>
      <c r="G20979" s="8"/>
      <c r="M20979" s="8"/>
    </row>
    <row r="20980">
      <c r="B20980" s="8"/>
      <c r="G20980" s="8"/>
      <c r="M20980" s="8"/>
    </row>
    <row r="20981">
      <c r="B20981" s="8"/>
      <c r="G20981" s="8"/>
      <c r="M20981" s="8"/>
    </row>
    <row r="20982">
      <c r="B20982" s="8"/>
      <c r="G20982" s="8"/>
      <c r="M20982" s="8"/>
    </row>
    <row r="20983">
      <c r="B20983" s="8"/>
      <c r="G20983" s="8"/>
      <c r="M20983" s="8"/>
    </row>
    <row r="20984">
      <c r="B20984" s="8"/>
      <c r="G20984" s="8"/>
      <c r="M20984" s="8"/>
    </row>
    <row r="20985">
      <c r="B20985" s="8"/>
      <c r="G20985" s="8"/>
      <c r="M20985" s="8"/>
    </row>
    <row r="20986">
      <c r="B20986" s="8"/>
      <c r="G20986" s="8"/>
      <c r="M20986" s="8"/>
    </row>
    <row r="20987">
      <c r="B20987" s="8"/>
      <c r="G20987" s="8"/>
      <c r="M20987" s="8"/>
    </row>
    <row r="20988">
      <c r="B20988" s="8"/>
      <c r="G20988" s="8"/>
      <c r="M20988" s="8"/>
    </row>
    <row r="20989">
      <c r="B20989" s="8"/>
      <c r="G20989" s="8"/>
      <c r="M20989" s="8"/>
    </row>
    <row r="20990">
      <c r="B20990" s="8"/>
      <c r="G20990" s="8"/>
      <c r="M20990" s="8"/>
    </row>
    <row r="20991">
      <c r="B20991" s="8"/>
      <c r="G20991" s="8"/>
      <c r="M20991" s="8"/>
    </row>
    <row r="20992">
      <c r="B20992" s="8"/>
      <c r="G20992" s="8"/>
      <c r="M20992" s="8"/>
    </row>
    <row r="20993">
      <c r="B20993" s="8"/>
      <c r="G20993" s="8"/>
      <c r="M20993" s="8"/>
    </row>
    <row r="20994">
      <c r="B20994" s="8"/>
      <c r="G20994" s="8"/>
      <c r="M20994" s="8"/>
    </row>
    <row r="20995">
      <c r="B20995" s="8"/>
      <c r="G20995" s="8"/>
      <c r="M20995" s="8"/>
    </row>
    <row r="20996">
      <c r="B20996" s="8"/>
      <c r="G20996" s="8"/>
      <c r="M20996" s="8"/>
    </row>
    <row r="20997">
      <c r="B20997" s="8"/>
      <c r="G20997" s="8"/>
      <c r="M20997" s="8"/>
    </row>
    <row r="20998">
      <c r="B20998" s="8"/>
      <c r="G20998" s="8"/>
      <c r="M20998" s="8"/>
    </row>
    <row r="20999">
      <c r="B20999" s="8"/>
      <c r="G20999" s="8"/>
      <c r="M20999" s="8"/>
    </row>
    <row r="21000">
      <c r="B21000" s="8"/>
      <c r="G21000" s="8"/>
      <c r="M21000" s="8"/>
    </row>
    <row r="21001">
      <c r="B21001" s="8"/>
      <c r="G21001" s="8"/>
      <c r="M21001" s="8"/>
    </row>
    <row r="21002">
      <c r="B21002" s="8"/>
      <c r="G21002" s="8"/>
      <c r="M21002" s="8"/>
    </row>
    <row r="21003">
      <c r="B21003" s="8"/>
      <c r="G21003" s="8"/>
      <c r="M21003" s="8"/>
    </row>
    <row r="21004">
      <c r="B21004" s="8"/>
      <c r="G21004" s="8"/>
      <c r="M21004" s="8"/>
    </row>
    <row r="21005">
      <c r="B21005" s="8"/>
      <c r="G21005" s="8"/>
      <c r="M21005" s="8"/>
    </row>
    <row r="21006">
      <c r="B21006" s="8"/>
      <c r="G21006" s="8"/>
      <c r="M21006" s="8"/>
    </row>
    <row r="21007">
      <c r="B21007" s="8"/>
      <c r="G21007" s="8"/>
      <c r="M21007" s="8"/>
    </row>
    <row r="21008">
      <c r="B21008" s="8"/>
      <c r="G21008" s="8"/>
      <c r="M21008" s="8"/>
    </row>
    <row r="21009">
      <c r="B21009" s="8"/>
      <c r="G21009" s="8"/>
      <c r="M21009" s="8"/>
    </row>
    <row r="21010">
      <c r="B21010" s="8"/>
      <c r="G21010" s="8"/>
      <c r="M21010" s="8"/>
    </row>
    <row r="21011">
      <c r="B21011" s="8"/>
      <c r="G21011" s="8"/>
      <c r="M21011" s="8"/>
    </row>
    <row r="21012">
      <c r="B21012" s="8"/>
      <c r="G21012" s="8"/>
      <c r="M21012" s="8"/>
    </row>
    <row r="21013">
      <c r="B21013" s="8"/>
      <c r="G21013" s="8"/>
      <c r="M21013" s="8"/>
    </row>
    <row r="21014">
      <c r="B21014" s="8"/>
      <c r="G21014" s="8"/>
      <c r="M21014" s="8"/>
    </row>
    <row r="21015">
      <c r="B21015" s="8"/>
      <c r="G21015" s="8"/>
      <c r="M21015" s="8"/>
    </row>
    <row r="21016">
      <c r="B21016" s="8"/>
      <c r="G21016" s="8"/>
      <c r="M21016" s="8"/>
    </row>
    <row r="21017">
      <c r="B21017" s="8"/>
      <c r="G21017" s="8"/>
      <c r="M21017" s="8"/>
    </row>
    <row r="21018">
      <c r="B21018" s="8"/>
      <c r="G21018" s="8"/>
      <c r="M21018" s="8"/>
    </row>
    <row r="21019">
      <c r="B21019" s="8"/>
      <c r="G21019" s="8"/>
      <c r="M21019" s="8"/>
    </row>
    <row r="21020">
      <c r="B21020" s="8"/>
      <c r="G21020" s="8"/>
      <c r="M21020" s="8"/>
    </row>
    <row r="21021">
      <c r="B21021" s="8"/>
      <c r="G21021" s="8"/>
      <c r="M21021" s="8"/>
    </row>
    <row r="21022">
      <c r="B21022" s="8"/>
      <c r="G21022" s="8"/>
      <c r="M21022" s="8"/>
    </row>
    <row r="21023">
      <c r="B21023" s="8"/>
      <c r="G21023" s="8"/>
      <c r="M21023" s="8"/>
    </row>
    <row r="21024">
      <c r="B21024" s="8"/>
      <c r="G21024" s="8"/>
      <c r="M21024" s="8"/>
    </row>
    <row r="21025">
      <c r="B21025" s="8"/>
      <c r="G21025" s="8"/>
      <c r="M21025" s="8"/>
    </row>
    <row r="21026">
      <c r="B21026" s="8"/>
      <c r="G21026" s="8"/>
      <c r="M21026" s="8"/>
    </row>
    <row r="21027">
      <c r="B21027" s="8"/>
      <c r="G21027" s="8"/>
      <c r="M21027" s="8"/>
    </row>
    <row r="21028">
      <c r="B21028" s="8"/>
      <c r="G21028" s="8"/>
      <c r="M21028" s="8"/>
    </row>
    <row r="21029">
      <c r="B21029" s="8"/>
      <c r="G21029" s="8"/>
      <c r="M21029" s="8"/>
    </row>
    <row r="21030">
      <c r="B21030" s="8"/>
      <c r="G21030" s="8"/>
      <c r="M21030" s="8"/>
    </row>
    <row r="21031">
      <c r="B21031" s="8"/>
      <c r="G21031" s="8"/>
      <c r="M21031" s="8"/>
    </row>
    <row r="21032">
      <c r="B21032" s="8"/>
      <c r="G21032" s="8"/>
      <c r="M21032" s="8"/>
    </row>
    <row r="21033">
      <c r="B21033" s="8"/>
      <c r="G21033" s="8"/>
      <c r="M21033" s="8"/>
    </row>
    <row r="21034">
      <c r="B21034" s="8"/>
      <c r="G21034" s="8"/>
      <c r="M21034" s="8"/>
    </row>
    <row r="21035">
      <c r="B21035" s="8"/>
      <c r="G21035" s="8"/>
      <c r="M21035" s="8"/>
    </row>
    <row r="21036">
      <c r="B21036" s="8"/>
      <c r="G21036" s="8"/>
      <c r="M21036" s="8"/>
    </row>
    <row r="21037">
      <c r="B21037" s="8"/>
      <c r="G21037" s="8"/>
      <c r="M21037" s="8"/>
    </row>
    <row r="21038">
      <c r="B21038" s="8"/>
      <c r="G21038" s="8"/>
      <c r="M21038" s="8"/>
    </row>
    <row r="21039">
      <c r="B21039" s="8"/>
      <c r="G21039" s="8"/>
      <c r="M21039" s="8"/>
    </row>
    <row r="21040">
      <c r="B21040" s="8"/>
      <c r="G21040" s="8"/>
      <c r="M21040" s="8"/>
    </row>
    <row r="21041">
      <c r="B21041" s="8"/>
      <c r="G21041" s="8"/>
      <c r="M21041" s="8"/>
    </row>
    <row r="21042">
      <c r="B21042" s="8"/>
      <c r="G21042" s="8"/>
      <c r="M21042" s="8"/>
    </row>
    <row r="21043">
      <c r="B21043" s="8"/>
      <c r="G21043" s="8"/>
      <c r="M21043" s="8"/>
    </row>
    <row r="21044">
      <c r="B21044" s="8"/>
      <c r="G21044" s="8"/>
      <c r="M21044" s="8"/>
    </row>
    <row r="21045">
      <c r="B21045" s="8"/>
      <c r="G21045" s="8"/>
      <c r="M21045" s="8"/>
    </row>
    <row r="21046">
      <c r="B21046" s="8"/>
      <c r="G21046" s="8"/>
      <c r="M21046" s="8"/>
    </row>
    <row r="21047">
      <c r="B21047" s="8"/>
      <c r="G21047" s="8"/>
      <c r="M21047" s="8"/>
    </row>
    <row r="21048">
      <c r="B21048" s="8"/>
      <c r="G21048" s="8"/>
      <c r="M21048" s="8"/>
    </row>
    <row r="21049">
      <c r="B21049" s="8"/>
      <c r="G21049" s="8"/>
      <c r="M21049" s="8"/>
    </row>
    <row r="21050">
      <c r="B21050" s="8"/>
      <c r="G21050" s="8"/>
      <c r="M21050" s="8"/>
    </row>
    <row r="21051">
      <c r="B21051" s="8"/>
      <c r="G21051" s="8"/>
      <c r="M21051" s="8"/>
    </row>
    <row r="21052">
      <c r="B21052" s="8"/>
      <c r="G21052" s="8"/>
      <c r="M21052" s="8"/>
    </row>
    <row r="21053">
      <c r="B21053" s="8"/>
      <c r="G21053" s="8"/>
      <c r="M21053" s="8"/>
    </row>
    <row r="21054">
      <c r="B21054" s="8"/>
      <c r="G21054" s="8"/>
      <c r="M21054" s="8"/>
    </row>
    <row r="21055">
      <c r="B21055" s="8"/>
      <c r="G21055" s="8"/>
      <c r="M21055" s="8"/>
    </row>
    <row r="21056">
      <c r="B21056" s="8"/>
      <c r="G21056" s="8"/>
      <c r="M21056" s="8"/>
    </row>
    <row r="21057">
      <c r="B21057" s="8"/>
      <c r="G21057" s="8"/>
      <c r="M21057" s="8"/>
    </row>
    <row r="21058">
      <c r="B21058" s="8"/>
      <c r="G21058" s="8"/>
      <c r="M21058" s="8"/>
    </row>
    <row r="21059">
      <c r="B21059" s="8"/>
      <c r="G21059" s="8"/>
      <c r="M21059" s="8"/>
    </row>
    <row r="21060">
      <c r="B21060" s="8"/>
      <c r="G21060" s="8"/>
      <c r="M21060" s="8"/>
    </row>
    <row r="21061">
      <c r="B21061" s="8"/>
      <c r="G21061" s="8"/>
      <c r="M21061" s="8"/>
    </row>
    <row r="21062">
      <c r="B21062" s="8"/>
      <c r="G21062" s="8"/>
      <c r="M21062" s="8"/>
    </row>
    <row r="21063">
      <c r="B21063" s="8"/>
      <c r="G21063" s="8"/>
      <c r="M21063" s="8"/>
    </row>
    <row r="21064">
      <c r="B21064" s="8"/>
      <c r="G21064" s="8"/>
      <c r="M21064" s="8"/>
    </row>
    <row r="21065">
      <c r="B21065" s="8"/>
      <c r="G21065" s="8"/>
      <c r="M21065" s="8"/>
    </row>
    <row r="21066">
      <c r="B21066" s="8"/>
      <c r="G21066" s="8"/>
      <c r="M21066" s="8"/>
    </row>
    <row r="21067">
      <c r="B21067" s="8"/>
      <c r="G21067" s="8"/>
      <c r="M21067" s="8"/>
    </row>
    <row r="21068">
      <c r="B21068" s="8"/>
      <c r="G21068" s="8"/>
      <c r="M21068" s="8"/>
    </row>
    <row r="21069">
      <c r="B21069" s="8"/>
      <c r="G21069" s="8"/>
      <c r="M21069" s="8"/>
    </row>
    <row r="21070">
      <c r="B21070" s="8"/>
      <c r="G21070" s="8"/>
      <c r="M21070" s="8"/>
    </row>
    <row r="21071">
      <c r="B21071" s="8"/>
      <c r="G21071" s="8"/>
      <c r="M21071" s="8"/>
    </row>
    <row r="21072">
      <c r="B21072" s="8"/>
      <c r="G21072" s="8"/>
      <c r="M21072" s="8"/>
    </row>
    <row r="21073">
      <c r="B21073" s="8"/>
      <c r="G21073" s="8"/>
      <c r="M21073" s="8"/>
    </row>
    <row r="21074">
      <c r="B21074" s="8"/>
      <c r="G21074" s="8"/>
      <c r="M21074" s="8"/>
    </row>
    <row r="21075">
      <c r="B21075" s="8"/>
      <c r="G21075" s="8"/>
      <c r="M21075" s="8"/>
    </row>
    <row r="21076">
      <c r="B21076" s="8"/>
      <c r="G21076" s="8"/>
      <c r="M21076" s="8"/>
    </row>
    <row r="21077">
      <c r="B21077" s="8"/>
      <c r="G21077" s="8"/>
      <c r="M21077" s="8"/>
    </row>
    <row r="21078">
      <c r="B21078" s="8"/>
      <c r="G21078" s="8"/>
      <c r="M21078" s="8"/>
    </row>
    <row r="21079">
      <c r="B21079" s="8"/>
      <c r="G21079" s="8"/>
      <c r="M21079" s="8"/>
    </row>
    <row r="21080">
      <c r="B21080" s="8"/>
      <c r="G21080" s="8"/>
      <c r="M21080" s="8"/>
    </row>
    <row r="21081">
      <c r="B21081" s="8"/>
      <c r="G21081" s="8"/>
      <c r="M21081" s="8"/>
    </row>
    <row r="21082">
      <c r="B21082" s="8"/>
      <c r="G21082" s="8"/>
      <c r="M21082" s="8"/>
    </row>
    <row r="21083">
      <c r="B21083" s="8"/>
      <c r="G21083" s="8"/>
      <c r="M21083" s="8"/>
    </row>
    <row r="21084">
      <c r="B21084" s="8"/>
      <c r="G21084" s="8"/>
      <c r="M21084" s="8"/>
    </row>
    <row r="21085">
      <c r="B21085" s="8"/>
      <c r="G21085" s="8"/>
      <c r="M21085" s="8"/>
    </row>
    <row r="21086">
      <c r="B21086" s="8"/>
      <c r="G21086" s="8"/>
      <c r="M21086" s="8"/>
    </row>
    <row r="21087">
      <c r="B21087" s="8"/>
      <c r="G21087" s="8"/>
      <c r="M21087" s="8"/>
    </row>
    <row r="21088">
      <c r="B21088" s="8"/>
      <c r="G21088" s="8"/>
      <c r="M21088" s="8"/>
    </row>
    <row r="21089">
      <c r="B21089" s="8"/>
      <c r="G21089" s="8"/>
      <c r="M21089" s="8"/>
    </row>
    <row r="21090">
      <c r="B21090" s="8"/>
      <c r="G21090" s="8"/>
      <c r="M21090" s="8"/>
    </row>
    <row r="21091">
      <c r="B21091" s="8"/>
      <c r="G21091" s="8"/>
      <c r="M21091" s="8"/>
    </row>
    <row r="21092">
      <c r="B21092" s="8"/>
      <c r="G21092" s="8"/>
      <c r="M21092" s="8"/>
    </row>
    <row r="21093">
      <c r="B21093" s="8"/>
      <c r="G21093" s="8"/>
      <c r="M21093" s="8"/>
    </row>
    <row r="21094">
      <c r="B21094" s="8"/>
      <c r="G21094" s="8"/>
      <c r="M21094" s="8"/>
    </row>
    <row r="21095">
      <c r="B21095" s="8"/>
      <c r="G21095" s="8"/>
      <c r="M21095" s="8"/>
    </row>
    <row r="21096">
      <c r="B21096" s="8"/>
      <c r="G21096" s="8"/>
      <c r="M21096" s="8"/>
    </row>
    <row r="21097">
      <c r="B21097" s="8"/>
      <c r="G21097" s="8"/>
      <c r="M21097" s="8"/>
    </row>
    <row r="21098">
      <c r="B21098" s="8"/>
      <c r="G21098" s="8"/>
      <c r="M21098" s="8"/>
    </row>
    <row r="21099">
      <c r="B21099" s="8"/>
      <c r="G21099" s="8"/>
      <c r="M21099" s="8"/>
    </row>
    <row r="21100">
      <c r="B21100" s="8"/>
      <c r="G21100" s="8"/>
      <c r="M21100" s="8"/>
    </row>
    <row r="21101">
      <c r="B21101" s="8"/>
      <c r="G21101" s="8"/>
      <c r="M21101" s="8"/>
    </row>
    <row r="21102">
      <c r="B21102" s="8"/>
      <c r="G21102" s="8"/>
      <c r="M21102" s="8"/>
    </row>
    <row r="21103">
      <c r="B21103" s="8"/>
      <c r="G21103" s="8"/>
      <c r="M21103" s="8"/>
    </row>
    <row r="21104">
      <c r="B21104" s="8"/>
      <c r="G21104" s="8"/>
      <c r="M21104" s="8"/>
    </row>
    <row r="21105">
      <c r="B21105" s="8"/>
      <c r="G21105" s="8"/>
      <c r="M21105" s="8"/>
    </row>
    <row r="21106">
      <c r="B21106" s="8"/>
      <c r="G21106" s="8"/>
      <c r="M21106" s="8"/>
    </row>
    <row r="21107">
      <c r="B21107" s="8"/>
      <c r="G21107" s="8"/>
      <c r="M21107" s="8"/>
    </row>
    <row r="21108">
      <c r="B21108" s="8"/>
      <c r="G21108" s="8"/>
      <c r="M21108" s="8"/>
    </row>
    <row r="21109">
      <c r="B21109" s="8"/>
      <c r="G21109" s="8"/>
      <c r="M21109" s="8"/>
    </row>
    <row r="21110">
      <c r="B21110" s="8"/>
      <c r="G21110" s="8"/>
      <c r="M21110" s="8"/>
    </row>
    <row r="21111">
      <c r="B21111" s="8"/>
      <c r="G21111" s="8"/>
      <c r="M21111" s="8"/>
    </row>
    <row r="21112">
      <c r="B21112" s="8"/>
      <c r="G21112" s="8"/>
      <c r="M21112" s="8"/>
    </row>
    <row r="21113">
      <c r="B21113" s="8"/>
      <c r="G21113" s="8"/>
      <c r="M21113" s="8"/>
    </row>
    <row r="21114">
      <c r="B21114" s="8"/>
      <c r="G21114" s="8"/>
      <c r="M21114" s="8"/>
    </row>
    <row r="21115">
      <c r="B21115" s="8"/>
      <c r="G21115" s="8"/>
      <c r="M21115" s="8"/>
    </row>
    <row r="21116">
      <c r="B21116" s="8"/>
      <c r="G21116" s="8"/>
      <c r="M21116" s="8"/>
    </row>
    <row r="21117">
      <c r="B21117" s="8"/>
      <c r="G21117" s="8"/>
      <c r="M21117" s="8"/>
    </row>
    <row r="21118">
      <c r="B21118" s="8"/>
      <c r="G21118" s="8"/>
      <c r="M21118" s="8"/>
    </row>
    <row r="21119">
      <c r="B21119" s="8"/>
      <c r="G21119" s="8"/>
      <c r="M21119" s="8"/>
    </row>
    <row r="21120">
      <c r="B21120" s="8"/>
      <c r="G21120" s="8"/>
      <c r="M21120" s="8"/>
    </row>
    <row r="21121">
      <c r="B21121" s="8"/>
      <c r="G21121" s="8"/>
      <c r="M21121" s="8"/>
    </row>
    <row r="21122">
      <c r="B21122" s="8"/>
      <c r="G21122" s="8"/>
      <c r="M21122" s="8"/>
    </row>
    <row r="21123">
      <c r="B21123" s="8"/>
      <c r="G21123" s="8"/>
      <c r="M21123" s="8"/>
    </row>
    <row r="21124">
      <c r="B21124" s="8"/>
      <c r="G21124" s="8"/>
      <c r="M21124" s="8"/>
    </row>
    <row r="21125">
      <c r="B21125" s="8"/>
      <c r="G21125" s="8"/>
      <c r="M21125" s="8"/>
    </row>
    <row r="21126">
      <c r="B21126" s="8"/>
      <c r="G21126" s="8"/>
      <c r="M21126" s="8"/>
    </row>
    <row r="21127">
      <c r="B21127" s="8"/>
      <c r="G21127" s="8"/>
      <c r="M21127" s="8"/>
    </row>
    <row r="21128">
      <c r="B21128" s="8"/>
      <c r="G21128" s="8"/>
      <c r="M21128" s="8"/>
    </row>
    <row r="21129">
      <c r="B21129" s="8"/>
      <c r="G21129" s="8"/>
      <c r="M21129" s="8"/>
    </row>
    <row r="21130">
      <c r="B21130" s="8"/>
      <c r="G21130" s="8"/>
      <c r="M21130" s="8"/>
    </row>
    <row r="21131">
      <c r="B21131" s="8"/>
      <c r="G21131" s="8"/>
      <c r="M21131" s="8"/>
    </row>
    <row r="21132">
      <c r="B21132" s="8"/>
      <c r="G21132" s="8"/>
      <c r="M21132" s="8"/>
    </row>
    <row r="21133">
      <c r="B21133" s="8"/>
      <c r="G21133" s="8"/>
      <c r="M21133" s="8"/>
    </row>
    <row r="21134">
      <c r="B21134" s="8"/>
      <c r="G21134" s="8"/>
      <c r="M21134" s="8"/>
    </row>
    <row r="21135">
      <c r="B21135" s="8"/>
      <c r="G21135" s="8"/>
      <c r="M21135" s="8"/>
    </row>
    <row r="21136">
      <c r="B21136" s="8"/>
      <c r="G21136" s="8"/>
      <c r="M21136" s="8"/>
    </row>
    <row r="21137">
      <c r="B21137" s="8"/>
      <c r="G21137" s="8"/>
      <c r="M21137" s="8"/>
    </row>
    <row r="21138">
      <c r="B21138" s="8"/>
      <c r="G21138" s="8"/>
      <c r="M21138" s="8"/>
    </row>
    <row r="21139">
      <c r="B21139" s="8"/>
      <c r="G21139" s="8"/>
      <c r="M21139" s="8"/>
    </row>
    <row r="21140">
      <c r="B21140" s="8"/>
      <c r="G21140" s="8"/>
      <c r="M21140" s="8"/>
    </row>
    <row r="21141">
      <c r="B21141" s="8"/>
      <c r="G21141" s="8"/>
      <c r="M21141" s="8"/>
    </row>
    <row r="21142">
      <c r="B21142" s="8"/>
      <c r="G21142" s="8"/>
      <c r="M21142" s="8"/>
    </row>
    <row r="21143">
      <c r="B21143" s="8"/>
      <c r="G21143" s="8"/>
      <c r="M21143" s="8"/>
    </row>
    <row r="21144">
      <c r="B21144" s="8"/>
      <c r="G21144" s="8"/>
      <c r="M21144" s="8"/>
    </row>
    <row r="21145">
      <c r="B21145" s="8"/>
      <c r="G21145" s="8"/>
      <c r="M21145" s="8"/>
    </row>
    <row r="21146">
      <c r="B21146" s="8"/>
      <c r="G21146" s="8"/>
      <c r="M21146" s="8"/>
    </row>
    <row r="21147">
      <c r="B21147" s="8"/>
      <c r="G21147" s="8"/>
      <c r="M21147" s="8"/>
    </row>
    <row r="21148">
      <c r="B21148" s="8"/>
      <c r="G21148" s="8"/>
      <c r="M21148" s="8"/>
    </row>
    <row r="21149">
      <c r="B21149" s="8"/>
      <c r="G21149" s="8"/>
      <c r="M21149" s="8"/>
    </row>
    <row r="21150">
      <c r="B21150" s="8"/>
      <c r="G21150" s="8"/>
      <c r="M21150" s="8"/>
    </row>
    <row r="21151">
      <c r="B21151" s="8"/>
      <c r="G21151" s="8"/>
      <c r="M21151" s="8"/>
    </row>
    <row r="21152">
      <c r="B21152" s="8"/>
      <c r="G21152" s="8"/>
      <c r="M21152" s="8"/>
    </row>
    <row r="21153">
      <c r="B21153" s="8"/>
      <c r="G21153" s="8"/>
      <c r="M21153" s="8"/>
    </row>
    <row r="21154">
      <c r="B21154" s="8"/>
      <c r="G21154" s="8"/>
      <c r="M21154" s="8"/>
    </row>
    <row r="21155">
      <c r="B21155" s="8"/>
      <c r="G21155" s="8"/>
      <c r="M21155" s="8"/>
    </row>
    <row r="21156">
      <c r="B21156" s="8"/>
      <c r="G21156" s="8"/>
      <c r="M21156" s="8"/>
    </row>
    <row r="21157">
      <c r="B21157" s="8"/>
      <c r="G21157" s="8"/>
      <c r="M21157" s="8"/>
    </row>
    <row r="21158">
      <c r="B21158" s="8"/>
      <c r="G21158" s="8"/>
      <c r="M21158" s="8"/>
    </row>
    <row r="21159">
      <c r="B21159" s="8"/>
      <c r="G21159" s="8"/>
      <c r="M21159" s="8"/>
    </row>
    <row r="21160">
      <c r="B21160" s="8"/>
      <c r="G21160" s="8"/>
      <c r="M21160" s="8"/>
    </row>
    <row r="21161">
      <c r="B21161" s="8"/>
      <c r="G21161" s="8"/>
      <c r="M21161" s="8"/>
    </row>
    <row r="21162">
      <c r="B21162" s="8"/>
      <c r="G21162" s="8"/>
      <c r="M21162" s="8"/>
    </row>
    <row r="21163">
      <c r="B21163" s="8"/>
      <c r="G21163" s="8"/>
      <c r="M21163" s="8"/>
    </row>
    <row r="21164">
      <c r="B21164" s="8"/>
      <c r="G21164" s="8"/>
      <c r="M21164" s="8"/>
    </row>
    <row r="21165">
      <c r="B21165" s="8"/>
      <c r="G21165" s="8"/>
      <c r="M21165" s="8"/>
    </row>
    <row r="21166">
      <c r="B21166" s="8"/>
      <c r="G21166" s="8"/>
      <c r="M21166" s="8"/>
    </row>
    <row r="21167">
      <c r="B21167" s="8"/>
      <c r="G21167" s="8"/>
      <c r="M21167" s="8"/>
    </row>
    <row r="21168">
      <c r="B21168" s="8"/>
      <c r="G21168" s="8"/>
      <c r="M21168" s="8"/>
    </row>
    <row r="21169">
      <c r="B21169" s="8"/>
      <c r="G21169" s="8"/>
      <c r="M21169" s="8"/>
    </row>
    <row r="21170">
      <c r="B21170" s="8"/>
      <c r="G21170" s="8"/>
      <c r="M21170" s="8"/>
    </row>
    <row r="21171">
      <c r="B21171" s="8"/>
      <c r="G21171" s="8"/>
      <c r="M21171" s="8"/>
    </row>
    <row r="21172">
      <c r="B21172" s="8"/>
      <c r="G21172" s="8"/>
      <c r="M21172" s="8"/>
    </row>
    <row r="21173">
      <c r="B21173" s="8"/>
      <c r="G21173" s="8"/>
      <c r="M21173" s="8"/>
    </row>
    <row r="21174">
      <c r="B21174" s="8"/>
      <c r="G21174" s="8"/>
      <c r="M21174" s="8"/>
    </row>
    <row r="21175">
      <c r="B21175" s="8"/>
      <c r="G21175" s="8"/>
      <c r="M21175" s="8"/>
    </row>
    <row r="21176">
      <c r="B21176" s="8"/>
      <c r="G21176" s="8"/>
      <c r="M21176" s="8"/>
    </row>
    <row r="21177">
      <c r="B21177" s="8"/>
      <c r="G21177" s="8"/>
      <c r="M21177" s="8"/>
    </row>
    <row r="21178">
      <c r="B21178" s="8"/>
      <c r="G21178" s="8"/>
      <c r="M21178" s="8"/>
    </row>
    <row r="21179">
      <c r="B21179" s="8"/>
      <c r="G21179" s="8"/>
      <c r="M21179" s="8"/>
    </row>
    <row r="21180">
      <c r="B21180" s="8"/>
      <c r="G21180" s="8"/>
      <c r="M21180" s="8"/>
    </row>
    <row r="21181">
      <c r="B21181" s="8"/>
      <c r="G21181" s="8"/>
      <c r="M21181" s="8"/>
    </row>
    <row r="21182">
      <c r="B21182" s="8"/>
      <c r="G21182" s="8"/>
      <c r="M21182" s="8"/>
    </row>
    <row r="21183">
      <c r="B21183" s="8"/>
      <c r="G21183" s="8"/>
      <c r="M21183" s="8"/>
    </row>
    <row r="21184">
      <c r="B21184" s="8"/>
      <c r="G21184" s="8"/>
      <c r="M21184" s="8"/>
    </row>
    <row r="21185">
      <c r="B21185" s="8"/>
      <c r="G21185" s="8"/>
      <c r="M21185" s="8"/>
    </row>
    <row r="21186">
      <c r="B21186" s="8"/>
      <c r="G21186" s="8"/>
      <c r="M21186" s="8"/>
    </row>
    <row r="21187">
      <c r="B21187" s="8"/>
      <c r="G21187" s="8"/>
      <c r="M21187" s="8"/>
    </row>
    <row r="21188">
      <c r="B21188" s="8"/>
      <c r="G21188" s="8"/>
      <c r="M21188" s="8"/>
    </row>
    <row r="21189">
      <c r="B21189" s="8"/>
      <c r="G21189" s="8"/>
      <c r="M21189" s="8"/>
    </row>
    <row r="21190">
      <c r="B21190" s="8"/>
      <c r="G21190" s="8"/>
      <c r="M21190" s="8"/>
    </row>
    <row r="21191">
      <c r="B21191" s="8"/>
      <c r="G21191" s="8"/>
      <c r="M21191" s="8"/>
    </row>
    <row r="21192">
      <c r="B21192" s="8"/>
      <c r="G21192" s="8"/>
      <c r="M21192" s="8"/>
    </row>
    <row r="21193">
      <c r="B21193" s="8"/>
      <c r="G21193" s="8"/>
      <c r="M21193" s="8"/>
    </row>
    <row r="21194">
      <c r="B21194" s="8"/>
      <c r="G21194" s="8"/>
      <c r="M21194" s="8"/>
    </row>
    <row r="21195">
      <c r="B21195" s="8"/>
      <c r="G21195" s="8"/>
      <c r="M21195" s="8"/>
    </row>
    <row r="21196">
      <c r="B21196" s="8"/>
      <c r="G21196" s="8"/>
      <c r="M21196" s="8"/>
    </row>
    <row r="21197">
      <c r="B21197" s="8"/>
      <c r="G21197" s="8"/>
      <c r="M21197" s="8"/>
    </row>
    <row r="21198">
      <c r="B21198" s="8"/>
      <c r="G21198" s="8"/>
      <c r="M21198" s="8"/>
    </row>
    <row r="21199">
      <c r="B21199" s="8"/>
      <c r="G21199" s="8"/>
      <c r="M21199" s="8"/>
    </row>
    <row r="21200">
      <c r="B21200" s="8"/>
      <c r="G21200" s="8"/>
      <c r="M21200" s="8"/>
    </row>
    <row r="21201">
      <c r="B21201" s="8"/>
      <c r="G21201" s="8"/>
      <c r="M21201" s="8"/>
    </row>
    <row r="21202">
      <c r="B21202" s="8"/>
      <c r="G21202" s="8"/>
      <c r="M21202" s="8"/>
    </row>
    <row r="21203">
      <c r="B21203" s="8"/>
      <c r="G21203" s="8"/>
      <c r="M21203" s="8"/>
    </row>
    <row r="21204">
      <c r="B21204" s="8"/>
      <c r="G21204" s="8"/>
      <c r="M21204" s="8"/>
    </row>
    <row r="21205">
      <c r="B21205" s="8"/>
      <c r="G21205" s="8"/>
      <c r="M21205" s="8"/>
    </row>
    <row r="21206">
      <c r="B21206" s="8"/>
      <c r="G21206" s="8"/>
      <c r="M21206" s="8"/>
    </row>
    <row r="21207">
      <c r="B21207" s="8"/>
      <c r="G21207" s="8"/>
      <c r="M21207" s="8"/>
    </row>
    <row r="21208">
      <c r="B21208" s="8"/>
      <c r="G21208" s="8"/>
      <c r="M21208" s="8"/>
    </row>
    <row r="21209">
      <c r="B21209" s="8"/>
      <c r="G21209" s="8"/>
      <c r="M21209" s="8"/>
    </row>
    <row r="21210">
      <c r="B21210" s="8"/>
      <c r="G21210" s="8"/>
      <c r="M21210" s="8"/>
    </row>
    <row r="21211">
      <c r="B21211" s="8"/>
      <c r="G21211" s="8"/>
      <c r="M21211" s="8"/>
    </row>
    <row r="21212">
      <c r="B21212" s="8"/>
      <c r="G21212" s="8"/>
      <c r="M21212" s="8"/>
    </row>
    <row r="21213">
      <c r="B21213" s="8"/>
      <c r="G21213" s="8"/>
      <c r="M21213" s="8"/>
    </row>
    <row r="21214">
      <c r="B21214" s="8"/>
      <c r="G21214" s="8"/>
      <c r="M21214" s="8"/>
    </row>
    <row r="21215">
      <c r="B21215" s="8"/>
      <c r="G21215" s="8"/>
      <c r="M21215" s="8"/>
    </row>
    <row r="21216">
      <c r="B21216" s="8"/>
      <c r="G21216" s="8"/>
      <c r="M21216" s="8"/>
    </row>
    <row r="21217">
      <c r="B21217" s="8"/>
      <c r="G21217" s="8"/>
      <c r="M21217" s="8"/>
    </row>
    <row r="21218">
      <c r="B21218" s="8"/>
      <c r="G21218" s="8"/>
      <c r="M21218" s="8"/>
    </row>
    <row r="21219">
      <c r="B21219" s="8"/>
      <c r="G21219" s="8"/>
      <c r="M21219" s="8"/>
    </row>
    <row r="21220">
      <c r="B21220" s="8"/>
      <c r="G21220" s="8"/>
      <c r="M21220" s="8"/>
    </row>
    <row r="21221">
      <c r="B21221" s="8"/>
      <c r="G21221" s="8"/>
      <c r="M21221" s="8"/>
    </row>
    <row r="21222">
      <c r="B21222" s="8"/>
      <c r="G21222" s="8"/>
      <c r="M21222" s="8"/>
    </row>
    <row r="21223">
      <c r="B21223" s="8"/>
      <c r="G21223" s="8"/>
      <c r="M21223" s="8"/>
    </row>
    <row r="21224">
      <c r="B21224" s="8"/>
      <c r="G21224" s="8"/>
      <c r="M21224" s="8"/>
    </row>
    <row r="21225">
      <c r="B21225" s="8"/>
      <c r="G21225" s="8"/>
      <c r="M21225" s="8"/>
    </row>
    <row r="21226">
      <c r="B21226" s="8"/>
      <c r="G21226" s="8"/>
      <c r="M21226" s="8"/>
    </row>
    <row r="21227">
      <c r="B21227" s="8"/>
      <c r="G21227" s="8"/>
      <c r="M21227" s="8"/>
    </row>
    <row r="21228">
      <c r="B21228" s="8"/>
      <c r="G21228" s="8"/>
      <c r="M21228" s="8"/>
    </row>
    <row r="21229">
      <c r="B21229" s="8"/>
      <c r="G21229" s="8"/>
      <c r="M21229" s="8"/>
    </row>
    <row r="21230">
      <c r="B21230" s="8"/>
      <c r="G21230" s="8"/>
      <c r="M21230" s="8"/>
    </row>
    <row r="21231">
      <c r="B21231" s="8"/>
      <c r="G21231" s="8"/>
      <c r="M21231" s="8"/>
    </row>
    <row r="21232">
      <c r="B21232" s="8"/>
      <c r="G21232" s="8"/>
      <c r="M21232" s="8"/>
    </row>
    <row r="21233">
      <c r="B21233" s="8"/>
      <c r="G21233" s="8"/>
      <c r="M21233" s="8"/>
    </row>
    <row r="21234">
      <c r="B21234" s="8"/>
      <c r="G21234" s="8"/>
      <c r="M21234" s="8"/>
    </row>
    <row r="21235">
      <c r="B21235" s="8"/>
      <c r="G21235" s="8"/>
      <c r="M21235" s="8"/>
    </row>
    <row r="21236">
      <c r="B21236" s="8"/>
      <c r="G21236" s="8"/>
      <c r="M21236" s="8"/>
    </row>
    <row r="21237">
      <c r="B21237" s="8"/>
      <c r="G21237" s="8"/>
      <c r="M21237" s="8"/>
    </row>
    <row r="21238">
      <c r="B21238" s="8"/>
      <c r="G21238" s="8"/>
      <c r="M21238" s="8"/>
    </row>
    <row r="21239">
      <c r="B21239" s="8"/>
      <c r="G21239" s="8"/>
      <c r="M21239" s="8"/>
    </row>
    <row r="21240">
      <c r="B21240" s="8"/>
      <c r="G21240" s="8"/>
      <c r="M21240" s="8"/>
    </row>
    <row r="21241">
      <c r="B21241" s="8"/>
      <c r="G21241" s="8"/>
      <c r="M21241" s="8"/>
    </row>
    <row r="21242">
      <c r="B21242" s="8"/>
      <c r="G21242" s="8"/>
      <c r="M21242" s="8"/>
    </row>
    <row r="21243">
      <c r="B21243" s="8"/>
      <c r="G21243" s="8"/>
      <c r="M21243" s="8"/>
    </row>
    <row r="21244">
      <c r="B21244" s="8"/>
      <c r="G21244" s="8"/>
      <c r="M21244" s="8"/>
    </row>
    <row r="21245">
      <c r="B21245" s="8"/>
      <c r="G21245" s="8"/>
      <c r="M21245" s="8"/>
    </row>
    <row r="21246">
      <c r="B21246" s="8"/>
      <c r="G21246" s="8"/>
      <c r="M21246" s="8"/>
    </row>
    <row r="21247">
      <c r="B21247" s="8"/>
      <c r="G21247" s="8"/>
      <c r="M21247" s="8"/>
    </row>
    <row r="21248">
      <c r="B21248" s="8"/>
      <c r="G21248" s="8"/>
      <c r="M21248" s="8"/>
    </row>
    <row r="21249">
      <c r="B21249" s="8"/>
      <c r="G21249" s="8"/>
      <c r="M21249" s="8"/>
    </row>
    <row r="21250">
      <c r="B21250" s="8"/>
      <c r="G21250" s="8"/>
      <c r="M21250" s="8"/>
    </row>
    <row r="21251">
      <c r="B21251" s="8"/>
      <c r="G21251" s="8"/>
      <c r="M21251" s="8"/>
    </row>
    <row r="21252">
      <c r="B21252" s="8"/>
      <c r="G21252" s="8"/>
      <c r="M21252" s="8"/>
    </row>
    <row r="21253">
      <c r="B21253" s="8"/>
      <c r="G21253" s="8"/>
      <c r="M21253" s="8"/>
    </row>
    <row r="21254">
      <c r="B21254" s="8"/>
      <c r="G21254" s="8"/>
      <c r="M21254" s="8"/>
    </row>
    <row r="21255">
      <c r="B21255" s="8"/>
      <c r="G21255" s="8"/>
      <c r="M21255" s="8"/>
    </row>
    <row r="21256">
      <c r="B21256" s="8"/>
      <c r="G21256" s="8"/>
      <c r="M21256" s="8"/>
    </row>
    <row r="21257">
      <c r="B21257" s="8"/>
      <c r="G21257" s="8"/>
      <c r="M21257" s="8"/>
    </row>
    <row r="21258">
      <c r="B21258" s="8"/>
      <c r="G21258" s="8"/>
      <c r="M21258" s="8"/>
    </row>
    <row r="21259">
      <c r="B21259" s="8"/>
      <c r="G21259" s="8"/>
      <c r="M21259" s="8"/>
    </row>
    <row r="21260">
      <c r="B21260" s="8"/>
      <c r="G21260" s="8"/>
      <c r="M21260" s="8"/>
    </row>
    <row r="21261">
      <c r="B21261" s="8"/>
      <c r="G21261" s="8"/>
      <c r="M21261" s="8"/>
    </row>
    <row r="21262">
      <c r="B21262" s="8"/>
      <c r="G21262" s="8"/>
      <c r="M21262" s="8"/>
    </row>
    <row r="21263">
      <c r="B21263" s="8"/>
      <c r="G21263" s="8"/>
      <c r="M21263" s="8"/>
    </row>
    <row r="21264">
      <c r="B21264" s="8"/>
      <c r="G21264" s="8"/>
      <c r="M21264" s="8"/>
    </row>
    <row r="21265">
      <c r="B21265" s="8"/>
      <c r="G21265" s="8"/>
      <c r="M21265" s="8"/>
    </row>
    <row r="21266">
      <c r="B21266" s="8"/>
      <c r="G21266" s="8"/>
      <c r="M21266" s="8"/>
    </row>
    <row r="21267">
      <c r="B21267" s="8"/>
      <c r="G21267" s="8"/>
      <c r="M21267" s="8"/>
    </row>
    <row r="21268">
      <c r="B21268" s="8"/>
      <c r="G21268" s="8"/>
      <c r="M21268" s="8"/>
    </row>
    <row r="21269">
      <c r="B21269" s="8"/>
      <c r="G21269" s="8"/>
      <c r="M21269" s="8"/>
    </row>
    <row r="21270">
      <c r="B21270" s="8"/>
      <c r="G21270" s="8"/>
      <c r="M21270" s="8"/>
    </row>
    <row r="21271">
      <c r="B21271" s="8"/>
      <c r="G21271" s="8"/>
      <c r="M21271" s="8"/>
    </row>
    <row r="21272">
      <c r="B21272" s="8"/>
      <c r="G21272" s="8"/>
      <c r="M21272" s="8"/>
    </row>
    <row r="21273">
      <c r="B21273" s="8"/>
      <c r="G21273" s="8"/>
      <c r="M21273" s="8"/>
    </row>
    <row r="21274">
      <c r="B21274" s="8"/>
      <c r="G21274" s="8"/>
      <c r="M21274" s="8"/>
    </row>
    <row r="21275">
      <c r="B21275" s="8"/>
      <c r="G21275" s="8"/>
      <c r="M21275" s="8"/>
    </row>
    <row r="21276">
      <c r="B21276" s="8"/>
      <c r="G21276" s="8"/>
      <c r="M21276" s="8"/>
    </row>
    <row r="21277">
      <c r="B21277" s="8"/>
      <c r="G21277" s="8"/>
      <c r="M21277" s="8"/>
    </row>
    <row r="21278">
      <c r="B21278" s="8"/>
      <c r="G21278" s="8"/>
      <c r="M21278" s="8"/>
    </row>
    <row r="21279">
      <c r="B21279" s="8"/>
      <c r="G21279" s="8"/>
      <c r="M21279" s="8"/>
    </row>
    <row r="21280">
      <c r="B21280" s="8"/>
      <c r="G21280" s="8"/>
      <c r="M21280" s="8"/>
    </row>
    <row r="21281">
      <c r="B21281" s="8"/>
      <c r="G21281" s="8"/>
      <c r="M21281" s="8"/>
    </row>
    <row r="21282">
      <c r="B21282" s="8"/>
      <c r="G21282" s="8"/>
      <c r="M21282" s="8"/>
    </row>
    <row r="21283">
      <c r="B21283" s="8"/>
      <c r="G21283" s="8"/>
      <c r="M21283" s="8"/>
    </row>
    <row r="21284">
      <c r="B21284" s="8"/>
      <c r="G21284" s="8"/>
      <c r="M21284" s="8"/>
    </row>
    <row r="21285">
      <c r="B21285" s="8"/>
      <c r="G21285" s="8"/>
      <c r="M21285" s="8"/>
    </row>
    <row r="21286">
      <c r="B21286" s="8"/>
      <c r="G21286" s="8"/>
      <c r="M21286" s="8"/>
    </row>
    <row r="21287">
      <c r="B21287" s="8"/>
      <c r="G21287" s="8"/>
      <c r="M21287" s="8"/>
    </row>
    <row r="21288">
      <c r="B21288" s="8"/>
      <c r="G21288" s="8"/>
      <c r="M21288" s="8"/>
    </row>
    <row r="21289">
      <c r="B21289" s="8"/>
      <c r="G21289" s="8"/>
      <c r="M21289" s="8"/>
    </row>
    <row r="21290">
      <c r="B21290" s="8"/>
      <c r="G21290" s="8"/>
      <c r="M21290" s="8"/>
    </row>
    <row r="21291">
      <c r="B21291" s="8"/>
      <c r="G21291" s="8"/>
      <c r="M21291" s="8"/>
    </row>
    <row r="21292">
      <c r="B21292" s="8"/>
      <c r="G21292" s="8"/>
      <c r="M21292" s="8"/>
    </row>
    <row r="21293">
      <c r="B21293" s="8"/>
      <c r="G21293" s="8"/>
      <c r="M21293" s="8"/>
    </row>
    <row r="21294">
      <c r="B21294" s="8"/>
      <c r="G21294" s="8"/>
      <c r="M21294" s="8"/>
    </row>
    <row r="21295">
      <c r="B21295" s="8"/>
      <c r="G21295" s="8"/>
      <c r="M21295" s="8"/>
    </row>
    <row r="21296">
      <c r="B21296" s="8"/>
      <c r="G21296" s="8"/>
      <c r="M21296" s="8"/>
    </row>
    <row r="21297">
      <c r="B21297" s="8"/>
      <c r="G21297" s="8"/>
      <c r="M21297" s="8"/>
    </row>
    <row r="21298">
      <c r="B21298" s="8"/>
      <c r="G21298" s="8"/>
      <c r="M21298" s="8"/>
    </row>
    <row r="21299">
      <c r="B21299" s="8"/>
      <c r="G21299" s="8"/>
      <c r="M21299" s="8"/>
    </row>
    <row r="21300">
      <c r="B21300" s="8"/>
      <c r="G21300" s="8"/>
      <c r="M21300" s="8"/>
    </row>
    <row r="21301">
      <c r="B21301" s="8"/>
      <c r="G21301" s="8"/>
      <c r="M21301" s="8"/>
    </row>
    <row r="21302">
      <c r="B21302" s="8"/>
      <c r="G21302" s="8"/>
      <c r="M21302" s="8"/>
    </row>
    <row r="21303">
      <c r="B21303" s="8"/>
      <c r="G21303" s="8"/>
      <c r="M21303" s="8"/>
    </row>
    <row r="21304">
      <c r="B21304" s="8"/>
      <c r="G21304" s="8"/>
      <c r="M21304" s="8"/>
    </row>
    <row r="21305">
      <c r="B21305" s="8"/>
      <c r="G21305" s="8"/>
      <c r="M21305" s="8"/>
    </row>
    <row r="21306">
      <c r="B21306" s="8"/>
      <c r="G21306" s="8"/>
      <c r="M21306" s="8"/>
    </row>
    <row r="21307">
      <c r="B21307" s="8"/>
      <c r="G21307" s="8"/>
      <c r="M21307" s="8"/>
    </row>
    <row r="21308">
      <c r="B21308" s="8"/>
      <c r="G21308" s="8"/>
      <c r="M21308" s="8"/>
    </row>
    <row r="21309">
      <c r="B21309" s="8"/>
      <c r="G21309" s="8"/>
      <c r="M21309" s="8"/>
    </row>
    <row r="21310">
      <c r="B21310" s="8"/>
      <c r="G21310" s="8"/>
      <c r="M21310" s="8"/>
    </row>
    <row r="21311">
      <c r="B21311" s="8"/>
      <c r="G21311" s="8"/>
      <c r="M21311" s="8"/>
    </row>
    <row r="21312">
      <c r="B21312" s="8"/>
      <c r="G21312" s="8"/>
      <c r="M21312" s="8"/>
    </row>
    <row r="21313">
      <c r="B21313" s="8"/>
      <c r="G21313" s="8"/>
      <c r="M21313" s="8"/>
    </row>
    <row r="21314">
      <c r="B21314" s="8"/>
      <c r="G21314" s="8"/>
      <c r="M21314" s="8"/>
    </row>
    <row r="21315">
      <c r="B21315" s="8"/>
      <c r="G21315" s="8"/>
      <c r="M21315" s="8"/>
    </row>
    <row r="21316">
      <c r="B21316" s="8"/>
      <c r="G21316" s="8"/>
      <c r="M21316" s="8"/>
    </row>
    <row r="21317">
      <c r="B21317" s="8"/>
      <c r="G21317" s="8"/>
      <c r="M21317" s="8"/>
    </row>
    <row r="21318">
      <c r="B21318" s="8"/>
      <c r="G21318" s="8"/>
      <c r="M21318" s="8"/>
    </row>
    <row r="21319">
      <c r="B21319" s="8"/>
      <c r="G21319" s="8"/>
      <c r="M21319" s="8"/>
    </row>
    <row r="21320">
      <c r="B21320" s="8"/>
      <c r="G21320" s="8"/>
      <c r="M21320" s="8"/>
    </row>
    <row r="21321">
      <c r="B21321" s="8"/>
      <c r="G21321" s="8"/>
      <c r="M21321" s="8"/>
    </row>
    <row r="21322">
      <c r="B21322" s="8"/>
      <c r="G21322" s="8"/>
      <c r="M21322" s="8"/>
    </row>
    <row r="21323">
      <c r="B21323" s="8"/>
      <c r="G21323" s="8"/>
      <c r="M21323" s="8"/>
    </row>
    <row r="21324">
      <c r="B21324" s="8"/>
      <c r="G21324" s="8"/>
      <c r="M21324" s="8"/>
    </row>
    <row r="21325">
      <c r="B21325" s="8"/>
      <c r="G21325" s="8"/>
      <c r="M21325" s="8"/>
    </row>
    <row r="21326">
      <c r="B21326" s="8"/>
      <c r="G21326" s="8"/>
      <c r="M21326" s="8"/>
    </row>
    <row r="21327">
      <c r="B21327" s="8"/>
      <c r="G21327" s="8"/>
      <c r="M21327" s="8"/>
    </row>
    <row r="21328">
      <c r="B21328" s="8"/>
      <c r="G21328" s="8"/>
      <c r="M21328" s="8"/>
    </row>
    <row r="21329">
      <c r="B21329" s="8"/>
      <c r="G21329" s="8"/>
      <c r="M21329" s="8"/>
    </row>
    <row r="21330">
      <c r="B21330" s="8"/>
      <c r="G21330" s="8"/>
      <c r="M21330" s="8"/>
    </row>
    <row r="21331">
      <c r="B21331" s="8"/>
      <c r="G21331" s="8"/>
      <c r="M21331" s="8"/>
    </row>
    <row r="21332">
      <c r="B21332" s="8"/>
      <c r="G21332" s="8"/>
      <c r="M21332" s="8"/>
    </row>
    <row r="21333">
      <c r="B21333" s="8"/>
      <c r="G21333" s="8"/>
      <c r="M21333" s="8"/>
    </row>
    <row r="21334">
      <c r="B21334" s="8"/>
      <c r="G21334" s="8"/>
      <c r="M21334" s="8"/>
    </row>
    <row r="21335">
      <c r="B21335" s="8"/>
      <c r="G21335" s="8"/>
      <c r="M21335" s="8"/>
    </row>
    <row r="21336">
      <c r="B21336" s="8"/>
      <c r="G21336" s="8"/>
      <c r="M21336" s="8"/>
    </row>
    <row r="21337">
      <c r="B21337" s="8"/>
      <c r="G21337" s="8"/>
      <c r="M21337" s="8"/>
    </row>
    <row r="21338">
      <c r="B21338" s="8"/>
      <c r="G21338" s="8"/>
      <c r="M21338" s="8"/>
    </row>
    <row r="21339">
      <c r="B21339" s="8"/>
      <c r="G21339" s="8"/>
      <c r="M21339" s="8"/>
    </row>
    <row r="21340">
      <c r="B21340" s="8"/>
      <c r="G21340" s="8"/>
      <c r="M21340" s="8"/>
    </row>
    <row r="21341">
      <c r="B21341" s="8"/>
      <c r="G21341" s="8"/>
      <c r="M21341" s="8"/>
    </row>
    <row r="21342">
      <c r="B21342" s="8"/>
      <c r="G21342" s="8"/>
      <c r="M21342" s="8"/>
    </row>
    <row r="21343">
      <c r="B21343" s="8"/>
      <c r="G21343" s="8"/>
      <c r="M21343" s="8"/>
    </row>
    <row r="21344">
      <c r="B21344" s="8"/>
      <c r="G21344" s="8"/>
      <c r="M21344" s="8"/>
    </row>
    <row r="21345">
      <c r="B21345" s="8"/>
      <c r="G21345" s="8"/>
      <c r="M21345" s="8"/>
    </row>
    <row r="21346">
      <c r="B21346" s="8"/>
      <c r="G21346" s="8"/>
      <c r="M21346" s="8"/>
    </row>
    <row r="21347">
      <c r="B21347" s="8"/>
      <c r="G21347" s="8"/>
      <c r="M21347" s="8"/>
    </row>
    <row r="21348">
      <c r="B21348" s="8"/>
      <c r="G21348" s="8"/>
      <c r="M21348" s="8"/>
    </row>
    <row r="21349">
      <c r="B21349" s="8"/>
      <c r="G21349" s="8"/>
      <c r="M21349" s="8"/>
    </row>
    <row r="21350">
      <c r="B21350" s="8"/>
      <c r="G21350" s="8"/>
      <c r="M21350" s="8"/>
    </row>
    <row r="21351">
      <c r="B21351" s="8"/>
      <c r="G21351" s="8"/>
      <c r="M21351" s="8"/>
    </row>
    <row r="21352">
      <c r="B21352" s="8"/>
      <c r="G21352" s="8"/>
      <c r="M21352" s="8"/>
    </row>
    <row r="21353">
      <c r="B21353" s="8"/>
      <c r="G21353" s="8"/>
      <c r="M21353" s="8"/>
    </row>
    <row r="21354">
      <c r="B21354" s="8"/>
      <c r="G21354" s="8"/>
      <c r="M21354" s="8"/>
    </row>
    <row r="21355">
      <c r="B21355" s="8"/>
      <c r="G21355" s="8"/>
      <c r="M21355" s="8"/>
    </row>
    <row r="21356">
      <c r="B21356" s="8"/>
      <c r="G21356" s="8"/>
      <c r="M21356" s="8"/>
    </row>
    <row r="21357">
      <c r="B21357" s="8"/>
      <c r="G21357" s="8"/>
      <c r="M21357" s="8"/>
    </row>
    <row r="21358">
      <c r="B21358" s="8"/>
      <c r="G21358" s="8"/>
      <c r="M21358" s="8"/>
    </row>
    <row r="21359">
      <c r="B21359" s="8"/>
      <c r="G21359" s="8"/>
      <c r="M21359" s="8"/>
    </row>
    <row r="21360">
      <c r="B21360" s="8"/>
      <c r="G21360" s="8"/>
      <c r="M21360" s="8"/>
    </row>
    <row r="21361">
      <c r="B21361" s="8"/>
      <c r="G21361" s="8"/>
      <c r="M21361" s="8"/>
    </row>
    <row r="21362">
      <c r="B21362" s="8"/>
      <c r="G21362" s="8"/>
      <c r="M21362" s="8"/>
    </row>
    <row r="21363">
      <c r="B21363" s="8"/>
      <c r="G21363" s="8"/>
      <c r="M21363" s="8"/>
    </row>
    <row r="21364">
      <c r="B21364" s="8"/>
      <c r="G21364" s="8"/>
      <c r="M21364" s="8"/>
    </row>
    <row r="21365">
      <c r="B21365" s="8"/>
      <c r="G21365" s="8"/>
      <c r="M21365" s="8"/>
    </row>
    <row r="21366">
      <c r="B21366" s="8"/>
      <c r="G21366" s="8"/>
      <c r="M21366" s="8"/>
    </row>
    <row r="21367">
      <c r="B21367" s="8"/>
      <c r="G21367" s="8"/>
      <c r="M21367" s="8"/>
    </row>
    <row r="21368">
      <c r="B21368" s="8"/>
      <c r="G21368" s="8"/>
      <c r="M21368" s="8"/>
    </row>
    <row r="21369">
      <c r="B21369" s="8"/>
      <c r="G21369" s="8"/>
      <c r="M21369" s="8"/>
    </row>
    <row r="21370">
      <c r="B21370" s="8"/>
      <c r="G21370" s="8"/>
      <c r="M21370" s="8"/>
    </row>
    <row r="21371">
      <c r="B21371" s="8"/>
      <c r="G21371" s="8"/>
      <c r="M21371" s="8"/>
    </row>
    <row r="21372">
      <c r="B21372" s="8"/>
      <c r="G21372" s="8"/>
      <c r="M21372" s="8"/>
    </row>
    <row r="21373">
      <c r="B21373" s="8"/>
      <c r="G21373" s="8"/>
      <c r="M21373" s="8"/>
    </row>
    <row r="21374">
      <c r="B21374" s="8"/>
      <c r="G21374" s="8"/>
      <c r="M21374" s="8"/>
    </row>
    <row r="21375">
      <c r="B21375" s="8"/>
      <c r="G21375" s="8"/>
      <c r="M21375" s="8"/>
    </row>
    <row r="21376">
      <c r="B21376" s="8"/>
      <c r="G21376" s="8"/>
      <c r="M21376" s="8"/>
    </row>
    <row r="21377">
      <c r="B21377" s="8"/>
      <c r="G21377" s="8"/>
      <c r="M21377" s="8"/>
    </row>
    <row r="21378">
      <c r="B21378" s="8"/>
      <c r="G21378" s="8"/>
      <c r="M21378" s="8"/>
    </row>
    <row r="21379">
      <c r="B21379" s="8"/>
      <c r="G21379" s="8"/>
      <c r="M21379" s="8"/>
    </row>
    <row r="21380">
      <c r="B21380" s="8"/>
      <c r="G21380" s="8"/>
      <c r="M21380" s="8"/>
    </row>
    <row r="21381">
      <c r="B21381" s="8"/>
      <c r="G21381" s="8"/>
      <c r="M21381" s="8"/>
    </row>
    <row r="21382">
      <c r="B21382" s="8"/>
      <c r="G21382" s="8"/>
      <c r="M21382" s="8"/>
    </row>
    <row r="21383">
      <c r="B21383" s="8"/>
      <c r="G21383" s="8"/>
      <c r="M21383" s="8"/>
    </row>
    <row r="21384">
      <c r="B21384" s="8"/>
      <c r="G21384" s="8"/>
      <c r="M21384" s="8"/>
    </row>
    <row r="21385">
      <c r="B21385" s="8"/>
      <c r="G21385" s="8"/>
      <c r="M21385" s="8"/>
    </row>
    <row r="21386">
      <c r="B21386" s="8"/>
      <c r="G21386" s="8"/>
      <c r="M21386" s="8"/>
    </row>
    <row r="21387">
      <c r="B21387" s="8"/>
      <c r="G21387" s="8"/>
      <c r="M21387" s="8"/>
    </row>
    <row r="21388">
      <c r="B21388" s="8"/>
      <c r="G21388" s="8"/>
      <c r="M21388" s="8"/>
    </row>
    <row r="21389">
      <c r="B21389" s="8"/>
      <c r="G21389" s="8"/>
      <c r="M21389" s="8"/>
    </row>
    <row r="21390">
      <c r="B21390" s="8"/>
      <c r="G21390" s="8"/>
      <c r="M21390" s="8"/>
    </row>
    <row r="21391">
      <c r="B21391" s="8"/>
      <c r="G21391" s="8"/>
      <c r="M21391" s="8"/>
    </row>
    <row r="21392">
      <c r="B21392" s="8"/>
      <c r="G21392" s="8"/>
      <c r="M21392" s="8"/>
    </row>
    <row r="21393">
      <c r="B21393" s="8"/>
      <c r="G21393" s="8"/>
      <c r="M21393" s="8"/>
    </row>
    <row r="21394">
      <c r="B21394" s="8"/>
      <c r="G21394" s="8"/>
      <c r="M21394" s="8"/>
    </row>
    <row r="21395">
      <c r="B21395" s="8"/>
      <c r="G21395" s="8"/>
      <c r="M21395" s="8"/>
    </row>
    <row r="21396">
      <c r="B21396" s="8"/>
      <c r="G21396" s="8"/>
      <c r="M21396" s="8"/>
    </row>
    <row r="21397">
      <c r="B21397" s="8"/>
      <c r="G21397" s="8"/>
      <c r="M21397" s="8"/>
    </row>
    <row r="21398">
      <c r="B21398" s="8"/>
      <c r="G21398" s="8"/>
      <c r="M21398" s="8"/>
    </row>
    <row r="21399">
      <c r="B21399" s="8"/>
      <c r="G21399" s="8"/>
      <c r="M21399" s="8"/>
    </row>
    <row r="21400">
      <c r="B21400" s="8"/>
      <c r="G21400" s="8"/>
      <c r="M21400" s="8"/>
    </row>
    <row r="21401">
      <c r="B21401" s="8"/>
      <c r="G21401" s="8"/>
      <c r="M21401" s="8"/>
    </row>
    <row r="21402">
      <c r="B21402" s="8"/>
      <c r="G21402" s="8"/>
      <c r="M21402" s="8"/>
    </row>
    <row r="21403">
      <c r="B21403" s="8"/>
      <c r="G21403" s="8"/>
      <c r="M21403" s="8"/>
    </row>
    <row r="21404">
      <c r="B21404" s="8"/>
      <c r="G21404" s="8"/>
      <c r="M21404" s="8"/>
    </row>
    <row r="21405">
      <c r="B21405" s="8"/>
      <c r="G21405" s="8"/>
      <c r="M21405" s="8"/>
    </row>
    <row r="21406">
      <c r="B21406" s="8"/>
      <c r="G21406" s="8"/>
      <c r="M21406" s="8"/>
    </row>
    <row r="21407">
      <c r="B21407" s="8"/>
      <c r="G21407" s="8"/>
      <c r="M21407" s="8"/>
    </row>
    <row r="21408">
      <c r="B21408" s="8"/>
      <c r="G21408" s="8"/>
      <c r="M21408" s="8"/>
    </row>
    <row r="21409">
      <c r="B21409" s="8"/>
      <c r="G21409" s="8"/>
      <c r="M21409" s="8"/>
    </row>
    <row r="21410">
      <c r="B21410" s="8"/>
      <c r="G21410" s="8"/>
      <c r="M21410" s="8"/>
    </row>
    <row r="21411">
      <c r="B21411" s="8"/>
      <c r="G21411" s="8"/>
      <c r="M21411" s="8"/>
    </row>
    <row r="21412">
      <c r="B21412" s="8"/>
      <c r="G21412" s="8"/>
      <c r="M21412" s="8"/>
    </row>
    <row r="21413">
      <c r="B21413" s="8"/>
      <c r="G21413" s="8"/>
      <c r="M21413" s="8"/>
    </row>
    <row r="21414">
      <c r="B21414" s="8"/>
      <c r="G21414" s="8"/>
      <c r="M21414" s="8"/>
    </row>
    <row r="21415">
      <c r="B21415" s="8"/>
      <c r="G21415" s="8"/>
      <c r="M21415" s="8"/>
    </row>
    <row r="21416">
      <c r="B21416" s="8"/>
      <c r="G21416" s="8"/>
      <c r="M21416" s="8"/>
    </row>
    <row r="21417">
      <c r="B21417" s="8"/>
      <c r="G21417" s="8"/>
      <c r="M21417" s="8"/>
    </row>
    <row r="21418">
      <c r="B21418" s="8"/>
      <c r="G21418" s="8"/>
      <c r="M21418" s="8"/>
    </row>
    <row r="21419">
      <c r="B21419" s="8"/>
      <c r="G21419" s="8"/>
      <c r="M21419" s="8"/>
    </row>
    <row r="21420">
      <c r="B21420" s="8"/>
      <c r="G21420" s="8"/>
      <c r="M21420" s="8"/>
    </row>
    <row r="21421">
      <c r="B21421" s="8"/>
      <c r="G21421" s="8"/>
      <c r="M21421" s="8"/>
    </row>
    <row r="21422">
      <c r="B21422" s="8"/>
      <c r="G21422" s="8"/>
      <c r="M21422" s="8"/>
    </row>
    <row r="21423">
      <c r="B21423" s="8"/>
      <c r="G21423" s="8"/>
      <c r="M21423" s="8"/>
    </row>
    <row r="21424">
      <c r="B21424" s="8"/>
      <c r="G21424" s="8"/>
      <c r="M21424" s="8"/>
    </row>
    <row r="21425">
      <c r="B21425" s="8"/>
      <c r="G21425" s="8"/>
      <c r="M21425" s="8"/>
    </row>
    <row r="21426">
      <c r="B21426" s="8"/>
      <c r="G21426" s="8"/>
      <c r="M21426" s="8"/>
    </row>
    <row r="21427">
      <c r="B21427" s="8"/>
      <c r="G21427" s="8"/>
      <c r="M21427" s="8"/>
    </row>
    <row r="21428">
      <c r="B21428" s="8"/>
      <c r="G21428" s="8"/>
      <c r="M21428" s="8"/>
    </row>
    <row r="21429">
      <c r="B21429" s="8"/>
      <c r="G21429" s="8"/>
      <c r="M21429" s="8"/>
    </row>
    <row r="21430">
      <c r="B21430" s="8"/>
      <c r="G21430" s="8"/>
      <c r="M21430" s="8"/>
    </row>
    <row r="21431">
      <c r="B21431" s="8"/>
      <c r="G21431" s="8"/>
      <c r="M21431" s="8"/>
    </row>
    <row r="21432">
      <c r="B21432" s="8"/>
      <c r="G21432" s="8"/>
      <c r="M21432" s="8"/>
    </row>
    <row r="21433">
      <c r="B21433" s="8"/>
      <c r="G21433" s="8"/>
      <c r="M21433" s="8"/>
    </row>
    <row r="21434">
      <c r="B21434" s="8"/>
      <c r="G21434" s="8"/>
      <c r="M21434" s="8"/>
    </row>
    <row r="21435">
      <c r="B21435" s="8"/>
      <c r="G21435" s="8"/>
      <c r="M21435" s="8"/>
    </row>
    <row r="21436">
      <c r="B21436" s="8"/>
      <c r="G21436" s="8"/>
      <c r="M21436" s="8"/>
    </row>
    <row r="21437">
      <c r="B21437" s="8"/>
      <c r="G21437" s="8"/>
      <c r="M21437" s="8"/>
    </row>
    <row r="21438">
      <c r="B21438" s="8"/>
      <c r="G21438" s="8"/>
      <c r="M21438" s="8"/>
    </row>
    <row r="21439">
      <c r="B21439" s="8"/>
      <c r="G21439" s="8"/>
      <c r="M21439" s="8"/>
    </row>
    <row r="21440">
      <c r="B21440" s="8"/>
      <c r="G21440" s="8"/>
      <c r="M21440" s="8"/>
    </row>
    <row r="21441">
      <c r="B21441" s="8"/>
      <c r="G21441" s="8"/>
      <c r="M21441" s="8"/>
    </row>
    <row r="21442">
      <c r="B21442" s="8"/>
      <c r="G21442" s="8"/>
      <c r="M21442" s="8"/>
    </row>
    <row r="21443">
      <c r="B21443" s="8"/>
      <c r="G21443" s="8"/>
      <c r="M21443" s="8"/>
    </row>
    <row r="21444">
      <c r="B21444" s="8"/>
      <c r="G21444" s="8"/>
      <c r="M21444" s="8"/>
    </row>
    <row r="21445">
      <c r="B21445" s="8"/>
      <c r="G21445" s="8"/>
      <c r="M21445" s="8"/>
    </row>
    <row r="21446">
      <c r="B21446" s="8"/>
      <c r="G21446" s="8"/>
      <c r="M21446" s="8"/>
    </row>
    <row r="21447">
      <c r="B21447" s="8"/>
      <c r="G21447" s="8"/>
      <c r="M21447" s="8"/>
    </row>
    <row r="21448">
      <c r="B21448" s="8"/>
      <c r="G21448" s="8"/>
      <c r="M21448" s="8"/>
    </row>
    <row r="21449">
      <c r="B21449" s="8"/>
      <c r="G21449" s="8"/>
      <c r="M21449" s="8"/>
    </row>
    <row r="21450">
      <c r="B21450" s="8"/>
      <c r="G21450" s="8"/>
      <c r="M21450" s="8"/>
    </row>
    <row r="21451">
      <c r="B21451" s="8"/>
      <c r="G21451" s="8"/>
      <c r="M21451" s="8"/>
    </row>
    <row r="21452">
      <c r="B21452" s="8"/>
      <c r="G21452" s="8"/>
      <c r="M21452" s="8"/>
    </row>
    <row r="21453">
      <c r="B21453" s="8"/>
      <c r="G21453" s="8"/>
      <c r="M21453" s="8"/>
    </row>
    <row r="21454">
      <c r="B21454" s="8"/>
      <c r="G21454" s="8"/>
      <c r="M21454" s="8"/>
    </row>
    <row r="21455">
      <c r="B21455" s="8"/>
      <c r="G21455" s="8"/>
      <c r="M21455" s="8"/>
    </row>
    <row r="21456">
      <c r="B21456" s="8"/>
      <c r="G21456" s="8"/>
      <c r="M21456" s="8"/>
    </row>
    <row r="21457">
      <c r="B21457" s="8"/>
      <c r="G21457" s="8"/>
      <c r="M21457" s="8"/>
    </row>
    <row r="21458">
      <c r="B21458" s="8"/>
      <c r="G21458" s="8"/>
      <c r="M21458" s="8"/>
    </row>
    <row r="21459">
      <c r="B21459" s="8"/>
      <c r="G21459" s="8"/>
      <c r="M21459" s="8"/>
    </row>
    <row r="21460">
      <c r="B21460" s="8"/>
      <c r="G21460" s="8"/>
      <c r="M21460" s="8"/>
    </row>
    <row r="21461">
      <c r="B21461" s="8"/>
      <c r="G21461" s="8"/>
      <c r="M21461" s="8"/>
    </row>
    <row r="21462">
      <c r="B21462" s="8"/>
      <c r="G21462" s="8"/>
      <c r="M21462" s="8"/>
    </row>
    <row r="21463">
      <c r="B21463" s="8"/>
      <c r="G21463" s="8"/>
      <c r="M21463" s="8"/>
    </row>
    <row r="21464">
      <c r="B21464" s="8"/>
      <c r="G21464" s="8"/>
      <c r="M21464" s="8"/>
    </row>
    <row r="21465">
      <c r="B21465" s="8"/>
      <c r="G21465" s="8"/>
      <c r="M21465" s="8"/>
    </row>
    <row r="21466">
      <c r="B21466" s="8"/>
      <c r="G21466" s="8"/>
      <c r="M21466" s="8"/>
    </row>
    <row r="21467">
      <c r="B21467" s="8"/>
      <c r="G21467" s="8"/>
      <c r="M21467" s="8"/>
    </row>
    <row r="21468">
      <c r="B21468" s="8"/>
      <c r="G21468" s="8"/>
      <c r="M21468" s="8"/>
    </row>
    <row r="21469">
      <c r="B21469" s="8"/>
      <c r="G21469" s="8"/>
      <c r="M21469" s="8"/>
    </row>
    <row r="21470">
      <c r="B21470" s="8"/>
      <c r="G21470" s="8"/>
      <c r="M21470" s="8"/>
    </row>
    <row r="21471">
      <c r="B21471" s="8"/>
      <c r="G21471" s="8"/>
      <c r="M21471" s="8"/>
    </row>
    <row r="21472">
      <c r="B21472" s="8"/>
      <c r="G21472" s="8"/>
      <c r="M21472" s="8"/>
    </row>
    <row r="21473">
      <c r="B21473" s="8"/>
      <c r="G21473" s="8"/>
      <c r="M21473" s="8"/>
    </row>
    <row r="21474">
      <c r="B21474" s="8"/>
      <c r="G21474" s="8"/>
      <c r="M21474" s="8"/>
    </row>
    <row r="21475">
      <c r="B21475" s="8"/>
      <c r="G21475" s="8"/>
      <c r="M21475" s="8"/>
    </row>
    <row r="21476">
      <c r="B21476" s="8"/>
      <c r="G21476" s="8"/>
      <c r="M21476" s="8"/>
    </row>
    <row r="21477">
      <c r="B21477" s="8"/>
      <c r="G21477" s="8"/>
      <c r="M21477" s="8"/>
    </row>
    <row r="21478">
      <c r="B21478" s="8"/>
      <c r="G21478" s="8"/>
      <c r="M21478" s="8"/>
    </row>
    <row r="21479">
      <c r="B21479" s="8"/>
      <c r="G21479" s="8"/>
      <c r="M21479" s="8"/>
    </row>
    <row r="21480">
      <c r="B21480" s="8"/>
      <c r="G21480" s="8"/>
      <c r="M21480" s="8"/>
    </row>
    <row r="21481">
      <c r="B21481" s="8"/>
      <c r="G21481" s="8"/>
      <c r="M21481" s="8"/>
    </row>
    <row r="21482">
      <c r="B21482" s="8"/>
      <c r="G21482" s="8"/>
      <c r="M21482" s="8"/>
    </row>
    <row r="21483">
      <c r="B21483" s="8"/>
      <c r="G21483" s="8"/>
      <c r="M21483" s="8"/>
    </row>
    <row r="21484">
      <c r="B21484" s="8"/>
      <c r="G21484" s="8"/>
      <c r="M21484" s="8"/>
    </row>
    <row r="21485">
      <c r="B21485" s="8"/>
      <c r="G21485" s="8"/>
      <c r="M21485" s="8"/>
    </row>
    <row r="21486">
      <c r="B21486" s="8"/>
      <c r="G21486" s="8"/>
      <c r="M21486" s="8"/>
    </row>
    <row r="21487">
      <c r="B21487" s="8"/>
      <c r="G21487" s="8"/>
      <c r="M21487" s="8"/>
    </row>
    <row r="21488">
      <c r="B21488" s="8"/>
      <c r="G21488" s="8"/>
      <c r="M21488" s="8"/>
    </row>
    <row r="21489">
      <c r="B21489" s="8"/>
      <c r="G21489" s="8"/>
      <c r="M21489" s="8"/>
    </row>
    <row r="21490">
      <c r="B21490" s="8"/>
      <c r="G21490" s="8"/>
      <c r="M21490" s="8"/>
    </row>
    <row r="21491">
      <c r="B21491" s="8"/>
      <c r="G21491" s="8"/>
      <c r="M21491" s="8"/>
    </row>
    <row r="21492">
      <c r="B21492" s="8"/>
      <c r="G21492" s="8"/>
      <c r="M21492" s="8"/>
    </row>
    <row r="21493">
      <c r="B21493" s="8"/>
      <c r="G21493" s="8"/>
      <c r="M21493" s="8"/>
    </row>
    <row r="21494">
      <c r="B21494" s="8"/>
      <c r="G21494" s="8"/>
      <c r="M21494" s="8"/>
    </row>
    <row r="21495">
      <c r="B21495" s="8"/>
      <c r="G21495" s="8"/>
      <c r="M21495" s="8"/>
    </row>
    <row r="21496">
      <c r="B21496" s="8"/>
      <c r="G21496" s="8"/>
      <c r="M21496" s="8"/>
    </row>
    <row r="21497">
      <c r="B21497" s="8"/>
      <c r="G21497" s="8"/>
      <c r="M21497" s="8"/>
    </row>
    <row r="21498">
      <c r="B21498" s="8"/>
      <c r="G21498" s="8"/>
      <c r="M21498" s="8"/>
    </row>
    <row r="21499">
      <c r="B21499" s="8"/>
      <c r="G21499" s="8"/>
      <c r="M21499" s="8"/>
    </row>
    <row r="21500">
      <c r="B21500" s="8"/>
      <c r="G21500" s="8"/>
      <c r="M21500" s="8"/>
    </row>
    <row r="21501">
      <c r="B21501" s="8"/>
      <c r="G21501" s="8"/>
      <c r="M21501" s="8"/>
    </row>
    <row r="21502">
      <c r="B21502" s="8"/>
      <c r="G21502" s="8"/>
      <c r="M21502" s="8"/>
    </row>
    <row r="21503">
      <c r="B21503" s="8"/>
      <c r="G21503" s="8"/>
      <c r="M21503" s="8"/>
    </row>
    <row r="21504">
      <c r="B21504" s="8"/>
      <c r="G21504" s="8"/>
      <c r="M21504" s="8"/>
    </row>
    <row r="21505">
      <c r="B21505" s="8"/>
      <c r="G21505" s="8"/>
      <c r="M21505" s="8"/>
    </row>
    <row r="21506">
      <c r="B21506" s="8"/>
      <c r="G21506" s="8"/>
      <c r="M21506" s="8"/>
    </row>
    <row r="21507">
      <c r="B21507" s="8"/>
      <c r="G21507" s="8"/>
      <c r="M21507" s="8"/>
    </row>
    <row r="21508">
      <c r="B21508" s="8"/>
      <c r="G21508" s="8"/>
      <c r="M21508" s="8"/>
    </row>
    <row r="21509">
      <c r="B21509" s="8"/>
      <c r="G21509" s="8"/>
      <c r="M21509" s="8"/>
    </row>
    <row r="21510">
      <c r="B21510" s="8"/>
      <c r="G21510" s="8"/>
      <c r="M21510" s="8"/>
    </row>
    <row r="21511">
      <c r="B21511" s="8"/>
      <c r="G21511" s="8"/>
      <c r="M21511" s="8"/>
    </row>
    <row r="21512">
      <c r="B21512" s="8"/>
      <c r="G21512" s="8"/>
      <c r="M21512" s="8"/>
    </row>
    <row r="21513">
      <c r="B21513" s="8"/>
      <c r="G21513" s="8"/>
      <c r="M21513" s="8"/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2.25"/>
    <col customWidth="1" min="3" max="3" width="19.38"/>
    <col customWidth="1" min="4" max="4" width="38.5"/>
    <col customWidth="1" min="5" max="5" width="7.88"/>
    <col customWidth="1" min="6" max="7" width="11.75"/>
    <col customWidth="1" min="8" max="8" width="17.5"/>
    <col customWidth="1" min="13" max="13" width="17.75"/>
    <col customWidth="1" min="16" max="16" width="15.25"/>
    <col customWidth="1" min="17" max="17" width="15.5"/>
    <col customWidth="1" min="18" max="21" width="18.88"/>
    <col customWidth="1" min="23" max="23" width="32.0"/>
    <col customWidth="1" min="24" max="24" width="25.75"/>
    <col customWidth="1" min="25" max="25" width="22.5"/>
  </cols>
  <sheetData>
    <row r="1" ht="22.5" customHeight="1">
      <c r="A1" s="9" t="s">
        <v>198</v>
      </c>
      <c r="B1" s="10" t="s">
        <v>199</v>
      </c>
      <c r="C1" s="11" t="s">
        <v>200</v>
      </c>
      <c r="D1" s="11" t="s">
        <v>201</v>
      </c>
      <c r="E1" s="11" t="s">
        <v>13</v>
      </c>
      <c r="F1" s="12" t="s">
        <v>202</v>
      </c>
      <c r="G1" s="13" t="s">
        <v>203</v>
      </c>
      <c r="H1" s="10" t="s">
        <v>204</v>
      </c>
      <c r="I1" s="10" t="s">
        <v>205</v>
      </c>
      <c r="J1" s="14" t="s">
        <v>4</v>
      </c>
      <c r="K1" s="14" t="s">
        <v>5</v>
      </c>
      <c r="L1" s="14" t="s">
        <v>6</v>
      </c>
      <c r="M1" s="15" t="s">
        <v>206</v>
      </c>
      <c r="N1" s="15" t="s">
        <v>207</v>
      </c>
      <c r="O1" s="15" t="s">
        <v>208</v>
      </c>
      <c r="P1" s="12" t="s">
        <v>209</v>
      </c>
      <c r="Q1" s="12" t="s">
        <v>210</v>
      </c>
      <c r="R1" s="16" t="s">
        <v>211</v>
      </c>
      <c r="S1" s="16" t="s">
        <v>212</v>
      </c>
      <c r="T1" s="16" t="s">
        <v>213</v>
      </c>
      <c r="U1" s="16" t="s">
        <v>214</v>
      </c>
      <c r="W1" s="1" t="s">
        <v>215</v>
      </c>
      <c r="X1" s="1" t="s">
        <v>216</v>
      </c>
      <c r="Y1" s="17" t="s">
        <v>217</v>
      </c>
    </row>
    <row r="2" ht="22.5" customHeight="1">
      <c r="A2" s="18">
        <v>1.0</v>
      </c>
      <c r="B2" s="18">
        <v>1.0</v>
      </c>
      <c r="C2" s="18" t="s">
        <v>218</v>
      </c>
      <c r="D2" s="18" t="s">
        <v>219</v>
      </c>
      <c r="E2" s="18" t="s">
        <v>220</v>
      </c>
      <c r="F2" s="12">
        <v>33.0</v>
      </c>
      <c r="G2" s="10" t="s">
        <v>221</v>
      </c>
      <c r="H2" s="19"/>
      <c r="I2" s="20"/>
      <c r="J2" s="10" t="s">
        <v>221</v>
      </c>
      <c r="K2" s="21"/>
      <c r="L2" s="10"/>
      <c r="M2" s="22"/>
      <c r="N2" s="10"/>
      <c r="O2" s="10"/>
      <c r="P2" s="12" t="str">
        <f t="shared" ref="P2:P988" si="1">"https://docs.google.com/forms/d/e/1FAIpQLSeZ-R1GrWlAPkfaThGqxeTj0QTtrARw4rroxIIepf2kipn1nw/formResponse?usp=pp_url&amp;entry.1313582257="&amp;C2&amp;"&amp;entry.1578404635=Hadir"</f>
        <v>https://docs.google.com/forms/d/e/1FAIpQLSeZ-R1GrWlAPkfaThGqxeTj0QTtrARw4rroxIIepf2kipn1nw/formResponse?usp=pp_url&amp;entry.1313582257=0092626116 / 252610008&amp;entry.1578404635=Hadir</v>
      </c>
      <c r="Q2" s="23" t="str">
        <f t="array" ref="Q2:Q1382">IF(P2:P1382="","",
 "https://quickchart.io/qr?size=250&amp;text=" &amp; ENCODEURL(P2:P1382))
</f>
        <v>https://quickchart.io/qr?size=250&amp;text=https%3A%2F%2Fdocs.google.com%2Fforms%2Fd%2Fe%2F1FAIpQLSeZ-R1GrWlAPkfaThGqxeTj0QTtrARw4rroxIIepf2kipn1nw%2FformResponse%3Fusp%3Dpp_url%26entry.1313582257%3D0092626116%20%2F%20252610008%26entry.1578404635%3DHadir</v>
      </c>
      <c r="R2" s="12" t="s">
        <v>222</v>
      </c>
      <c r="S2" s="24" t="s">
        <v>223</v>
      </c>
      <c r="T2" s="23" t="str">
        <f>HYPERLINK("https://drive.google.com/file/d/1vT3CS4iZFqZLg_tEljBkkpZG9JMocT_A/view?usp=drivesdk","33 - X1 - Adhie Bramantyo Faqih - L")</f>
        <v>33 - X1 - Adhie Bramantyo Faqih - L</v>
      </c>
      <c r="U2" s="12" t="s">
        <v>224</v>
      </c>
      <c r="W2" s="25">
        <f>COUNTIFS('Form Presensi SCC'!$B:$B, IF($C2&lt;&gt;0, TEXT($C2, "0000000000"), $D2), 'Form Presensi SCC'!$C:$C, "Hadir")</f>
        <v>0</v>
      </c>
      <c r="X2" s="25">
        <f t="shared" ref="X2:X34" si="2">MAXIFS($W:$W, $H:$H, $H2)</f>
        <v>0</v>
      </c>
      <c r="Y2" s="26" t="str">
        <f t="shared" ref="Y2:Y32" si="3">(W2/X2)*100%</f>
        <v>#DIV/0!</v>
      </c>
    </row>
    <row r="3" ht="22.5" customHeight="1">
      <c r="A3" s="10">
        <v>2.0</v>
      </c>
      <c r="B3" s="18">
        <v>2.0</v>
      </c>
      <c r="C3" s="18" t="s">
        <v>225</v>
      </c>
      <c r="D3" s="18" t="s">
        <v>226</v>
      </c>
      <c r="E3" s="18" t="s">
        <v>227</v>
      </c>
      <c r="F3" s="12">
        <v>33.0</v>
      </c>
      <c r="G3" s="10" t="s">
        <v>221</v>
      </c>
      <c r="H3" s="19"/>
      <c r="I3" s="20"/>
      <c r="J3" s="10" t="s">
        <v>221</v>
      </c>
      <c r="K3" s="21"/>
      <c r="L3" s="10"/>
      <c r="M3" s="22"/>
      <c r="N3" s="10"/>
      <c r="O3" s="10"/>
      <c r="P3" s="12" t="str">
        <f t="shared" si="1"/>
        <v>https://docs.google.com/forms/d/e/1FAIpQLSeZ-R1GrWlAPkfaThGqxeTj0QTtrARw4rroxIIepf2kipn1nw/formResponse?usp=pp_url&amp;entry.1313582257=3103201253 / 252610048&amp;entry.1578404635=Hadir</v>
      </c>
      <c r="Q3" s="23" t="s">
        <v>228</v>
      </c>
      <c r="R3" s="12" t="s">
        <v>229</v>
      </c>
      <c r="S3" s="24" t="s">
        <v>230</v>
      </c>
      <c r="T3" s="23" t="str">
        <f>HYPERLINK("https://drive.google.com/file/d/1mKmnVoLnZHVkK0DIF_UMnaayEkobf0l1/view?usp=drivesdk","33 - X1 - Almira Dwi Safira - P")</f>
        <v>33 - X1 - Almira Dwi Safira - P</v>
      </c>
      <c r="U3" s="12" t="s">
        <v>231</v>
      </c>
      <c r="W3" s="25">
        <f>COUNTIFS('Form Presensi SCC'!$B:$B, IF($C3&lt;&gt;0, TEXT($C3, "0000000000"), $D3), 'Form Presensi SCC'!$C:$C, "Hadir")</f>
        <v>0</v>
      </c>
      <c r="X3" s="25">
        <f t="shared" si="2"/>
        <v>0</v>
      </c>
      <c r="Y3" s="26" t="str">
        <f t="shared" si="3"/>
        <v>#DIV/0!</v>
      </c>
    </row>
    <row r="4" ht="22.5" customHeight="1">
      <c r="A4" s="18">
        <v>3.0</v>
      </c>
      <c r="B4" s="18">
        <v>3.0</v>
      </c>
      <c r="C4" s="18" t="s">
        <v>232</v>
      </c>
      <c r="D4" s="18" t="s">
        <v>233</v>
      </c>
      <c r="E4" s="18" t="s">
        <v>227</v>
      </c>
      <c r="F4" s="12">
        <v>33.0</v>
      </c>
      <c r="G4" s="10" t="s">
        <v>221</v>
      </c>
      <c r="H4" s="19"/>
      <c r="I4" s="20"/>
      <c r="J4" s="10" t="s">
        <v>221</v>
      </c>
      <c r="K4" s="21"/>
      <c r="L4" s="10"/>
      <c r="M4" s="22"/>
      <c r="N4" s="10"/>
      <c r="O4" s="10"/>
      <c r="P4" s="12" t="str">
        <f t="shared" si="1"/>
        <v>https://docs.google.com/forms/d/e/1FAIpQLSeZ-R1GrWlAPkfaThGqxeTj0QTtrARw4rroxIIepf2kipn1nw/formResponse?usp=pp_url&amp;entry.1313582257=0102149444 / 252610053&amp;entry.1578404635=Hadir</v>
      </c>
      <c r="Q4" s="23" t="s">
        <v>234</v>
      </c>
      <c r="R4" s="12" t="s">
        <v>235</v>
      </c>
      <c r="S4" s="24" t="s">
        <v>236</v>
      </c>
      <c r="T4" s="23" t="str">
        <f>HYPERLINK("https://drive.google.com/file/d/1d7U49CQ9RJNH2-hBQjzC_hHvscAAXvsr/view?usp=drivesdk","33 - X1 - Alzena Juneeta Talisha Theo - P")</f>
        <v>33 - X1 - Alzena Juneeta Talisha Theo - P</v>
      </c>
      <c r="U4" s="12" t="s">
        <v>231</v>
      </c>
      <c r="W4" s="25">
        <f>COUNTIFS('Form Presensi SCC'!$B:$B, IF($C4&lt;&gt;0, TEXT($C4, "0000000000"), $D4), 'Form Presensi SCC'!$C:$C, "Hadir")</f>
        <v>0</v>
      </c>
      <c r="X4" s="25">
        <f t="shared" si="2"/>
        <v>0</v>
      </c>
      <c r="Y4" s="26" t="str">
        <f t="shared" si="3"/>
        <v>#DIV/0!</v>
      </c>
    </row>
    <row r="5" ht="22.5" customHeight="1">
      <c r="A5" s="10">
        <v>4.0</v>
      </c>
      <c r="B5" s="18">
        <v>4.0</v>
      </c>
      <c r="C5" s="18" t="s">
        <v>237</v>
      </c>
      <c r="D5" s="18" t="s">
        <v>238</v>
      </c>
      <c r="E5" s="18" t="s">
        <v>220</v>
      </c>
      <c r="F5" s="12">
        <v>33.0</v>
      </c>
      <c r="G5" s="10" t="s">
        <v>221</v>
      </c>
      <c r="H5" s="19"/>
      <c r="I5" s="20"/>
      <c r="J5" s="10" t="s">
        <v>221</v>
      </c>
      <c r="K5" s="21"/>
      <c r="L5" s="10"/>
      <c r="M5" s="22"/>
      <c r="N5" s="10"/>
      <c r="O5" s="10"/>
      <c r="P5" s="12" t="str">
        <f t="shared" si="1"/>
        <v>https://docs.google.com/forms/d/e/1FAIpQLSeZ-R1GrWlAPkfaThGqxeTj0QTtrARw4rroxIIepf2kipn1nw/formResponse?usp=pp_url&amp;entry.1313582257=0095992391 / 252610082&amp;entry.1578404635=Hadir</v>
      </c>
      <c r="Q5" s="23" t="s">
        <v>239</v>
      </c>
      <c r="R5" s="12" t="s">
        <v>240</v>
      </c>
      <c r="S5" s="24" t="s">
        <v>241</v>
      </c>
      <c r="T5" s="23" t="str">
        <f>HYPERLINK("https://drive.google.com/file/d/1LNiRTYHv6w9YVnhAR2HLyIcVFJQpcjze/view?usp=drivesdk","33 - X1 - Arya Aditya Gunawan - L")</f>
        <v>33 - X1 - Arya Aditya Gunawan - L</v>
      </c>
      <c r="U5" s="12" t="s">
        <v>242</v>
      </c>
      <c r="W5" s="25">
        <f>COUNTIFS('Form Presensi SCC'!$B:$B, IF($C5&lt;&gt;0, TEXT($C5, "0000000000"), $D5), 'Form Presensi SCC'!$C:$C, "Hadir")</f>
        <v>0</v>
      </c>
      <c r="X5" s="25">
        <f t="shared" si="2"/>
        <v>0</v>
      </c>
      <c r="Y5" s="26" t="str">
        <f t="shared" si="3"/>
        <v>#DIV/0!</v>
      </c>
    </row>
    <row r="6" ht="22.5" customHeight="1">
      <c r="A6" s="18">
        <v>5.0</v>
      </c>
      <c r="B6" s="18">
        <v>5.0</v>
      </c>
      <c r="C6" s="18" t="s">
        <v>243</v>
      </c>
      <c r="D6" s="18" t="s">
        <v>244</v>
      </c>
      <c r="E6" s="18" t="s">
        <v>227</v>
      </c>
      <c r="F6" s="12">
        <v>33.0</v>
      </c>
      <c r="G6" s="10" t="s">
        <v>221</v>
      </c>
      <c r="H6" s="19"/>
      <c r="I6" s="20"/>
      <c r="J6" s="10" t="s">
        <v>221</v>
      </c>
      <c r="K6" s="21"/>
      <c r="L6" s="10"/>
      <c r="M6" s="22"/>
      <c r="N6" s="10"/>
      <c r="O6" s="10"/>
      <c r="P6" s="12" t="str">
        <f t="shared" si="1"/>
        <v>https://docs.google.com/forms/d/e/1FAIpQLSeZ-R1GrWlAPkfaThGqxeTj0QTtrARw4rroxIIepf2kipn1nw/formResponse?usp=pp_url&amp;entry.1313582257=0106142601 / 252610083&amp;entry.1578404635=Hadir</v>
      </c>
      <c r="Q6" s="23" t="s">
        <v>245</v>
      </c>
      <c r="R6" s="12" t="s">
        <v>246</v>
      </c>
      <c r="S6" s="24" t="s">
        <v>247</v>
      </c>
      <c r="T6" s="23" t="str">
        <f>HYPERLINK("https://drive.google.com/file/d/1IvfC4ixA8_XmXd4iM5ff5AmblC3pElr0/view?usp=drivesdk","33 - X1 - Aryasatia Pradipta - P")</f>
        <v>33 - X1 - Aryasatia Pradipta - P</v>
      </c>
      <c r="U6" s="12" t="s">
        <v>242</v>
      </c>
      <c r="W6" s="25">
        <f>COUNTIFS('Form Presensi SCC'!$B:$B, IF($C6&lt;&gt;0, TEXT($C6, "0000000000"), $D6), 'Form Presensi SCC'!$C:$C, "Hadir")</f>
        <v>0</v>
      </c>
      <c r="X6" s="25">
        <f t="shared" si="2"/>
        <v>0</v>
      </c>
      <c r="Y6" s="26" t="str">
        <f t="shared" si="3"/>
        <v>#DIV/0!</v>
      </c>
    </row>
    <row r="7" ht="22.5" customHeight="1">
      <c r="A7" s="10">
        <v>6.0</v>
      </c>
      <c r="B7" s="18">
        <v>6.0</v>
      </c>
      <c r="C7" s="18" t="s">
        <v>248</v>
      </c>
      <c r="D7" s="18" t="s">
        <v>249</v>
      </c>
      <c r="E7" s="18" t="s">
        <v>227</v>
      </c>
      <c r="F7" s="12">
        <v>33.0</v>
      </c>
      <c r="G7" s="10" t="s">
        <v>221</v>
      </c>
      <c r="H7" s="19"/>
      <c r="I7" s="20"/>
      <c r="J7" s="10" t="s">
        <v>221</v>
      </c>
      <c r="K7" s="21"/>
      <c r="L7" s="10"/>
      <c r="M7" s="22"/>
      <c r="N7" s="10"/>
      <c r="O7" s="10"/>
      <c r="P7" s="12" t="str">
        <f t="shared" si="1"/>
        <v>https://docs.google.com/forms/d/e/1FAIpQLSeZ-R1GrWlAPkfaThGqxeTj0QTtrARw4rroxIIepf2kipn1nw/formResponse?usp=pp_url&amp;entry.1313582257=0108104548 / 252610087&amp;entry.1578404635=Hadir</v>
      </c>
      <c r="Q7" s="23" t="s">
        <v>250</v>
      </c>
      <c r="R7" s="12" t="s">
        <v>251</v>
      </c>
      <c r="S7" s="24" t="s">
        <v>252</v>
      </c>
      <c r="T7" s="23" t="str">
        <f>HYPERLINK("https://drive.google.com/file/d/10upqMCystGLOOuj8IXeBYoCPDfZ9BeId/view?usp=drivesdk","33 - X1 - Asyifa Diandra Bayu - P")</f>
        <v>33 - X1 - Asyifa Diandra Bayu - P</v>
      </c>
      <c r="U7" s="12" t="s">
        <v>242</v>
      </c>
      <c r="W7" s="25">
        <f>COUNTIFS('Form Presensi SCC'!$B:$B, IF($C7&lt;&gt;0, TEXT($C7, "0000000000"), $D7), 'Form Presensi SCC'!$C:$C, "Hadir")</f>
        <v>0</v>
      </c>
      <c r="X7" s="25">
        <f t="shared" si="2"/>
        <v>0</v>
      </c>
      <c r="Y7" s="26" t="str">
        <f t="shared" si="3"/>
        <v>#DIV/0!</v>
      </c>
    </row>
    <row r="8" ht="22.5" customHeight="1">
      <c r="A8" s="18">
        <v>7.0</v>
      </c>
      <c r="B8" s="18">
        <v>7.0</v>
      </c>
      <c r="C8" s="18" t="s">
        <v>253</v>
      </c>
      <c r="D8" s="18" t="s">
        <v>254</v>
      </c>
      <c r="E8" s="18" t="s">
        <v>227</v>
      </c>
      <c r="F8" s="12">
        <v>33.0</v>
      </c>
      <c r="G8" s="10" t="s">
        <v>221</v>
      </c>
      <c r="H8" s="19"/>
      <c r="I8" s="20"/>
      <c r="J8" s="10" t="s">
        <v>221</v>
      </c>
      <c r="K8" s="21"/>
      <c r="L8" s="10"/>
      <c r="M8" s="22"/>
      <c r="N8" s="10"/>
      <c r="O8" s="10"/>
      <c r="P8" s="12" t="str">
        <f t="shared" si="1"/>
        <v>https://docs.google.com/forms/d/e/1FAIpQLSeZ-R1GrWlAPkfaThGqxeTj0QTtrARw4rroxIIepf2kipn1nw/formResponse?usp=pp_url&amp;entry.1313582257=0103045473 / 252610088&amp;entry.1578404635=Hadir</v>
      </c>
      <c r="Q8" s="23" t="s">
        <v>255</v>
      </c>
      <c r="R8" s="12" t="s">
        <v>256</v>
      </c>
      <c r="S8" s="24" t="s">
        <v>257</v>
      </c>
      <c r="T8" s="23" t="str">
        <f>HYPERLINK("https://drive.google.com/file/d/1ZImG2x2uc38nnR6zZWUTE7w5Gq5qaqVc/view?usp=drivesdk","33 - X1 - Asyifa Maulidia Salsabila - P")</f>
        <v>33 - X1 - Asyifa Maulidia Salsabila - P</v>
      </c>
      <c r="U8" s="12" t="s">
        <v>242</v>
      </c>
      <c r="W8" s="25">
        <f>COUNTIFS('Form Presensi SCC'!$B:$B, IF($C8&lt;&gt;0, TEXT($C8, "0000000000"), $D8), 'Form Presensi SCC'!$C:$C, "Hadir")</f>
        <v>0</v>
      </c>
      <c r="X8" s="25">
        <f t="shared" si="2"/>
        <v>0</v>
      </c>
      <c r="Y8" s="26" t="str">
        <f t="shared" si="3"/>
        <v>#DIV/0!</v>
      </c>
    </row>
    <row r="9" ht="22.5" customHeight="1">
      <c r="A9" s="10">
        <v>8.0</v>
      </c>
      <c r="B9" s="18">
        <v>8.0</v>
      </c>
      <c r="C9" s="18" t="s">
        <v>258</v>
      </c>
      <c r="D9" s="18" t="s">
        <v>259</v>
      </c>
      <c r="E9" s="18" t="s">
        <v>227</v>
      </c>
      <c r="F9" s="12">
        <v>33.0</v>
      </c>
      <c r="G9" s="10" t="s">
        <v>221</v>
      </c>
      <c r="H9" s="19"/>
      <c r="I9" s="20"/>
      <c r="J9" s="10" t="s">
        <v>221</v>
      </c>
      <c r="K9" s="21"/>
      <c r="L9" s="10"/>
      <c r="M9" s="22"/>
      <c r="N9" s="10"/>
      <c r="O9" s="10"/>
      <c r="P9" s="12" t="str">
        <f t="shared" si="1"/>
        <v>https://docs.google.com/forms/d/e/1FAIpQLSeZ-R1GrWlAPkfaThGqxeTj0QTtrARw4rroxIIepf2kipn1nw/formResponse?usp=pp_url&amp;entry.1313582257=0109105725 / 252610100&amp;entry.1578404635=Hadir</v>
      </c>
      <c r="Q9" s="23" t="s">
        <v>260</v>
      </c>
      <c r="R9" s="12" t="s">
        <v>261</v>
      </c>
      <c r="S9" s="24" t="s">
        <v>262</v>
      </c>
      <c r="T9" s="23" t="str">
        <f>HYPERLINK("https://drive.google.com/file/d/1rvQo4Ey68VFrcETscC7InUaTRI1kIUWw/view?usp=drivesdk","33 - X1 - Aurelia Langit Callysta - P")</f>
        <v>33 - X1 - Aurelia Langit Callysta - P</v>
      </c>
      <c r="U9" s="12" t="s">
        <v>242</v>
      </c>
      <c r="W9" s="25">
        <f>COUNTIFS('Form Presensi SCC'!$B:$B, IF($C9&lt;&gt;0, TEXT($C9, "0000000000"), $D9), 'Form Presensi SCC'!$C:$C, "Hadir")</f>
        <v>0</v>
      </c>
      <c r="X9" s="25">
        <f t="shared" si="2"/>
        <v>0</v>
      </c>
      <c r="Y9" s="26" t="str">
        <f t="shared" si="3"/>
        <v>#DIV/0!</v>
      </c>
    </row>
    <row r="10" ht="22.5" customHeight="1">
      <c r="A10" s="18">
        <v>9.0</v>
      </c>
      <c r="B10" s="18">
        <v>9.0</v>
      </c>
      <c r="C10" s="18" t="s">
        <v>263</v>
      </c>
      <c r="D10" s="18" t="s">
        <v>264</v>
      </c>
      <c r="E10" s="18" t="s">
        <v>227</v>
      </c>
      <c r="F10" s="12">
        <v>33.0</v>
      </c>
      <c r="G10" s="10" t="s">
        <v>221</v>
      </c>
      <c r="H10" s="19"/>
      <c r="I10" s="20"/>
      <c r="J10" s="10" t="s">
        <v>221</v>
      </c>
      <c r="K10" s="21"/>
      <c r="L10" s="10"/>
      <c r="M10" s="22"/>
      <c r="N10" s="10"/>
      <c r="O10" s="10"/>
      <c r="P10" s="12" t="str">
        <f t="shared" si="1"/>
        <v>https://docs.google.com/forms/d/e/1FAIpQLSeZ-R1GrWlAPkfaThGqxeTj0QTtrARw4rroxIIepf2kipn1nw/formResponse?usp=pp_url&amp;entry.1313582257=0096394871 / 252610101&amp;entry.1578404635=Hadir</v>
      </c>
      <c r="Q10" s="23" t="s">
        <v>265</v>
      </c>
      <c r="R10" s="12" t="s">
        <v>266</v>
      </c>
      <c r="S10" s="24" t="s">
        <v>267</v>
      </c>
      <c r="T10" s="23" t="str">
        <f>HYPERLINK("https://drive.google.com/file/d/1b-GDSmMzqildFBtX8OSafkbnN90HrSEe/view?usp=drivesdk","33 - X1 - Aurelia Septiani Putri - P")</f>
        <v>33 - X1 - Aurelia Septiani Putri - P</v>
      </c>
      <c r="U10" s="12" t="s">
        <v>242</v>
      </c>
      <c r="W10" s="25">
        <f>COUNTIFS('Form Presensi SCC'!$B:$B, IF($C10&lt;&gt;0, TEXT($C10, "0000000000"), $D10), 'Form Presensi SCC'!$C:$C, "Hadir")</f>
        <v>0</v>
      </c>
      <c r="X10" s="25">
        <f t="shared" si="2"/>
        <v>0</v>
      </c>
      <c r="Y10" s="26" t="str">
        <f t="shared" si="3"/>
        <v>#DIV/0!</v>
      </c>
    </row>
    <row r="11" ht="22.5" customHeight="1">
      <c r="A11" s="10">
        <v>10.0</v>
      </c>
      <c r="B11" s="18">
        <v>10.0</v>
      </c>
      <c r="C11" s="18" t="s">
        <v>268</v>
      </c>
      <c r="D11" s="18" t="s">
        <v>269</v>
      </c>
      <c r="E11" s="18" t="s">
        <v>227</v>
      </c>
      <c r="F11" s="12">
        <v>33.0</v>
      </c>
      <c r="G11" s="10" t="s">
        <v>221</v>
      </c>
      <c r="H11" s="19"/>
      <c r="I11" s="20"/>
      <c r="J11" s="10" t="s">
        <v>221</v>
      </c>
      <c r="K11" s="21"/>
      <c r="L11" s="10"/>
      <c r="M11" s="22"/>
      <c r="N11" s="10"/>
      <c r="O11" s="10"/>
      <c r="P11" s="12" t="str">
        <f t="shared" si="1"/>
        <v>https://docs.google.com/forms/d/e/1FAIpQLSeZ-R1GrWlAPkfaThGqxeTj0QTtrARw4rroxIIepf2kipn1nw/formResponse?usp=pp_url&amp;entry.1313582257=0099038184 / 252610109&amp;entry.1578404635=Hadir</v>
      </c>
      <c r="Q11" s="23" t="s">
        <v>270</v>
      </c>
      <c r="R11" s="12" t="s">
        <v>271</v>
      </c>
      <c r="S11" s="24" t="s">
        <v>272</v>
      </c>
      <c r="T11" s="23" t="str">
        <f>HYPERLINK("https://drive.google.com/file/d/1yx3LelcXw_e83FhlIETtKt3gLFBbBxee/view?usp=drivesdk","33 - X1 - Azalia Maheswari Christabel - P")</f>
        <v>33 - X1 - Azalia Maheswari Christabel - P</v>
      </c>
      <c r="U11" s="12" t="s">
        <v>242</v>
      </c>
      <c r="W11" s="25">
        <f>COUNTIFS('Form Presensi SCC'!$B:$B, IF($C11&lt;&gt;0, TEXT($C11, "0000000000"), $D11), 'Form Presensi SCC'!$C:$C, "Hadir")</f>
        <v>0</v>
      </c>
      <c r="X11" s="25">
        <f t="shared" si="2"/>
        <v>0</v>
      </c>
      <c r="Y11" s="26" t="str">
        <f t="shared" si="3"/>
        <v>#DIV/0!</v>
      </c>
    </row>
    <row r="12" ht="22.5" customHeight="1">
      <c r="A12" s="18">
        <v>11.0</v>
      </c>
      <c r="B12" s="18">
        <v>11.0</v>
      </c>
      <c r="C12" s="18" t="s">
        <v>132</v>
      </c>
      <c r="D12" s="18" t="s">
        <v>273</v>
      </c>
      <c r="E12" s="18" t="s">
        <v>227</v>
      </c>
      <c r="F12" s="12">
        <v>33.0</v>
      </c>
      <c r="G12" s="10" t="s">
        <v>221</v>
      </c>
      <c r="H12" s="19"/>
      <c r="I12" s="20"/>
      <c r="J12" s="10" t="s">
        <v>221</v>
      </c>
      <c r="K12" s="21"/>
      <c r="L12" s="10"/>
      <c r="M12" s="22"/>
      <c r="N12" s="10"/>
      <c r="O12" s="10"/>
      <c r="P12" s="12" t="str">
        <f t="shared" si="1"/>
        <v>https://docs.google.com/forms/d/e/1FAIpQLSeZ-R1GrWlAPkfaThGqxeTj0QTtrARw4rroxIIepf2kipn1nw/formResponse?usp=pp_url&amp;entry.1313582257=0096477713 / 252610122&amp;entry.1578404635=Hadir</v>
      </c>
      <c r="Q12" s="23" t="s">
        <v>274</v>
      </c>
      <c r="R12" s="12" t="s">
        <v>275</v>
      </c>
      <c r="S12" s="24" t="s">
        <v>276</v>
      </c>
      <c r="T12" s="23" t="str">
        <f>HYPERLINK("https://drive.google.com/file/d/1tS8oCGyjXE_iUjrmtYwoF0c6IxPj5bwe/view?usp=drivesdk","33 - X1 - Bilqis Anwar Thebe - P")</f>
        <v>33 - X1 - Bilqis Anwar Thebe - P</v>
      </c>
      <c r="U12" s="12" t="s">
        <v>277</v>
      </c>
      <c r="W12" s="25">
        <f>COUNTIFS('Form Presensi SCC'!$B:$B, IF($C12&lt;&gt;0, TEXT($C12, "0000000000"), $D12), 'Form Presensi SCC'!$C:$C, "Hadir")</f>
        <v>1</v>
      </c>
      <c r="X12" s="25">
        <f t="shared" si="2"/>
        <v>0</v>
      </c>
      <c r="Y12" s="26" t="str">
        <f t="shared" si="3"/>
        <v>#DIV/0!</v>
      </c>
    </row>
    <row r="13" ht="22.5" customHeight="1">
      <c r="A13" s="10">
        <v>12.0</v>
      </c>
      <c r="B13" s="18">
        <v>12.0</v>
      </c>
      <c r="C13" s="18" t="s">
        <v>278</v>
      </c>
      <c r="D13" s="18" t="s">
        <v>279</v>
      </c>
      <c r="E13" s="18" t="s">
        <v>220</v>
      </c>
      <c r="F13" s="12">
        <v>33.0</v>
      </c>
      <c r="G13" s="10" t="s">
        <v>221</v>
      </c>
      <c r="H13" s="19"/>
      <c r="I13" s="20"/>
      <c r="J13" s="10" t="s">
        <v>221</v>
      </c>
      <c r="K13" s="21"/>
      <c r="L13" s="10"/>
      <c r="M13" s="22"/>
      <c r="N13" s="10"/>
      <c r="O13" s="10"/>
      <c r="P13" s="12" t="str">
        <f t="shared" si="1"/>
        <v>https://docs.google.com/forms/d/e/1FAIpQLSeZ-R1GrWlAPkfaThGqxeTj0QTtrARw4rroxIIepf2kipn1nw/formResponse?usp=pp_url&amp;entry.1313582257=0106995291 / 252610126&amp;entry.1578404635=Hadir</v>
      </c>
      <c r="Q13" s="23" t="s">
        <v>280</v>
      </c>
      <c r="R13" s="12" t="s">
        <v>281</v>
      </c>
      <c r="S13" s="24" t="s">
        <v>282</v>
      </c>
      <c r="T13" s="23" t="str">
        <f>HYPERLINK("https://drive.google.com/file/d/1EmJkPoxdTJ-gQWZdii-D138hhWBcspG4/view?usp=drivesdk","33 - X1 - Bimo Armani Aulia Putra - L")</f>
        <v>33 - X1 - Bimo Armani Aulia Putra - L</v>
      </c>
      <c r="U13" s="12" t="s">
        <v>277</v>
      </c>
      <c r="W13" s="25">
        <f>COUNTIFS('Form Presensi SCC'!$B:$B, IF($C13&lt;&gt;0, TEXT($C13, "0000000000"), $D13), 'Form Presensi SCC'!$C:$C, "Hadir")</f>
        <v>0</v>
      </c>
      <c r="X13" s="25">
        <f t="shared" si="2"/>
        <v>0</v>
      </c>
      <c r="Y13" s="26" t="str">
        <f t="shared" si="3"/>
        <v>#DIV/0!</v>
      </c>
    </row>
    <row r="14" ht="22.5" customHeight="1">
      <c r="A14" s="18">
        <v>13.0</v>
      </c>
      <c r="B14" s="18">
        <v>13.0</v>
      </c>
      <c r="C14" s="18" t="s">
        <v>283</v>
      </c>
      <c r="D14" s="18" t="s">
        <v>284</v>
      </c>
      <c r="E14" s="18" t="s">
        <v>227</v>
      </c>
      <c r="F14" s="12">
        <v>33.0</v>
      </c>
      <c r="G14" s="10" t="s">
        <v>221</v>
      </c>
      <c r="H14" s="19"/>
      <c r="I14" s="20"/>
      <c r="J14" s="10" t="s">
        <v>221</v>
      </c>
      <c r="K14" s="21"/>
      <c r="L14" s="10"/>
      <c r="M14" s="22"/>
      <c r="N14" s="10"/>
      <c r="O14" s="10"/>
      <c r="P14" s="12" t="str">
        <f t="shared" si="1"/>
        <v>https://docs.google.com/forms/d/e/1FAIpQLSeZ-R1GrWlAPkfaThGqxeTj0QTtrARw4rroxIIepf2kipn1nw/formResponse?usp=pp_url&amp;entry.1313582257=0094126705 / 252610130&amp;entry.1578404635=Hadir</v>
      </c>
      <c r="Q14" s="23" t="s">
        <v>285</v>
      </c>
      <c r="R14" s="12" t="s">
        <v>286</v>
      </c>
      <c r="S14" s="24" t="s">
        <v>287</v>
      </c>
      <c r="T14" s="23" t="str">
        <f>HYPERLINK("https://drive.google.com/file/d/1V36ZPnUswM9ug8uwlwbe7s6iXPAB3HIh/view?usp=drivesdk","33 - X1 - Callysta Tuchi Solin - P")</f>
        <v>33 - X1 - Callysta Tuchi Solin - P</v>
      </c>
      <c r="U14" s="12" t="s">
        <v>277</v>
      </c>
      <c r="W14" s="25">
        <f>COUNTIFS('Form Presensi SCC'!$B:$B, IF($C14&lt;&gt;0, TEXT($C14, "0000000000"), $D14), 'Form Presensi SCC'!$C:$C, "Hadir")</f>
        <v>0</v>
      </c>
      <c r="X14" s="25">
        <f t="shared" si="2"/>
        <v>0</v>
      </c>
      <c r="Y14" s="26" t="str">
        <f t="shared" si="3"/>
        <v>#DIV/0!</v>
      </c>
    </row>
    <row r="15" ht="22.5" customHeight="1">
      <c r="A15" s="10">
        <v>14.0</v>
      </c>
      <c r="B15" s="18">
        <v>14.0</v>
      </c>
      <c r="C15" s="18" t="s">
        <v>288</v>
      </c>
      <c r="D15" s="18" t="s">
        <v>289</v>
      </c>
      <c r="E15" s="18" t="s">
        <v>220</v>
      </c>
      <c r="F15" s="12">
        <v>33.0</v>
      </c>
      <c r="G15" s="10" t="s">
        <v>221</v>
      </c>
      <c r="H15" s="19"/>
      <c r="I15" s="20"/>
      <c r="J15" s="10" t="s">
        <v>221</v>
      </c>
      <c r="K15" s="21"/>
      <c r="L15" s="10"/>
      <c r="M15" s="22"/>
      <c r="N15" s="10"/>
      <c r="O15" s="10"/>
      <c r="P15" s="12" t="str">
        <f t="shared" si="1"/>
        <v>https://docs.google.com/forms/d/e/1FAIpQLSeZ-R1GrWlAPkfaThGqxeTj0QTtrARw4rroxIIepf2kipn1nw/formResponse?usp=pp_url&amp;entry.1313582257=0105914504 / 252610171&amp;entry.1578404635=Hadir</v>
      </c>
      <c r="Q15" s="23" t="s">
        <v>290</v>
      </c>
      <c r="R15" s="12" t="s">
        <v>291</v>
      </c>
      <c r="S15" s="24" t="s">
        <v>292</v>
      </c>
      <c r="T15" s="23" t="str">
        <f>HYPERLINK("https://drive.google.com/file/d/1Y17P9BaSObYaTN9WA1Z9-poUfGpD2LLP/view?usp=drivesdk","33 - X1 - Diwangkara Rizki Rabbani - L")</f>
        <v>33 - X1 - Diwangkara Rizki Rabbani - L</v>
      </c>
      <c r="U15" s="12" t="s">
        <v>277</v>
      </c>
      <c r="W15" s="25">
        <f>COUNTIFS('Form Presensi SCC'!$B:$B, IF($C15&lt;&gt;0, TEXT($C15, "0000000000"), $D15), 'Form Presensi SCC'!$C:$C, "Hadir")</f>
        <v>0</v>
      </c>
      <c r="X15" s="25">
        <f t="shared" si="2"/>
        <v>0</v>
      </c>
      <c r="Y15" s="26" t="str">
        <f t="shared" si="3"/>
        <v>#DIV/0!</v>
      </c>
    </row>
    <row r="16" ht="22.5" customHeight="1">
      <c r="A16" s="18">
        <v>15.0</v>
      </c>
      <c r="B16" s="18">
        <v>15.0</v>
      </c>
      <c r="C16" s="18" t="s">
        <v>293</v>
      </c>
      <c r="D16" s="18" t="s">
        <v>294</v>
      </c>
      <c r="E16" s="18" t="s">
        <v>227</v>
      </c>
      <c r="F16" s="12">
        <v>33.0</v>
      </c>
      <c r="G16" s="10" t="s">
        <v>221</v>
      </c>
      <c r="H16" s="19"/>
      <c r="I16" s="20"/>
      <c r="J16" s="10" t="s">
        <v>221</v>
      </c>
      <c r="K16" s="21"/>
      <c r="L16" s="10"/>
      <c r="M16" s="22"/>
      <c r="N16" s="10"/>
      <c r="O16" s="10"/>
      <c r="P16" s="12" t="str">
        <f t="shared" si="1"/>
        <v>https://docs.google.com/forms/d/e/1FAIpQLSeZ-R1GrWlAPkfaThGqxeTj0QTtrARw4rroxIIepf2kipn1nw/formResponse?usp=pp_url&amp;entry.1313582257=0092097491 / 252610175&amp;entry.1578404635=Hadir</v>
      </c>
      <c r="Q16" s="23" t="s">
        <v>295</v>
      </c>
      <c r="R16" s="12" t="s">
        <v>296</v>
      </c>
      <c r="S16" s="24" t="s">
        <v>297</v>
      </c>
      <c r="T16" s="23" t="str">
        <f>HYPERLINK("https://drive.google.com/file/d/1gdHQkc3oC094D12II38YKtMKEBJWo6Sv/view?usp=drivesdk","33 - X1 - Dzahra Miftahuljanah - P")</f>
        <v>33 - X1 - Dzahra Miftahuljanah - P</v>
      </c>
      <c r="U16" s="12" t="s">
        <v>277</v>
      </c>
      <c r="W16" s="25">
        <f>COUNTIFS('Form Presensi SCC'!$B:$B, IF($C16&lt;&gt;0, TEXT($C16, "0000000000"), $D16), 'Form Presensi SCC'!$C:$C, "Hadir")</f>
        <v>0</v>
      </c>
      <c r="X16" s="25">
        <f t="shared" si="2"/>
        <v>0</v>
      </c>
      <c r="Y16" s="26" t="str">
        <f t="shared" si="3"/>
        <v>#DIV/0!</v>
      </c>
    </row>
    <row r="17" ht="22.5" customHeight="1">
      <c r="A17" s="10">
        <v>16.0</v>
      </c>
      <c r="B17" s="18">
        <v>16.0</v>
      </c>
      <c r="C17" s="18" t="s">
        <v>298</v>
      </c>
      <c r="D17" s="18" t="s">
        <v>299</v>
      </c>
      <c r="E17" s="18" t="s">
        <v>220</v>
      </c>
      <c r="F17" s="12">
        <v>33.0</v>
      </c>
      <c r="G17" s="10" t="s">
        <v>221</v>
      </c>
      <c r="H17" s="19"/>
      <c r="I17" s="20"/>
      <c r="J17" s="10" t="s">
        <v>221</v>
      </c>
      <c r="K17" s="21"/>
      <c r="L17" s="10"/>
      <c r="M17" s="22"/>
      <c r="N17" s="10"/>
      <c r="O17" s="10"/>
      <c r="P17" s="12" t="str">
        <f t="shared" si="1"/>
        <v>https://docs.google.com/forms/d/e/1FAIpQLSeZ-R1GrWlAPkfaThGqxeTj0QTtrARw4rroxIIepf2kipn1nw/formResponse?usp=pp_url&amp;entry.1313582257=0102644442 / 252610193&amp;entry.1578404635=Hadir</v>
      </c>
      <c r="Q17" s="23" t="s">
        <v>300</v>
      </c>
      <c r="R17" s="12" t="s">
        <v>301</v>
      </c>
      <c r="S17" s="24" t="s">
        <v>302</v>
      </c>
      <c r="T17" s="23" t="str">
        <f>HYPERLINK("https://drive.google.com/file/d/1DkiMBRJidCu4rpARd_sGeCMxkHoE_dEf/view?usp=drivesdk","33 - X1 - Fakhri Haikal Alvito Rachmat - L")</f>
        <v>33 - X1 - Fakhri Haikal Alvito Rachmat - L</v>
      </c>
      <c r="U17" s="12" t="s">
        <v>277</v>
      </c>
      <c r="W17" s="25">
        <f>COUNTIFS('Form Presensi SCC'!$B:$B, IF($C17&lt;&gt;0, TEXT($C17, "0000000000"), $D17), 'Form Presensi SCC'!$C:$C, "Hadir")</f>
        <v>0</v>
      </c>
      <c r="X17" s="25">
        <f t="shared" si="2"/>
        <v>0</v>
      </c>
      <c r="Y17" s="26" t="str">
        <f t="shared" si="3"/>
        <v>#DIV/0!</v>
      </c>
    </row>
    <row r="18" ht="22.5" customHeight="1">
      <c r="A18" s="18">
        <v>17.0</v>
      </c>
      <c r="B18" s="18">
        <v>17.0</v>
      </c>
      <c r="C18" s="18" t="s">
        <v>303</v>
      </c>
      <c r="D18" s="18" t="s">
        <v>304</v>
      </c>
      <c r="E18" s="18" t="s">
        <v>220</v>
      </c>
      <c r="F18" s="12">
        <v>33.0</v>
      </c>
      <c r="G18" s="10" t="s">
        <v>221</v>
      </c>
      <c r="H18" s="19"/>
      <c r="I18" s="20"/>
      <c r="J18" s="10" t="s">
        <v>221</v>
      </c>
      <c r="K18" s="21"/>
      <c r="L18" s="10"/>
      <c r="M18" s="22"/>
      <c r="N18" s="10"/>
      <c r="O18" s="10"/>
      <c r="P18" s="12" t="str">
        <f t="shared" si="1"/>
        <v>https://docs.google.com/forms/d/e/1FAIpQLSeZ-R1GrWlAPkfaThGqxeTj0QTtrARw4rroxIIepf2kipn1nw/formResponse?usp=pp_url&amp;entry.1313582257=0107657965 / 252610202&amp;entry.1578404635=Hadir</v>
      </c>
      <c r="Q18" s="23" t="s">
        <v>305</v>
      </c>
      <c r="R18" s="12" t="s">
        <v>306</v>
      </c>
      <c r="S18" s="24" t="s">
        <v>307</v>
      </c>
      <c r="T18" s="23" t="str">
        <f>HYPERLINK("https://drive.google.com/file/d/1Qoz2BWw-WzedC8leFgPiQ4Ljuz6FTB4b/view?usp=drivesdk","33 - X1 - Fathi Azzam Hawwari - L")</f>
        <v>33 - X1 - Fathi Azzam Hawwari - L</v>
      </c>
      <c r="U18" s="12" t="s">
        <v>308</v>
      </c>
      <c r="W18" s="25">
        <f>COUNTIFS('Form Presensi SCC'!$B:$B, IF($C18&lt;&gt;0, TEXT($C18, "0000000000"), $D18), 'Form Presensi SCC'!$C:$C, "Hadir")</f>
        <v>0</v>
      </c>
      <c r="X18" s="25">
        <f t="shared" si="2"/>
        <v>0</v>
      </c>
      <c r="Y18" s="26" t="str">
        <f t="shared" si="3"/>
        <v>#DIV/0!</v>
      </c>
    </row>
    <row r="19" ht="22.5" customHeight="1">
      <c r="A19" s="10">
        <v>18.0</v>
      </c>
      <c r="B19" s="18">
        <v>18.0</v>
      </c>
      <c r="C19" s="18" t="s">
        <v>309</v>
      </c>
      <c r="D19" s="18" t="s">
        <v>310</v>
      </c>
      <c r="E19" s="18" t="s">
        <v>227</v>
      </c>
      <c r="F19" s="12">
        <v>33.0</v>
      </c>
      <c r="G19" s="10" t="s">
        <v>221</v>
      </c>
      <c r="H19" s="19"/>
      <c r="I19" s="20"/>
      <c r="J19" s="10" t="s">
        <v>221</v>
      </c>
      <c r="K19" s="21"/>
      <c r="L19" s="10"/>
      <c r="M19" s="22"/>
      <c r="N19" s="10"/>
      <c r="O19" s="10"/>
      <c r="P19" s="12" t="str">
        <f t="shared" si="1"/>
        <v>https://docs.google.com/forms/d/e/1FAIpQLSeZ-R1GrWlAPkfaThGqxeTj0QTtrARw4rroxIIepf2kipn1nw/formResponse?usp=pp_url&amp;entry.1313582257=0095023834 / 252610206&amp;entry.1578404635=Hadir</v>
      </c>
      <c r="Q19" s="23" t="s">
        <v>311</v>
      </c>
      <c r="R19" s="12" t="s">
        <v>312</v>
      </c>
      <c r="S19" s="24" t="s">
        <v>313</v>
      </c>
      <c r="T19" s="23" t="str">
        <f>HYPERLINK("https://drive.google.com/file/d/1SXGJ8Fa5qpDhxnKbC01wKIyMtkQ0FLnG/view?usp=drivesdk","33 - X1 - Fatimah Aszahra - P")</f>
        <v>33 - X1 - Fatimah Aszahra - P</v>
      </c>
      <c r="U19" s="12" t="s">
        <v>308</v>
      </c>
      <c r="W19" s="25">
        <f>COUNTIFS('Form Presensi SCC'!$B:$B, IF($C19&lt;&gt;0, TEXT($C19, "0000000000"), $D19), 'Form Presensi SCC'!$C:$C, "Hadir")</f>
        <v>0</v>
      </c>
      <c r="X19" s="25">
        <f t="shared" si="2"/>
        <v>0</v>
      </c>
      <c r="Y19" s="26" t="str">
        <f t="shared" si="3"/>
        <v>#DIV/0!</v>
      </c>
    </row>
    <row r="20" ht="22.5" customHeight="1">
      <c r="A20" s="18">
        <v>19.0</v>
      </c>
      <c r="B20" s="18">
        <v>19.0</v>
      </c>
      <c r="C20" s="18" t="s">
        <v>314</v>
      </c>
      <c r="D20" s="18" t="s">
        <v>315</v>
      </c>
      <c r="E20" s="18" t="s">
        <v>227</v>
      </c>
      <c r="F20" s="12">
        <v>33.0</v>
      </c>
      <c r="G20" s="10" t="s">
        <v>221</v>
      </c>
      <c r="H20" s="19"/>
      <c r="I20" s="20"/>
      <c r="J20" s="10" t="s">
        <v>221</v>
      </c>
      <c r="K20" s="21"/>
      <c r="L20" s="10"/>
      <c r="M20" s="22"/>
      <c r="N20" s="10"/>
      <c r="O20" s="10"/>
      <c r="P20" s="12" t="str">
        <f t="shared" si="1"/>
        <v>https://docs.google.com/forms/d/e/1FAIpQLSeZ-R1GrWlAPkfaThGqxeTj0QTtrARw4rroxIIepf2kipn1nw/formResponse?usp=pp_url&amp;entry.1313582257=0094631117 / 252610224&amp;entry.1578404635=Hadir</v>
      </c>
      <c r="Q20" s="23" t="s">
        <v>316</v>
      </c>
      <c r="R20" s="12" t="s">
        <v>317</v>
      </c>
      <c r="S20" s="24" t="s">
        <v>318</v>
      </c>
      <c r="T20" s="23" t="str">
        <f>HYPERLINK("https://drive.google.com/file/d/15IXPQVUuOt8H540EqjLVe6zzkm15WpLl/view?usp=drivesdk","33 - X1 - Gwenna Irene Winata - P")</f>
        <v>33 - X1 - Gwenna Irene Winata - P</v>
      </c>
      <c r="U20" s="12" t="s">
        <v>308</v>
      </c>
      <c r="W20" s="25">
        <f>COUNTIFS('Form Presensi SCC'!$B:$B, IF($C20&lt;&gt;0, TEXT($C20, "0000000000"), $D20), 'Form Presensi SCC'!$C:$C, "Hadir")</f>
        <v>0</v>
      </c>
      <c r="X20" s="25">
        <f t="shared" si="2"/>
        <v>0</v>
      </c>
      <c r="Y20" s="26" t="str">
        <f t="shared" si="3"/>
        <v>#DIV/0!</v>
      </c>
    </row>
    <row r="21" ht="22.5" customHeight="1">
      <c r="A21" s="10">
        <v>20.0</v>
      </c>
      <c r="B21" s="18">
        <v>20.0</v>
      </c>
      <c r="C21" s="18" t="s">
        <v>95</v>
      </c>
      <c r="D21" s="18" t="s">
        <v>319</v>
      </c>
      <c r="E21" s="18" t="s">
        <v>227</v>
      </c>
      <c r="F21" s="12">
        <v>33.0</v>
      </c>
      <c r="G21" s="10" t="s">
        <v>221</v>
      </c>
      <c r="H21" s="19"/>
      <c r="I21" s="20"/>
      <c r="J21" s="10" t="s">
        <v>221</v>
      </c>
      <c r="K21" s="21"/>
      <c r="L21" s="10"/>
      <c r="M21" s="22"/>
      <c r="N21" s="10"/>
      <c r="O21" s="10"/>
      <c r="P21" s="12" t="str">
        <f t="shared" si="1"/>
        <v>https://docs.google.com/forms/d/e/1FAIpQLSeZ-R1GrWlAPkfaThGqxeTj0QTtrARw4rroxIIepf2kipn1nw/formResponse?usp=pp_url&amp;entry.1313582257=0092679798 / 252610239&amp;entry.1578404635=Hadir</v>
      </c>
      <c r="Q21" s="23" t="s">
        <v>320</v>
      </c>
      <c r="R21" s="12" t="s">
        <v>321</v>
      </c>
      <c r="S21" s="24" t="s">
        <v>322</v>
      </c>
      <c r="T21" s="23" t="str">
        <f>HYPERLINK("https://drive.google.com/file/d/1EGzdBFstUsXDWTMpSUXHrpW133xlD9yz/view?usp=drivesdk","33 - X1 - Jasmine Zahira Ramadhani - P")</f>
        <v>33 - X1 - Jasmine Zahira Ramadhani - P</v>
      </c>
      <c r="U21" s="12" t="s">
        <v>308</v>
      </c>
      <c r="W21" s="25">
        <f>COUNTIFS('Form Presensi SCC'!$B:$B, IF($C21&lt;&gt;0, TEXT($C21, "0000000000"), $D21), 'Form Presensi SCC'!$C:$C, "Hadir")</f>
        <v>2</v>
      </c>
      <c r="X21" s="25">
        <f t="shared" si="2"/>
        <v>0</v>
      </c>
      <c r="Y21" s="26" t="str">
        <f t="shared" si="3"/>
        <v>#DIV/0!</v>
      </c>
    </row>
    <row r="22" ht="22.5" customHeight="1">
      <c r="A22" s="18">
        <v>21.0</v>
      </c>
      <c r="B22" s="18">
        <v>21.0</v>
      </c>
      <c r="C22" s="18" t="s">
        <v>323</v>
      </c>
      <c r="D22" s="18" t="s">
        <v>324</v>
      </c>
      <c r="E22" s="18" t="s">
        <v>227</v>
      </c>
      <c r="F22" s="12">
        <v>33.0</v>
      </c>
      <c r="G22" s="10" t="s">
        <v>221</v>
      </c>
      <c r="H22" s="19"/>
      <c r="I22" s="20"/>
      <c r="J22" s="10" t="s">
        <v>221</v>
      </c>
      <c r="K22" s="21"/>
      <c r="L22" s="10"/>
      <c r="M22" s="22"/>
      <c r="N22" s="10"/>
      <c r="O22" s="10"/>
      <c r="P22" s="12" t="str">
        <f t="shared" si="1"/>
        <v>https://docs.google.com/forms/d/e/1FAIpQLSeZ-R1GrWlAPkfaThGqxeTj0QTtrARw4rroxIIepf2kipn1nw/formResponse?usp=pp_url&amp;entry.1313582257=0109256207 / 252610244&amp;entry.1578404635=Hadir</v>
      </c>
      <c r="Q22" s="23" t="s">
        <v>325</v>
      </c>
      <c r="R22" s="12" t="s">
        <v>326</v>
      </c>
      <c r="S22" s="24" t="s">
        <v>327</v>
      </c>
      <c r="T22" s="23" t="str">
        <f>HYPERLINK("https://drive.google.com/file/d/12uQAsBzgjDVCNB2aXCt2Qqlq8_hb85oB/view?usp=drivesdk","33 - X1 - Jesslyn Quinn Gabrielle Sitorus - P")</f>
        <v>33 - X1 - Jesslyn Quinn Gabrielle Sitorus - P</v>
      </c>
      <c r="U22" s="12" t="s">
        <v>308</v>
      </c>
      <c r="W22" s="25">
        <f>COUNTIFS('Form Presensi SCC'!$B:$B, IF($C22&lt;&gt;0, TEXT($C22, "0000000000"), $D22), 'Form Presensi SCC'!$C:$C, "Hadir")</f>
        <v>0</v>
      </c>
      <c r="X22" s="25">
        <f t="shared" si="2"/>
        <v>0</v>
      </c>
      <c r="Y22" s="26" t="str">
        <f t="shared" si="3"/>
        <v>#DIV/0!</v>
      </c>
    </row>
    <row r="23" ht="22.5" customHeight="1">
      <c r="A23" s="10">
        <v>22.0</v>
      </c>
      <c r="B23" s="18">
        <v>22.0</v>
      </c>
      <c r="C23" s="18" t="s">
        <v>328</v>
      </c>
      <c r="D23" s="18" t="s">
        <v>329</v>
      </c>
      <c r="E23" s="18" t="s">
        <v>227</v>
      </c>
      <c r="F23" s="12">
        <v>33.0</v>
      </c>
      <c r="G23" s="10" t="s">
        <v>221</v>
      </c>
      <c r="H23" s="19"/>
      <c r="I23" s="20"/>
      <c r="J23" s="10" t="s">
        <v>221</v>
      </c>
      <c r="K23" s="21"/>
      <c r="L23" s="10"/>
      <c r="M23" s="22"/>
      <c r="N23" s="10"/>
      <c r="O23" s="10"/>
      <c r="P23" s="12" t="str">
        <f t="shared" si="1"/>
        <v>https://docs.google.com/forms/d/e/1FAIpQLSeZ-R1GrWlAPkfaThGqxeTj0QTtrARw4rroxIIepf2kipn1nw/formResponse?usp=pp_url&amp;entry.1313582257=0103648473 / 252610246&amp;entry.1578404635=Hadir</v>
      </c>
      <c r="Q23" s="23" t="s">
        <v>330</v>
      </c>
      <c r="R23" s="12" t="s">
        <v>331</v>
      </c>
      <c r="S23" s="24" t="s">
        <v>332</v>
      </c>
      <c r="T23" s="23" t="str">
        <f>HYPERLINK("https://drive.google.com/file/d/1HOHvM3vFSGTw7CrqlBE9JjKk3PveT9N4/view?usp=drivesdk","33 - X1 - Jihan Al Hasya - P")</f>
        <v>33 - X1 - Jihan Al Hasya - P</v>
      </c>
      <c r="U23" s="12" t="s">
        <v>308</v>
      </c>
      <c r="W23" s="25">
        <f>COUNTIFS('Form Presensi SCC'!$B:$B, IF($C23&lt;&gt;0, TEXT($C23, "0000000000"), $D23), 'Form Presensi SCC'!$C:$C, "Hadir")</f>
        <v>0</v>
      </c>
      <c r="X23" s="25">
        <f t="shared" si="2"/>
        <v>0</v>
      </c>
      <c r="Y23" s="26" t="str">
        <f t="shared" si="3"/>
        <v>#DIV/0!</v>
      </c>
    </row>
    <row r="24" ht="22.5" customHeight="1">
      <c r="A24" s="18">
        <v>23.0</v>
      </c>
      <c r="B24" s="18">
        <v>23.0</v>
      </c>
      <c r="C24" s="18" t="s">
        <v>333</v>
      </c>
      <c r="D24" s="18" t="s">
        <v>334</v>
      </c>
      <c r="E24" s="18" t="s">
        <v>220</v>
      </c>
      <c r="F24" s="12">
        <v>33.0</v>
      </c>
      <c r="G24" s="10" t="s">
        <v>221</v>
      </c>
      <c r="H24" s="19"/>
      <c r="I24" s="20"/>
      <c r="J24" s="10" t="s">
        <v>221</v>
      </c>
      <c r="K24" s="21"/>
      <c r="L24" s="10"/>
      <c r="M24" s="22"/>
      <c r="N24" s="10"/>
      <c r="O24" s="10"/>
      <c r="P24" s="12" t="str">
        <f t="shared" si="1"/>
        <v>https://docs.google.com/forms/d/e/1FAIpQLSeZ-R1GrWlAPkfaThGqxeTj0QTtrARw4rroxIIepf2kipn1nw/formResponse?usp=pp_url&amp;entry.1313582257=0108537666 / 252610250&amp;entry.1578404635=Hadir</v>
      </c>
      <c r="Q24" s="23" t="s">
        <v>335</v>
      </c>
      <c r="R24" s="12" t="s">
        <v>336</v>
      </c>
      <c r="S24" s="24" t="s">
        <v>337</v>
      </c>
      <c r="T24" s="23" t="str">
        <f>HYPERLINK("https://drive.google.com/file/d/12UktbM36EnKr45A3BRaTHCnYcQKipFoh/view?usp=drivesdk","33 - X1 - Johanes Satria Yudha - L")</f>
        <v>33 - X1 - Johanes Satria Yudha - L</v>
      </c>
      <c r="U24" s="12" t="s">
        <v>338</v>
      </c>
      <c r="W24" s="25">
        <f>COUNTIFS('Form Presensi SCC'!$B:$B, IF($C24&lt;&gt;0, TEXT($C24, "0000000000"), $D24), 'Form Presensi SCC'!$C:$C, "Hadir")</f>
        <v>0</v>
      </c>
      <c r="X24" s="25">
        <f t="shared" si="2"/>
        <v>0</v>
      </c>
      <c r="Y24" s="26" t="str">
        <f t="shared" si="3"/>
        <v>#DIV/0!</v>
      </c>
    </row>
    <row r="25" ht="22.5" customHeight="1">
      <c r="A25" s="10">
        <v>24.0</v>
      </c>
      <c r="B25" s="18">
        <v>24.0</v>
      </c>
      <c r="C25" s="18" t="s">
        <v>339</v>
      </c>
      <c r="D25" s="18" t="s">
        <v>340</v>
      </c>
      <c r="E25" s="18" t="s">
        <v>220</v>
      </c>
      <c r="F25" s="12">
        <v>33.0</v>
      </c>
      <c r="G25" s="10" t="s">
        <v>221</v>
      </c>
      <c r="H25" s="19"/>
      <c r="I25" s="20"/>
      <c r="J25" s="10" t="s">
        <v>221</v>
      </c>
      <c r="K25" s="21"/>
      <c r="L25" s="10"/>
      <c r="M25" s="22"/>
      <c r="N25" s="10"/>
      <c r="O25" s="10"/>
      <c r="P25" s="12" t="str">
        <f t="shared" si="1"/>
        <v>https://docs.google.com/forms/d/e/1FAIpQLSeZ-R1GrWlAPkfaThGqxeTj0QTtrARw4rroxIIepf2kipn1nw/formResponse?usp=pp_url&amp;entry.1313582257=0098409943 / 252610304&amp;entry.1578404635=Hadir</v>
      </c>
      <c r="Q25" s="23" t="s">
        <v>341</v>
      </c>
      <c r="R25" s="12" t="s">
        <v>342</v>
      </c>
      <c r="S25" s="24" t="s">
        <v>343</v>
      </c>
      <c r="T25" s="23" t="str">
        <f>HYPERLINK("https://drive.google.com/file/d/136MyB6rX3s1kqMNIIeqtTu6JwDGBkWlO/view?usp=drivesdk","33 - X1 - Kariswan Wahyudi - L")</f>
        <v>33 - X1 - Kariswan Wahyudi - L</v>
      </c>
      <c r="U25" s="12" t="s">
        <v>338</v>
      </c>
      <c r="W25" s="25">
        <f>COUNTIFS('Form Presensi SCC'!$B:$B, IF($C25&lt;&gt;0, TEXT($C25, "0000000000"), $D25), 'Form Presensi SCC'!$C:$C, "Hadir")</f>
        <v>0</v>
      </c>
      <c r="X25" s="25">
        <f t="shared" si="2"/>
        <v>0</v>
      </c>
      <c r="Y25" s="26" t="str">
        <f t="shared" si="3"/>
        <v>#DIV/0!</v>
      </c>
    </row>
    <row r="26" ht="22.5" customHeight="1">
      <c r="A26" s="18">
        <v>25.0</v>
      </c>
      <c r="B26" s="18">
        <v>25.0</v>
      </c>
      <c r="C26" s="18" t="s">
        <v>344</v>
      </c>
      <c r="D26" s="18" t="s">
        <v>345</v>
      </c>
      <c r="E26" s="18" t="s">
        <v>227</v>
      </c>
      <c r="F26" s="12">
        <v>33.0</v>
      </c>
      <c r="G26" s="10" t="s">
        <v>221</v>
      </c>
      <c r="H26" s="19"/>
      <c r="I26" s="20"/>
      <c r="J26" s="10" t="s">
        <v>221</v>
      </c>
      <c r="K26" s="21"/>
      <c r="L26" s="10"/>
      <c r="M26" s="22"/>
      <c r="N26" s="10"/>
      <c r="O26" s="10"/>
      <c r="P26" s="12" t="str">
        <f t="shared" si="1"/>
        <v>https://docs.google.com/forms/d/e/1FAIpQLSeZ-R1GrWlAPkfaThGqxeTj0QTtrARw4rroxIIepf2kipn1nw/formResponse?usp=pp_url&amp;entry.1313582257=0092985486 / 252610311&amp;entry.1578404635=Hadir</v>
      </c>
      <c r="Q26" s="23" t="s">
        <v>346</v>
      </c>
      <c r="R26" s="12" t="s">
        <v>347</v>
      </c>
      <c r="S26" s="24" t="s">
        <v>348</v>
      </c>
      <c r="T26" s="23" t="str">
        <f>HYPERLINK("https://drive.google.com/file/d/1SGFJCN2vvOney4NApARqhB73iCOgk7PP/view?usp=drivesdk","33 - X1 - Maria Rica Stefany Demu - P")</f>
        <v>33 - X1 - Maria Rica Stefany Demu - P</v>
      </c>
      <c r="U26" s="12" t="s">
        <v>338</v>
      </c>
      <c r="W26" s="25">
        <f>COUNTIFS('Form Presensi SCC'!$B:$B, IF($C26&lt;&gt;0, TEXT($C26, "0000000000"), $D26), 'Form Presensi SCC'!$C:$C, "Hadir")</f>
        <v>0</v>
      </c>
      <c r="X26" s="25">
        <f t="shared" si="2"/>
        <v>0</v>
      </c>
      <c r="Y26" s="26" t="str">
        <f t="shared" si="3"/>
        <v>#DIV/0!</v>
      </c>
    </row>
    <row r="27" ht="22.5" customHeight="1">
      <c r="A27" s="10">
        <v>26.0</v>
      </c>
      <c r="B27" s="18">
        <v>26.0</v>
      </c>
      <c r="C27" s="18" t="s">
        <v>97</v>
      </c>
      <c r="D27" s="18" t="s">
        <v>349</v>
      </c>
      <c r="E27" s="18" t="s">
        <v>227</v>
      </c>
      <c r="F27" s="12">
        <v>33.0</v>
      </c>
      <c r="G27" s="10" t="s">
        <v>221</v>
      </c>
      <c r="H27" s="19"/>
      <c r="I27" s="20"/>
      <c r="J27" s="10" t="s">
        <v>221</v>
      </c>
      <c r="K27" s="21"/>
      <c r="L27" s="10"/>
      <c r="M27" s="22"/>
      <c r="N27" s="10"/>
      <c r="O27" s="10"/>
      <c r="P27" s="12" t="str">
        <f t="shared" si="1"/>
        <v>https://docs.google.com/forms/d/e/1FAIpQLSeZ-R1GrWlAPkfaThGqxeTj0QTtrARw4rroxIIepf2kipn1nw/formResponse?usp=pp_url&amp;entry.1313582257=0094677765 / 252610313&amp;entry.1578404635=Hadir</v>
      </c>
      <c r="Q27" s="23" t="s">
        <v>350</v>
      </c>
      <c r="R27" s="12" t="s">
        <v>351</v>
      </c>
      <c r="S27" s="24" t="s">
        <v>352</v>
      </c>
      <c r="T27" s="23" t="str">
        <f>HYPERLINK("https://drive.google.com/file/d/1nehMZH1FhrVr5ttGwQVfgvqeJrIzLhyT/view?usp=drivesdk","33 - X1 - Melani Putri Triana - P")</f>
        <v>33 - X1 - Melani Putri Triana - P</v>
      </c>
      <c r="U27" s="12" t="s">
        <v>338</v>
      </c>
      <c r="W27" s="25">
        <f>COUNTIFS('Form Presensi SCC'!$B:$B, IF($C27&lt;&gt;0, TEXT($C27, "0000000000"), $D27), 'Form Presensi SCC'!$C:$C, "Hadir")</f>
        <v>1</v>
      </c>
      <c r="X27" s="25">
        <f t="shared" si="2"/>
        <v>0</v>
      </c>
      <c r="Y27" s="26" t="str">
        <f t="shared" si="3"/>
        <v>#DIV/0!</v>
      </c>
    </row>
    <row r="28" ht="22.5" customHeight="1">
      <c r="A28" s="18">
        <v>27.0</v>
      </c>
      <c r="B28" s="18">
        <v>27.0</v>
      </c>
      <c r="C28" s="18" t="s">
        <v>353</v>
      </c>
      <c r="D28" s="18" t="s">
        <v>354</v>
      </c>
      <c r="E28" s="18" t="s">
        <v>220</v>
      </c>
      <c r="F28" s="12">
        <v>33.0</v>
      </c>
      <c r="G28" s="10" t="s">
        <v>221</v>
      </c>
      <c r="H28" s="19"/>
      <c r="I28" s="20"/>
      <c r="J28" s="10" t="s">
        <v>221</v>
      </c>
      <c r="K28" s="21"/>
      <c r="L28" s="10"/>
      <c r="M28" s="22"/>
      <c r="N28" s="10"/>
      <c r="O28" s="10"/>
      <c r="P28" s="12" t="str">
        <f t="shared" si="1"/>
        <v>https://docs.google.com/forms/d/e/1FAIpQLSeZ-R1GrWlAPkfaThGqxeTj0QTtrARw4rroxIIepf2kipn1nw/formResponse?usp=pp_url&amp;entry.1313582257=0107959828 / 252610316&amp;entry.1578404635=Hadir</v>
      </c>
      <c r="Q28" s="23" t="s">
        <v>355</v>
      </c>
      <c r="R28" s="12" t="s">
        <v>356</v>
      </c>
      <c r="S28" s="24" t="s">
        <v>357</v>
      </c>
      <c r="T28" s="23" t="str">
        <f>HYPERLINK("https://drive.google.com/file/d/1AxwkbKLziu4iXcBBFIxplfneQH4t6uJO/view?usp=drivesdk","33 - X1 - Michael Mazmur Hatorangan Hutabarat - L")</f>
        <v>33 - X1 - Michael Mazmur Hatorangan Hutabarat - L</v>
      </c>
      <c r="U28" s="12" t="s">
        <v>338</v>
      </c>
      <c r="W28" s="25">
        <f>COUNTIFS('Form Presensi SCC'!$B:$B, IF($C28&lt;&gt;0, TEXT($C28, "0000000000"), $D28), 'Form Presensi SCC'!$C:$C, "Hadir")</f>
        <v>0</v>
      </c>
      <c r="X28" s="25">
        <f t="shared" si="2"/>
        <v>0</v>
      </c>
      <c r="Y28" s="26" t="str">
        <f t="shared" si="3"/>
        <v>#DIV/0!</v>
      </c>
    </row>
    <row r="29" ht="22.5" customHeight="1">
      <c r="A29" s="10">
        <v>28.0</v>
      </c>
      <c r="B29" s="18">
        <v>28.0</v>
      </c>
      <c r="C29" s="18" t="s">
        <v>358</v>
      </c>
      <c r="D29" s="18" t="s">
        <v>359</v>
      </c>
      <c r="E29" s="18" t="s">
        <v>220</v>
      </c>
      <c r="F29" s="12">
        <v>33.0</v>
      </c>
      <c r="G29" s="10" t="s">
        <v>221</v>
      </c>
      <c r="H29" s="19"/>
      <c r="I29" s="20"/>
      <c r="J29" s="10" t="s">
        <v>221</v>
      </c>
      <c r="K29" s="21"/>
      <c r="L29" s="10"/>
      <c r="M29" s="22"/>
      <c r="N29" s="10"/>
      <c r="O29" s="10"/>
      <c r="P29" s="12" t="str">
        <f t="shared" si="1"/>
        <v>https://docs.google.com/forms/d/e/1FAIpQLSeZ-R1GrWlAPkfaThGqxeTj0QTtrARw4rroxIIepf2kipn1nw/formResponse?usp=pp_url&amp;entry.1313582257=0092600602 / 252610330&amp;entry.1578404635=Hadir</v>
      </c>
      <c r="Q29" s="23" t="s">
        <v>360</v>
      </c>
      <c r="R29" s="12" t="s">
        <v>361</v>
      </c>
      <c r="S29" s="24" t="s">
        <v>362</v>
      </c>
      <c r="T29" s="23" t="str">
        <f>HYPERLINK("https://drive.google.com/file/d/1HdjxzTJ5BmtVS3ZKEvlKKC3LEql2q-BA/view?usp=drivesdk","33 - X1 - Mochamad Nayaka Tuharea - L")</f>
        <v>33 - X1 - Mochamad Nayaka Tuharea - L</v>
      </c>
      <c r="U29" s="12" t="s">
        <v>363</v>
      </c>
      <c r="W29" s="25">
        <f>COUNTIFS('Form Presensi SCC'!$B:$B, IF($C29&lt;&gt;0, TEXT($C29, "0000000000"), $D29), 'Form Presensi SCC'!$C:$C, "Hadir")</f>
        <v>0</v>
      </c>
      <c r="X29" s="25">
        <f t="shared" si="2"/>
        <v>0</v>
      </c>
      <c r="Y29" s="26" t="str">
        <f t="shared" si="3"/>
        <v>#DIV/0!</v>
      </c>
    </row>
    <row r="30" ht="22.5" customHeight="1">
      <c r="A30" s="18">
        <v>29.0</v>
      </c>
      <c r="B30" s="18">
        <v>29.0</v>
      </c>
      <c r="C30" s="18" t="s">
        <v>364</v>
      </c>
      <c r="D30" s="18" t="s">
        <v>365</v>
      </c>
      <c r="E30" s="18" t="s">
        <v>220</v>
      </c>
      <c r="F30" s="12">
        <v>33.0</v>
      </c>
      <c r="G30" s="10" t="s">
        <v>221</v>
      </c>
      <c r="H30" s="19"/>
      <c r="I30" s="20"/>
      <c r="J30" s="10" t="s">
        <v>221</v>
      </c>
      <c r="K30" s="21"/>
      <c r="L30" s="10"/>
      <c r="M30" s="22"/>
      <c r="N30" s="10"/>
      <c r="O30" s="10"/>
      <c r="P30" s="12" t="str">
        <f t="shared" si="1"/>
        <v>https://docs.google.com/forms/d/e/1FAIpQLSeZ-R1GrWlAPkfaThGqxeTj0QTtrARw4rroxIIepf2kipn1nw/formResponse?usp=pp_url&amp;entry.1313582257=0108695912 / 252610334&amp;entry.1578404635=Hadir</v>
      </c>
      <c r="Q30" s="23" t="s">
        <v>366</v>
      </c>
      <c r="R30" s="12" t="s">
        <v>367</v>
      </c>
      <c r="S30" s="24" t="s">
        <v>368</v>
      </c>
      <c r="T30" s="23" t="str">
        <f>HYPERLINK("https://drive.google.com/file/d/1njzPNLi7sKr8WVYPxIbyQkQOSVUilGWD/view?usp=drivesdk","33 - X1 - Muhamad Septian Romadhon - L")</f>
        <v>33 - X1 - Muhamad Septian Romadhon - L</v>
      </c>
      <c r="U30" s="12" t="s">
        <v>363</v>
      </c>
      <c r="W30" s="25">
        <f>COUNTIFS('Form Presensi SCC'!$B:$B, IF($C30&lt;&gt;0, TEXT($C30, "0000000000"), $D30), 'Form Presensi SCC'!$C:$C, "Hadir")</f>
        <v>0</v>
      </c>
      <c r="X30" s="25">
        <f t="shared" si="2"/>
        <v>0</v>
      </c>
      <c r="Y30" s="26" t="str">
        <f t="shared" si="3"/>
        <v>#DIV/0!</v>
      </c>
    </row>
    <row r="31" ht="22.5" customHeight="1">
      <c r="A31" s="10">
        <v>30.0</v>
      </c>
      <c r="B31" s="18">
        <v>30.0</v>
      </c>
      <c r="C31" s="18" t="s">
        <v>369</v>
      </c>
      <c r="D31" s="18" t="s">
        <v>370</v>
      </c>
      <c r="E31" s="18" t="s">
        <v>220</v>
      </c>
      <c r="F31" s="12">
        <v>33.0</v>
      </c>
      <c r="G31" s="10" t="s">
        <v>221</v>
      </c>
      <c r="H31" s="22" t="s">
        <v>371</v>
      </c>
      <c r="I31" s="20"/>
      <c r="J31" s="10" t="s">
        <v>221</v>
      </c>
      <c r="K31" s="21"/>
      <c r="L31" s="10"/>
      <c r="M31" s="22"/>
      <c r="N31" s="10"/>
      <c r="O31" s="10"/>
      <c r="P31" s="12" t="str">
        <f t="shared" si="1"/>
        <v>https://docs.google.com/forms/d/e/1FAIpQLSeZ-R1GrWlAPkfaThGqxeTj0QTtrARw4rroxIIepf2kipn1nw/formResponse?usp=pp_url&amp;entry.1313582257=0093126257 / 252610343&amp;entry.1578404635=Hadir</v>
      </c>
      <c r="Q31" s="23" t="s">
        <v>372</v>
      </c>
      <c r="R31" s="12" t="s">
        <v>373</v>
      </c>
      <c r="S31" s="24" t="s">
        <v>374</v>
      </c>
      <c r="T31" s="23" t="str">
        <f>HYPERLINK("https://drive.google.com/file/d/1X8wfYY0OH5CW_UBHbmpxRFg3_EjS9P9F/view?usp=drivesdk","33 - X1 - Muhammad Adrian Gianni Adam - L")</f>
        <v>33 - X1 - Muhammad Adrian Gianni Adam - L</v>
      </c>
      <c r="U31" s="12" t="s">
        <v>363</v>
      </c>
      <c r="W31" s="25">
        <f>COUNTIFS('Form Presensi SCC'!$B:$B, IF($C31&lt;&gt;0, TEXT($C31, "0000000000"), $D31), 'Form Presensi SCC'!$C:$C, "Hadir")</f>
        <v>0</v>
      </c>
      <c r="X31" s="25">
        <f t="shared" si="2"/>
        <v>3</v>
      </c>
      <c r="Y31" s="26">
        <f t="shared" si="3"/>
        <v>0</v>
      </c>
    </row>
    <row r="32" ht="22.5" customHeight="1">
      <c r="A32" s="18">
        <v>31.0</v>
      </c>
      <c r="B32" s="18">
        <v>31.0</v>
      </c>
      <c r="C32" s="18" t="s">
        <v>375</v>
      </c>
      <c r="D32" s="18" t="s">
        <v>376</v>
      </c>
      <c r="E32" s="18" t="s">
        <v>220</v>
      </c>
      <c r="F32" s="12">
        <v>33.0</v>
      </c>
      <c r="G32" s="10" t="s">
        <v>221</v>
      </c>
      <c r="H32" s="19"/>
      <c r="I32" s="20"/>
      <c r="J32" s="10" t="s">
        <v>221</v>
      </c>
      <c r="K32" s="21"/>
      <c r="L32" s="10"/>
      <c r="M32" s="22"/>
      <c r="N32" s="10"/>
      <c r="O32" s="10"/>
      <c r="P32" s="12" t="str">
        <f t="shared" si="1"/>
        <v>https://docs.google.com/forms/d/e/1FAIpQLSeZ-R1GrWlAPkfaThGqxeTj0QTtrARw4rroxIIepf2kipn1nw/formResponse?usp=pp_url&amp;entry.1313582257=3104497802 / 252610351&amp;entry.1578404635=Hadir</v>
      </c>
      <c r="Q32" s="23" t="s">
        <v>377</v>
      </c>
      <c r="R32" s="12" t="s">
        <v>378</v>
      </c>
      <c r="S32" s="24" t="s">
        <v>379</v>
      </c>
      <c r="T32" s="23" t="str">
        <f>HYPERLINK("https://drive.google.com/file/d/1FK6nuT5kuh1PkAwodKSoBvRM2HMA8KS7/view?usp=drivesdk","33 - X1 - Muhammad Chaerudin Ramdhani - L")</f>
        <v>33 - X1 - Muhammad Chaerudin Ramdhani - L</v>
      </c>
      <c r="U32" s="12" t="s">
        <v>363</v>
      </c>
      <c r="W32" s="25">
        <f>COUNTIFS('Form Presensi SCC'!$B:$B, IF($C32&lt;&gt;0, TEXT($C32, "0000000000"), $D32), 'Form Presensi SCC'!$C:$C, "Hadir")</f>
        <v>0</v>
      </c>
      <c r="X32" s="25">
        <f t="shared" si="2"/>
        <v>0</v>
      </c>
      <c r="Y32" s="26" t="str">
        <f t="shared" si="3"/>
        <v>#DIV/0!</v>
      </c>
    </row>
    <row r="33" ht="22.5" customHeight="1">
      <c r="A33" s="10">
        <v>32.0</v>
      </c>
      <c r="B33" s="18">
        <v>32.0</v>
      </c>
      <c r="C33" s="18" t="s">
        <v>380</v>
      </c>
      <c r="D33" s="18" t="s">
        <v>381</v>
      </c>
      <c r="E33" s="18" t="s">
        <v>220</v>
      </c>
      <c r="F33" s="12">
        <v>33.0</v>
      </c>
      <c r="G33" s="10" t="s">
        <v>221</v>
      </c>
      <c r="H33" s="19"/>
      <c r="I33" s="20"/>
      <c r="J33" s="10" t="s">
        <v>221</v>
      </c>
      <c r="K33" s="21"/>
      <c r="L33" s="10"/>
      <c r="M33" s="22"/>
      <c r="N33" s="10"/>
      <c r="O33" s="10"/>
      <c r="P33" s="12" t="str">
        <f t="shared" si="1"/>
        <v>https://docs.google.com/forms/d/e/1FAIpQLSeZ-R1GrWlAPkfaThGqxeTj0QTtrARw4rroxIIepf2kipn1nw/formResponse?usp=pp_url&amp;entry.1313582257=0108107461 / 252610369&amp;entry.1578404635=Hadir</v>
      </c>
      <c r="Q33" s="23" t="s">
        <v>382</v>
      </c>
      <c r="R33" s="12" t="s">
        <v>383</v>
      </c>
      <c r="S33" s="24" t="s">
        <v>384</v>
      </c>
      <c r="T33" s="23" t="str">
        <f>HYPERLINK("https://drive.google.com/file/d/1fHQJCzZK5CIHCmoVs_TFJCU_qKWVm8gt/view?usp=drivesdk","33 - X1 - Muhammad Fathan Assidiq - L")</f>
        <v>33 - X1 - Muhammad Fathan Assidiq - L</v>
      </c>
      <c r="U33" s="12" t="s">
        <v>363</v>
      </c>
      <c r="W33" s="25">
        <f>COUNTIFS('Form Presensi SCC'!$B:$B, IF($C33&lt;&gt;0, TEXT($C33, "0000000000"), $D33), 'Form Presensi SCC'!$C:$C, "Hadir")</f>
        <v>0</v>
      </c>
      <c r="X33" s="25">
        <f t="shared" si="2"/>
        <v>0</v>
      </c>
      <c r="Y33" s="26"/>
    </row>
    <row r="34" ht="22.5" customHeight="1">
      <c r="A34" s="18">
        <v>33.0</v>
      </c>
      <c r="B34" s="18">
        <v>33.0</v>
      </c>
      <c r="C34" s="18" t="s">
        <v>385</v>
      </c>
      <c r="D34" s="18" t="s">
        <v>386</v>
      </c>
      <c r="E34" s="18" t="s">
        <v>220</v>
      </c>
      <c r="F34" s="12">
        <v>33.0</v>
      </c>
      <c r="G34" s="10" t="s">
        <v>221</v>
      </c>
      <c r="H34" s="19"/>
      <c r="I34" s="20"/>
      <c r="J34" s="10" t="s">
        <v>221</v>
      </c>
      <c r="K34" s="21"/>
      <c r="L34" s="10"/>
      <c r="M34" s="22"/>
      <c r="N34" s="10"/>
      <c r="O34" s="10"/>
      <c r="P34" s="12" t="str">
        <f t="shared" si="1"/>
        <v>https://docs.google.com/forms/d/e/1FAIpQLSeZ-R1GrWlAPkfaThGqxeTj0QTtrARw4rroxIIepf2kipn1nw/formResponse?usp=pp_url&amp;entry.1313582257=0092807405 / 252610371&amp;entry.1578404635=Hadir</v>
      </c>
      <c r="Q34" s="23" t="s">
        <v>387</v>
      </c>
      <c r="R34" s="12" t="s">
        <v>388</v>
      </c>
      <c r="S34" s="24" t="s">
        <v>389</v>
      </c>
      <c r="T34" s="23" t="str">
        <f>HYPERLINK("https://drive.google.com/file/d/1B4JozJy9yq_amhwZfnrDmsiUaUaw9pS2/view?usp=drivesdk","33 - X1 - Muhammad Rodzul Amrullah - L")</f>
        <v>33 - X1 - Muhammad Rodzul Amrullah - L</v>
      </c>
      <c r="U34" s="12" t="s">
        <v>390</v>
      </c>
      <c r="W34" s="25">
        <f>COUNTIFS('Form Presensi SCC'!$B:$B, IF($C34&lt;&gt;0, TEXT($C34, "0000000000"), $D34), 'Form Presensi SCC'!$C:$C, "Hadir")</f>
        <v>0</v>
      </c>
      <c r="X34" s="25">
        <f t="shared" si="2"/>
        <v>0</v>
      </c>
      <c r="Y34" s="26"/>
    </row>
    <row r="35" ht="22.5" customHeight="1">
      <c r="A35" s="10">
        <v>34.0</v>
      </c>
      <c r="B35" s="18">
        <v>34.0</v>
      </c>
      <c r="C35" s="18" t="s">
        <v>391</v>
      </c>
      <c r="D35" s="18" t="s">
        <v>392</v>
      </c>
      <c r="E35" s="18" t="s">
        <v>227</v>
      </c>
      <c r="F35" s="12">
        <v>33.0</v>
      </c>
      <c r="G35" s="10" t="s">
        <v>221</v>
      </c>
      <c r="H35" s="19"/>
      <c r="I35" s="20"/>
      <c r="J35" s="10" t="s">
        <v>221</v>
      </c>
      <c r="K35" s="21"/>
      <c r="L35" s="10"/>
      <c r="M35" s="22"/>
      <c r="N35" s="10"/>
      <c r="O35" s="10"/>
      <c r="P35" s="12" t="str">
        <f t="shared" si="1"/>
        <v>https://docs.google.com/forms/d/e/1FAIpQLSeZ-R1GrWlAPkfaThGqxeTj0QTtrARw4rroxIIepf2kipn1nw/formResponse?usp=pp_url&amp;entry.1313582257=0102300207 / 252610390&amp;entry.1578404635=Hadir</v>
      </c>
      <c r="Q35" s="23" t="s">
        <v>393</v>
      </c>
      <c r="R35" s="12" t="s">
        <v>394</v>
      </c>
      <c r="S35" s="24" t="s">
        <v>395</v>
      </c>
      <c r="T35" s="23" t="str">
        <f>HYPERLINK("https://drive.google.com/file/d/1Fa_RZpZUSOiZLYYLI4c1YBUgjAxlPtVL/view?usp=drivesdk","33 - X1 - Nadya Salwa Altiara - P")</f>
        <v>33 - X1 - Nadya Salwa Altiara - P</v>
      </c>
      <c r="U35" s="12" t="s">
        <v>390</v>
      </c>
      <c r="W35" s="25">
        <f>COUNTIFS('Form Presensi SCC'!$B:$B, IF($C35&lt;&gt;0, TEXT($C35, "0000000000"), $D35), 'Form Presensi SCC'!$C:$C, "Hadir")</f>
        <v>0</v>
      </c>
      <c r="Y35" s="26"/>
    </row>
    <row r="36" ht="22.5" customHeight="1">
      <c r="A36" s="18">
        <v>35.0</v>
      </c>
      <c r="B36" s="18">
        <v>35.0</v>
      </c>
      <c r="C36" s="18" t="s">
        <v>396</v>
      </c>
      <c r="D36" s="18" t="s">
        <v>397</v>
      </c>
      <c r="E36" s="18" t="s">
        <v>227</v>
      </c>
      <c r="F36" s="12">
        <v>33.0</v>
      </c>
      <c r="G36" s="10" t="s">
        <v>221</v>
      </c>
      <c r="H36" s="19"/>
      <c r="I36" s="20"/>
      <c r="J36" s="10" t="s">
        <v>221</v>
      </c>
      <c r="K36" s="21"/>
      <c r="L36" s="10"/>
      <c r="M36" s="22"/>
      <c r="N36" s="10"/>
      <c r="O36" s="10"/>
      <c r="P36" s="12" t="str">
        <f t="shared" si="1"/>
        <v>https://docs.google.com/forms/d/e/1FAIpQLSeZ-R1GrWlAPkfaThGqxeTj0QTtrARw4rroxIIepf2kipn1nw/formResponse?usp=pp_url&amp;entry.1313582257=0097892166 / 252610393&amp;entry.1578404635=Hadir</v>
      </c>
      <c r="Q36" s="23" t="s">
        <v>398</v>
      </c>
      <c r="R36" s="12" t="s">
        <v>399</v>
      </c>
      <c r="S36" s="24" t="s">
        <v>400</v>
      </c>
      <c r="T36" s="23" t="str">
        <f>HYPERLINK("https://drive.google.com/file/d/1BAAuTlBsqQ-JFYTZzc_oBG3dSG-nl41G/view?usp=drivesdk","33 - X1 - Nailah Khoirunisa Arsanti - P")</f>
        <v>33 - X1 - Nailah Khoirunisa Arsanti - P</v>
      </c>
      <c r="U36" s="12" t="s">
        <v>390</v>
      </c>
      <c r="W36" s="25">
        <f>COUNTIFS('Form Presensi SCC'!$B:$B, IF($C36&lt;&gt;0, TEXT($C36, "0000000000"), $D36), 'Form Presensi SCC'!$C:$C, "Hadir")</f>
        <v>0</v>
      </c>
      <c r="Y36" s="26"/>
    </row>
    <row r="37" ht="22.5" customHeight="1">
      <c r="A37" s="10">
        <v>36.0</v>
      </c>
      <c r="B37" s="18">
        <v>36.0</v>
      </c>
      <c r="C37" s="18" t="s">
        <v>401</v>
      </c>
      <c r="D37" s="18" t="s">
        <v>402</v>
      </c>
      <c r="E37" s="18" t="s">
        <v>227</v>
      </c>
      <c r="F37" s="12">
        <v>33.0</v>
      </c>
      <c r="G37" s="10" t="s">
        <v>221</v>
      </c>
      <c r="H37" s="19"/>
      <c r="I37" s="20"/>
      <c r="J37" s="10" t="s">
        <v>221</v>
      </c>
      <c r="K37" s="21"/>
      <c r="L37" s="10"/>
      <c r="M37" s="22"/>
      <c r="N37" s="10"/>
      <c r="O37" s="10"/>
      <c r="P37" s="12" t="str">
        <f t="shared" si="1"/>
        <v>https://docs.google.com/forms/d/e/1FAIpQLSeZ-R1GrWlAPkfaThGqxeTj0QTtrARw4rroxIIepf2kipn1nw/formResponse?usp=pp_url&amp;entry.1313582257=0097858274 / 252610423&amp;entry.1578404635=Hadir</v>
      </c>
      <c r="Q37" s="23" t="s">
        <v>403</v>
      </c>
      <c r="R37" s="12" t="s">
        <v>404</v>
      </c>
      <c r="S37" s="24" t="s">
        <v>405</v>
      </c>
      <c r="T37" s="23" t="str">
        <f>HYPERLINK("https://drive.google.com/file/d/122ujRpdl36x6kaMiqL-5rkF40v2zMA3b/view?usp=drivesdk","33 - X1 - Novyola Safitri - P")</f>
        <v>33 - X1 - Novyola Safitri - P</v>
      </c>
      <c r="U37" s="12" t="s">
        <v>390</v>
      </c>
      <c r="W37" s="25">
        <f>COUNTIFS('Form Presensi SCC'!$B:$B, IF($C37&lt;&gt;0, TEXT($C37, "0000000000"), $D37), 'Form Presensi SCC'!$C:$C, "Hadir")</f>
        <v>0</v>
      </c>
      <c r="Y37" s="26"/>
    </row>
    <row r="38" ht="22.5" customHeight="1">
      <c r="A38" s="18">
        <v>37.0</v>
      </c>
      <c r="B38" s="18">
        <v>37.0</v>
      </c>
      <c r="C38" s="18" t="s">
        <v>98</v>
      </c>
      <c r="D38" s="18" t="s">
        <v>406</v>
      </c>
      <c r="E38" s="18" t="s">
        <v>227</v>
      </c>
      <c r="F38" s="12">
        <v>33.0</v>
      </c>
      <c r="G38" s="10" t="s">
        <v>221</v>
      </c>
      <c r="H38" s="19"/>
      <c r="I38" s="20"/>
      <c r="J38" s="10" t="s">
        <v>221</v>
      </c>
      <c r="K38" s="21"/>
      <c r="L38" s="10"/>
      <c r="M38" s="22"/>
      <c r="N38" s="10"/>
      <c r="O38" s="10"/>
      <c r="P38" s="12" t="str">
        <f t="shared" si="1"/>
        <v>https://docs.google.com/forms/d/e/1FAIpQLSeZ-R1GrWlAPkfaThGqxeTj0QTtrARw4rroxIIepf2kipn1nw/formResponse?usp=pp_url&amp;entry.1313582257=0093105045 / 252610424&amp;entry.1578404635=Hadir</v>
      </c>
      <c r="Q38" s="23" t="s">
        <v>407</v>
      </c>
      <c r="R38" s="12" t="s">
        <v>408</v>
      </c>
      <c r="S38" s="24" t="s">
        <v>409</v>
      </c>
      <c r="T38" s="23" t="str">
        <f>HYPERLINK("https://drive.google.com/file/d/1NkYk1mzO36BrpmFMNmWG0E23Kt180dcP/view?usp=drivesdk","33 - X1 - Nur Alifah Silvia - P")</f>
        <v>33 - X1 - Nur Alifah Silvia - P</v>
      </c>
      <c r="U38" s="12" t="s">
        <v>390</v>
      </c>
      <c r="W38" s="25">
        <f>COUNTIFS('Form Presensi SCC'!$B:$B, IF($C38&lt;&gt;0, TEXT($C38, "0000000000"), $D38), 'Form Presensi SCC'!$C:$C, "Hadir")</f>
        <v>2</v>
      </c>
      <c r="Y38" s="26"/>
    </row>
    <row r="39" ht="22.5" customHeight="1">
      <c r="A39" s="10">
        <v>38.0</v>
      </c>
      <c r="B39" s="18">
        <v>38.0</v>
      </c>
      <c r="C39" s="18" t="s">
        <v>99</v>
      </c>
      <c r="D39" s="18" t="s">
        <v>410</v>
      </c>
      <c r="E39" s="18" t="s">
        <v>220</v>
      </c>
      <c r="F39" s="12">
        <v>33.0</v>
      </c>
      <c r="G39" s="10" t="s">
        <v>221</v>
      </c>
      <c r="H39" s="19"/>
      <c r="I39" s="20"/>
      <c r="J39" s="10" t="s">
        <v>221</v>
      </c>
      <c r="K39" s="21"/>
      <c r="L39" s="10"/>
      <c r="M39" s="22"/>
      <c r="N39" s="10"/>
      <c r="O39" s="10"/>
      <c r="P39" s="12" t="str">
        <f t="shared" si="1"/>
        <v>https://docs.google.com/forms/d/e/1FAIpQLSeZ-R1GrWlAPkfaThGqxeTj0QTtrARw4rroxIIepf2kipn1nw/formResponse?usp=pp_url&amp;entry.1313582257=0095438030 / 252610436&amp;entry.1578404635=Hadir</v>
      </c>
      <c r="Q39" s="23" t="s">
        <v>411</v>
      </c>
      <c r="R39" s="12" t="s">
        <v>412</v>
      </c>
      <c r="S39" s="24" t="s">
        <v>413</v>
      </c>
      <c r="T39" s="23" t="str">
        <f>HYPERLINK("https://drive.google.com/file/d/1n8G_y0n2UNS1r9qU99EPhaluwpebdXU2/view?usp=drivesdk","33 - X1 - Pungki Yustisia Pertiwi - L")</f>
        <v>33 - X1 - Pungki Yustisia Pertiwi - L</v>
      </c>
      <c r="U39" s="12" t="s">
        <v>390</v>
      </c>
      <c r="W39" s="25">
        <f>COUNTIFS('Form Presensi SCC'!$B:$B, IF($C39&lt;&gt;0, TEXT($C39, "0000000000"), $D39), 'Form Presensi SCC'!$C:$C, "Hadir")</f>
        <v>1</v>
      </c>
      <c r="Y39" s="26"/>
    </row>
    <row r="40" ht="22.5" customHeight="1">
      <c r="A40" s="18">
        <v>39.0</v>
      </c>
      <c r="B40" s="18">
        <v>39.0</v>
      </c>
      <c r="C40" s="18" t="s">
        <v>414</v>
      </c>
      <c r="D40" s="18" t="s">
        <v>415</v>
      </c>
      <c r="E40" s="18" t="s">
        <v>220</v>
      </c>
      <c r="F40" s="12">
        <v>33.0</v>
      </c>
      <c r="G40" s="10" t="s">
        <v>221</v>
      </c>
      <c r="H40" s="19"/>
      <c r="I40" s="20"/>
      <c r="J40" s="10" t="s">
        <v>221</v>
      </c>
      <c r="K40" s="21"/>
      <c r="L40" s="10"/>
      <c r="M40" s="22"/>
      <c r="N40" s="10"/>
      <c r="O40" s="10"/>
      <c r="P40" s="12" t="str">
        <f t="shared" si="1"/>
        <v>https://docs.google.com/forms/d/e/1FAIpQLSeZ-R1GrWlAPkfaThGqxeTj0QTtrARw4rroxIIepf2kipn1nw/formResponse?usp=pp_url&amp;entry.1313582257=0107914534 / 252610452&amp;entry.1578404635=Hadir</v>
      </c>
      <c r="Q40" s="23" t="s">
        <v>416</v>
      </c>
      <c r="R40" s="12" t="s">
        <v>417</v>
      </c>
      <c r="S40" s="24" t="s">
        <v>418</v>
      </c>
      <c r="T40" s="23" t="str">
        <f>HYPERLINK("https://drive.google.com/file/d/1vyybGg2I_y0EeSocpKMdZZvnZmLckHie/view?usp=drivesdk","33 - X1 - Raden Gathan Azaki Soesilo - L")</f>
        <v>33 - X1 - Raden Gathan Azaki Soesilo - L</v>
      </c>
      <c r="U40" s="12" t="s">
        <v>390</v>
      </c>
      <c r="W40" s="25">
        <f>COUNTIFS('Form Presensi SCC'!$B:$B, IF($C40&lt;&gt;0, TEXT($C40, "0000000000"), $D40), 'Form Presensi SCC'!$C:$C, "Hadir")</f>
        <v>0</v>
      </c>
      <c r="Y40" s="26"/>
    </row>
    <row r="41" ht="22.5" customHeight="1">
      <c r="A41" s="10">
        <v>40.0</v>
      </c>
      <c r="B41" s="18">
        <v>40.0</v>
      </c>
      <c r="C41" s="18" t="s">
        <v>419</v>
      </c>
      <c r="D41" s="18" t="s">
        <v>420</v>
      </c>
      <c r="E41" s="18" t="s">
        <v>220</v>
      </c>
      <c r="F41" s="12">
        <v>33.0</v>
      </c>
      <c r="G41" s="10" t="s">
        <v>221</v>
      </c>
      <c r="H41" s="19"/>
      <c r="I41" s="20"/>
      <c r="J41" s="10" t="s">
        <v>221</v>
      </c>
      <c r="K41" s="21"/>
      <c r="L41" s="10"/>
      <c r="M41" s="22"/>
      <c r="N41" s="10"/>
      <c r="O41" s="10"/>
      <c r="P41" s="12" t="str">
        <f t="shared" si="1"/>
        <v>https://docs.google.com/forms/d/e/1FAIpQLSeZ-R1GrWlAPkfaThGqxeTj0QTtrARw4rroxIIepf2kipn1nw/formResponse?usp=pp_url&amp;entry.1313582257=0097963483 / 252610454&amp;entry.1578404635=Hadir</v>
      </c>
      <c r="Q41" s="23" t="s">
        <v>421</v>
      </c>
      <c r="R41" s="12" t="s">
        <v>422</v>
      </c>
      <c r="S41" s="24" t="s">
        <v>423</v>
      </c>
      <c r="T41" s="23" t="str">
        <f>HYPERLINK("https://drive.google.com/file/d/1UPHxh1IW7HIZJar99iSVkFIQLUsWyPzV/view?usp=drivesdk","33 - X1 - Raden Muhammad Rafi Wiranata - L")</f>
        <v>33 - X1 - Raden Muhammad Rafi Wiranata - L</v>
      </c>
      <c r="U41" s="12" t="s">
        <v>424</v>
      </c>
      <c r="W41" s="25">
        <f>COUNTIFS('Form Presensi SCC'!$B:$B, IF($C41&lt;&gt;0, TEXT($C41, "0000000000"), $D41), 'Form Presensi SCC'!$C:$C, "Hadir")</f>
        <v>0</v>
      </c>
      <c r="Y41" s="26"/>
    </row>
    <row r="42" ht="22.5" customHeight="1">
      <c r="A42" s="18">
        <v>41.0</v>
      </c>
      <c r="B42" s="18">
        <v>41.0</v>
      </c>
      <c r="C42" s="18" t="s">
        <v>425</v>
      </c>
      <c r="D42" s="18" t="s">
        <v>426</v>
      </c>
      <c r="E42" s="18" t="s">
        <v>220</v>
      </c>
      <c r="F42" s="12">
        <v>33.0</v>
      </c>
      <c r="G42" s="10" t="s">
        <v>221</v>
      </c>
      <c r="H42" s="19"/>
      <c r="I42" s="20"/>
      <c r="J42" s="10" t="s">
        <v>221</v>
      </c>
      <c r="K42" s="21"/>
      <c r="L42" s="10"/>
      <c r="M42" s="22"/>
      <c r="N42" s="10"/>
      <c r="O42" s="10"/>
      <c r="P42" s="12" t="str">
        <f t="shared" si="1"/>
        <v>https://docs.google.com/forms/d/e/1FAIpQLSeZ-R1GrWlAPkfaThGqxeTj0QTtrARw4rroxIIepf2kipn1nw/formResponse?usp=pp_url&amp;entry.1313582257=0092135851 / 252610476&amp;entry.1578404635=Hadir</v>
      </c>
      <c r="Q42" s="23" t="s">
        <v>427</v>
      </c>
      <c r="R42" s="12" t="s">
        <v>428</v>
      </c>
      <c r="S42" s="24" t="s">
        <v>429</v>
      </c>
      <c r="T42" s="23" t="str">
        <f>HYPERLINK("https://drive.google.com/file/d/1r3GD1QzO045NUEebd-1uJ_YrkUVOjDM2/view?usp=drivesdk","33 - X1 - Rayhan Ashabi - L")</f>
        <v>33 - X1 - Rayhan Ashabi - L</v>
      </c>
      <c r="U42" s="12" t="s">
        <v>424</v>
      </c>
      <c r="W42" s="25">
        <f>COUNTIFS('Form Presensi SCC'!$B:$B, IF($C42&lt;&gt;0, TEXT($C42, "0000000000"), $D42), 'Form Presensi SCC'!$C:$C, "Hadir")</f>
        <v>0</v>
      </c>
      <c r="Y42" s="26"/>
    </row>
    <row r="43" ht="22.5" customHeight="1">
      <c r="A43" s="10">
        <v>42.0</v>
      </c>
      <c r="B43" s="18">
        <v>42.0</v>
      </c>
      <c r="C43" s="18" t="s">
        <v>133</v>
      </c>
      <c r="D43" s="18" t="s">
        <v>430</v>
      </c>
      <c r="E43" s="18" t="s">
        <v>227</v>
      </c>
      <c r="F43" s="12">
        <v>33.0</v>
      </c>
      <c r="G43" s="10" t="s">
        <v>221</v>
      </c>
      <c r="H43" s="19"/>
      <c r="I43" s="20"/>
      <c r="J43" s="10" t="s">
        <v>221</v>
      </c>
      <c r="K43" s="21"/>
      <c r="L43" s="10"/>
      <c r="M43" s="22"/>
      <c r="N43" s="10"/>
      <c r="O43" s="10"/>
      <c r="P43" s="12" t="str">
        <f t="shared" si="1"/>
        <v>https://docs.google.com/forms/d/e/1FAIpQLSeZ-R1GrWlAPkfaThGqxeTj0QTtrARw4rroxIIepf2kipn1nw/formResponse?usp=pp_url&amp;entry.1313582257=0092605198 / 252610477&amp;entry.1578404635=Hadir</v>
      </c>
      <c r="Q43" s="23" t="s">
        <v>431</v>
      </c>
      <c r="R43" s="12" t="s">
        <v>432</v>
      </c>
      <c r="S43" s="24" t="s">
        <v>433</v>
      </c>
      <c r="T43" s="23" t="str">
        <f>HYPERLINK("https://drive.google.com/file/d/1JbcPYQ0l0vEtkx5ek4Kx6DAJuSIxAaGO/view?usp=drivesdk","33 - X1 - Rayhana Rizkya Al-Multazam - P")</f>
        <v>33 - X1 - Rayhana Rizkya Al-Multazam - P</v>
      </c>
      <c r="U43" s="12" t="s">
        <v>424</v>
      </c>
      <c r="W43" s="25">
        <f>COUNTIFS('Form Presensi SCC'!$B:$B, IF($C43&lt;&gt;0, TEXT($C43, "0000000000"), $D43), 'Form Presensi SCC'!$C:$C, "Hadir")</f>
        <v>1</v>
      </c>
      <c r="Y43" s="26"/>
    </row>
    <row r="44" ht="22.5" customHeight="1">
      <c r="A44" s="18">
        <v>43.0</v>
      </c>
      <c r="B44" s="18">
        <v>43.0</v>
      </c>
      <c r="C44" s="18" t="s">
        <v>434</v>
      </c>
      <c r="D44" s="18" t="s">
        <v>435</v>
      </c>
      <c r="E44" s="18" t="s">
        <v>227</v>
      </c>
      <c r="F44" s="12">
        <v>33.0</v>
      </c>
      <c r="G44" s="10" t="s">
        <v>221</v>
      </c>
      <c r="H44" s="19"/>
      <c r="I44" s="20"/>
      <c r="J44" s="10" t="s">
        <v>221</v>
      </c>
      <c r="K44" s="21"/>
      <c r="L44" s="10"/>
      <c r="M44" s="22"/>
      <c r="N44" s="10"/>
      <c r="O44" s="10"/>
      <c r="P44" s="12" t="str">
        <f t="shared" si="1"/>
        <v>https://docs.google.com/forms/d/e/1FAIpQLSeZ-R1GrWlAPkfaThGqxeTj0QTtrARw4rroxIIepf2kipn1nw/formResponse?usp=pp_url&amp;entry.1313582257=0103151970 / 252610489&amp;entry.1578404635=Hadir</v>
      </c>
      <c r="Q44" s="23" t="s">
        <v>436</v>
      </c>
      <c r="R44" s="12" t="s">
        <v>437</v>
      </c>
      <c r="S44" s="24" t="s">
        <v>438</v>
      </c>
      <c r="T44" s="23" t="str">
        <f>HYPERLINK("https://drive.google.com/file/d/1P_ZTXFd8PwAfiaGJvdH2bqIephNdGRUM/view?usp=drivesdk","33 - X1 - Riffa Nugraha - P")</f>
        <v>33 - X1 - Riffa Nugraha - P</v>
      </c>
      <c r="U44" s="12" t="s">
        <v>424</v>
      </c>
      <c r="W44" s="25">
        <f>COUNTIFS('Form Presensi SCC'!$B:$B, IF($C44&lt;&gt;0, TEXT($C44, "0000000000"), $D44), 'Form Presensi SCC'!$C:$C, "Hadir")</f>
        <v>0</v>
      </c>
      <c r="Y44" s="26"/>
    </row>
    <row r="45" ht="22.5" customHeight="1">
      <c r="A45" s="10">
        <v>44.0</v>
      </c>
      <c r="B45" s="18">
        <v>44.0</v>
      </c>
      <c r="C45" s="18" t="s">
        <v>101</v>
      </c>
      <c r="D45" s="18" t="s">
        <v>439</v>
      </c>
      <c r="E45" s="18" t="s">
        <v>227</v>
      </c>
      <c r="F45" s="12">
        <v>33.0</v>
      </c>
      <c r="G45" s="10" t="s">
        <v>221</v>
      </c>
      <c r="H45" s="19"/>
      <c r="I45" s="20"/>
      <c r="J45" s="10" t="s">
        <v>221</v>
      </c>
      <c r="K45" s="21"/>
      <c r="L45" s="10"/>
      <c r="M45" s="22"/>
      <c r="N45" s="10"/>
      <c r="O45" s="10"/>
      <c r="P45" s="12" t="str">
        <f t="shared" si="1"/>
        <v>https://docs.google.com/forms/d/e/1FAIpQLSeZ-R1GrWlAPkfaThGqxeTj0QTtrARw4rroxIIepf2kipn1nw/formResponse?usp=pp_url&amp;entry.1313582257=0097644165 / 252610508&amp;entry.1578404635=Hadir</v>
      </c>
      <c r="Q45" s="23" t="s">
        <v>440</v>
      </c>
      <c r="R45" s="12" t="s">
        <v>441</v>
      </c>
      <c r="S45" s="24" t="s">
        <v>442</v>
      </c>
      <c r="T45" s="23" t="str">
        <f>HYPERLINK("https://drive.google.com/file/d/1jvfMZ9DFM2ChktrYbXoRfRskNFsqfx7r/view?usp=drivesdk","33 - X1 - Salsabila Zahwa Mulana - P")</f>
        <v>33 - X1 - Salsabila Zahwa Mulana - P</v>
      </c>
      <c r="U45" s="12" t="s">
        <v>424</v>
      </c>
      <c r="W45" s="25">
        <f>COUNTIFS('Form Presensi SCC'!$B:$B, IF($C45&lt;&gt;0, TEXT($C45, "0000000000"), $D45), 'Form Presensi SCC'!$C:$C, "Hadir")</f>
        <v>1</v>
      </c>
      <c r="Y45" s="26"/>
    </row>
    <row r="46" ht="22.5" customHeight="1">
      <c r="A46" s="18">
        <v>45.0</v>
      </c>
      <c r="B46" s="18">
        <v>45.0</v>
      </c>
      <c r="C46" s="18" t="s">
        <v>100</v>
      </c>
      <c r="D46" s="18" t="s">
        <v>443</v>
      </c>
      <c r="E46" s="18" t="s">
        <v>227</v>
      </c>
      <c r="F46" s="12">
        <v>33.0</v>
      </c>
      <c r="G46" s="10" t="s">
        <v>221</v>
      </c>
      <c r="H46" s="19"/>
      <c r="I46" s="20"/>
      <c r="J46" s="10" t="s">
        <v>221</v>
      </c>
      <c r="K46" s="21"/>
      <c r="L46" s="10"/>
      <c r="M46" s="22"/>
      <c r="N46" s="10"/>
      <c r="O46" s="10"/>
      <c r="P46" s="12" t="str">
        <f t="shared" si="1"/>
        <v>https://docs.google.com/forms/d/e/1FAIpQLSeZ-R1GrWlAPkfaThGqxeTj0QTtrARw4rroxIIepf2kipn1nw/formResponse?usp=pp_url&amp;entry.1313582257=0102657659 / 252610513&amp;entry.1578404635=Hadir</v>
      </c>
      <c r="Q46" s="23" t="s">
        <v>444</v>
      </c>
      <c r="R46" s="12" t="s">
        <v>445</v>
      </c>
      <c r="S46" s="24" t="s">
        <v>446</v>
      </c>
      <c r="T46" s="23" t="str">
        <f>HYPERLINK("https://drive.google.com/file/d/18eppwSX6bUHvs7XyHW02LIyqngUPAuhZ/view?usp=drivesdk","33 - X1 - Shabira Ayatul Husna - P")</f>
        <v>33 - X1 - Shabira Ayatul Husna - P</v>
      </c>
      <c r="U46" s="12" t="s">
        <v>447</v>
      </c>
      <c r="W46" s="25">
        <f>COUNTIFS('Form Presensi SCC'!$B:$B, IF($C46&lt;&gt;0, TEXT($C46, "0000000000"), $D46), 'Form Presensi SCC'!$C:$C, "Hadir")</f>
        <v>1</v>
      </c>
      <c r="Y46" s="26"/>
    </row>
    <row r="47" ht="22.5" customHeight="1">
      <c r="A47" s="10">
        <v>46.0</v>
      </c>
      <c r="B47" s="18">
        <v>46.0</v>
      </c>
      <c r="C47" s="18" t="s">
        <v>448</v>
      </c>
      <c r="D47" s="18" t="s">
        <v>449</v>
      </c>
      <c r="E47" s="18" t="s">
        <v>220</v>
      </c>
      <c r="F47" s="12">
        <v>33.0</v>
      </c>
      <c r="G47" s="10" t="s">
        <v>221</v>
      </c>
      <c r="H47" s="19"/>
      <c r="I47" s="20"/>
      <c r="J47" s="10" t="s">
        <v>221</v>
      </c>
      <c r="K47" s="21"/>
      <c r="L47" s="10"/>
      <c r="M47" s="22"/>
      <c r="N47" s="10"/>
      <c r="O47" s="10"/>
      <c r="P47" s="12" t="str">
        <f t="shared" si="1"/>
        <v>https://docs.google.com/forms/d/e/1FAIpQLSeZ-R1GrWlAPkfaThGqxeTj0QTtrARw4rroxIIepf2kipn1nw/formResponse?usp=pp_url&amp;entry.1313582257=0111428850 / 252610564&amp;entry.1578404635=Hadir</v>
      </c>
      <c r="Q47" s="23" t="s">
        <v>450</v>
      </c>
      <c r="R47" s="12" t="s">
        <v>451</v>
      </c>
      <c r="S47" s="24" t="s">
        <v>452</v>
      </c>
      <c r="T47" s="23" t="str">
        <f>HYPERLINK("https://drive.google.com/file/d/1ddNVDpOFYbZ89yxUN2xd7tFu7kQZtx16/view?usp=drivesdk","33 - X1 - Zavier Lamya Arkanominatha - L")</f>
        <v>33 - X1 - Zavier Lamya Arkanominatha - L</v>
      </c>
      <c r="U47" s="12" t="s">
        <v>447</v>
      </c>
      <c r="W47" s="25">
        <f>COUNTIFS('Form Presensi SCC'!$B:$B, IF($C47&lt;&gt;0, TEXT($C47, "0000000000"), $D47), 'Form Presensi SCC'!$C:$C, "Hadir")</f>
        <v>0</v>
      </c>
      <c r="Y47" s="26"/>
    </row>
    <row r="48" ht="22.5" customHeight="1">
      <c r="A48" s="18">
        <v>47.0</v>
      </c>
      <c r="B48" s="18">
        <v>47.0</v>
      </c>
      <c r="C48" s="18" t="s">
        <v>453</v>
      </c>
      <c r="D48" s="18" t="s">
        <v>454</v>
      </c>
      <c r="E48" s="18" t="s">
        <v>227</v>
      </c>
      <c r="F48" s="12">
        <v>33.0</v>
      </c>
      <c r="G48" s="10" t="s">
        <v>221</v>
      </c>
      <c r="H48" s="19"/>
      <c r="I48" s="20"/>
      <c r="J48" s="10" t="s">
        <v>221</v>
      </c>
      <c r="K48" s="21"/>
      <c r="L48" s="10"/>
      <c r="M48" s="22"/>
      <c r="N48" s="10"/>
      <c r="O48" s="10"/>
      <c r="P48" s="12" t="str">
        <f t="shared" si="1"/>
        <v>https://docs.google.com/forms/d/e/1FAIpQLSeZ-R1GrWlAPkfaThGqxeTj0QTtrARw4rroxIIepf2kipn1nw/formResponse?usp=pp_url&amp;entry.1313582257=0108505453 / 252610566&amp;entry.1578404635=Hadir</v>
      </c>
      <c r="Q48" s="23" t="s">
        <v>455</v>
      </c>
      <c r="R48" s="12" t="s">
        <v>456</v>
      </c>
      <c r="S48" s="24" t="s">
        <v>457</v>
      </c>
      <c r="T48" s="23" t="str">
        <f>HYPERLINK("https://drive.google.com/file/d/1_68U5tIsXqQIs3o-Tyb3Jl3CqL3Skxpb/view?usp=drivesdk","33 - X1 - Zhafirah Dwi Fauziah - P")</f>
        <v>33 - X1 - Zhafirah Dwi Fauziah - P</v>
      </c>
      <c r="U48" s="12" t="s">
        <v>447</v>
      </c>
      <c r="W48" s="25">
        <f>COUNTIFS('Form Presensi SCC'!$B:$B, IF($C48&lt;&gt;0, TEXT($C48, "0000000000"), $D48), 'Form Presensi SCC'!$C:$C, "Hadir")</f>
        <v>0</v>
      </c>
      <c r="Y48" s="26"/>
    </row>
    <row r="49" ht="22.5" customHeight="1">
      <c r="A49" s="10">
        <v>48.0</v>
      </c>
      <c r="B49" s="18">
        <v>1.0</v>
      </c>
      <c r="C49" s="18" t="s">
        <v>458</v>
      </c>
      <c r="D49" s="18" t="s">
        <v>459</v>
      </c>
      <c r="E49" s="18" t="s">
        <v>227</v>
      </c>
      <c r="F49" s="12">
        <v>33.0</v>
      </c>
      <c r="G49" s="10" t="s">
        <v>460</v>
      </c>
      <c r="H49" s="19"/>
      <c r="I49" s="20"/>
      <c r="J49" s="10" t="s">
        <v>460</v>
      </c>
      <c r="K49" s="21"/>
      <c r="L49" s="10"/>
      <c r="M49" s="22"/>
      <c r="N49" s="10"/>
      <c r="O49" s="10"/>
      <c r="P49" s="12" t="str">
        <f t="shared" si="1"/>
        <v>https://docs.google.com/forms/d/e/1FAIpQLSeZ-R1GrWlAPkfaThGqxeTj0QTtrARw4rroxIIepf2kipn1nw/formResponse?usp=pp_url&amp;entry.1313582257=0094216870 / 252610011&amp;entry.1578404635=Hadir</v>
      </c>
      <c r="Q49" s="23" t="s">
        <v>461</v>
      </c>
      <c r="R49" s="12" t="s">
        <v>462</v>
      </c>
      <c r="S49" s="24" t="s">
        <v>463</v>
      </c>
      <c r="T49" s="23" t="str">
        <f>HYPERLINK("https://drive.google.com/file/d/1V3OSllgck0kjPQQvDJW61DGdtMqwoffT/view?usp=drivesdk","33 - X2 - Adinda Syahira Hariyadi - P")</f>
        <v>33 - X2 - Adinda Syahira Hariyadi - P</v>
      </c>
      <c r="U49" s="12" t="s">
        <v>447</v>
      </c>
      <c r="W49" s="25">
        <f>COUNTIFS('Form Presensi SCC'!$B:$B, IF($C49&lt;&gt;0, TEXT($C49, "0000000000"), $D49), 'Form Presensi SCC'!$C:$C, "Hadir")</f>
        <v>0</v>
      </c>
      <c r="Y49" s="26"/>
    </row>
    <row r="50" ht="22.5" customHeight="1">
      <c r="A50" s="18">
        <v>49.0</v>
      </c>
      <c r="B50" s="18">
        <v>2.0</v>
      </c>
      <c r="C50" s="18" t="s">
        <v>464</v>
      </c>
      <c r="D50" s="18" t="s">
        <v>465</v>
      </c>
      <c r="E50" s="18" t="s">
        <v>227</v>
      </c>
      <c r="F50" s="12">
        <v>33.0</v>
      </c>
      <c r="G50" s="10" t="s">
        <v>460</v>
      </c>
      <c r="H50" s="19"/>
      <c r="I50" s="20"/>
      <c r="J50" s="10" t="s">
        <v>460</v>
      </c>
      <c r="K50" s="21"/>
      <c r="L50" s="10"/>
      <c r="M50" s="22"/>
      <c r="N50" s="10"/>
      <c r="O50" s="10"/>
      <c r="P50" s="12" t="str">
        <f t="shared" si="1"/>
        <v>https://docs.google.com/forms/d/e/1FAIpQLSeZ-R1GrWlAPkfaThGqxeTj0QTtrARw4rroxIIepf2kipn1nw/formResponse?usp=pp_url&amp;entry.1313582257=0107760733 / 252610023&amp;entry.1578404635=Hadir</v>
      </c>
      <c r="Q50" s="23" t="s">
        <v>466</v>
      </c>
      <c r="R50" s="12" t="s">
        <v>467</v>
      </c>
      <c r="S50" s="24" t="s">
        <v>468</v>
      </c>
      <c r="T50" s="23" t="str">
        <f>HYPERLINK("https://drive.google.com/file/d/1YjUv2pJ7KOeDnrfvFss9TfLP6PklCkR7/view?usp=drivesdk","33 - X2 - Aira Aulia Putri - P")</f>
        <v>33 - X2 - Aira Aulia Putri - P</v>
      </c>
      <c r="U50" s="12" t="s">
        <v>447</v>
      </c>
      <c r="W50" s="25">
        <f>COUNTIFS('Form Presensi SCC'!$B:$B, IF($C50&lt;&gt;0, TEXT($C50, "0000000000"), $D50), 'Form Presensi SCC'!$C:$C, "Hadir")</f>
        <v>0</v>
      </c>
      <c r="Y50" s="26"/>
    </row>
    <row r="51" ht="22.5" customHeight="1">
      <c r="A51" s="10">
        <v>50.0</v>
      </c>
      <c r="B51" s="18">
        <v>3.0</v>
      </c>
      <c r="C51" s="18" t="s">
        <v>469</v>
      </c>
      <c r="D51" s="18" t="s">
        <v>470</v>
      </c>
      <c r="E51" s="18" t="s">
        <v>227</v>
      </c>
      <c r="F51" s="12">
        <v>33.0</v>
      </c>
      <c r="G51" s="10" t="s">
        <v>460</v>
      </c>
      <c r="H51" s="19"/>
      <c r="I51" s="20"/>
      <c r="J51" s="10" t="s">
        <v>460</v>
      </c>
      <c r="K51" s="21"/>
      <c r="L51" s="10"/>
      <c r="M51" s="22"/>
      <c r="N51" s="10"/>
      <c r="O51" s="10"/>
      <c r="P51" s="12" t="str">
        <f t="shared" si="1"/>
        <v>https://docs.google.com/forms/d/e/1FAIpQLSeZ-R1GrWlAPkfaThGqxeTj0QTtrARw4rroxIIepf2kipn1nw/formResponse?usp=pp_url&amp;entry.1313582257=0105130233 / 252610026&amp;entry.1578404635=Hadir</v>
      </c>
      <c r="Q51" s="23" t="s">
        <v>471</v>
      </c>
      <c r="R51" s="12" t="s">
        <v>472</v>
      </c>
      <c r="S51" s="24" t="s">
        <v>473</v>
      </c>
      <c r="T51" s="23" t="str">
        <f>HYPERLINK("https://drive.google.com/file/d/19oQC7k1F1Sjaf2Pr6LD5lI-Yf2rs0zAY/view?usp=drivesdk","33 - X2 - Aisha Faiha Dzakiyah - P")</f>
        <v>33 - X2 - Aisha Faiha Dzakiyah - P</v>
      </c>
      <c r="U51" s="12" t="s">
        <v>474</v>
      </c>
      <c r="W51" s="25">
        <f>COUNTIFS('Form Presensi SCC'!$B:$B, IF($C51&lt;&gt;0, TEXT($C51, "0000000000"), $D51), 'Form Presensi SCC'!$C:$C, "Hadir")</f>
        <v>0</v>
      </c>
      <c r="Y51" s="26"/>
    </row>
    <row r="52" ht="22.5" customHeight="1">
      <c r="A52" s="18">
        <v>51.0</v>
      </c>
      <c r="B52" s="18">
        <v>4.0</v>
      </c>
      <c r="C52" s="18" t="s">
        <v>475</v>
      </c>
      <c r="D52" s="18" t="s">
        <v>476</v>
      </c>
      <c r="E52" s="18" t="s">
        <v>227</v>
      </c>
      <c r="F52" s="12">
        <v>33.0</v>
      </c>
      <c r="G52" s="10" t="s">
        <v>460</v>
      </c>
      <c r="H52" s="19"/>
      <c r="I52" s="20"/>
      <c r="J52" s="10" t="s">
        <v>460</v>
      </c>
      <c r="K52" s="21"/>
      <c r="L52" s="10"/>
      <c r="M52" s="22"/>
      <c r="N52" s="10"/>
      <c r="O52" s="10"/>
      <c r="P52" s="12" t="str">
        <f t="shared" si="1"/>
        <v>https://docs.google.com/forms/d/e/1FAIpQLSeZ-R1GrWlAPkfaThGqxeTj0QTtrARw4rroxIIepf2kipn1nw/formResponse?usp=pp_url&amp;entry.1313582257=0104550133 / 252610039&amp;entry.1578404635=Hadir</v>
      </c>
      <c r="Q52" s="23" t="s">
        <v>477</v>
      </c>
      <c r="R52" s="12" t="s">
        <v>478</v>
      </c>
      <c r="S52" s="24" t="s">
        <v>479</v>
      </c>
      <c r="T52" s="23" t="str">
        <f>HYPERLINK("https://drive.google.com/file/d/1nEPueYwyqo-f8dDwrk4qy3wFNq8GVL3O/view?usp=drivesdk","33 - X2 - Alifa Safa Salsabila - P")</f>
        <v>33 - X2 - Alifa Safa Salsabila - P</v>
      </c>
      <c r="U52" s="12" t="s">
        <v>474</v>
      </c>
      <c r="W52" s="25">
        <f>COUNTIFS('Form Presensi SCC'!$B:$B, IF($C52&lt;&gt;0, TEXT($C52, "0000000000"), $D52), 'Form Presensi SCC'!$C:$C, "Hadir")</f>
        <v>0</v>
      </c>
      <c r="Y52" s="26"/>
    </row>
    <row r="53" ht="22.5" customHeight="1">
      <c r="A53" s="10">
        <v>52.0</v>
      </c>
      <c r="B53" s="18">
        <v>5.0</v>
      </c>
      <c r="C53" s="18" t="s">
        <v>480</v>
      </c>
      <c r="D53" s="18" t="s">
        <v>481</v>
      </c>
      <c r="E53" s="18" t="s">
        <v>227</v>
      </c>
      <c r="F53" s="12">
        <v>33.0</v>
      </c>
      <c r="G53" s="10" t="s">
        <v>460</v>
      </c>
      <c r="H53" s="19"/>
      <c r="I53" s="20"/>
      <c r="J53" s="10" t="s">
        <v>460</v>
      </c>
      <c r="K53" s="21"/>
      <c r="L53" s="10"/>
      <c r="M53" s="22"/>
      <c r="N53" s="10"/>
      <c r="O53" s="10"/>
      <c r="P53" s="12" t="str">
        <f t="shared" si="1"/>
        <v>https://docs.google.com/forms/d/e/1FAIpQLSeZ-R1GrWlAPkfaThGqxeTj0QTtrARw4rroxIIepf2kipn1nw/formResponse?usp=pp_url&amp;entry.1313582257=0095372504 / 252610050&amp;entry.1578404635=Hadir</v>
      </c>
      <c r="Q53" s="23" t="s">
        <v>482</v>
      </c>
      <c r="R53" s="12" t="s">
        <v>483</v>
      </c>
      <c r="S53" s="24" t="s">
        <v>484</v>
      </c>
      <c r="T53" s="23" t="str">
        <f>HYPERLINK("https://drive.google.com/file/d/1_YSPZldf8E3yzBabNxKC3cTzD2e6-CbI/view?usp=drivesdk","33 - X2 - Alviana Dwie Putery - P")</f>
        <v>33 - X2 - Alviana Dwie Putery - P</v>
      </c>
      <c r="U53" s="12" t="s">
        <v>474</v>
      </c>
      <c r="W53" s="25">
        <f>COUNTIFS('Form Presensi SCC'!$B:$B, IF($C53&lt;&gt;0, TEXT($C53, "0000000000"), $D53), 'Form Presensi SCC'!$C:$C, "Hadir")</f>
        <v>0</v>
      </c>
      <c r="Y53" s="26"/>
    </row>
    <row r="54" ht="22.5" customHeight="1">
      <c r="A54" s="18">
        <v>53.0</v>
      </c>
      <c r="B54" s="18">
        <v>6.0</v>
      </c>
      <c r="C54" s="18" t="s">
        <v>134</v>
      </c>
      <c r="D54" s="18" t="s">
        <v>485</v>
      </c>
      <c r="E54" s="18" t="s">
        <v>227</v>
      </c>
      <c r="F54" s="12">
        <v>33.0</v>
      </c>
      <c r="G54" s="10" t="s">
        <v>460</v>
      </c>
      <c r="H54" s="19"/>
      <c r="I54" s="20"/>
      <c r="J54" s="10" t="s">
        <v>460</v>
      </c>
      <c r="K54" s="21"/>
      <c r="L54" s="10"/>
      <c r="M54" s="22"/>
      <c r="N54" s="10"/>
      <c r="O54" s="10"/>
      <c r="P54" s="12" t="str">
        <f t="shared" si="1"/>
        <v>https://docs.google.com/forms/d/e/1FAIpQLSeZ-R1GrWlAPkfaThGqxeTj0QTtrARw4rroxIIepf2kipn1nw/formResponse?usp=pp_url&amp;entry.1313582257=0105813396 / 252610052&amp;entry.1578404635=Hadir</v>
      </c>
      <c r="Q54" s="23" t="s">
        <v>486</v>
      </c>
      <c r="R54" s="12" t="s">
        <v>487</v>
      </c>
      <c r="S54" s="24" t="s">
        <v>488</v>
      </c>
      <c r="T54" s="23" t="str">
        <f>HYPERLINK("https://drive.google.com/file/d/1v7wvk3O0DJKty1fROoP0eASVLgj0R8qk/view?usp=drivesdk","33 - X2 - Alyya Zahra Kusumadewi - P")</f>
        <v>33 - X2 - Alyya Zahra Kusumadewi - P</v>
      </c>
      <c r="U54" s="12" t="s">
        <v>474</v>
      </c>
      <c r="W54" s="25">
        <f>COUNTIFS('Form Presensi SCC'!$B:$B, IF($C54&lt;&gt;0, TEXT($C54, "0000000000"), $D54), 'Form Presensi SCC'!$C:$C, "Hadir")</f>
        <v>1</v>
      </c>
      <c r="Y54" s="26"/>
    </row>
    <row r="55" ht="22.5" customHeight="1">
      <c r="A55" s="10">
        <v>54.0</v>
      </c>
      <c r="B55" s="18">
        <v>7.0</v>
      </c>
      <c r="C55" s="18" t="s">
        <v>489</v>
      </c>
      <c r="D55" s="18" t="s">
        <v>490</v>
      </c>
      <c r="E55" s="18" t="s">
        <v>220</v>
      </c>
      <c r="F55" s="12">
        <v>33.0</v>
      </c>
      <c r="G55" s="10" t="s">
        <v>460</v>
      </c>
      <c r="H55" s="19"/>
      <c r="I55" s="20"/>
      <c r="J55" s="10" t="s">
        <v>460</v>
      </c>
      <c r="K55" s="21"/>
      <c r="L55" s="10"/>
      <c r="M55" s="22"/>
      <c r="N55" s="10"/>
      <c r="O55" s="10"/>
      <c r="P55" s="12" t="str">
        <f t="shared" si="1"/>
        <v>https://docs.google.com/forms/d/e/1FAIpQLSeZ-R1GrWlAPkfaThGqxeTj0QTtrARw4rroxIIepf2kipn1nw/formResponse?usp=pp_url&amp;entry.1313582257=0109006152 / 252610058&amp;entry.1578404635=Hadir</v>
      </c>
      <c r="Q55" s="23" t="s">
        <v>491</v>
      </c>
      <c r="R55" s="12" t="s">
        <v>492</v>
      </c>
      <c r="S55" s="24" t="s">
        <v>493</v>
      </c>
      <c r="T55" s="23" t="str">
        <f>HYPERLINK("https://drive.google.com/file/d/1d6QA5zp1Vi-nS8UnSa5r-4KbJfyjVHuT/view?usp=drivesdk","33 - X2 - Ammar Raziq Mahdiya - L")</f>
        <v>33 - X2 - Ammar Raziq Mahdiya - L</v>
      </c>
      <c r="U55" s="12" t="s">
        <v>474</v>
      </c>
      <c r="W55" s="25">
        <f>COUNTIFS('Form Presensi SCC'!$B:$B, IF($C55&lt;&gt;0, TEXT($C55, "0000000000"), $D55), 'Form Presensi SCC'!$C:$C, "Hadir")</f>
        <v>0</v>
      </c>
      <c r="Y55" s="26"/>
    </row>
    <row r="56" ht="22.5" customHeight="1">
      <c r="A56" s="18">
        <v>55.0</v>
      </c>
      <c r="B56" s="18">
        <v>8.0</v>
      </c>
      <c r="C56" s="18" t="s">
        <v>494</v>
      </c>
      <c r="D56" s="18" t="s">
        <v>495</v>
      </c>
      <c r="E56" s="18" t="s">
        <v>227</v>
      </c>
      <c r="F56" s="12">
        <v>33.0</v>
      </c>
      <c r="G56" s="10" t="s">
        <v>460</v>
      </c>
      <c r="H56" s="19"/>
      <c r="I56" s="20"/>
      <c r="J56" s="10" t="s">
        <v>460</v>
      </c>
      <c r="K56" s="21"/>
      <c r="L56" s="10"/>
      <c r="M56" s="22"/>
      <c r="N56" s="10"/>
      <c r="O56" s="10"/>
      <c r="P56" s="12" t="str">
        <f t="shared" si="1"/>
        <v>https://docs.google.com/forms/d/e/1FAIpQLSeZ-R1GrWlAPkfaThGqxeTj0QTtrARw4rroxIIepf2kipn1nw/formResponse?usp=pp_url&amp;entry.1313582257=0097211030 / 252610062&amp;entry.1578404635=Hadir</v>
      </c>
      <c r="Q56" s="23" t="s">
        <v>496</v>
      </c>
      <c r="R56" s="12" t="s">
        <v>497</v>
      </c>
      <c r="S56" s="24" t="s">
        <v>498</v>
      </c>
      <c r="T56" s="23" t="str">
        <f>HYPERLINK("https://drive.google.com/file/d/1T8aWCbjMdk74BXIB8TCMBqnV86daV1up/view?usp=drivesdk","33 - X2 - Andini Qoriyati Khaerani - P")</f>
        <v>33 - X2 - Andini Qoriyati Khaerani - P</v>
      </c>
      <c r="U56" s="12" t="s">
        <v>474</v>
      </c>
      <c r="W56" s="25">
        <f>COUNTIFS('Form Presensi SCC'!$B:$B, IF($C56&lt;&gt;0, TEXT($C56, "0000000000"), $D56), 'Form Presensi SCC'!$C:$C, "Hadir")</f>
        <v>0</v>
      </c>
      <c r="Y56" s="26"/>
    </row>
    <row r="57" ht="22.5" customHeight="1">
      <c r="A57" s="10">
        <v>56.0</v>
      </c>
      <c r="B57" s="18">
        <v>9.0</v>
      </c>
      <c r="C57" s="18" t="s">
        <v>499</v>
      </c>
      <c r="D57" s="18" t="s">
        <v>500</v>
      </c>
      <c r="E57" s="18" t="s">
        <v>227</v>
      </c>
      <c r="F57" s="12">
        <v>33.0</v>
      </c>
      <c r="G57" s="10" t="s">
        <v>460</v>
      </c>
      <c r="H57" s="19"/>
      <c r="I57" s="20"/>
      <c r="J57" s="10" t="s">
        <v>460</v>
      </c>
      <c r="K57" s="21"/>
      <c r="L57" s="10"/>
      <c r="M57" s="22"/>
      <c r="N57" s="10"/>
      <c r="O57" s="10"/>
      <c r="P57" s="12" t="str">
        <f t="shared" si="1"/>
        <v>https://docs.google.com/forms/d/e/1FAIpQLSeZ-R1GrWlAPkfaThGqxeTj0QTtrARw4rroxIIepf2kipn1nw/formResponse?usp=pp_url&amp;entry.1313582257=3108667209 / 252610070&amp;entry.1578404635=Hadir</v>
      </c>
      <c r="Q57" s="23" t="s">
        <v>501</v>
      </c>
      <c r="R57" s="12" t="s">
        <v>502</v>
      </c>
      <c r="S57" s="24" t="s">
        <v>503</v>
      </c>
      <c r="T57" s="23" t="str">
        <f>HYPERLINK("https://drive.google.com/file/d/1bgI--588l7W0F6MH1pH5MFbys4-cObhL/view?usp=drivesdk","33 - X2 - Aqeela Az Zahra - P")</f>
        <v>33 - X2 - Aqeela Az Zahra - P</v>
      </c>
      <c r="U57" s="12" t="s">
        <v>474</v>
      </c>
      <c r="W57" s="25">
        <f>COUNTIFS('Form Presensi SCC'!$B:$B, IF($C57&lt;&gt;0, TEXT($C57, "0000000000"), $D57), 'Form Presensi SCC'!$C:$C, "Hadir")</f>
        <v>0</v>
      </c>
      <c r="Y57" s="26"/>
    </row>
    <row r="58" ht="22.5" customHeight="1">
      <c r="A58" s="18">
        <v>57.0</v>
      </c>
      <c r="B58" s="18">
        <v>10.0</v>
      </c>
      <c r="C58" s="18" t="s">
        <v>504</v>
      </c>
      <c r="D58" s="18" t="s">
        <v>505</v>
      </c>
      <c r="E58" s="18" t="s">
        <v>220</v>
      </c>
      <c r="F58" s="12">
        <v>33.0</v>
      </c>
      <c r="G58" s="10" t="s">
        <v>460</v>
      </c>
      <c r="H58" s="19"/>
      <c r="I58" s="20"/>
      <c r="J58" s="10" t="s">
        <v>460</v>
      </c>
      <c r="K58" s="21"/>
      <c r="L58" s="10"/>
      <c r="M58" s="22"/>
      <c r="N58" s="10"/>
      <c r="O58" s="10"/>
      <c r="P58" s="12" t="str">
        <f t="shared" si="1"/>
        <v>https://docs.google.com/forms/d/e/1FAIpQLSeZ-R1GrWlAPkfaThGqxeTj0QTtrARw4rroxIIepf2kipn1nw/formResponse?usp=pp_url&amp;entry.1313582257=0109904498 / 252610075&amp;entry.1578404635=Hadir</v>
      </c>
      <c r="Q58" s="23" t="s">
        <v>506</v>
      </c>
      <c r="R58" s="12" t="s">
        <v>507</v>
      </c>
      <c r="S58" s="24" t="s">
        <v>508</v>
      </c>
      <c r="T58" s="23" t="str">
        <f>HYPERLINK("https://drive.google.com/file/d/1IbqYvnCOf4uirVZuOV4dwHfnsRXQ21sf/view?usp=drivesdk","33 - X2 - Arfan Kristian Perlindungan Harefa - L")</f>
        <v>33 - X2 - Arfan Kristian Perlindungan Harefa - L</v>
      </c>
      <c r="U58" s="12" t="s">
        <v>509</v>
      </c>
      <c r="W58" s="25">
        <f>COUNTIFS('Form Presensi SCC'!$B:$B, IF($C58&lt;&gt;0, TEXT($C58, "0000000000"), $D58), 'Form Presensi SCC'!$C:$C, "Hadir")</f>
        <v>0</v>
      </c>
      <c r="Y58" s="26"/>
    </row>
    <row r="59" ht="22.5" customHeight="1">
      <c r="A59" s="10">
        <v>58.0</v>
      </c>
      <c r="B59" s="18">
        <v>11.0</v>
      </c>
      <c r="C59" s="18" t="s">
        <v>510</v>
      </c>
      <c r="D59" s="18" t="s">
        <v>511</v>
      </c>
      <c r="E59" s="18" t="s">
        <v>227</v>
      </c>
      <c r="F59" s="12">
        <v>33.0</v>
      </c>
      <c r="G59" s="10" t="s">
        <v>460</v>
      </c>
      <c r="H59" s="19"/>
      <c r="I59" s="20"/>
      <c r="J59" s="10" t="s">
        <v>460</v>
      </c>
      <c r="K59" s="21"/>
      <c r="L59" s="10"/>
      <c r="M59" s="22"/>
      <c r="N59" s="10"/>
      <c r="O59" s="10"/>
      <c r="P59" s="12" t="str">
        <f t="shared" si="1"/>
        <v>https://docs.google.com/forms/d/e/1FAIpQLSeZ-R1GrWlAPkfaThGqxeTj0QTtrARw4rroxIIepf2kipn1nw/formResponse?usp=pp_url&amp;entry.1313582257=0098513542 / 252610084&amp;entry.1578404635=Hadir</v>
      </c>
      <c r="Q59" s="23" t="s">
        <v>512</v>
      </c>
      <c r="R59" s="12" t="s">
        <v>513</v>
      </c>
      <c r="S59" s="24" t="s">
        <v>514</v>
      </c>
      <c r="T59" s="23" t="str">
        <f>HYPERLINK("https://drive.google.com/file/d/1rjgwiGoXrvzhzLXFC2-MjxPDWMU-J86k/view?usp=drivesdk","33 - X2 - Ashiila Rindu Dwi Laufli - P")</f>
        <v>33 - X2 - Ashiila Rindu Dwi Laufli - P</v>
      </c>
      <c r="U59" s="12" t="s">
        <v>509</v>
      </c>
      <c r="W59" s="25">
        <f>COUNTIFS('Form Presensi SCC'!$B:$B, IF($C59&lt;&gt;0, TEXT($C59, "0000000000"), $D59), 'Form Presensi SCC'!$C:$C, "Hadir")</f>
        <v>0</v>
      </c>
      <c r="Y59" s="26"/>
    </row>
    <row r="60" ht="22.5" customHeight="1">
      <c r="A60" s="18">
        <v>59.0</v>
      </c>
      <c r="B60" s="18">
        <v>12.0</v>
      </c>
      <c r="C60" s="18" t="s">
        <v>515</v>
      </c>
      <c r="D60" s="18" t="s">
        <v>516</v>
      </c>
      <c r="E60" s="18" t="s">
        <v>227</v>
      </c>
      <c r="F60" s="12">
        <v>33.0</v>
      </c>
      <c r="G60" s="10" t="s">
        <v>460</v>
      </c>
      <c r="H60" s="19"/>
      <c r="I60" s="20"/>
      <c r="J60" s="10" t="s">
        <v>460</v>
      </c>
      <c r="K60" s="21"/>
      <c r="L60" s="10"/>
      <c r="M60" s="22"/>
      <c r="N60" s="10"/>
      <c r="O60" s="10"/>
      <c r="P60" s="12" t="str">
        <f t="shared" si="1"/>
        <v>https://docs.google.com/forms/d/e/1FAIpQLSeZ-R1GrWlAPkfaThGqxeTj0QTtrARw4rroxIIepf2kipn1nw/formResponse?usp=pp_url&amp;entry.1313582257=0106376916 / 252610090&amp;entry.1578404635=Hadir</v>
      </c>
      <c r="Q60" s="23" t="s">
        <v>517</v>
      </c>
      <c r="R60" s="12" t="s">
        <v>518</v>
      </c>
      <c r="S60" s="24" t="s">
        <v>519</v>
      </c>
      <c r="T60" s="23" t="str">
        <f>HYPERLINK("https://drive.google.com/file/d/1ubg9Wzmya8Nhedu7v_56BBXlaGmVy9gb/view?usp=drivesdk","33 - X2 - Atharrayhan Abimanyu Pratama - P")</f>
        <v>33 - X2 - Atharrayhan Abimanyu Pratama - P</v>
      </c>
      <c r="U60" s="12" t="s">
        <v>509</v>
      </c>
      <c r="W60" s="25">
        <f>COUNTIFS('Form Presensi SCC'!$B:$B, IF($C60&lt;&gt;0, TEXT($C60, "0000000000"), $D60), 'Form Presensi SCC'!$C:$C, "Hadir")</f>
        <v>0</v>
      </c>
      <c r="Y60" s="26"/>
    </row>
    <row r="61" ht="22.5" customHeight="1">
      <c r="A61" s="10">
        <v>60.0</v>
      </c>
      <c r="B61" s="18">
        <v>13.0</v>
      </c>
      <c r="C61" s="18" t="s">
        <v>520</v>
      </c>
      <c r="D61" s="18" t="s">
        <v>521</v>
      </c>
      <c r="E61" s="18" t="s">
        <v>227</v>
      </c>
      <c r="F61" s="12">
        <v>33.0</v>
      </c>
      <c r="G61" s="10" t="s">
        <v>460</v>
      </c>
      <c r="H61" s="19"/>
      <c r="I61" s="20"/>
      <c r="J61" s="10" t="s">
        <v>460</v>
      </c>
      <c r="K61" s="21"/>
      <c r="L61" s="10"/>
      <c r="M61" s="22"/>
      <c r="N61" s="10"/>
      <c r="O61" s="10"/>
      <c r="P61" s="12" t="str">
        <f t="shared" si="1"/>
        <v>https://docs.google.com/forms/d/e/1FAIpQLSeZ-R1GrWlAPkfaThGqxeTj0QTtrARw4rroxIIepf2kipn1nw/formResponse?usp=pp_url&amp;entry.1313582257=0105797314 / 252610102&amp;entry.1578404635=Hadir</v>
      </c>
      <c r="Q61" s="23" t="s">
        <v>522</v>
      </c>
      <c r="R61" s="12" t="s">
        <v>523</v>
      </c>
      <c r="S61" s="24" t="s">
        <v>524</v>
      </c>
      <c r="T61" s="23" t="str">
        <f>HYPERLINK("https://drive.google.com/file/d/1nkWWYZxxxqEYNl-74LFssFZcXX-uDpl_/view?usp=drivesdk","33 - X2 - Aurelly Diana Zulkarnaen - P")</f>
        <v>33 - X2 - Aurelly Diana Zulkarnaen - P</v>
      </c>
      <c r="U61" s="12" t="s">
        <v>509</v>
      </c>
      <c r="W61" s="25">
        <f>COUNTIFS('Form Presensi SCC'!$B:$B, IF($C61&lt;&gt;0, TEXT($C61, "0000000000"), $D61), 'Form Presensi SCC'!$C:$C, "Hadir")</f>
        <v>0</v>
      </c>
      <c r="Y61" s="26"/>
    </row>
    <row r="62" ht="22.5" customHeight="1">
      <c r="A62" s="18">
        <v>61.0</v>
      </c>
      <c r="B62" s="18">
        <v>14.0</v>
      </c>
      <c r="C62" s="18" t="s">
        <v>525</v>
      </c>
      <c r="D62" s="18" t="s">
        <v>526</v>
      </c>
      <c r="E62" s="18" t="s">
        <v>220</v>
      </c>
      <c r="F62" s="12">
        <v>33.0</v>
      </c>
      <c r="G62" s="10" t="s">
        <v>460</v>
      </c>
      <c r="H62" s="19"/>
      <c r="I62" s="20"/>
      <c r="J62" s="10" t="s">
        <v>460</v>
      </c>
      <c r="K62" s="21"/>
      <c r="L62" s="10"/>
      <c r="M62" s="22"/>
      <c r="N62" s="10"/>
      <c r="O62" s="10"/>
      <c r="P62" s="12" t="str">
        <f t="shared" si="1"/>
        <v>https://docs.google.com/forms/d/e/1FAIpQLSeZ-R1GrWlAPkfaThGqxeTj0QTtrARw4rroxIIepf2kipn1nw/formResponse?usp=pp_url&amp;entry.1313582257=0102731314 / 252610124&amp;entry.1578404635=Hadir</v>
      </c>
      <c r="Q62" s="23" t="s">
        <v>527</v>
      </c>
      <c r="R62" s="12" t="s">
        <v>528</v>
      </c>
      <c r="S62" s="24" t="s">
        <v>529</v>
      </c>
      <c r="T62" s="23" t="str">
        <f>HYPERLINK("https://drive.google.com/file/d/1YOs4LBHSXwwreL_T8Tbh6G3pgiJ2yTpc/view?usp=drivesdk","33 - X2 - Bima Adyatma Ilmiawan - L")</f>
        <v>33 - X2 - Bima Adyatma Ilmiawan - L</v>
      </c>
      <c r="U62" s="12" t="s">
        <v>509</v>
      </c>
      <c r="W62" s="25">
        <f>COUNTIFS('Form Presensi SCC'!$B:$B, IF($C62&lt;&gt;0, TEXT($C62, "0000000000"), $D62), 'Form Presensi SCC'!$C:$C, "Hadir")</f>
        <v>0</v>
      </c>
      <c r="Y62" s="26"/>
    </row>
    <row r="63" ht="22.5" customHeight="1">
      <c r="A63" s="10">
        <v>62.0</v>
      </c>
      <c r="B63" s="18">
        <v>15.0</v>
      </c>
      <c r="C63" s="18" t="s">
        <v>71</v>
      </c>
      <c r="D63" s="18" t="s">
        <v>530</v>
      </c>
      <c r="E63" s="18" t="s">
        <v>227</v>
      </c>
      <c r="F63" s="12">
        <v>33.0</v>
      </c>
      <c r="G63" s="10" t="s">
        <v>460</v>
      </c>
      <c r="H63" s="19"/>
      <c r="I63" s="20"/>
      <c r="J63" s="10" t="s">
        <v>460</v>
      </c>
      <c r="K63" s="21"/>
      <c r="L63" s="10"/>
      <c r="M63" s="22"/>
      <c r="N63" s="10"/>
      <c r="O63" s="10"/>
      <c r="P63" s="12" t="str">
        <f t="shared" si="1"/>
        <v>https://docs.google.com/forms/d/e/1FAIpQLSeZ-R1GrWlAPkfaThGqxeTj0QTtrARw4rroxIIepf2kipn1nw/formResponse?usp=pp_url&amp;entry.1313582257=0092794157 / 252610139&amp;entry.1578404635=Hadir</v>
      </c>
      <c r="Q63" s="23" t="s">
        <v>531</v>
      </c>
      <c r="R63" s="12" t="s">
        <v>532</v>
      </c>
      <c r="S63" s="24" t="s">
        <v>533</v>
      </c>
      <c r="T63" s="23" t="str">
        <f>HYPERLINK("https://drive.google.com/file/d/1xtFbmUx3DpIkVo8HmV8a8ij_v5h0c5H4/view?usp=drivesdk","33 - X2 - Cinta Cludia Putri - P")</f>
        <v>33 - X2 - Cinta Cludia Putri - P</v>
      </c>
      <c r="U63" s="12" t="s">
        <v>509</v>
      </c>
      <c r="W63" s="25">
        <f>COUNTIFS('Form Presensi SCC'!$B:$B, IF($C63&lt;&gt;0, TEXT($C63, "0000000000"), $D63), 'Form Presensi SCC'!$C:$C, "Hadir")</f>
        <v>1</v>
      </c>
      <c r="Y63" s="26"/>
    </row>
    <row r="64" ht="22.5" customHeight="1">
      <c r="A64" s="18">
        <v>63.0</v>
      </c>
      <c r="B64" s="18">
        <v>16.0</v>
      </c>
      <c r="C64" s="18" t="s">
        <v>534</v>
      </c>
      <c r="D64" s="18" t="s">
        <v>535</v>
      </c>
      <c r="E64" s="18" t="s">
        <v>220</v>
      </c>
      <c r="F64" s="12">
        <v>33.0</v>
      </c>
      <c r="G64" s="10" t="s">
        <v>460</v>
      </c>
      <c r="H64" s="19"/>
      <c r="I64" s="20"/>
      <c r="J64" s="10" t="s">
        <v>460</v>
      </c>
      <c r="K64" s="21"/>
      <c r="L64" s="10"/>
      <c r="M64" s="22"/>
      <c r="N64" s="10"/>
      <c r="O64" s="10"/>
      <c r="P64" s="12" t="str">
        <f t="shared" si="1"/>
        <v>https://docs.google.com/forms/d/e/1FAIpQLSeZ-R1GrWlAPkfaThGqxeTj0QTtrARw4rroxIIepf2kipn1nw/formResponse?usp=pp_url&amp;entry.1313582257=0106384221 / 252610145&amp;entry.1578404635=Hadir</v>
      </c>
      <c r="Q64" s="23" t="s">
        <v>536</v>
      </c>
      <c r="R64" s="12" t="s">
        <v>537</v>
      </c>
      <c r="S64" s="24" t="s">
        <v>538</v>
      </c>
      <c r="T64" s="23" t="str">
        <f>HYPERLINK("https://drive.google.com/file/d/1Aa9oBtmISDIuHdQbVZCyfOLlYEq1Zl1W/view?usp=drivesdk","33 - X2 - Dafsyah Arifa Putra - L")</f>
        <v>33 - X2 - Dafsyah Arifa Putra - L</v>
      </c>
      <c r="U64" s="12" t="s">
        <v>509</v>
      </c>
      <c r="W64" s="25">
        <f>COUNTIFS('Form Presensi SCC'!$B:$B, IF($C64&lt;&gt;0, TEXT($C64, "0000000000"), $D64), 'Form Presensi SCC'!$C:$C, "Hadir")</f>
        <v>0</v>
      </c>
      <c r="Y64" s="26"/>
    </row>
    <row r="65" ht="22.5" customHeight="1">
      <c r="A65" s="10">
        <v>64.0</v>
      </c>
      <c r="B65" s="18">
        <v>17.0</v>
      </c>
      <c r="C65" s="18" t="s">
        <v>69</v>
      </c>
      <c r="D65" s="18" t="s">
        <v>539</v>
      </c>
      <c r="E65" s="18" t="s">
        <v>227</v>
      </c>
      <c r="F65" s="12">
        <v>33.0</v>
      </c>
      <c r="G65" s="10" t="s">
        <v>460</v>
      </c>
      <c r="H65" s="19"/>
      <c r="I65" s="20"/>
      <c r="J65" s="10" t="s">
        <v>460</v>
      </c>
      <c r="K65" s="21"/>
      <c r="L65" s="10"/>
      <c r="M65" s="22"/>
      <c r="N65" s="10"/>
      <c r="O65" s="10"/>
      <c r="P65" s="12" t="str">
        <f t="shared" si="1"/>
        <v>https://docs.google.com/forms/d/e/1FAIpQLSeZ-R1GrWlAPkfaThGqxeTj0QTtrARw4rroxIIepf2kipn1nw/formResponse?usp=pp_url&amp;entry.1313582257=3104617391 / 252610153&amp;entry.1578404635=Hadir</v>
      </c>
      <c r="Q65" s="23" t="s">
        <v>540</v>
      </c>
      <c r="R65" s="12" t="s">
        <v>541</v>
      </c>
      <c r="S65" s="24" t="s">
        <v>542</v>
      </c>
      <c r="T65" s="23" t="str">
        <f>HYPERLINK("https://drive.google.com/file/d/1XSTtBC7yMjTHBgtpGpPpDoj-cPr5OVl-/view?usp=drivesdk","33 - X2 - Denisa Azka Putri - P")</f>
        <v>33 - X2 - Denisa Azka Putri - P</v>
      </c>
      <c r="U65" s="12" t="s">
        <v>543</v>
      </c>
      <c r="W65" s="25">
        <f>COUNTIFS('Form Presensi SCC'!$B:$B, IF($C65&lt;&gt;0, TEXT($C65, "0000000000"), $D65), 'Form Presensi SCC'!$C:$C, "Hadir")</f>
        <v>1</v>
      </c>
      <c r="Y65" s="26"/>
    </row>
    <row r="66" ht="22.5" customHeight="1">
      <c r="A66" s="18">
        <v>65.0</v>
      </c>
      <c r="B66" s="18">
        <v>18.0</v>
      </c>
      <c r="C66" s="18" t="s">
        <v>544</v>
      </c>
      <c r="D66" s="18" t="s">
        <v>545</v>
      </c>
      <c r="E66" s="18" t="s">
        <v>227</v>
      </c>
      <c r="F66" s="12">
        <v>33.0</v>
      </c>
      <c r="G66" s="10" t="s">
        <v>460</v>
      </c>
      <c r="H66" s="19"/>
      <c r="I66" s="20"/>
      <c r="J66" s="10" t="s">
        <v>460</v>
      </c>
      <c r="K66" s="21"/>
      <c r="L66" s="10"/>
      <c r="M66" s="22"/>
      <c r="N66" s="10"/>
      <c r="O66" s="10"/>
      <c r="P66" s="12" t="str">
        <f t="shared" si="1"/>
        <v>https://docs.google.com/forms/d/e/1FAIpQLSeZ-R1GrWlAPkfaThGqxeTj0QTtrARw4rroxIIepf2kipn1nw/formResponse?usp=pp_url&amp;entry.1313582257=0098157268 / 252610154&amp;entry.1578404635=Hadir</v>
      </c>
      <c r="Q66" s="23" t="s">
        <v>546</v>
      </c>
      <c r="R66" s="12" t="s">
        <v>547</v>
      </c>
      <c r="S66" s="24" t="s">
        <v>548</v>
      </c>
      <c r="T66" s="23" t="str">
        <f>HYPERLINK("https://drive.google.com/file/d/1eiVnEYJDS-u1qKnxLAayn_TUeFJOzTFd/view?usp=drivesdk","33 - X2 - Devani Keyla Noris - P")</f>
        <v>33 - X2 - Devani Keyla Noris - P</v>
      </c>
      <c r="U66" s="12" t="s">
        <v>543</v>
      </c>
      <c r="W66" s="25">
        <f>COUNTIFS('Form Presensi SCC'!$B:$B, IF($C66&lt;&gt;0, TEXT($C66, "0000000000"), $D66), 'Form Presensi SCC'!$C:$C, "Hadir")</f>
        <v>0</v>
      </c>
      <c r="Y66" s="26"/>
    </row>
    <row r="67" ht="22.5" customHeight="1">
      <c r="A67" s="10">
        <v>66.0</v>
      </c>
      <c r="B67" s="18">
        <v>19.0</v>
      </c>
      <c r="C67" s="18" t="s">
        <v>549</v>
      </c>
      <c r="D67" s="18" t="s">
        <v>550</v>
      </c>
      <c r="E67" s="18" t="s">
        <v>220</v>
      </c>
      <c r="F67" s="12">
        <v>33.0</v>
      </c>
      <c r="G67" s="10" t="s">
        <v>460</v>
      </c>
      <c r="H67" s="19"/>
      <c r="I67" s="20"/>
      <c r="J67" s="10" t="s">
        <v>460</v>
      </c>
      <c r="K67" s="21"/>
      <c r="L67" s="10"/>
      <c r="M67" s="22"/>
      <c r="N67" s="10"/>
      <c r="O67" s="10"/>
      <c r="P67" s="12" t="str">
        <f t="shared" si="1"/>
        <v>https://docs.google.com/forms/d/e/1FAIpQLSeZ-R1GrWlAPkfaThGqxeTj0QTtrARw4rroxIIepf2kipn1nw/formResponse?usp=pp_url&amp;entry.1313582257=0099675945 / 252610164&amp;entry.1578404635=Hadir</v>
      </c>
      <c r="Q67" s="23" t="s">
        <v>551</v>
      </c>
      <c r="R67" s="12" t="s">
        <v>552</v>
      </c>
      <c r="S67" s="24" t="s">
        <v>553</v>
      </c>
      <c r="T67" s="23" t="str">
        <f>HYPERLINK("https://drive.google.com/file/d/1tl2zyEISP7Dq3RLetB3PGrISTGkXd_MA/view?usp=drivesdk","33 - X2 - Dimas Putra Pribadi - L")</f>
        <v>33 - X2 - Dimas Putra Pribadi - L</v>
      </c>
      <c r="U67" s="12" t="s">
        <v>543</v>
      </c>
      <c r="W67" s="25">
        <f>COUNTIFS('Form Presensi SCC'!$B:$B, IF($C67&lt;&gt;0, TEXT($C67, "0000000000"), $D67), 'Form Presensi SCC'!$C:$C, "Hadir")</f>
        <v>0</v>
      </c>
      <c r="Y67" s="26"/>
    </row>
    <row r="68" ht="22.5" customHeight="1">
      <c r="A68" s="18">
        <v>67.0</v>
      </c>
      <c r="B68" s="18">
        <v>20.0</v>
      </c>
      <c r="C68" s="18" t="s">
        <v>554</v>
      </c>
      <c r="D68" s="18" t="s">
        <v>555</v>
      </c>
      <c r="E68" s="18" t="s">
        <v>220</v>
      </c>
      <c r="F68" s="12">
        <v>33.0</v>
      </c>
      <c r="G68" s="10" t="s">
        <v>460</v>
      </c>
      <c r="H68" s="19"/>
      <c r="I68" s="20"/>
      <c r="J68" s="10" t="s">
        <v>460</v>
      </c>
      <c r="K68" s="21"/>
      <c r="L68" s="10"/>
      <c r="M68" s="22"/>
      <c r="N68" s="10"/>
      <c r="O68" s="10"/>
      <c r="P68" s="12" t="str">
        <f t="shared" si="1"/>
        <v>https://docs.google.com/forms/d/e/1FAIpQLSeZ-R1GrWlAPkfaThGqxeTj0QTtrARw4rroxIIepf2kipn1nw/formResponse?usp=pp_url&amp;entry.1313582257=0104532267 / 252610180&amp;entry.1578404635=Hadir</v>
      </c>
      <c r="Q68" s="23" t="s">
        <v>556</v>
      </c>
      <c r="R68" s="12" t="s">
        <v>557</v>
      </c>
      <c r="S68" s="24" t="s">
        <v>558</v>
      </c>
      <c r="T68" s="23" t="str">
        <f>HYPERLINK("https://drive.google.com/file/d/10ssq1wm8KUnqliKzed2wq1UlH-tV83v0/view?usp=drivesdk","33 - X2 - Elvio Dyahyu Yusanto - L")</f>
        <v>33 - X2 - Elvio Dyahyu Yusanto - L</v>
      </c>
      <c r="U68" s="12" t="s">
        <v>543</v>
      </c>
      <c r="W68" s="25">
        <f>COUNTIFS('Form Presensi SCC'!$B:$B, IF($C68&lt;&gt;0, TEXT($C68, "0000000000"), $D68), 'Form Presensi SCC'!$C:$C, "Hadir")</f>
        <v>0</v>
      </c>
      <c r="Y68" s="26"/>
    </row>
    <row r="69" ht="22.5" customHeight="1">
      <c r="A69" s="10">
        <v>68.0</v>
      </c>
      <c r="B69" s="18">
        <v>21.0</v>
      </c>
      <c r="C69" s="18" t="s">
        <v>559</v>
      </c>
      <c r="D69" s="18" t="s">
        <v>560</v>
      </c>
      <c r="E69" s="18" t="s">
        <v>227</v>
      </c>
      <c r="F69" s="12">
        <v>33.0</v>
      </c>
      <c r="G69" s="10" t="s">
        <v>460</v>
      </c>
      <c r="H69" s="19"/>
      <c r="I69" s="20"/>
      <c r="J69" s="10" t="s">
        <v>460</v>
      </c>
      <c r="K69" s="21"/>
      <c r="L69" s="10"/>
      <c r="M69" s="22"/>
      <c r="N69" s="10"/>
      <c r="O69" s="10"/>
      <c r="P69" s="12" t="str">
        <f t="shared" si="1"/>
        <v>https://docs.google.com/forms/d/e/1FAIpQLSeZ-R1GrWlAPkfaThGqxeTj0QTtrARw4rroxIIepf2kipn1nw/formResponse?usp=pp_url&amp;entry.1313582257=0097593921 / 252610181&amp;entry.1578404635=Hadir</v>
      </c>
      <c r="Q69" s="23" t="s">
        <v>561</v>
      </c>
      <c r="R69" s="12" t="s">
        <v>562</v>
      </c>
      <c r="S69" s="24" t="s">
        <v>563</v>
      </c>
      <c r="T69" s="23" t="str">
        <f>HYPERLINK("https://drive.google.com/file/d/1HGsLAhXQiLtRkeaWyWRfG_2bF-Bla9QE/view?usp=drivesdk","33 - X2 - Enisye Putri Zeliawati Limpong - P")</f>
        <v>33 - X2 - Enisye Putri Zeliawati Limpong - P</v>
      </c>
      <c r="U69" s="12" t="s">
        <v>543</v>
      </c>
      <c r="W69" s="25">
        <f>COUNTIFS('Form Presensi SCC'!$B:$B, IF($C69&lt;&gt;0, TEXT($C69, "0000000000"), $D69), 'Form Presensi SCC'!$C:$C, "Hadir")</f>
        <v>0</v>
      </c>
      <c r="Y69" s="26"/>
    </row>
    <row r="70" ht="22.5" customHeight="1">
      <c r="A70" s="18">
        <v>69.0</v>
      </c>
      <c r="B70" s="18">
        <v>22.0</v>
      </c>
      <c r="C70" s="18" t="s">
        <v>564</v>
      </c>
      <c r="D70" s="18" t="s">
        <v>565</v>
      </c>
      <c r="E70" s="18" t="s">
        <v>220</v>
      </c>
      <c r="F70" s="12">
        <v>33.0</v>
      </c>
      <c r="G70" s="10" t="s">
        <v>460</v>
      </c>
      <c r="H70" s="19"/>
      <c r="I70" s="20"/>
      <c r="J70" s="10" t="s">
        <v>460</v>
      </c>
      <c r="K70" s="21"/>
      <c r="L70" s="10"/>
      <c r="M70" s="22"/>
      <c r="N70" s="10"/>
      <c r="O70" s="10"/>
      <c r="P70" s="12" t="str">
        <f t="shared" si="1"/>
        <v>https://docs.google.com/forms/d/e/1FAIpQLSeZ-R1GrWlAPkfaThGqxeTj0QTtrARw4rroxIIepf2kipn1nw/formResponse?usp=pp_url&amp;entry.1313582257=0106157075 / 252610185&amp;entry.1578404635=Hadir</v>
      </c>
      <c r="Q70" s="23" t="s">
        <v>566</v>
      </c>
      <c r="R70" s="12" t="s">
        <v>567</v>
      </c>
      <c r="S70" s="24" t="s">
        <v>568</v>
      </c>
      <c r="T70" s="23" t="str">
        <f>HYPERLINK("https://drive.google.com/file/d/1Mt7hr5HATywHoOrEiSMOPviObVfd6qEX/view?usp=drivesdk","33 - X2 - Fabian Ahza Hidayat - L")</f>
        <v>33 - X2 - Fabian Ahza Hidayat - L</v>
      </c>
      <c r="U70" s="12" t="s">
        <v>569</v>
      </c>
      <c r="W70" s="25">
        <f>COUNTIFS('Form Presensi SCC'!$B:$B, IF($C70&lt;&gt;0, TEXT($C70, "0000000000"), $D70), 'Form Presensi SCC'!$C:$C, "Hadir")</f>
        <v>0</v>
      </c>
      <c r="Y70" s="26"/>
    </row>
    <row r="71" ht="22.5" customHeight="1">
      <c r="A71" s="10">
        <v>70.0</v>
      </c>
      <c r="B71" s="18">
        <v>23.0</v>
      </c>
      <c r="C71" s="18" t="s">
        <v>570</v>
      </c>
      <c r="D71" s="18" t="s">
        <v>571</v>
      </c>
      <c r="E71" s="18" t="s">
        <v>227</v>
      </c>
      <c r="F71" s="12">
        <v>33.0</v>
      </c>
      <c r="G71" s="10" t="s">
        <v>460</v>
      </c>
      <c r="H71" s="19"/>
      <c r="I71" s="20"/>
      <c r="J71" s="10" t="s">
        <v>460</v>
      </c>
      <c r="K71" s="21"/>
      <c r="L71" s="10"/>
      <c r="M71" s="22"/>
      <c r="N71" s="10"/>
      <c r="O71" s="10"/>
      <c r="P71" s="12" t="str">
        <f t="shared" si="1"/>
        <v>https://docs.google.com/forms/d/e/1FAIpQLSeZ-R1GrWlAPkfaThGqxeTj0QTtrARw4rroxIIepf2kipn1nw/formResponse?usp=pp_url&amp;entry.1313582257=0104141415 / 252610186&amp;entry.1578404635=Hadir</v>
      </c>
      <c r="Q71" s="23" t="s">
        <v>572</v>
      </c>
      <c r="R71" s="12" t="s">
        <v>573</v>
      </c>
      <c r="S71" s="24" t="s">
        <v>574</v>
      </c>
      <c r="T71" s="23" t="str">
        <f>HYPERLINK("https://drive.google.com/file/d/1122cdxXYNmiwkRWsKNX3qQeJZRIzNxyQ/view?usp=drivesdk","33 - X2 - Fadhilah Raisa Kamilati - P")</f>
        <v>33 - X2 - Fadhilah Raisa Kamilati - P</v>
      </c>
      <c r="U71" s="12" t="s">
        <v>569</v>
      </c>
      <c r="W71" s="25">
        <f>COUNTIFS('Form Presensi SCC'!$B:$B, IF($C71&lt;&gt;0, TEXT($C71, "0000000000"), $D71), 'Form Presensi SCC'!$C:$C, "Hadir")</f>
        <v>0</v>
      </c>
      <c r="Y71" s="26"/>
    </row>
    <row r="72" ht="22.5" customHeight="1">
      <c r="A72" s="18">
        <v>71.0</v>
      </c>
      <c r="B72" s="18">
        <v>24.0</v>
      </c>
      <c r="C72" s="18" t="s">
        <v>575</v>
      </c>
      <c r="D72" s="18" t="s">
        <v>576</v>
      </c>
      <c r="E72" s="18" t="s">
        <v>227</v>
      </c>
      <c r="F72" s="12">
        <v>33.0</v>
      </c>
      <c r="G72" s="10" t="s">
        <v>460</v>
      </c>
      <c r="H72" s="19"/>
      <c r="I72" s="20"/>
      <c r="J72" s="10" t="s">
        <v>460</v>
      </c>
      <c r="K72" s="21"/>
      <c r="L72" s="10"/>
      <c r="M72" s="22"/>
      <c r="N72" s="10"/>
      <c r="O72" s="10"/>
      <c r="P72" s="12" t="str">
        <f t="shared" si="1"/>
        <v>https://docs.google.com/forms/d/e/1FAIpQLSeZ-R1GrWlAPkfaThGqxeTj0QTtrARw4rroxIIepf2kipn1nw/formResponse?usp=pp_url&amp;entry.1313582257=0105606050 / 252610238&amp;entry.1578404635=Hadir</v>
      </c>
      <c r="Q72" s="23" t="s">
        <v>577</v>
      </c>
      <c r="R72" s="12" t="s">
        <v>578</v>
      </c>
      <c r="S72" s="24" t="s">
        <v>579</v>
      </c>
      <c r="T72" s="23" t="str">
        <f>HYPERLINK("https://drive.google.com/file/d/19llijfO1x_OiR6TCXHYoUcxcvUX1RD2B/view?usp=drivesdk","33 - X2 - Jasmine Makayla Putri Arvani - P")</f>
        <v>33 - X2 - Jasmine Makayla Putri Arvani - P</v>
      </c>
      <c r="U72" s="12" t="s">
        <v>569</v>
      </c>
      <c r="W72" s="25">
        <f>COUNTIFS('Form Presensi SCC'!$B:$B, IF($C72&lt;&gt;0, TEXT($C72, "0000000000"), $D72), 'Form Presensi SCC'!$C:$C, "Hadir")</f>
        <v>0</v>
      </c>
      <c r="Y72" s="26"/>
    </row>
    <row r="73" ht="22.5" customHeight="1">
      <c r="A73" s="10">
        <v>72.0</v>
      </c>
      <c r="B73" s="18">
        <v>25.0</v>
      </c>
      <c r="C73" s="18" t="s">
        <v>580</v>
      </c>
      <c r="D73" s="18" t="s">
        <v>581</v>
      </c>
      <c r="E73" s="18" t="s">
        <v>220</v>
      </c>
      <c r="F73" s="12">
        <v>33.0</v>
      </c>
      <c r="G73" s="10" t="s">
        <v>460</v>
      </c>
      <c r="H73" s="19"/>
      <c r="I73" s="20"/>
      <c r="J73" s="10" t="s">
        <v>460</v>
      </c>
      <c r="K73" s="21"/>
      <c r="L73" s="10"/>
      <c r="M73" s="22"/>
      <c r="N73" s="10"/>
      <c r="O73" s="10"/>
      <c r="P73" s="12" t="str">
        <f t="shared" si="1"/>
        <v>https://docs.google.com/forms/d/e/1FAIpQLSeZ-R1GrWlAPkfaThGqxeTj0QTtrARw4rroxIIepf2kipn1nw/formResponse?usp=pp_url&amp;entry.1313582257=0094564578 / 252610277&amp;entry.1578404635=Hadir</v>
      </c>
      <c r="Q73" s="23" t="s">
        <v>582</v>
      </c>
      <c r="R73" s="12" t="s">
        <v>583</v>
      </c>
      <c r="S73" s="24" t="s">
        <v>584</v>
      </c>
      <c r="T73" s="23" t="str">
        <f>HYPERLINK("https://drive.google.com/file/d/1lj-0qEARLf03Uk2YJvolOl8cRZCvAUUM/view?usp=drivesdk","33 - X2 - Khalid Ahmad Ghazali - L")</f>
        <v>33 - X2 - Khalid Ahmad Ghazali - L</v>
      </c>
      <c r="U73" s="12" t="s">
        <v>569</v>
      </c>
      <c r="W73" s="25">
        <f>COUNTIFS('Form Presensi SCC'!$B:$B, IF($C73&lt;&gt;0, TEXT($C73, "0000000000"), $D73), 'Form Presensi SCC'!$C:$C, "Hadir")</f>
        <v>0</v>
      </c>
      <c r="Y73" s="26"/>
    </row>
    <row r="74" ht="22.5" customHeight="1">
      <c r="A74" s="18">
        <v>73.0</v>
      </c>
      <c r="B74" s="18">
        <v>26.0</v>
      </c>
      <c r="C74" s="18" t="s">
        <v>585</v>
      </c>
      <c r="D74" s="18" t="s">
        <v>586</v>
      </c>
      <c r="E74" s="18" t="s">
        <v>227</v>
      </c>
      <c r="F74" s="12">
        <v>33.0</v>
      </c>
      <c r="G74" s="10" t="s">
        <v>460</v>
      </c>
      <c r="H74" s="19"/>
      <c r="I74" s="20"/>
      <c r="J74" s="10" t="s">
        <v>460</v>
      </c>
      <c r="K74" s="21"/>
      <c r="L74" s="10"/>
      <c r="M74" s="22"/>
      <c r="N74" s="10"/>
      <c r="O74" s="10"/>
      <c r="P74" s="12" t="str">
        <f t="shared" si="1"/>
        <v>https://docs.google.com/forms/d/e/1FAIpQLSeZ-R1GrWlAPkfaThGqxeTj0QTtrARw4rroxIIepf2kipn1nw/formResponse?usp=pp_url&amp;entry.1313582257=0103261879 / 252610280&amp;entry.1578404635=Hadir</v>
      </c>
      <c r="Q74" s="23" t="s">
        <v>587</v>
      </c>
      <c r="R74" s="12" t="s">
        <v>588</v>
      </c>
      <c r="S74" s="24" t="s">
        <v>589</v>
      </c>
      <c r="T74" s="23" t="str">
        <f>HYPERLINK("https://drive.google.com/file/d/1S0DIpk1zAe7Fjqb1ZBi4UMB34MVxxEG7/view?usp=drivesdk","33 - X2 - Khansa Aulia Damtsa Hylmi - P")</f>
        <v>33 - X2 - Khansa Aulia Damtsa Hylmi - P</v>
      </c>
      <c r="U74" s="12" t="s">
        <v>569</v>
      </c>
      <c r="W74" s="25">
        <f>COUNTIFS('Form Presensi SCC'!$B:$B, IF($C74&lt;&gt;0, TEXT($C74, "0000000000"), $D74), 'Form Presensi SCC'!$C:$C, "Hadir")</f>
        <v>0</v>
      </c>
      <c r="Y74" s="26"/>
    </row>
    <row r="75" ht="22.5" customHeight="1">
      <c r="A75" s="10">
        <v>74.0</v>
      </c>
      <c r="B75" s="18">
        <v>27.0</v>
      </c>
      <c r="C75" s="18" t="s">
        <v>590</v>
      </c>
      <c r="D75" s="18" t="s">
        <v>591</v>
      </c>
      <c r="E75" s="18" t="s">
        <v>220</v>
      </c>
      <c r="F75" s="12">
        <v>33.0</v>
      </c>
      <c r="G75" s="10" t="s">
        <v>460</v>
      </c>
      <c r="H75" s="19"/>
      <c r="I75" s="20"/>
      <c r="J75" s="10" t="s">
        <v>460</v>
      </c>
      <c r="K75" s="21"/>
      <c r="L75" s="10"/>
      <c r="M75" s="22"/>
      <c r="N75" s="10"/>
      <c r="O75" s="10"/>
      <c r="P75" s="12" t="str">
        <f t="shared" si="1"/>
        <v>https://docs.google.com/forms/d/e/1FAIpQLSeZ-R1GrWlAPkfaThGqxeTj0QTtrARw4rroxIIepf2kipn1nw/formResponse?usp=pp_url&amp;entry.1313582257=0109361118 / 252610290&amp;entry.1578404635=Hadir</v>
      </c>
      <c r="Q75" s="23" t="s">
        <v>592</v>
      </c>
      <c r="R75" s="12" t="s">
        <v>593</v>
      </c>
      <c r="S75" s="24" t="s">
        <v>594</v>
      </c>
      <c r="T75" s="23" t="str">
        <f>HYPERLINK("https://drive.google.com/file/d/1QFVfyKQvRrMeZhti0dM6odyFh5acCmk1/view?usp=drivesdk","33 - X2 - Lionel Boanerges Raffles Simangunsong - L")</f>
        <v>33 - X2 - Lionel Boanerges Raffles Simangunsong - L</v>
      </c>
      <c r="U75" s="12" t="s">
        <v>569</v>
      </c>
      <c r="W75" s="25">
        <f>COUNTIFS('Form Presensi SCC'!$B:$B, IF($C75&lt;&gt;0, TEXT($C75, "0000000000"), $D75), 'Form Presensi SCC'!$C:$C, "Hadir")</f>
        <v>0</v>
      </c>
      <c r="Y75" s="26"/>
    </row>
    <row r="76" ht="22.5" customHeight="1">
      <c r="A76" s="18">
        <v>75.0</v>
      </c>
      <c r="B76" s="18">
        <v>28.0</v>
      </c>
      <c r="C76" s="18" t="s">
        <v>595</v>
      </c>
      <c r="D76" s="18" t="s">
        <v>596</v>
      </c>
      <c r="E76" s="18" t="s">
        <v>220</v>
      </c>
      <c r="F76" s="12">
        <v>33.0</v>
      </c>
      <c r="G76" s="10" t="s">
        <v>460</v>
      </c>
      <c r="H76" s="19"/>
      <c r="I76" s="20"/>
      <c r="J76" s="10" t="s">
        <v>460</v>
      </c>
      <c r="K76" s="21"/>
      <c r="L76" s="10"/>
      <c r="M76" s="22"/>
      <c r="N76" s="10"/>
      <c r="O76" s="10"/>
      <c r="P76" s="12" t="str">
        <f t="shared" si="1"/>
        <v>https://docs.google.com/forms/d/e/1FAIpQLSeZ-R1GrWlAPkfaThGqxeTj0QTtrARw4rroxIIepf2kipn1nw/formResponse?usp=pp_url&amp;entry.1313582257=0092576905 / 252610302&amp;entry.1578404635=Hadir</v>
      </c>
      <c r="Q76" s="23" t="s">
        <v>597</v>
      </c>
      <c r="R76" s="12" t="s">
        <v>598</v>
      </c>
      <c r="S76" s="24" t="s">
        <v>599</v>
      </c>
      <c r="T76" s="23" t="str">
        <f>HYPERLINK("https://drive.google.com/file/d/1FBCcFFzew30fnKWESTG8pwP5UaeUOYzI/view?usp=drivesdk","33 - X2 - Mardiansyah Isman - L")</f>
        <v>33 - X2 - Mardiansyah Isman - L</v>
      </c>
      <c r="U76" s="12" t="s">
        <v>600</v>
      </c>
      <c r="W76" s="25">
        <f>COUNTIFS('Form Presensi SCC'!$B:$B, IF($C76&lt;&gt;0, TEXT($C76, "0000000000"), $D76), 'Form Presensi SCC'!$C:$C, "Hadir")</f>
        <v>0</v>
      </c>
      <c r="Y76" s="26"/>
    </row>
    <row r="77" ht="22.5" customHeight="1">
      <c r="A77" s="10">
        <v>76.0</v>
      </c>
      <c r="B77" s="18">
        <v>29.0</v>
      </c>
      <c r="C77" s="18" t="s">
        <v>601</v>
      </c>
      <c r="D77" s="18" t="s">
        <v>602</v>
      </c>
      <c r="E77" s="18" t="s">
        <v>220</v>
      </c>
      <c r="F77" s="12">
        <v>33.0</v>
      </c>
      <c r="G77" s="10" t="s">
        <v>460</v>
      </c>
      <c r="H77" s="19"/>
      <c r="I77" s="20"/>
      <c r="J77" s="10" t="s">
        <v>460</v>
      </c>
      <c r="K77" s="21"/>
      <c r="L77" s="10"/>
      <c r="M77" s="22"/>
      <c r="N77" s="10"/>
      <c r="O77" s="10"/>
      <c r="P77" s="12" t="str">
        <f t="shared" si="1"/>
        <v>https://docs.google.com/forms/d/e/1FAIpQLSeZ-R1GrWlAPkfaThGqxeTj0QTtrARw4rroxIIepf2kipn1nw/formResponse?usp=pp_url&amp;entry.1313582257=0099605205 / 252610319&amp;entry.1578404635=Hadir</v>
      </c>
      <c r="Q77" s="23" t="s">
        <v>603</v>
      </c>
      <c r="R77" s="12" t="s">
        <v>604</v>
      </c>
      <c r="S77" s="24" t="s">
        <v>605</v>
      </c>
      <c r="T77" s="23" t="str">
        <f>HYPERLINK("https://drive.google.com/file/d/1VgpFNvSnqkG0JdF2i9DT5MidKi8sDBio/view?usp=drivesdk","33 - X2 - Mohammad Haikal - L")</f>
        <v>33 - X2 - Mohammad Haikal - L</v>
      </c>
      <c r="U77" s="12" t="s">
        <v>600</v>
      </c>
      <c r="W77" s="25">
        <f>COUNTIFS('Form Presensi SCC'!$B:$B, IF($C77&lt;&gt;0, TEXT($C77, "0000000000"), $D77), 'Form Presensi SCC'!$C:$C, "Hadir")</f>
        <v>0</v>
      </c>
      <c r="Y77" s="26"/>
    </row>
    <row r="78" ht="22.5" customHeight="1">
      <c r="A78" s="18">
        <v>77.0</v>
      </c>
      <c r="B78" s="18">
        <v>30.0</v>
      </c>
      <c r="C78" s="18" t="s">
        <v>156</v>
      </c>
      <c r="D78" s="18" t="s">
        <v>606</v>
      </c>
      <c r="E78" s="18" t="s">
        <v>220</v>
      </c>
      <c r="F78" s="12">
        <v>33.0</v>
      </c>
      <c r="G78" s="10" t="s">
        <v>460</v>
      </c>
      <c r="H78" s="22" t="s">
        <v>371</v>
      </c>
      <c r="I78" s="20"/>
      <c r="J78" s="10" t="s">
        <v>460</v>
      </c>
      <c r="K78" s="21"/>
      <c r="L78" s="10"/>
      <c r="M78" s="22"/>
      <c r="N78" s="10"/>
      <c r="O78" s="10"/>
      <c r="P78" s="12" t="str">
        <f t="shared" si="1"/>
        <v>https://docs.google.com/forms/d/e/1FAIpQLSeZ-R1GrWlAPkfaThGqxeTj0QTtrARw4rroxIIepf2kipn1nw/formResponse?usp=pp_url&amp;entry.1313582257=0108384400 / 252610320&amp;entry.1578404635=Hadir</v>
      </c>
      <c r="Q78" s="23" t="s">
        <v>607</v>
      </c>
      <c r="R78" s="12" t="s">
        <v>608</v>
      </c>
      <c r="S78" s="24" t="s">
        <v>609</v>
      </c>
      <c r="T78" s="23" t="str">
        <f>HYPERLINK("https://drive.google.com/file/d/1FWZnG5ZJn-6tfik7MX824aPxBgHrzdC2/view?usp=drivesdk","33 - X2 - Mohammad Irshad Faizanshah - L")</f>
        <v>33 - X2 - Mohammad Irshad Faizanshah - L</v>
      </c>
      <c r="U78" s="12" t="s">
        <v>600</v>
      </c>
      <c r="W78" s="25">
        <f>COUNTIFS('Form Presensi SCC'!$B:$B, IF($C78&lt;&gt;0, TEXT($C78, "0000000000"), $D78), 'Form Presensi SCC'!$C:$C, "Hadir")</f>
        <v>2</v>
      </c>
      <c r="Y78" s="26"/>
    </row>
    <row r="79" ht="22.5" customHeight="1">
      <c r="A79" s="10">
        <v>78.0</v>
      </c>
      <c r="B79" s="18">
        <v>31.0</v>
      </c>
      <c r="C79" s="18" t="s">
        <v>610</v>
      </c>
      <c r="D79" s="18" t="s">
        <v>611</v>
      </c>
      <c r="E79" s="18" t="s">
        <v>220</v>
      </c>
      <c r="F79" s="12">
        <v>33.0</v>
      </c>
      <c r="G79" s="10" t="s">
        <v>460</v>
      </c>
      <c r="H79" s="19"/>
      <c r="I79" s="20"/>
      <c r="J79" s="10" t="s">
        <v>460</v>
      </c>
      <c r="K79" s="21"/>
      <c r="L79" s="10"/>
      <c r="M79" s="22"/>
      <c r="N79" s="10"/>
      <c r="O79" s="10"/>
      <c r="P79" s="12" t="str">
        <f t="shared" si="1"/>
        <v>https://docs.google.com/forms/d/e/1FAIpQLSeZ-R1GrWlAPkfaThGqxeTj0QTtrARw4rroxIIepf2kipn1nw/formResponse?usp=pp_url&amp;entry.1313582257=0098087445 / 252610332&amp;entry.1578404635=Hadir</v>
      </c>
      <c r="Q79" s="23" t="s">
        <v>612</v>
      </c>
      <c r="R79" s="12" t="s">
        <v>613</v>
      </c>
      <c r="S79" s="24" t="s">
        <v>614</v>
      </c>
      <c r="T79" s="23" t="str">
        <f>HYPERLINK("https://drive.google.com/file/d/1jPGSdHHSUCxrT7ggYS3amvbPqIAsOs4f/view?usp=drivesdk","33 - X2 - Muhamad Thoriq Al Rasyad - L")</f>
        <v>33 - X2 - Muhamad Thoriq Al Rasyad - L</v>
      </c>
      <c r="U79" s="12" t="s">
        <v>600</v>
      </c>
      <c r="W79" s="25">
        <f>COUNTIFS('Form Presensi SCC'!$B:$B, IF($C79&lt;&gt;0, TEXT($C79, "0000000000"), $D79), 'Form Presensi SCC'!$C:$C, "Hadir")</f>
        <v>0</v>
      </c>
      <c r="Y79" s="26"/>
    </row>
    <row r="80" ht="22.5" customHeight="1">
      <c r="A80" s="18">
        <v>79.0</v>
      </c>
      <c r="B80" s="18">
        <v>32.0</v>
      </c>
      <c r="C80" s="18" t="s">
        <v>615</v>
      </c>
      <c r="D80" s="18" t="s">
        <v>616</v>
      </c>
      <c r="E80" s="18" t="s">
        <v>220</v>
      </c>
      <c r="F80" s="12">
        <v>33.0</v>
      </c>
      <c r="G80" s="10" t="s">
        <v>460</v>
      </c>
      <c r="H80" s="19"/>
      <c r="I80" s="20"/>
      <c r="J80" s="10" t="s">
        <v>460</v>
      </c>
      <c r="K80" s="21"/>
      <c r="L80" s="10"/>
      <c r="M80" s="22"/>
      <c r="N80" s="10"/>
      <c r="O80" s="10"/>
      <c r="P80" s="12" t="str">
        <f t="shared" si="1"/>
        <v>https://docs.google.com/forms/d/e/1FAIpQLSeZ-R1GrWlAPkfaThGqxeTj0QTtrARw4rroxIIepf2kipn1nw/formResponse?usp=pp_url&amp;entry.1313582257=0108518402 / 252610336&amp;entry.1578404635=Hadir</v>
      </c>
      <c r="Q80" s="23" t="s">
        <v>617</v>
      </c>
      <c r="R80" s="12" t="s">
        <v>618</v>
      </c>
      <c r="S80" s="24" t="s">
        <v>619</v>
      </c>
      <c r="T80" s="23" t="str">
        <f>HYPERLINK("https://drive.google.com/file/d/1Mv4FSvwX8_YPBvVtZIZgr6j-EXeMg3kx/view?usp=drivesdk","33 - X2 - Muhammad Akmaluddin - L")</f>
        <v>33 - X2 - Muhammad Akmaluddin - L</v>
      </c>
      <c r="U80" s="12" t="s">
        <v>600</v>
      </c>
      <c r="W80" s="25">
        <f>COUNTIFS('Form Presensi SCC'!$B:$B, IF($C80&lt;&gt;0, TEXT($C80, "0000000000"), $D80), 'Form Presensi SCC'!$C:$C, "Hadir")</f>
        <v>0</v>
      </c>
      <c r="Y80" s="26"/>
    </row>
    <row r="81" ht="22.5" customHeight="1">
      <c r="A81" s="10">
        <v>80.0</v>
      </c>
      <c r="B81" s="18">
        <v>33.0</v>
      </c>
      <c r="C81" s="18" t="s">
        <v>155</v>
      </c>
      <c r="D81" s="18" t="s">
        <v>620</v>
      </c>
      <c r="E81" s="18" t="s">
        <v>220</v>
      </c>
      <c r="F81" s="12">
        <v>33.0</v>
      </c>
      <c r="G81" s="10" t="s">
        <v>460</v>
      </c>
      <c r="H81" s="22" t="s">
        <v>371</v>
      </c>
      <c r="I81" s="20"/>
      <c r="J81" s="10" t="s">
        <v>460</v>
      </c>
      <c r="K81" s="21"/>
      <c r="L81" s="10"/>
      <c r="M81" s="22"/>
      <c r="N81" s="10"/>
      <c r="O81" s="10"/>
      <c r="P81" s="12" t="str">
        <f t="shared" si="1"/>
        <v>https://docs.google.com/forms/d/e/1FAIpQLSeZ-R1GrWlAPkfaThGqxeTj0QTtrARw4rroxIIepf2kipn1nw/formResponse?usp=pp_url&amp;entry.1313582257=0098345742 / 252610338&amp;entry.1578404635=Hadir</v>
      </c>
      <c r="Q81" s="23" t="s">
        <v>621</v>
      </c>
      <c r="R81" s="12" t="s">
        <v>622</v>
      </c>
      <c r="S81" s="24" t="s">
        <v>623</v>
      </c>
      <c r="T81" s="23" t="str">
        <f>HYPERLINK("https://drive.google.com/file/d/1a8w_mMq0j719TO-dOQXvCzFmUsxKFfIa/view?usp=drivesdk","33 - X2 - Muhammad Ariza Rizkya Irvan - L")</f>
        <v>33 - X2 - Muhammad Ariza Rizkya Irvan - L</v>
      </c>
      <c r="U81" s="12" t="s">
        <v>600</v>
      </c>
      <c r="W81" s="25">
        <f>COUNTIFS('Form Presensi SCC'!$B:$B, IF($C81&lt;&gt;0, TEXT($C81, "0000000000"), $D81), 'Form Presensi SCC'!$C:$C, "Hadir")</f>
        <v>2</v>
      </c>
      <c r="Y81" s="26"/>
    </row>
    <row r="82" ht="22.5" customHeight="1">
      <c r="A82" s="18">
        <v>81.0</v>
      </c>
      <c r="B82" s="18">
        <v>34.0</v>
      </c>
      <c r="C82" s="18" t="s">
        <v>624</v>
      </c>
      <c r="D82" s="18" t="s">
        <v>625</v>
      </c>
      <c r="E82" s="18" t="s">
        <v>220</v>
      </c>
      <c r="F82" s="12">
        <v>33.0</v>
      </c>
      <c r="G82" s="10" t="s">
        <v>460</v>
      </c>
      <c r="H82" s="19"/>
      <c r="I82" s="20"/>
      <c r="J82" s="10" t="s">
        <v>460</v>
      </c>
      <c r="K82" s="21"/>
      <c r="L82" s="10"/>
      <c r="M82" s="22"/>
      <c r="N82" s="10"/>
      <c r="O82" s="10"/>
      <c r="P82" s="12" t="str">
        <f t="shared" si="1"/>
        <v>https://docs.google.com/forms/d/e/1FAIpQLSeZ-R1GrWlAPkfaThGqxeTj0QTtrARw4rroxIIepf2kipn1nw/formResponse?usp=pp_url&amp;entry.1313582257=0104535464 / 252610362&amp;entry.1578404635=Hadir</v>
      </c>
      <c r="Q82" s="23" t="s">
        <v>626</v>
      </c>
      <c r="R82" s="12" t="s">
        <v>627</v>
      </c>
      <c r="S82" s="24" t="s">
        <v>628</v>
      </c>
      <c r="T82" s="23" t="str">
        <f>HYPERLINK("https://drive.google.com/file/d/1ve7XxNjVjcZOKZeCYKw3Ly6jVPiSpPdg/view?usp=drivesdk","33 - X2 - Muhammad Nazam Rizal - L")</f>
        <v>33 - X2 - Muhammad Nazam Rizal - L</v>
      </c>
      <c r="U82" s="12" t="s">
        <v>629</v>
      </c>
      <c r="W82" s="25">
        <f>COUNTIFS('Form Presensi SCC'!$B:$B, IF($C82&lt;&gt;0, TEXT($C82, "0000000000"), $D82), 'Form Presensi SCC'!$C:$C, "Hadir")</f>
        <v>0</v>
      </c>
      <c r="Y82" s="26"/>
    </row>
    <row r="83" ht="22.5" customHeight="1">
      <c r="A83" s="10">
        <v>82.0</v>
      </c>
      <c r="B83" s="18">
        <v>35.0</v>
      </c>
      <c r="C83" s="18" t="s">
        <v>630</v>
      </c>
      <c r="D83" s="18" t="s">
        <v>631</v>
      </c>
      <c r="E83" s="18" t="s">
        <v>220</v>
      </c>
      <c r="F83" s="12">
        <v>33.0</v>
      </c>
      <c r="G83" s="10" t="s">
        <v>460</v>
      </c>
      <c r="H83" s="19"/>
      <c r="I83" s="20"/>
      <c r="J83" s="10" t="s">
        <v>460</v>
      </c>
      <c r="K83" s="21"/>
      <c r="L83" s="10"/>
      <c r="M83" s="22"/>
      <c r="N83" s="10"/>
      <c r="O83" s="10"/>
      <c r="P83" s="12" t="str">
        <f t="shared" si="1"/>
        <v>https://docs.google.com/forms/d/e/1FAIpQLSeZ-R1GrWlAPkfaThGqxeTj0QTtrARw4rroxIIepf2kipn1nw/formResponse?usp=pp_url&amp;entry.1313582257=3107410887 / 252610365&amp;entry.1578404635=Hadir</v>
      </c>
      <c r="Q83" s="23" t="s">
        <v>632</v>
      </c>
      <c r="R83" s="12" t="s">
        <v>633</v>
      </c>
      <c r="S83" s="24" t="s">
        <v>634</v>
      </c>
      <c r="T83" s="23" t="str">
        <f>HYPERLINK("https://drive.google.com/file/d/1_2htkTdjA54d_tiYlz2OttpNezsuoFau/view?usp=drivesdk","33 - X2 - Muhammad Rasyad Mahdawi - L")</f>
        <v>33 - X2 - Muhammad Rasyad Mahdawi - L</v>
      </c>
      <c r="U83" s="12" t="s">
        <v>629</v>
      </c>
      <c r="W83" s="25">
        <f>COUNTIFS('Form Presensi SCC'!$B:$B, IF($C83&lt;&gt;0, TEXT($C83, "0000000000"), $D83), 'Form Presensi SCC'!$C:$C, "Hadir")</f>
        <v>0</v>
      </c>
      <c r="Y83" s="26"/>
    </row>
    <row r="84" ht="22.5" customHeight="1">
      <c r="A84" s="18">
        <v>83.0</v>
      </c>
      <c r="B84" s="18">
        <v>36.0</v>
      </c>
      <c r="C84" s="18" t="s">
        <v>635</v>
      </c>
      <c r="D84" s="18" t="s">
        <v>636</v>
      </c>
      <c r="E84" s="18" t="s">
        <v>227</v>
      </c>
      <c r="F84" s="12">
        <v>33.0</v>
      </c>
      <c r="G84" s="10" t="s">
        <v>460</v>
      </c>
      <c r="H84" s="19"/>
      <c r="I84" s="20"/>
      <c r="J84" s="10" t="s">
        <v>460</v>
      </c>
      <c r="K84" s="21"/>
      <c r="L84" s="10"/>
      <c r="M84" s="22"/>
      <c r="N84" s="10"/>
      <c r="O84" s="10"/>
      <c r="P84" s="12" t="str">
        <f t="shared" si="1"/>
        <v>https://docs.google.com/forms/d/e/1FAIpQLSeZ-R1GrWlAPkfaThGqxeTj0QTtrARw4rroxIIepf2kipn1nw/formResponse?usp=pp_url&amp;entry.1313582257=0093768427 / 252610416&amp;entry.1578404635=Hadir</v>
      </c>
      <c r="Q84" s="23" t="s">
        <v>637</v>
      </c>
      <c r="R84" s="12" t="s">
        <v>638</v>
      </c>
      <c r="S84" s="24" t="s">
        <v>639</v>
      </c>
      <c r="T84" s="23" t="str">
        <f>HYPERLINK("https://drive.google.com/file/d/1hGDsuPkXeFwjEgbghl5DJn-wz8jmeykz/view?usp=drivesdk","33 - X2 - Neng Rahmi Novianti - P")</f>
        <v>33 - X2 - Neng Rahmi Novianti - P</v>
      </c>
      <c r="U84" s="12" t="s">
        <v>629</v>
      </c>
      <c r="W84" s="25">
        <f>COUNTIFS('Form Presensi SCC'!$B:$B, IF($C84&lt;&gt;0, TEXT($C84, "0000000000"), $D84), 'Form Presensi SCC'!$C:$C, "Hadir")</f>
        <v>0</v>
      </c>
      <c r="Y84" s="26"/>
    </row>
    <row r="85" ht="22.5" customHeight="1">
      <c r="A85" s="10">
        <v>84.0</v>
      </c>
      <c r="B85" s="18">
        <v>37.0</v>
      </c>
      <c r="C85" s="18" t="s">
        <v>640</v>
      </c>
      <c r="D85" s="18" t="s">
        <v>641</v>
      </c>
      <c r="E85" s="18" t="s">
        <v>227</v>
      </c>
      <c r="F85" s="12">
        <v>33.0</v>
      </c>
      <c r="G85" s="10" t="s">
        <v>460</v>
      </c>
      <c r="H85" s="19"/>
      <c r="I85" s="20"/>
      <c r="J85" s="10" t="s">
        <v>460</v>
      </c>
      <c r="K85" s="21"/>
      <c r="L85" s="10"/>
      <c r="M85" s="22"/>
      <c r="N85" s="10"/>
      <c r="O85" s="10"/>
      <c r="P85" s="12" t="str">
        <f t="shared" si="1"/>
        <v>https://docs.google.com/forms/d/e/1FAIpQLSeZ-R1GrWlAPkfaThGqxeTj0QTtrARw4rroxIIepf2kipn1nw/formResponse?usp=pp_url&amp;entry.1313582257=0103404970 / 252610419&amp;entry.1578404635=Hadir</v>
      </c>
      <c r="Q85" s="23" t="s">
        <v>642</v>
      </c>
      <c r="R85" s="12" t="s">
        <v>643</v>
      </c>
      <c r="S85" s="24" t="s">
        <v>644</v>
      </c>
      <c r="T85" s="23" t="str">
        <f>HYPERLINK("https://drive.google.com/file/d/13T5Wlo8DikrQcBToEAP8YevgCXqH_lJ-/view?usp=drivesdk","33 - X2 - Niesha Anindya Firstsaly - P")</f>
        <v>33 - X2 - Niesha Anindya Firstsaly - P</v>
      </c>
      <c r="U85" s="12" t="s">
        <v>629</v>
      </c>
      <c r="W85" s="25">
        <f>COUNTIFS('Form Presensi SCC'!$B:$B, IF($C85&lt;&gt;0, TEXT($C85, "0000000000"), $D85), 'Form Presensi SCC'!$C:$C, "Hadir")</f>
        <v>0</v>
      </c>
      <c r="Y85" s="26"/>
    </row>
    <row r="86" ht="22.5" customHeight="1">
      <c r="A86" s="18">
        <v>85.0</v>
      </c>
      <c r="B86" s="18">
        <v>38.0</v>
      </c>
      <c r="C86" s="18" t="s">
        <v>645</v>
      </c>
      <c r="D86" s="18" t="s">
        <v>646</v>
      </c>
      <c r="E86" s="18" t="s">
        <v>227</v>
      </c>
      <c r="F86" s="12">
        <v>33.0</v>
      </c>
      <c r="G86" s="10" t="s">
        <v>460</v>
      </c>
      <c r="H86" s="19"/>
      <c r="I86" s="20"/>
      <c r="J86" s="10" t="s">
        <v>460</v>
      </c>
      <c r="K86" s="21"/>
      <c r="L86" s="10"/>
      <c r="M86" s="22"/>
      <c r="N86" s="10"/>
      <c r="O86" s="10"/>
      <c r="P86" s="12" t="str">
        <f t="shared" si="1"/>
        <v>https://docs.google.com/forms/d/e/1FAIpQLSeZ-R1GrWlAPkfaThGqxeTj0QTtrARw4rroxIIepf2kipn1nw/formResponse?usp=pp_url&amp;entry.1313582257=0102495325 / 252610431&amp;entry.1578404635=Hadir</v>
      </c>
      <c r="Q86" s="23" t="s">
        <v>647</v>
      </c>
      <c r="R86" s="12" t="s">
        <v>648</v>
      </c>
      <c r="S86" s="24" t="s">
        <v>649</v>
      </c>
      <c r="T86" s="23" t="str">
        <f>HYPERLINK("https://drive.google.com/file/d/1aqJvZMx08Hhs5OpfMzd7KuRiI2tPgY9f/view?usp=drivesdk","33 - X2 - Oryza Angelina Sitohang - P")</f>
        <v>33 - X2 - Oryza Angelina Sitohang - P</v>
      </c>
      <c r="U86" s="12" t="s">
        <v>629</v>
      </c>
      <c r="W86" s="25">
        <f>COUNTIFS('Form Presensi SCC'!$B:$B, IF($C86&lt;&gt;0, TEXT($C86, "0000000000"), $D86), 'Form Presensi SCC'!$C:$C, "Hadir")</f>
        <v>0</v>
      </c>
      <c r="Y86" s="26"/>
    </row>
    <row r="87" ht="22.5" customHeight="1">
      <c r="A87" s="10">
        <v>86.0</v>
      </c>
      <c r="B87" s="18">
        <v>39.0</v>
      </c>
      <c r="C87" s="18" t="s">
        <v>650</v>
      </c>
      <c r="D87" s="18" t="s">
        <v>651</v>
      </c>
      <c r="E87" s="18" t="s">
        <v>227</v>
      </c>
      <c r="F87" s="12">
        <v>33.0</v>
      </c>
      <c r="G87" s="10" t="s">
        <v>460</v>
      </c>
      <c r="H87" s="19"/>
      <c r="I87" s="20"/>
      <c r="J87" s="10" t="s">
        <v>460</v>
      </c>
      <c r="K87" s="21"/>
      <c r="L87" s="10"/>
      <c r="M87" s="22"/>
      <c r="N87" s="10"/>
      <c r="O87" s="10"/>
      <c r="P87" s="12" t="str">
        <f t="shared" si="1"/>
        <v>https://docs.google.com/forms/d/e/1FAIpQLSeZ-R1GrWlAPkfaThGqxeTj0QTtrARw4rroxIIepf2kipn1nw/formResponse?usp=pp_url&amp;entry.1313582257=0106276801 / 252610434&amp;entry.1578404635=Hadir</v>
      </c>
      <c r="Q87" s="23" t="s">
        <v>652</v>
      </c>
      <c r="R87" s="12" t="s">
        <v>653</v>
      </c>
      <c r="S87" s="24" t="s">
        <v>654</v>
      </c>
      <c r="T87" s="23" t="str">
        <f>HYPERLINK("https://drive.google.com/file/d/1EIjNN2hb4d42LNZP1n04LbMDi-sFOLQQ/view?usp=drivesdk","33 - X2 - Priscillia Putri Viona - P")</f>
        <v>33 - X2 - Priscillia Putri Viona - P</v>
      </c>
      <c r="U87" s="12" t="s">
        <v>629</v>
      </c>
      <c r="W87" s="25">
        <f>COUNTIFS('Form Presensi SCC'!$B:$B, IF($C87&lt;&gt;0, TEXT($C87, "0000000000"), $D87), 'Form Presensi SCC'!$C:$C, "Hadir")</f>
        <v>0</v>
      </c>
      <c r="Y87" s="26"/>
    </row>
    <row r="88" ht="22.5" customHeight="1">
      <c r="A88" s="18">
        <v>87.0</v>
      </c>
      <c r="B88" s="18">
        <v>40.0</v>
      </c>
      <c r="C88" s="18" t="s">
        <v>655</v>
      </c>
      <c r="D88" s="18" t="s">
        <v>656</v>
      </c>
      <c r="E88" s="18" t="s">
        <v>227</v>
      </c>
      <c r="F88" s="12">
        <v>33.0</v>
      </c>
      <c r="G88" s="10" t="s">
        <v>460</v>
      </c>
      <c r="H88" s="19"/>
      <c r="I88" s="20"/>
      <c r="J88" s="10" t="s">
        <v>460</v>
      </c>
      <c r="K88" s="21"/>
      <c r="L88" s="10"/>
      <c r="M88" s="22"/>
      <c r="N88" s="10"/>
      <c r="O88" s="10"/>
      <c r="P88" s="12" t="str">
        <f t="shared" si="1"/>
        <v>https://docs.google.com/forms/d/e/1FAIpQLSeZ-R1GrWlAPkfaThGqxeTj0QTtrARw4rroxIIepf2kipn1nw/formResponse?usp=pp_url&amp;entry.1313582257=0098833541 / 252610440&amp;entry.1578404635=Hadir</v>
      </c>
      <c r="Q88" s="23" t="s">
        <v>657</v>
      </c>
      <c r="R88" s="12" t="s">
        <v>658</v>
      </c>
      <c r="S88" s="24" t="s">
        <v>659</v>
      </c>
      <c r="T88" s="23" t="str">
        <f>HYPERLINK("https://drive.google.com/file/d/1YqbE72Rba8kiOCHx-L-s7ZKnxt7sLYil/view?usp=drivesdk","33 - X2 - Qaniah Mardiyah Salsabila - P")</f>
        <v>33 - X2 - Qaniah Mardiyah Salsabila - P</v>
      </c>
      <c r="U88" s="12" t="s">
        <v>660</v>
      </c>
      <c r="W88" s="25">
        <f>COUNTIFS('Form Presensi SCC'!$B:$B, IF($C88&lt;&gt;0, TEXT($C88, "0000000000"), $D88), 'Form Presensi SCC'!$C:$C, "Hadir")</f>
        <v>0</v>
      </c>
      <c r="Y88" s="26"/>
    </row>
    <row r="89" ht="22.5" customHeight="1">
      <c r="A89" s="10">
        <v>88.0</v>
      </c>
      <c r="B89" s="18">
        <v>41.0</v>
      </c>
      <c r="C89" s="18" t="s">
        <v>661</v>
      </c>
      <c r="D89" s="18" t="s">
        <v>662</v>
      </c>
      <c r="E89" s="18" t="s">
        <v>227</v>
      </c>
      <c r="F89" s="12">
        <v>33.0</v>
      </c>
      <c r="G89" s="10" t="s">
        <v>460</v>
      </c>
      <c r="H89" s="19"/>
      <c r="I89" s="20"/>
      <c r="J89" s="10" t="s">
        <v>460</v>
      </c>
      <c r="K89" s="21"/>
      <c r="L89" s="10"/>
      <c r="M89" s="22"/>
      <c r="N89" s="10"/>
      <c r="O89" s="10"/>
      <c r="P89" s="12" t="str">
        <f t="shared" si="1"/>
        <v>https://docs.google.com/forms/d/e/1FAIpQLSeZ-R1GrWlAPkfaThGqxeTj0QTtrARw4rroxIIepf2kipn1nw/formResponse?usp=pp_url&amp;entry.1313582257=0095492963 / 252610467&amp;entry.1578404635=Hadir</v>
      </c>
      <c r="Q89" s="23" t="s">
        <v>663</v>
      </c>
      <c r="R89" s="12" t="s">
        <v>664</v>
      </c>
      <c r="S89" s="24" t="s">
        <v>665</v>
      </c>
      <c r="T89" s="23" t="str">
        <f>HYPERLINK("https://drive.google.com/file/d/1an54ZtND4ELlVVkjP5w_nYLw9h40qeDe/view?usp=drivesdk","33 - X2 - Raisha Puri Lianti - P")</f>
        <v>33 - X2 - Raisha Puri Lianti - P</v>
      </c>
      <c r="U89" s="12" t="s">
        <v>660</v>
      </c>
      <c r="W89" s="25">
        <f>COUNTIFS('Form Presensi SCC'!$B:$B, IF($C89&lt;&gt;0, TEXT($C89, "0000000000"), $D89), 'Form Presensi SCC'!$C:$C, "Hadir")</f>
        <v>0</v>
      </c>
      <c r="Y89" s="26"/>
    </row>
    <row r="90" ht="22.5" customHeight="1">
      <c r="A90" s="18">
        <v>89.0</v>
      </c>
      <c r="B90" s="18">
        <v>42.0</v>
      </c>
      <c r="C90" s="18" t="s">
        <v>666</v>
      </c>
      <c r="D90" s="18" t="s">
        <v>667</v>
      </c>
      <c r="E90" s="18" t="s">
        <v>227</v>
      </c>
      <c r="F90" s="12">
        <v>33.0</v>
      </c>
      <c r="G90" s="10" t="s">
        <v>460</v>
      </c>
      <c r="H90" s="19"/>
      <c r="I90" s="20"/>
      <c r="J90" s="10" t="s">
        <v>460</v>
      </c>
      <c r="K90" s="21"/>
      <c r="L90" s="10"/>
      <c r="M90" s="22"/>
      <c r="N90" s="10"/>
      <c r="O90" s="10"/>
      <c r="P90" s="12" t="str">
        <f t="shared" si="1"/>
        <v>https://docs.google.com/forms/d/e/1FAIpQLSeZ-R1GrWlAPkfaThGqxeTj0QTtrARw4rroxIIepf2kipn1nw/formResponse?usp=pp_url&amp;entry.1313582257=0091964566 / 252610474&amp;entry.1578404635=Hadir</v>
      </c>
      <c r="Q90" s="23" t="s">
        <v>668</v>
      </c>
      <c r="R90" s="12" t="s">
        <v>669</v>
      </c>
      <c r="S90" s="24" t="s">
        <v>670</v>
      </c>
      <c r="T90" s="23" t="str">
        <f>HYPERLINK("https://drive.google.com/file/d/1WT8LXOoms4rrcGrDM_wsFY7ojbx_Ijo5/view?usp=drivesdk","33 - X2 - Rasya Arkananta Mulya - P")</f>
        <v>33 - X2 - Rasya Arkananta Mulya - P</v>
      </c>
      <c r="U90" s="12" t="s">
        <v>660</v>
      </c>
      <c r="W90" s="25">
        <f>COUNTIFS('Form Presensi SCC'!$B:$B, IF($C90&lt;&gt;0, TEXT($C90, "0000000000"), $D90), 'Form Presensi SCC'!$C:$C, "Hadir")</f>
        <v>0</v>
      </c>
      <c r="Y90" s="26"/>
    </row>
    <row r="91" ht="22.5" customHeight="1">
      <c r="A91" s="10">
        <v>90.0</v>
      </c>
      <c r="B91" s="18">
        <v>43.0</v>
      </c>
      <c r="C91" s="18" t="s">
        <v>671</v>
      </c>
      <c r="D91" s="18" t="s">
        <v>672</v>
      </c>
      <c r="E91" s="18" t="s">
        <v>227</v>
      </c>
      <c r="F91" s="12">
        <v>33.0</v>
      </c>
      <c r="G91" s="10" t="s">
        <v>460</v>
      </c>
      <c r="H91" s="19"/>
      <c r="I91" s="20"/>
      <c r="J91" s="10" t="s">
        <v>460</v>
      </c>
      <c r="K91" s="21"/>
      <c r="L91" s="10"/>
      <c r="M91" s="22"/>
      <c r="N91" s="10"/>
      <c r="O91" s="10"/>
      <c r="P91" s="12" t="str">
        <f t="shared" si="1"/>
        <v>https://docs.google.com/forms/d/e/1FAIpQLSeZ-R1GrWlAPkfaThGqxeTj0QTtrARw4rroxIIepf2kipn1nw/formResponse?usp=pp_url&amp;entry.1313582257=0092731928 / 252610497&amp;entry.1578404635=Hadir</v>
      </c>
      <c r="Q91" s="23" t="s">
        <v>673</v>
      </c>
      <c r="R91" s="12" t="s">
        <v>674</v>
      </c>
      <c r="S91" s="24" t="s">
        <v>675</v>
      </c>
      <c r="T91" s="23" t="str">
        <f>HYPERLINK("https://drive.google.com/file/d/1xRtPGj3IpGoaUcFmh_ulGNsxkidqiGNc/view?usp=drivesdk","33 - X2 - Rusvi Putri Ingguan - P")</f>
        <v>33 - X2 - Rusvi Putri Ingguan - P</v>
      </c>
      <c r="U91" s="12" t="s">
        <v>660</v>
      </c>
      <c r="W91" s="25">
        <f>COUNTIFS('Form Presensi SCC'!$B:$B, IF($C91&lt;&gt;0, TEXT($C91, "0000000000"), $D91), 'Form Presensi SCC'!$C:$C, "Hadir")</f>
        <v>0</v>
      </c>
      <c r="Y91" s="26"/>
    </row>
    <row r="92" ht="22.5" customHeight="1">
      <c r="A92" s="18">
        <v>91.0</v>
      </c>
      <c r="B92" s="18">
        <v>44.0</v>
      </c>
      <c r="C92" s="18" t="s">
        <v>676</v>
      </c>
      <c r="D92" s="18" t="s">
        <v>677</v>
      </c>
      <c r="E92" s="18" t="s">
        <v>227</v>
      </c>
      <c r="F92" s="12">
        <v>33.0</v>
      </c>
      <c r="G92" s="10" t="s">
        <v>460</v>
      </c>
      <c r="H92" s="19"/>
      <c r="I92" s="20"/>
      <c r="J92" s="10" t="s">
        <v>460</v>
      </c>
      <c r="K92" s="21"/>
      <c r="L92" s="10"/>
      <c r="M92" s="22"/>
      <c r="N92" s="10"/>
      <c r="O92" s="10"/>
      <c r="P92" s="12" t="str">
        <f t="shared" si="1"/>
        <v>https://docs.google.com/forms/d/e/1FAIpQLSeZ-R1GrWlAPkfaThGqxeTj0QTtrARw4rroxIIepf2kipn1nw/formResponse?usp=pp_url&amp;entry.1313582257=0105816582 / 252610498&amp;entry.1578404635=Hadir</v>
      </c>
      <c r="Q92" s="23" t="s">
        <v>678</v>
      </c>
      <c r="R92" s="12" t="s">
        <v>679</v>
      </c>
      <c r="S92" s="24" t="s">
        <v>680</v>
      </c>
      <c r="T92" s="23" t="str">
        <f>HYPERLINK("https://drive.google.com/file/d/1fj5EI8LOiP7Jss6avNQhFTK4HKM35NAj/view?usp=drivesdk","33 - X2 - Ruth Rafanela Syeby Siregar - P")</f>
        <v>33 - X2 - Ruth Rafanela Syeby Siregar - P</v>
      </c>
      <c r="U92" s="12" t="s">
        <v>660</v>
      </c>
      <c r="W92" s="25">
        <f>COUNTIFS('Form Presensi SCC'!$B:$B, IF($C92&lt;&gt;0, TEXT($C92, "0000000000"), $D92), 'Form Presensi SCC'!$C:$C, "Hadir")</f>
        <v>0</v>
      </c>
      <c r="Y92" s="26"/>
    </row>
    <row r="93" ht="22.5" customHeight="1">
      <c r="A93" s="10">
        <v>92.0</v>
      </c>
      <c r="B93" s="18">
        <v>45.0</v>
      </c>
      <c r="C93" s="18" t="s">
        <v>681</v>
      </c>
      <c r="D93" s="18" t="s">
        <v>682</v>
      </c>
      <c r="E93" s="18" t="s">
        <v>227</v>
      </c>
      <c r="F93" s="12">
        <v>33.0</v>
      </c>
      <c r="G93" s="10" t="s">
        <v>460</v>
      </c>
      <c r="H93" s="19"/>
      <c r="I93" s="20"/>
      <c r="J93" s="10" t="s">
        <v>460</v>
      </c>
      <c r="K93" s="21"/>
      <c r="L93" s="10"/>
      <c r="M93" s="22"/>
      <c r="N93" s="10"/>
      <c r="O93" s="10"/>
      <c r="P93" s="12" t="str">
        <f t="shared" si="1"/>
        <v>https://docs.google.com/forms/d/e/1FAIpQLSeZ-R1GrWlAPkfaThGqxeTj0QTtrARw4rroxIIepf2kipn1nw/formResponse?usp=pp_url&amp;entry.1313582257=0102751293 / 252610546&amp;entry.1578404635=Hadir</v>
      </c>
      <c r="Q93" s="23" t="s">
        <v>683</v>
      </c>
      <c r="R93" s="12" t="s">
        <v>684</v>
      </c>
      <c r="S93" s="24" t="s">
        <v>685</v>
      </c>
      <c r="T93" s="23" t="str">
        <f>HYPERLINK("https://drive.google.com/file/d/1j_Fm7APbYWVcaZJAbYtE877IF9_6mFmS/view?usp=drivesdk","33 - X2 - Titania Dwizita Shahla - P")</f>
        <v>33 - X2 - Titania Dwizita Shahla - P</v>
      </c>
      <c r="U93" s="12" t="s">
        <v>660</v>
      </c>
      <c r="W93" s="25">
        <f>COUNTIFS('Form Presensi SCC'!$B:$B, IF($C93&lt;&gt;0, TEXT($C93, "0000000000"), $D93), 'Form Presensi SCC'!$C:$C, "Hadir")</f>
        <v>0</v>
      </c>
      <c r="Y93" s="26"/>
    </row>
    <row r="94" ht="22.5" customHeight="1">
      <c r="A94" s="18">
        <v>93.0</v>
      </c>
      <c r="B94" s="18">
        <v>46.0</v>
      </c>
      <c r="C94" s="18" t="s">
        <v>686</v>
      </c>
      <c r="D94" s="18" t="s">
        <v>687</v>
      </c>
      <c r="E94" s="18" t="s">
        <v>220</v>
      </c>
      <c r="F94" s="12">
        <v>33.0</v>
      </c>
      <c r="G94" s="10" t="s">
        <v>460</v>
      </c>
      <c r="H94" s="19"/>
      <c r="I94" s="20"/>
      <c r="J94" s="10" t="s">
        <v>460</v>
      </c>
      <c r="K94" s="21"/>
      <c r="L94" s="10"/>
      <c r="M94" s="22"/>
      <c r="N94" s="10"/>
      <c r="O94" s="10"/>
      <c r="P94" s="12" t="str">
        <f t="shared" si="1"/>
        <v>https://docs.google.com/forms/d/e/1FAIpQLSeZ-R1GrWlAPkfaThGqxeTj0QTtrARw4rroxIIepf2kipn1nw/formResponse?usp=pp_url&amp;entry.1313582257=0104292767 / 252610560&amp;entry.1578404635=Hadir</v>
      </c>
      <c r="Q94" s="23" t="s">
        <v>688</v>
      </c>
      <c r="R94" s="12" t="s">
        <v>689</v>
      </c>
      <c r="S94" s="24" t="s">
        <v>690</v>
      </c>
      <c r="T94" s="23" t="str">
        <f>HYPERLINK("https://drive.google.com/file/d/1eF31ddgIY7YKx2J102q7dDDXvg31shOJ/view?usp=drivesdk","33 - X2 - Zaidan Riziq Sakha - L")</f>
        <v>33 - X2 - Zaidan Riziq Sakha - L</v>
      </c>
      <c r="U94" s="12" t="s">
        <v>691</v>
      </c>
      <c r="W94" s="25">
        <f>COUNTIFS('Form Presensi SCC'!$B:$B, IF($C94&lt;&gt;0, TEXT($C94, "0000000000"), $D94), 'Form Presensi SCC'!$C:$C, "Hadir")</f>
        <v>0</v>
      </c>
      <c r="Y94" s="26"/>
    </row>
    <row r="95" ht="22.5" customHeight="1">
      <c r="A95" s="10">
        <v>94.0</v>
      </c>
      <c r="B95" s="18">
        <v>47.0</v>
      </c>
      <c r="C95" s="18" t="s">
        <v>692</v>
      </c>
      <c r="D95" s="18" t="s">
        <v>693</v>
      </c>
      <c r="E95" s="18" t="s">
        <v>227</v>
      </c>
      <c r="F95" s="12">
        <v>33.0</v>
      </c>
      <c r="G95" s="10" t="s">
        <v>460</v>
      </c>
      <c r="H95" s="19"/>
      <c r="I95" s="20"/>
      <c r="J95" s="10" t="s">
        <v>460</v>
      </c>
      <c r="K95" s="21"/>
      <c r="L95" s="10"/>
      <c r="M95" s="22"/>
      <c r="N95" s="10"/>
      <c r="O95" s="10"/>
      <c r="P95" s="12" t="str">
        <f t="shared" si="1"/>
        <v>https://docs.google.com/forms/d/e/1FAIpQLSeZ-R1GrWlAPkfaThGqxeTj0QTtrARw4rroxIIepf2kipn1nw/formResponse?usp=pp_url&amp;entry.1313582257=0096087965 / 252610563&amp;entry.1578404635=Hadir</v>
      </c>
      <c r="Q95" s="23" t="s">
        <v>694</v>
      </c>
      <c r="R95" s="12" t="s">
        <v>695</v>
      </c>
      <c r="S95" s="24" t="s">
        <v>696</v>
      </c>
      <c r="T95" s="23" t="str">
        <f>HYPERLINK("https://drive.google.com/file/d/1eDci1GGdCMVtl7FLexOWHR_nFxXWPsD-/view?usp=drivesdk","33 - X2 - Zalikhah Rasikhah Putri - P")</f>
        <v>33 - X2 - Zalikhah Rasikhah Putri - P</v>
      </c>
      <c r="U95" s="12" t="s">
        <v>691</v>
      </c>
      <c r="W95" s="25">
        <f>COUNTIFS('Form Presensi SCC'!$B:$B, IF($C95&lt;&gt;0, TEXT($C95, "0000000000"), $D95), 'Form Presensi SCC'!$C:$C, "Hadir")</f>
        <v>0</v>
      </c>
      <c r="Y95" s="26"/>
    </row>
    <row r="96" ht="22.5" customHeight="1">
      <c r="A96" s="18">
        <v>95.0</v>
      </c>
      <c r="B96" s="18">
        <v>1.0</v>
      </c>
      <c r="C96" s="18" t="s">
        <v>697</v>
      </c>
      <c r="D96" s="18" t="s">
        <v>698</v>
      </c>
      <c r="E96" s="18" t="s">
        <v>220</v>
      </c>
      <c r="F96" s="12">
        <v>33.0</v>
      </c>
      <c r="G96" s="10" t="s">
        <v>699</v>
      </c>
      <c r="H96" s="19"/>
      <c r="I96" s="20"/>
      <c r="J96" s="10" t="s">
        <v>699</v>
      </c>
      <c r="K96" s="21"/>
      <c r="L96" s="10"/>
      <c r="M96" s="22"/>
      <c r="N96" s="10"/>
      <c r="O96" s="10"/>
      <c r="P96" s="12" t="str">
        <f t="shared" si="1"/>
        <v>https://docs.google.com/forms/d/e/1FAIpQLSeZ-R1GrWlAPkfaThGqxeTj0QTtrARw4rroxIIepf2kipn1nw/formResponse?usp=pp_url&amp;entry.1313582257=0094703204 / 252610002&amp;entry.1578404635=Hadir</v>
      </c>
      <c r="Q96" s="23" t="s">
        <v>700</v>
      </c>
      <c r="R96" s="12" t="s">
        <v>701</v>
      </c>
      <c r="S96" s="24" t="s">
        <v>702</v>
      </c>
      <c r="T96" s="23" t="str">
        <f>HYPERLINK("https://drive.google.com/file/d/1Hf4gfenS4bZm4kS41cTWGCIuurz11NAy/view?usp=drivesdk","33 - X3 - Abhinaya Zaidan Akbar - L")</f>
        <v>33 - X3 - Abhinaya Zaidan Akbar - L</v>
      </c>
      <c r="U96" s="12" t="s">
        <v>691</v>
      </c>
      <c r="W96" s="25">
        <f>COUNTIFS('Form Presensi SCC'!$B:$B, IF($C96&lt;&gt;0, TEXT($C96, "0000000000"), $D96), 'Form Presensi SCC'!$C:$C, "Hadir")</f>
        <v>0</v>
      </c>
      <c r="Y96" s="26"/>
    </row>
    <row r="97" ht="22.5" customHeight="1">
      <c r="A97" s="10">
        <v>96.0</v>
      </c>
      <c r="B97" s="18">
        <v>2.0</v>
      </c>
      <c r="C97" s="18" t="s">
        <v>703</v>
      </c>
      <c r="D97" s="18" t="s">
        <v>704</v>
      </c>
      <c r="E97" s="18" t="s">
        <v>220</v>
      </c>
      <c r="F97" s="12">
        <v>33.0</v>
      </c>
      <c r="G97" s="10" t="s">
        <v>699</v>
      </c>
      <c r="H97" s="19"/>
      <c r="I97" s="20"/>
      <c r="J97" s="10" t="s">
        <v>699</v>
      </c>
      <c r="K97" s="21"/>
      <c r="L97" s="10"/>
      <c r="M97" s="22"/>
      <c r="N97" s="10"/>
      <c r="O97" s="10"/>
      <c r="P97" s="12" t="str">
        <f t="shared" si="1"/>
        <v>https://docs.google.com/forms/d/e/1FAIpQLSeZ-R1GrWlAPkfaThGqxeTj0QTtrARw4rroxIIepf2kipn1nw/formResponse?usp=pp_url&amp;entry.1313582257=0106941990 / 252610063&amp;entry.1578404635=Hadir</v>
      </c>
      <c r="Q97" s="23" t="s">
        <v>705</v>
      </c>
      <c r="R97" s="12" t="s">
        <v>706</v>
      </c>
      <c r="S97" s="24" t="s">
        <v>707</v>
      </c>
      <c r="T97" s="23" t="str">
        <f>HYPERLINK("https://drive.google.com/file/d/1r0Uot3PQK_VtpkxN4wMuNRBDxsHaIqyh/view?usp=drivesdk","33 - X3 - Andra Rakadityono - L")</f>
        <v>33 - X3 - Andra Rakadityono - L</v>
      </c>
      <c r="U97" s="12" t="s">
        <v>691</v>
      </c>
      <c r="W97" s="25">
        <f>COUNTIFS('Form Presensi SCC'!$B:$B, IF($C97&lt;&gt;0, TEXT($C97, "0000000000"), $D97), 'Form Presensi SCC'!$C:$C, "Hadir")</f>
        <v>0</v>
      </c>
      <c r="Y97" s="26"/>
    </row>
    <row r="98" ht="22.5" customHeight="1">
      <c r="A98" s="18">
        <v>97.0</v>
      </c>
      <c r="B98" s="18">
        <v>3.0</v>
      </c>
      <c r="C98" s="18" t="s">
        <v>708</v>
      </c>
      <c r="D98" s="18" t="s">
        <v>709</v>
      </c>
      <c r="E98" s="18" t="s">
        <v>227</v>
      </c>
      <c r="F98" s="12">
        <v>33.0</v>
      </c>
      <c r="G98" s="10" t="s">
        <v>699</v>
      </c>
      <c r="H98" s="19"/>
      <c r="I98" s="20"/>
      <c r="J98" s="10" t="s">
        <v>699</v>
      </c>
      <c r="K98" s="21"/>
      <c r="L98" s="10"/>
      <c r="M98" s="22"/>
      <c r="N98" s="10"/>
      <c r="O98" s="10"/>
      <c r="P98" s="12" t="str">
        <f t="shared" si="1"/>
        <v>https://docs.google.com/forms/d/e/1FAIpQLSeZ-R1GrWlAPkfaThGqxeTj0QTtrARw4rroxIIepf2kipn1nw/formResponse?usp=pp_url&amp;entry.1313582257=0109964803 / 252610065&amp;entry.1578404635=Hadir</v>
      </c>
      <c r="Q98" s="23" t="s">
        <v>710</v>
      </c>
      <c r="R98" s="12" t="s">
        <v>711</v>
      </c>
      <c r="S98" s="24" t="s">
        <v>712</v>
      </c>
      <c r="T98" s="23" t="str">
        <f>HYPERLINK("https://drive.google.com/file/d/16IDNIjOuT97e_BIf9mhtsiaUCO_do3_w/view?usp=drivesdk","33 - X3 - Anjani Safira Salma - P")</f>
        <v>33 - X3 - Anjani Safira Salma - P</v>
      </c>
      <c r="U98" s="12" t="s">
        <v>691</v>
      </c>
      <c r="W98" s="25">
        <f>COUNTIFS('Form Presensi SCC'!$B:$B, IF($C98&lt;&gt;0, TEXT($C98, "0000000000"), $D98), 'Form Presensi SCC'!$C:$C, "Hadir")</f>
        <v>0</v>
      </c>
      <c r="Y98" s="26"/>
    </row>
    <row r="99" ht="22.5" customHeight="1">
      <c r="A99" s="10">
        <v>98.0</v>
      </c>
      <c r="B99" s="18">
        <v>4.0</v>
      </c>
      <c r="C99" s="18" t="s">
        <v>713</v>
      </c>
      <c r="D99" s="18" t="s">
        <v>714</v>
      </c>
      <c r="E99" s="18" t="s">
        <v>220</v>
      </c>
      <c r="F99" s="12">
        <v>33.0</v>
      </c>
      <c r="G99" s="10" t="s">
        <v>699</v>
      </c>
      <c r="H99" s="19"/>
      <c r="I99" s="20"/>
      <c r="J99" s="10" t="s">
        <v>699</v>
      </c>
      <c r="K99" s="21"/>
      <c r="L99" s="10"/>
      <c r="M99" s="22"/>
      <c r="N99" s="10"/>
      <c r="O99" s="10"/>
      <c r="P99" s="12" t="str">
        <f t="shared" si="1"/>
        <v>https://docs.google.com/forms/d/e/1FAIpQLSeZ-R1GrWlAPkfaThGqxeTj0QTtrARw4rroxIIepf2kipn1nw/formResponse?usp=pp_url&amp;entry.1313582257=0104084075 / 252610076&amp;entry.1578404635=Hadir</v>
      </c>
      <c r="Q99" s="23" t="s">
        <v>715</v>
      </c>
      <c r="R99" s="12" t="s">
        <v>716</v>
      </c>
      <c r="S99" s="24" t="s">
        <v>717</v>
      </c>
      <c r="T99" s="23" t="str">
        <f>HYPERLINK("https://drive.google.com/file/d/1xUTdnNysAyiY3Q6iXISSj5CnQ5WqI5qi/view?usp=drivesdk","33 - X3 - Ario Bimo Wicaksono - L")</f>
        <v>33 - X3 - Ario Bimo Wicaksono - L</v>
      </c>
      <c r="U99" s="12" t="s">
        <v>718</v>
      </c>
      <c r="W99" s="25">
        <f>COUNTIFS('Form Presensi SCC'!$B:$B, IF($C99&lt;&gt;0, TEXT($C99, "0000000000"), $D99), 'Form Presensi SCC'!$C:$C, "Hadir")</f>
        <v>0</v>
      </c>
      <c r="Y99" s="26"/>
    </row>
    <row r="100" ht="22.5" customHeight="1">
      <c r="A100" s="18">
        <v>99.0</v>
      </c>
      <c r="B100" s="18">
        <v>5.0</v>
      </c>
      <c r="C100" s="18" t="s">
        <v>719</v>
      </c>
      <c r="D100" s="18" t="s">
        <v>720</v>
      </c>
      <c r="E100" s="18" t="s">
        <v>220</v>
      </c>
      <c r="F100" s="12">
        <v>33.0</v>
      </c>
      <c r="G100" s="10" t="s">
        <v>699</v>
      </c>
      <c r="H100" s="19"/>
      <c r="I100" s="20"/>
      <c r="J100" s="10" t="s">
        <v>699</v>
      </c>
      <c r="K100" s="21"/>
      <c r="L100" s="10"/>
      <c r="M100" s="22"/>
      <c r="N100" s="10"/>
      <c r="O100" s="10"/>
      <c r="P100" s="12" t="str">
        <f t="shared" si="1"/>
        <v>https://docs.google.com/forms/d/e/1FAIpQLSeZ-R1GrWlAPkfaThGqxeTj0QTtrARw4rroxIIepf2kipn1nw/formResponse?usp=pp_url&amp;entry.1313582257=0098221239 / 252610079&amp;entry.1578404635=Hadir</v>
      </c>
      <c r="Q100" s="23" t="s">
        <v>721</v>
      </c>
      <c r="R100" s="12" t="s">
        <v>722</v>
      </c>
      <c r="S100" s="24" t="s">
        <v>723</v>
      </c>
      <c r="T100" s="23" t="str">
        <f>HYPERLINK("https://drive.google.com/file/d/174hoiIJg_jYMqpxnZt7Z4_QpRmJoUNzl/view?usp=drivesdk","33 - X3 - Arman Firmansyah - L")</f>
        <v>33 - X3 - Arman Firmansyah - L</v>
      </c>
      <c r="U100" s="12" t="s">
        <v>718</v>
      </c>
      <c r="W100" s="25">
        <f>COUNTIFS('Form Presensi SCC'!$B:$B, IF($C100&lt;&gt;0, TEXT($C100, "0000000000"), $D100), 'Form Presensi SCC'!$C:$C, "Hadir")</f>
        <v>0</v>
      </c>
      <c r="Y100" s="26"/>
    </row>
    <row r="101" ht="22.5" customHeight="1">
      <c r="A101" s="10">
        <v>100.0</v>
      </c>
      <c r="B101" s="18">
        <v>6.0</v>
      </c>
      <c r="C101" s="18" t="s">
        <v>724</v>
      </c>
      <c r="D101" s="18" t="s">
        <v>725</v>
      </c>
      <c r="E101" s="18" t="s">
        <v>227</v>
      </c>
      <c r="F101" s="12">
        <v>33.0</v>
      </c>
      <c r="G101" s="10" t="s">
        <v>699</v>
      </c>
      <c r="H101" s="19"/>
      <c r="I101" s="20"/>
      <c r="J101" s="10" t="s">
        <v>699</v>
      </c>
      <c r="K101" s="21"/>
      <c r="L101" s="10"/>
      <c r="M101" s="22"/>
      <c r="N101" s="10"/>
      <c r="O101" s="10"/>
      <c r="P101" s="12" t="str">
        <f t="shared" si="1"/>
        <v>https://docs.google.com/forms/d/e/1FAIpQLSeZ-R1GrWlAPkfaThGqxeTj0QTtrARw4rroxIIepf2kipn1nw/formResponse?usp=pp_url&amp;entry.1313582257=0104751597 / 252610093&amp;entry.1578404635=Hadir</v>
      </c>
      <c r="Q101" s="23" t="s">
        <v>726</v>
      </c>
      <c r="R101" s="12" t="s">
        <v>727</v>
      </c>
      <c r="S101" s="24" t="s">
        <v>728</v>
      </c>
      <c r="T101" s="23" t="str">
        <f>HYPERLINK("https://drive.google.com/file/d/1NKyTNTRd-fVxoqWTe49TEt1oyo1QjsfU/view?usp=drivesdk","33 - X3 - Attaya Putri Faslahi - P")</f>
        <v>33 - X3 - Attaya Putri Faslahi - P</v>
      </c>
      <c r="U101" s="12" t="s">
        <v>718</v>
      </c>
      <c r="W101" s="25">
        <f>COUNTIFS('Form Presensi SCC'!$B:$B, IF($C101&lt;&gt;0, TEXT($C101, "0000000000"), $D101), 'Form Presensi SCC'!$C:$C, "Hadir")</f>
        <v>0</v>
      </c>
      <c r="Y101" s="26"/>
    </row>
    <row r="102" ht="22.5" customHeight="1">
      <c r="A102" s="18">
        <v>101.0</v>
      </c>
      <c r="B102" s="18">
        <v>7.0</v>
      </c>
      <c r="C102" s="18" t="s">
        <v>729</v>
      </c>
      <c r="D102" s="18" t="s">
        <v>730</v>
      </c>
      <c r="E102" s="18" t="s">
        <v>227</v>
      </c>
      <c r="F102" s="12">
        <v>33.0</v>
      </c>
      <c r="G102" s="10" t="s">
        <v>699</v>
      </c>
      <c r="H102" s="19"/>
      <c r="I102" s="20"/>
      <c r="J102" s="10" t="s">
        <v>699</v>
      </c>
      <c r="K102" s="21"/>
      <c r="L102" s="10"/>
      <c r="M102" s="22"/>
      <c r="N102" s="10"/>
      <c r="O102" s="10"/>
      <c r="P102" s="12" t="str">
        <f t="shared" si="1"/>
        <v>https://docs.google.com/forms/d/e/1FAIpQLSeZ-R1GrWlAPkfaThGqxeTj0QTtrARw4rroxIIepf2kipn1nw/formResponse?usp=pp_url&amp;entry.1313582257=0104406841 / 252610094&amp;entry.1578404635=Hadir</v>
      </c>
      <c r="Q102" s="23" t="s">
        <v>731</v>
      </c>
      <c r="R102" s="12" t="s">
        <v>732</v>
      </c>
      <c r="S102" s="24" t="s">
        <v>733</v>
      </c>
      <c r="T102" s="23" t="str">
        <f>HYPERLINK("https://drive.google.com/file/d/1jYOoPqxLrCXpkyxKcYF5F8g3lCS8JHbG/view?usp=drivesdk","33 - X3 - Attiyah Naila Adza Alifah - P")</f>
        <v>33 - X3 - Attiyah Naila Adza Alifah - P</v>
      </c>
      <c r="U102" s="12" t="s">
        <v>718</v>
      </c>
      <c r="W102" s="25">
        <f>COUNTIFS('Form Presensi SCC'!$B:$B, IF($C102&lt;&gt;0, TEXT($C102, "0000000000"), $D102), 'Form Presensi SCC'!$C:$C, "Hadir")</f>
        <v>0</v>
      </c>
      <c r="Y102" s="26"/>
    </row>
    <row r="103" ht="22.5" customHeight="1">
      <c r="A103" s="10">
        <v>102.0</v>
      </c>
      <c r="B103" s="18">
        <v>8.0</v>
      </c>
      <c r="C103" s="18" t="s">
        <v>734</v>
      </c>
      <c r="D103" s="18" t="s">
        <v>735</v>
      </c>
      <c r="E103" s="18" t="s">
        <v>227</v>
      </c>
      <c r="F103" s="12">
        <v>33.0</v>
      </c>
      <c r="G103" s="10" t="s">
        <v>699</v>
      </c>
      <c r="H103" s="19"/>
      <c r="I103" s="20"/>
      <c r="J103" s="10" t="s">
        <v>699</v>
      </c>
      <c r="K103" s="21"/>
      <c r="L103" s="10"/>
      <c r="M103" s="22"/>
      <c r="N103" s="10"/>
      <c r="O103" s="10"/>
      <c r="P103" s="12" t="str">
        <f t="shared" si="1"/>
        <v>https://docs.google.com/forms/d/e/1FAIpQLSeZ-R1GrWlAPkfaThGqxeTj0QTtrARw4rroxIIepf2kipn1nw/formResponse?usp=pp_url&amp;entry.1313582257=0102122161 / 252610096&amp;entry.1578404635=Hadir</v>
      </c>
      <c r="Q103" s="23" t="s">
        <v>736</v>
      </c>
      <c r="R103" s="12" t="s">
        <v>737</v>
      </c>
      <c r="S103" s="24" t="s">
        <v>738</v>
      </c>
      <c r="T103" s="23" t="str">
        <f>HYPERLINK("https://drive.google.com/file/d/1c2q4Rg0XtSQJqJRRwmjDTEUXuj5ql6Tu/view?usp=drivesdk","33 - X3 - Aulia Azahra - P")</f>
        <v>33 - X3 - Aulia Azahra - P</v>
      </c>
      <c r="U103" s="12" t="s">
        <v>718</v>
      </c>
      <c r="W103" s="25">
        <f>COUNTIFS('Form Presensi SCC'!$B:$B, IF($C103&lt;&gt;0, TEXT($C103, "0000000000"), $D103), 'Form Presensi SCC'!$C:$C, "Hadir")</f>
        <v>0</v>
      </c>
      <c r="Y103" s="26"/>
    </row>
    <row r="104" ht="22.5" customHeight="1">
      <c r="A104" s="18">
        <v>103.0</v>
      </c>
      <c r="B104" s="18">
        <v>9.0</v>
      </c>
      <c r="C104" s="18" t="s">
        <v>739</v>
      </c>
      <c r="D104" s="18" t="s">
        <v>740</v>
      </c>
      <c r="E104" s="18" t="s">
        <v>227</v>
      </c>
      <c r="F104" s="12">
        <v>33.0</v>
      </c>
      <c r="G104" s="10" t="s">
        <v>699</v>
      </c>
      <c r="H104" s="19"/>
      <c r="I104" s="20"/>
      <c r="J104" s="10" t="s">
        <v>699</v>
      </c>
      <c r="K104" s="21"/>
      <c r="L104" s="10"/>
      <c r="M104" s="22"/>
      <c r="N104" s="10"/>
      <c r="O104" s="10"/>
      <c r="P104" s="12" t="str">
        <f t="shared" si="1"/>
        <v>https://docs.google.com/forms/d/e/1FAIpQLSeZ-R1GrWlAPkfaThGqxeTj0QTtrARw4rroxIIepf2kipn1nw/formResponse?usp=pp_url&amp;entry.1313582257=0108329102 / 252610121&amp;entry.1578404635=Hadir</v>
      </c>
      <c r="Q104" s="23" t="s">
        <v>741</v>
      </c>
      <c r="R104" s="12" t="s">
        <v>742</v>
      </c>
      <c r="S104" s="24" t="s">
        <v>743</v>
      </c>
      <c r="T104" s="23" t="str">
        <f>HYPERLINK("https://drive.google.com/file/d/1l-0dGvUWz0LwgygQ3QNqSc1606XhMyUz/view?usp=drivesdk","33 - X3 - Bianca Aurelia Putri Asari - P")</f>
        <v>33 - X3 - Bianca Aurelia Putri Asari - P</v>
      </c>
      <c r="U104" s="12" t="s">
        <v>718</v>
      </c>
      <c r="W104" s="25">
        <f>COUNTIFS('Form Presensi SCC'!$B:$B, IF($C104&lt;&gt;0, TEXT($C104, "0000000000"), $D104), 'Form Presensi SCC'!$C:$C, "Hadir")</f>
        <v>0</v>
      </c>
      <c r="Y104" s="26"/>
    </row>
    <row r="105" ht="22.5" customHeight="1">
      <c r="A105" s="10">
        <v>104.0</v>
      </c>
      <c r="B105" s="18">
        <v>10.0</v>
      </c>
      <c r="C105" s="18" t="s">
        <v>744</v>
      </c>
      <c r="D105" s="18" t="s">
        <v>745</v>
      </c>
      <c r="E105" s="18" t="s">
        <v>220</v>
      </c>
      <c r="F105" s="12">
        <v>33.0</v>
      </c>
      <c r="G105" s="10" t="s">
        <v>699</v>
      </c>
      <c r="H105" s="19"/>
      <c r="I105" s="20"/>
      <c r="J105" s="10" t="s">
        <v>699</v>
      </c>
      <c r="K105" s="21"/>
      <c r="L105" s="10"/>
      <c r="M105" s="22"/>
      <c r="N105" s="10"/>
      <c r="O105" s="10"/>
      <c r="P105" s="12" t="str">
        <f t="shared" si="1"/>
        <v>https://docs.google.com/forms/d/e/1FAIpQLSeZ-R1GrWlAPkfaThGqxeTj0QTtrARw4rroxIIepf2kipn1nw/formResponse?usp=pp_url&amp;entry.1313582257=0103047499 / 252610129&amp;entry.1578404635=Hadir</v>
      </c>
      <c r="Q105" s="23" t="s">
        <v>746</v>
      </c>
      <c r="R105" s="12" t="s">
        <v>747</v>
      </c>
      <c r="S105" s="24" t="s">
        <v>748</v>
      </c>
      <c r="T105" s="23" t="str">
        <f>HYPERLINK("https://drive.google.com/file/d/1294S0gxf2Oj8-ekfhevuVEuExxL1rcMi/view?usp=drivesdk","33 - X3 - Bumi Byakta Alfian - L")</f>
        <v>33 - X3 - Bumi Byakta Alfian - L</v>
      </c>
      <c r="U105" s="12" t="s">
        <v>749</v>
      </c>
      <c r="W105" s="25">
        <f>COUNTIFS('Form Presensi SCC'!$B:$B, IF($C105&lt;&gt;0, TEXT($C105, "0000000000"), $D105), 'Form Presensi SCC'!$C:$C, "Hadir")</f>
        <v>0</v>
      </c>
      <c r="Y105" s="26"/>
    </row>
    <row r="106" ht="22.5" customHeight="1">
      <c r="A106" s="18">
        <v>105.0</v>
      </c>
      <c r="B106" s="18">
        <v>11.0</v>
      </c>
      <c r="C106" s="18" t="s">
        <v>750</v>
      </c>
      <c r="D106" s="18" t="s">
        <v>751</v>
      </c>
      <c r="E106" s="18" t="s">
        <v>227</v>
      </c>
      <c r="F106" s="12">
        <v>33.0</v>
      </c>
      <c r="G106" s="10" t="s">
        <v>699</v>
      </c>
      <c r="H106" s="19"/>
      <c r="I106" s="20"/>
      <c r="J106" s="10" t="s">
        <v>699</v>
      </c>
      <c r="K106" s="21"/>
      <c r="L106" s="10"/>
      <c r="M106" s="22"/>
      <c r="N106" s="10"/>
      <c r="O106" s="10"/>
      <c r="P106" s="12" t="str">
        <f t="shared" si="1"/>
        <v>https://docs.google.com/forms/d/e/1FAIpQLSeZ-R1GrWlAPkfaThGqxeTj0QTtrARw4rroxIIepf2kipn1nw/formResponse?usp=pp_url&amp;entry.1313582257=0102794623 / 252610136&amp;entry.1578404635=Hadir</v>
      </c>
      <c r="Q106" s="23" t="s">
        <v>752</v>
      </c>
      <c r="R106" s="12" t="s">
        <v>753</v>
      </c>
      <c r="S106" s="24" t="s">
        <v>754</v>
      </c>
      <c r="T106" s="23" t="str">
        <f>HYPERLINK("https://drive.google.com/file/d/1ACF6kWCHLYXaFlvDz3uuqJPjLBydwC2A/view?usp=drivesdk","33 - X3 - Cheryl Faiha Al-Tair - P")</f>
        <v>33 - X3 - Cheryl Faiha Al-Tair - P</v>
      </c>
      <c r="U106" s="12" t="s">
        <v>749</v>
      </c>
      <c r="W106" s="25">
        <f>COUNTIFS('Form Presensi SCC'!$B:$B, IF($C106&lt;&gt;0, TEXT($C106, "0000000000"), $D106), 'Form Presensi SCC'!$C:$C, "Hadir")</f>
        <v>0</v>
      </c>
      <c r="Y106" s="26"/>
    </row>
    <row r="107" ht="22.5" customHeight="1">
      <c r="A107" s="10">
        <v>106.0</v>
      </c>
      <c r="B107" s="18">
        <v>12.0</v>
      </c>
      <c r="C107" s="18" t="s">
        <v>755</v>
      </c>
      <c r="D107" s="18" t="s">
        <v>756</v>
      </c>
      <c r="E107" s="18" t="s">
        <v>227</v>
      </c>
      <c r="F107" s="12">
        <v>33.0</v>
      </c>
      <c r="G107" s="10" t="s">
        <v>699</v>
      </c>
      <c r="H107" s="19"/>
      <c r="I107" s="20"/>
      <c r="J107" s="10" t="s">
        <v>699</v>
      </c>
      <c r="K107" s="21"/>
      <c r="L107" s="10"/>
      <c r="M107" s="22"/>
      <c r="N107" s="10"/>
      <c r="O107" s="10"/>
      <c r="P107" s="12" t="str">
        <f t="shared" si="1"/>
        <v>https://docs.google.com/forms/d/e/1FAIpQLSeZ-R1GrWlAPkfaThGqxeTj0QTtrARw4rroxIIepf2kipn1nw/formResponse?usp=pp_url&amp;entry.1313582257=0096103714 / 252610138&amp;entry.1578404635=Hadir</v>
      </c>
      <c r="Q107" s="23" t="s">
        <v>757</v>
      </c>
      <c r="R107" s="12" t="s">
        <v>758</v>
      </c>
      <c r="S107" s="24" t="s">
        <v>759</v>
      </c>
      <c r="T107" s="23" t="str">
        <f>HYPERLINK("https://drive.google.com/file/d/1Zt57D9LMn1xTp3K07__2g6yG9hNKv3ii/view?usp=drivesdk","33 - X3 - Cindy Ramadhani Sinulingga - P")</f>
        <v>33 - X3 - Cindy Ramadhani Sinulingga - P</v>
      </c>
      <c r="U107" s="12" t="s">
        <v>749</v>
      </c>
      <c r="W107" s="25">
        <f>COUNTIFS('Form Presensi SCC'!$B:$B, IF($C107&lt;&gt;0, TEXT($C107, "0000000000"), $D107), 'Form Presensi SCC'!$C:$C, "Hadir")</f>
        <v>0</v>
      </c>
      <c r="Y107" s="26"/>
    </row>
    <row r="108" ht="22.5" customHeight="1">
      <c r="A108" s="18">
        <v>107.0</v>
      </c>
      <c r="B108" s="18">
        <v>13.0</v>
      </c>
      <c r="C108" s="18" t="s">
        <v>760</v>
      </c>
      <c r="D108" s="18" t="s">
        <v>761</v>
      </c>
      <c r="E108" s="18" t="s">
        <v>227</v>
      </c>
      <c r="F108" s="12">
        <v>33.0</v>
      </c>
      <c r="G108" s="10" t="s">
        <v>699</v>
      </c>
      <c r="H108" s="19"/>
      <c r="I108" s="20"/>
      <c r="J108" s="10" t="s">
        <v>699</v>
      </c>
      <c r="K108" s="21"/>
      <c r="L108" s="10"/>
      <c r="M108" s="22"/>
      <c r="N108" s="10"/>
      <c r="O108" s="10"/>
      <c r="P108" s="12" t="str">
        <f t="shared" si="1"/>
        <v>https://docs.google.com/forms/d/e/1FAIpQLSeZ-R1GrWlAPkfaThGqxeTj0QTtrARw4rroxIIepf2kipn1nw/formResponse?usp=pp_url&amp;entry.1313582257=0103966590 / 252610148&amp;entry.1578404635=Hadir</v>
      </c>
      <c r="Q108" s="23" t="s">
        <v>762</v>
      </c>
      <c r="R108" s="12" t="s">
        <v>763</v>
      </c>
      <c r="S108" s="24" t="s">
        <v>764</v>
      </c>
      <c r="T108" s="23" t="str">
        <f>HYPERLINK("https://drive.google.com/file/d/1qrd5_WGUwXWD4PMqkuNPbVzvVaA68LQo/view?usp=drivesdk","33 - X3 - Danesh Arrayan Syahreen - P")</f>
        <v>33 - X3 - Danesh Arrayan Syahreen - P</v>
      </c>
      <c r="U108" s="12" t="s">
        <v>749</v>
      </c>
      <c r="W108" s="25">
        <f>COUNTIFS('Form Presensi SCC'!$B:$B, IF($C108&lt;&gt;0, TEXT($C108, "0000000000"), $D108), 'Form Presensi SCC'!$C:$C, "Hadir")</f>
        <v>0</v>
      </c>
      <c r="Y108" s="26"/>
    </row>
    <row r="109" ht="22.5" customHeight="1">
      <c r="A109" s="10">
        <v>108.0</v>
      </c>
      <c r="B109" s="18">
        <v>14.0</v>
      </c>
      <c r="C109" s="18" t="s">
        <v>765</v>
      </c>
      <c r="D109" s="18" t="s">
        <v>766</v>
      </c>
      <c r="E109" s="18" t="s">
        <v>227</v>
      </c>
      <c r="F109" s="12">
        <v>33.0</v>
      </c>
      <c r="G109" s="10" t="s">
        <v>699</v>
      </c>
      <c r="H109" s="19"/>
      <c r="I109" s="20"/>
      <c r="J109" s="10" t="s">
        <v>699</v>
      </c>
      <c r="K109" s="21"/>
      <c r="L109" s="10"/>
      <c r="M109" s="22"/>
      <c r="N109" s="10"/>
      <c r="O109" s="10"/>
      <c r="P109" s="12" t="str">
        <f t="shared" si="1"/>
        <v>https://docs.google.com/forms/d/e/1FAIpQLSeZ-R1GrWlAPkfaThGqxeTj0QTtrARw4rroxIIepf2kipn1nw/formResponse?usp=pp_url&amp;entry.1313582257=0097493642 / 252610158&amp;entry.1578404635=Hadir</v>
      </c>
      <c r="Q109" s="23" t="s">
        <v>767</v>
      </c>
      <c r="R109" s="12" t="s">
        <v>768</v>
      </c>
      <c r="S109" s="24" t="s">
        <v>769</v>
      </c>
      <c r="T109" s="23" t="str">
        <f>HYPERLINK("https://drive.google.com/file/d/1HdVzWrJ2iZasb8fh6ypRMOSTnAXQseFa/view?usp=drivesdk","33 - X3 - Dhyra Putra Pratama - P")</f>
        <v>33 - X3 - Dhyra Putra Pratama - P</v>
      </c>
      <c r="U109" s="12" t="s">
        <v>749</v>
      </c>
      <c r="W109" s="25">
        <f>COUNTIFS('Form Presensi SCC'!$B:$B, IF($C109&lt;&gt;0, TEXT($C109, "0000000000"), $D109), 'Form Presensi SCC'!$C:$C, "Hadir")</f>
        <v>0</v>
      </c>
      <c r="Y109" s="26"/>
    </row>
    <row r="110" ht="22.5" customHeight="1">
      <c r="A110" s="18">
        <v>109.0</v>
      </c>
      <c r="B110" s="18">
        <v>15.0</v>
      </c>
      <c r="C110" s="18" t="s">
        <v>770</v>
      </c>
      <c r="D110" s="18" t="s">
        <v>771</v>
      </c>
      <c r="E110" s="18" t="s">
        <v>227</v>
      </c>
      <c r="F110" s="12">
        <v>33.0</v>
      </c>
      <c r="G110" s="10" t="s">
        <v>699</v>
      </c>
      <c r="H110" s="19"/>
      <c r="I110" s="20"/>
      <c r="J110" s="10" t="s">
        <v>699</v>
      </c>
      <c r="K110" s="21"/>
      <c r="L110" s="10"/>
      <c r="M110" s="22"/>
      <c r="N110" s="10"/>
      <c r="O110" s="10"/>
      <c r="P110" s="12" t="str">
        <f t="shared" si="1"/>
        <v>https://docs.google.com/forms/d/e/1FAIpQLSeZ-R1GrWlAPkfaThGqxeTj0QTtrARw4rroxIIepf2kipn1nw/formResponse?usp=pp_url&amp;entry.1313582257=0096662016 / 252610187&amp;entry.1578404635=Hadir</v>
      </c>
      <c r="Q110" s="23" t="s">
        <v>772</v>
      </c>
      <c r="R110" s="12" t="s">
        <v>773</v>
      </c>
      <c r="S110" s="24" t="s">
        <v>774</v>
      </c>
      <c r="T110" s="23" t="str">
        <f>HYPERLINK("https://drive.google.com/file/d/1Sqrbw-dmuTx3Fak4CXvAVm6GSkgcKFU0/view?usp=drivesdk","33 - X3 - Fadya Malikha - P")</f>
        <v>33 - X3 - Fadya Malikha - P</v>
      </c>
      <c r="U110" s="12" t="s">
        <v>749</v>
      </c>
      <c r="W110" s="25">
        <f>COUNTIFS('Form Presensi SCC'!$B:$B, IF($C110&lt;&gt;0, TEXT($C110, "0000000000"), $D110), 'Form Presensi SCC'!$C:$C, "Hadir")</f>
        <v>0</v>
      </c>
      <c r="Y110" s="26"/>
    </row>
    <row r="111" ht="22.5" customHeight="1">
      <c r="A111" s="10">
        <v>110.0</v>
      </c>
      <c r="B111" s="18">
        <v>16.0</v>
      </c>
      <c r="C111" s="18" t="s">
        <v>775</v>
      </c>
      <c r="D111" s="18" t="s">
        <v>776</v>
      </c>
      <c r="E111" s="18" t="s">
        <v>220</v>
      </c>
      <c r="F111" s="12">
        <v>33.0</v>
      </c>
      <c r="G111" s="10" t="s">
        <v>699</v>
      </c>
      <c r="H111" s="19"/>
      <c r="I111" s="20"/>
      <c r="J111" s="10" t="s">
        <v>699</v>
      </c>
      <c r="K111" s="21"/>
      <c r="L111" s="10"/>
      <c r="M111" s="22"/>
      <c r="N111" s="10"/>
      <c r="O111" s="10"/>
      <c r="P111" s="12" t="str">
        <f t="shared" si="1"/>
        <v>https://docs.google.com/forms/d/e/1FAIpQLSeZ-R1GrWlAPkfaThGqxeTj0QTtrARw4rroxIIepf2kipn1nw/formResponse?usp=pp_url&amp;entry.1313582257=0096892367 / 252610190&amp;entry.1578404635=Hadir</v>
      </c>
      <c r="Q111" s="23" t="s">
        <v>777</v>
      </c>
      <c r="R111" s="12" t="s">
        <v>778</v>
      </c>
      <c r="S111" s="24" t="s">
        <v>779</v>
      </c>
      <c r="T111" s="23" t="str">
        <f>HYPERLINK("https://drive.google.com/file/d/1j-d5uOh8ERvd1glbakY9K9pC2WnUV258/view?usp=drivesdk","33 - X3 - Fajri Pardomuan Pohan - L")</f>
        <v>33 - X3 - Fajri Pardomuan Pohan - L</v>
      </c>
      <c r="U111" s="12" t="s">
        <v>780</v>
      </c>
      <c r="W111" s="25">
        <f>COUNTIFS('Form Presensi SCC'!$B:$B, IF($C111&lt;&gt;0, TEXT($C111, "0000000000"), $D111), 'Form Presensi SCC'!$C:$C, "Hadir")</f>
        <v>0</v>
      </c>
      <c r="Y111" s="26"/>
    </row>
    <row r="112" ht="22.5" customHeight="1">
      <c r="A112" s="18">
        <v>111.0</v>
      </c>
      <c r="B112" s="18">
        <v>17.0</v>
      </c>
      <c r="C112" s="18" t="s">
        <v>781</v>
      </c>
      <c r="D112" s="18" t="s">
        <v>782</v>
      </c>
      <c r="E112" s="18" t="s">
        <v>220</v>
      </c>
      <c r="F112" s="12">
        <v>33.0</v>
      </c>
      <c r="G112" s="10" t="s">
        <v>699</v>
      </c>
      <c r="H112" s="19"/>
      <c r="I112" s="20"/>
      <c r="J112" s="10" t="s">
        <v>699</v>
      </c>
      <c r="K112" s="21"/>
      <c r="L112" s="10"/>
      <c r="M112" s="22"/>
      <c r="N112" s="10"/>
      <c r="O112" s="10"/>
      <c r="P112" s="12" t="str">
        <f t="shared" si="1"/>
        <v>https://docs.google.com/forms/d/e/1FAIpQLSeZ-R1GrWlAPkfaThGqxeTj0QTtrARw4rroxIIepf2kipn1nw/formResponse?usp=pp_url&amp;entry.1313582257=0094686377 / 252610201&amp;entry.1578404635=Hadir</v>
      </c>
      <c r="Q112" s="23" t="s">
        <v>783</v>
      </c>
      <c r="R112" s="12" t="s">
        <v>784</v>
      </c>
      <c r="S112" s="24" t="s">
        <v>785</v>
      </c>
      <c r="T112" s="23" t="str">
        <f>HYPERLINK("https://drive.google.com/file/d/1eZN8J36qw0ON_A17Pe3ljSytw3gZtsPc/view?usp=drivesdk","33 - X3 - Farras Putra Zema - L")</f>
        <v>33 - X3 - Farras Putra Zema - L</v>
      </c>
      <c r="U112" s="12" t="s">
        <v>780</v>
      </c>
      <c r="W112" s="25">
        <f>COUNTIFS('Form Presensi SCC'!$B:$B, IF($C112&lt;&gt;0, TEXT($C112, "0000000000"), $D112), 'Form Presensi SCC'!$C:$C, "Hadir")</f>
        <v>0</v>
      </c>
      <c r="Y112" s="26"/>
    </row>
    <row r="113" ht="22.5" customHeight="1">
      <c r="A113" s="10">
        <v>112.0</v>
      </c>
      <c r="B113" s="18">
        <v>18.0</v>
      </c>
      <c r="C113" s="18" t="s">
        <v>786</v>
      </c>
      <c r="D113" s="18" t="s">
        <v>787</v>
      </c>
      <c r="E113" s="18" t="s">
        <v>227</v>
      </c>
      <c r="F113" s="12">
        <v>33.0</v>
      </c>
      <c r="G113" s="10" t="s">
        <v>699</v>
      </c>
      <c r="H113" s="19"/>
      <c r="I113" s="20"/>
      <c r="J113" s="10" t="s">
        <v>699</v>
      </c>
      <c r="K113" s="21"/>
      <c r="L113" s="10"/>
      <c r="M113" s="22"/>
      <c r="N113" s="10"/>
      <c r="O113" s="10"/>
      <c r="P113" s="12" t="str">
        <f t="shared" si="1"/>
        <v>https://docs.google.com/forms/d/e/1FAIpQLSeZ-R1GrWlAPkfaThGqxeTj0QTtrARw4rroxIIepf2kipn1nw/formResponse?usp=pp_url&amp;entry.1313582257=0109768822 / 252610204&amp;entry.1578404635=Hadir</v>
      </c>
      <c r="Q113" s="23" t="s">
        <v>788</v>
      </c>
      <c r="R113" s="12" t="s">
        <v>789</v>
      </c>
      <c r="S113" s="24" t="s">
        <v>790</v>
      </c>
      <c r="T113" s="23" t="str">
        <f>HYPERLINK("https://drive.google.com/file/d/1P5ow4Ahp03hJfJwaU67BG50NfzviydZu/view?usp=drivesdk","33 - X3 - Fathia Amia Rizqi - P")</f>
        <v>33 - X3 - Fathia Amia Rizqi - P</v>
      </c>
      <c r="U113" s="12" t="s">
        <v>780</v>
      </c>
      <c r="W113" s="25">
        <f>COUNTIFS('Form Presensi SCC'!$B:$B, IF($C113&lt;&gt;0, TEXT($C113, "0000000000"), $D113), 'Form Presensi SCC'!$C:$C, "Hadir")</f>
        <v>0</v>
      </c>
      <c r="Y113" s="26"/>
    </row>
    <row r="114" ht="22.5" customHeight="1">
      <c r="A114" s="18">
        <v>113.0</v>
      </c>
      <c r="B114" s="18">
        <v>19.0</v>
      </c>
      <c r="C114" s="18" t="s">
        <v>791</v>
      </c>
      <c r="D114" s="18" t="s">
        <v>792</v>
      </c>
      <c r="E114" s="18" t="s">
        <v>227</v>
      </c>
      <c r="F114" s="12">
        <v>33.0</v>
      </c>
      <c r="G114" s="10" t="s">
        <v>699</v>
      </c>
      <c r="H114" s="19"/>
      <c r="I114" s="20"/>
      <c r="J114" s="10" t="s">
        <v>699</v>
      </c>
      <c r="K114" s="21"/>
      <c r="L114" s="10"/>
      <c r="M114" s="22"/>
      <c r="N114" s="10"/>
      <c r="O114" s="10"/>
      <c r="P114" s="12" t="str">
        <f t="shared" si="1"/>
        <v>https://docs.google.com/forms/d/e/1FAIpQLSeZ-R1GrWlAPkfaThGqxeTj0QTtrARw4rroxIIepf2kipn1nw/formResponse?usp=pp_url&amp;entry.1313582257=0109156472 / 252610213&amp;entry.1578404635=Hadir</v>
      </c>
      <c r="Q114" s="23" t="s">
        <v>793</v>
      </c>
      <c r="R114" s="12" t="s">
        <v>794</v>
      </c>
      <c r="S114" s="24" t="s">
        <v>795</v>
      </c>
      <c r="T114" s="23" t="str">
        <f>HYPERLINK("https://drive.google.com/file/d/11vvEH8CP885FiZ0SQh8U9GXY_dV9QgyN/view?usp=drivesdk","33 - X3 - Florencia Ivana - P")</f>
        <v>33 - X3 - Florencia Ivana - P</v>
      </c>
      <c r="U114" s="12" t="s">
        <v>780</v>
      </c>
      <c r="W114" s="25">
        <f>COUNTIFS('Form Presensi SCC'!$B:$B, IF($C114&lt;&gt;0, TEXT($C114, "0000000000"), $D114), 'Form Presensi SCC'!$C:$C, "Hadir")</f>
        <v>0</v>
      </c>
      <c r="Y114" s="26"/>
    </row>
    <row r="115" ht="22.5" customHeight="1">
      <c r="A115" s="10">
        <v>114.0</v>
      </c>
      <c r="B115" s="18">
        <v>20.0</v>
      </c>
      <c r="C115" s="18" t="s">
        <v>796</v>
      </c>
      <c r="D115" s="18" t="s">
        <v>797</v>
      </c>
      <c r="E115" s="18" t="s">
        <v>227</v>
      </c>
      <c r="F115" s="12">
        <v>33.0</v>
      </c>
      <c r="G115" s="10" t="s">
        <v>699</v>
      </c>
      <c r="H115" s="19"/>
      <c r="I115" s="20"/>
      <c r="J115" s="10" t="s">
        <v>699</v>
      </c>
      <c r="K115" s="21"/>
      <c r="L115" s="10"/>
      <c r="M115" s="22"/>
      <c r="N115" s="10"/>
      <c r="O115" s="10"/>
      <c r="P115" s="12" t="str">
        <f t="shared" si="1"/>
        <v>https://docs.google.com/forms/d/e/1FAIpQLSeZ-R1GrWlAPkfaThGqxeTj0QTtrARw4rroxIIepf2kipn1nw/formResponse?usp=pp_url&amp;entry.1313582257=0098064041 / 252610215&amp;entry.1578404635=Hadir</v>
      </c>
      <c r="Q115" s="23" t="s">
        <v>798</v>
      </c>
      <c r="R115" s="12" t="s">
        <v>799</v>
      </c>
      <c r="S115" s="24" t="s">
        <v>800</v>
      </c>
      <c r="T115" s="23" t="str">
        <f>HYPERLINK("https://drive.google.com/file/d/1KKocwOWRV4wF8oPG5PeaIk-mC3-ABQ1Z/view?usp=drivesdk","33 - X3 - Fricilia Aprilyani Cardoso - P")</f>
        <v>33 - X3 - Fricilia Aprilyani Cardoso - P</v>
      </c>
      <c r="U115" s="12" t="s">
        <v>780</v>
      </c>
      <c r="W115" s="25">
        <f>COUNTIFS('Form Presensi SCC'!$B:$B, IF($C115&lt;&gt;0, TEXT($C115, "0000000000"), $D115), 'Form Presensi SCC'!$C:$C, "Hadir")</f>
        <v>0</v>
      </c>
      <c r="Y115" s="26"/>
    </row>
    <row r="116" ht="22.5" customHeight="1">
      <c r="A116" s="18">
        <v>115.0</v>
      </c>
      <c r="B116" s="18">
        <v>21.0</v>
      </c>
      <c r="C116" s="18" t="s">
        <v>801</v>
      </c>
      <c r="D116" s="18" t="s">
        <v>802</v>
      </c>
      <c r="E116" s="18" t="s">
        <v>220</v>
      </c>
      <c r="F116" s="12">
        <v>33.0</v>
      </c>
      <c r="G116" s="10" t="s">
        <v>699</v>
      </c>
      <c r="H116" s="19"/>
      <c r="I116" s="20"/>
      <c r="J116" s="10" t="s">
        <v>699</v>
      </c>
      <c r="K116" s="21"/>
      <c r="L116" s="10"/>
      <c r="M116" s="22"/>
      <c r="N116" s="10"/>
      <c r="O116" s="10"/>
      <c r="P116" s="12" t="str">
        <f t="shared" si="1"/>
        <v>https://docs.google.com/forms/d/e/1FAIpQLSeZ-R1GrWlAPkfaThGqxeTj0QTtrARw4rroxIIepf2kipn1nw/formResponse?usp=pp_url&amp;entry.1313582257=0113691116 / 252610219&amp;entry.1578404635=Hadir</v>
      </c>
      <c r="Q116" s="23" t="s">
        <v>803</v>
      </c>
      <c r="R116" s="12" t="s">
        <v>804</v>
      </c>
      <c r="S116" s="24" t="s">
        <v>805</v>
      </c>
      <c r="T116" s="23" t="str">
        <f>HYPERLINK("https://drive.google.com/file/d/16l0FVnzEcEk2VzONUmRUDSHO4shXqyVH/view?usp=drivesdk","33 - X3 - Gerald Samuel Sitanggang - L")</f>
        <v>33 - X3 - Gerald Samuel Sitanggang - L</v>
      </c>
      <c r="U116" s="12" t="s">
        <v>780</v>
      </c>
      <c r="W116" s="25">
        <f>COUNTIFS('Form Presensi SCC'!$B:$B, IF($C116&lt;&gt;0, TEXT($C116, "0000000000"), $D116), 'Form Presensi SCC'!$C:$C, "Hadir")</f>
        <v>0</v>
      </c>
      <c r="Y116" s="26"/>
    </row>
    <row r="117" ht="22.5" customHeight="1">
      <c r="A117" s="10">
        <v>116.0</v>
      </c>
      <c r="B117" s="18">
        <v>22.0</v>
      </c>
      <c r="C117" s="18" t="s">
        <v>806</v>
      </c>
      <c r="D117" s="18" t="s">
        <v>807</v>
      </c>
      <c r="E117" s="18" t="s">
        <v>220</v>
      </c>
      <c r="F117" s="12">
        <v>33.0</v>
      </c>
      <c r="G117" s="10" t="s">
        <v>699</v>
      </c>
      <c r="H117" s="19"/>
      <c r="I117" s="20"/>
      <c r="J117" s="10" t="s">
        <v>699</v>
      </c>
      <c r="K117" s="21"/>
      <c r="L117" s="10"/>
      <c r="M117" s="22"/>
      <c r="N117" s="10"/>
      <c r="O117" s="10"/>
      <c r="P117" s="12" t="str">
        <f t="shared" si="1"/>
        <v>https://docs.google.com/forms/d/e/1FAIpQLSeZ-R1GrWlAPkfaThGqxeTj0QTtrARw4rroxIIepf2kipn1nw/formResponse?usp=pp_url&amp;entry.1313582257=0104767807 / 252610237&amp;entry.1578404635=Hadir</v>
      </c>
      <c r="Q117" s="23" t="s">
        <v>808</v>
      </c>
      <c r="R117" s="12" t="s">
        <v>809</v>
      </c>
      <c r="S117" s="24" t="s">
        <v>810</v>
      </c>
      <c r="T117" s="23" t="str">
        <f>HYPERLINK("https://drive.google.com/file/d/1YliYiKXF0jcn5lcpr1dXgwjW-8UdKGUU/view?usp=drivesdk","33 - X3 - Jaenal Ikhwan - L")</f>
        <v>33 - X3 - Jaenal Ikhwan - L</v>
      </c>
      <c r="U117" s="12" t="s">
        <v>811</v>
      </c>
      <c r="W117" s="25">
        <f>COUNTIFS('Form Presensi SCC'!$B:$B, IF($C117&lt;&gt;0, TEXT($C117, "0000000000"), $D117), 'Form Presensi SCC'!$C:$C, "Hadir")</f>
        <v>0</v>
      </c>
      <c r="Y117" s="26"/>
    </row>
    <row r="118" ht="22.5" customHeight="1">
      <c r="A118" s="18">
        <v>117.0</v>
      </c>
      <c r="B118" s="18">
        <v>23.0</v>
      </c>
      <c r="C118" s="18" t="s">
        <v>54</v>
      </c>
      <c r="D118" s="18" t="s">
        <v>812</v>
      </c>
      <c r="E118" s="18" t="s">
        <v>227</v>
      </c>
      <c r="F118" s="12">
        <v>33.0</v>
      </c>
      <c r="G118" s="10" t="s">
        <v>699</v>
      </c>
      <c r="H118" s="19"/>
      <c r="I118" s="20"/>
      <c r="J118" s="10" t="s">
        <v>699</v>
      </c>
      <c r="K118" s="21"/>
      <c r="L118" s="10"/>
      <c r="M118" s="22"/>
      <c r="N118" s="10"/>
      <c r="O118" s="10"/>
      <c r="P118" s="12" t="str">
        <f t="shared" si="1"/>
        <v>https://docs.google.com/forms/d/e/1FAIpQLSeZ-R1GrWlAPkfaThGqxeTj0QTtrARw4rroxIIepf2kipn1nw/formResponse?usp=pp_url&amp;entry.1313582257=0106443881 / 252610247&amp;entry.1578404635=Hadir</v>
      </c>
      <c r="Q118" s="23" t="s">
        <v>813</v>
      </c>
      <c r="R118" s="12" t="s">
        <v>814</v>
      </c>
      <c r="S118" s="24" t="s">
        <v>815</v>
      </c>
      <c r="T118" s="23" t="str">
        <f>HYPERLINK("https://drive.google.com/file/d/1rgeB7w7557_EfD__jxYdz08HA5yc_1MD/view?usp=drivesdk","33 - X3 - Jihan Fauziyyah Latifah - P")</f>
        <v>33 - X3 - Jihan Fauziyyah Latifah - P</v>
      </c>
      <c r="U118" s="12" t="s">
        <v>811</v>
      </c>
      <c r="W118" s="25">
        <f>COUNTIFS('Form Presensi SCC'!$B:$B, IF($C118&lt;&gt;0, TEXT($C118, "0000000000"), $D118), 'Form Presensi SCC'!$C:$C, "Hadir")</f>
        <v>1</v>
      </c>
      <c r="Y118" s="26"/>
    </row>
    <row r="119" ht="22.5" customHeight="1">
      <c r="A119" s="10">
        <v>118.0</v>
      </c>
      <c r="B119" s="18">
        <v>24.0</v>
      </c>
      <c r="C119" s="18" t="s">
        <v>816</v>
      </c>
      <c r="D119" s="18" t="s">
        <v>817</v>
      </c>
      <c r="E119" s="18" t="s">
        <v>227</v>
      </c>
      <c r="F119" s="12">
        <v>33.0</v>
      </c>
      <c r="G119" s="10" t="s">
        <v>699</v>
      </c>
      <c r="H119" s="19"/>
      <c r="I119" s="20"/>
      <c r="J119" s="10" t="s">
        <v>699</v>
      </c>
      <c r="K119" s="21"/>
      <c r="L119" s="10"/>
      <c r="M119" s="22"/>
      <c r="N119" s="10"/>
      <c r="O119" s="10"/>
      <c r="P119" s="12" t="str">
        <f t="shared" si="1"/>
        <v>https://docs.google.com/forms/d/e/1FAIpQLSeZ-R1GrWlAPkfaThGqxeTj0QTtrARw4rroxIIepf2kipn1nw/formResponse?usp=pp_url&amp;entry.1313582257=0104211640 / 252610259&amp;entry.1578404635=Hadir</v>
      </c>
      <c r="Q119" s="23" t="s">
        <v>818</v>
      </c>
      <c r="R119" s="12" t="s">
        <v>819</v>
      </c>
      <c r="S119" s="24" t="s">
        <v>820</v>
      </c>
      <c r="T119" s="23" t="str">
        <f>HYPERLINK("https://drive.google.com/file/d/1v8YqhT3ZPECychxQbzFOM1eY6Jrz9Rv2/view?usp=drivesdk","33 - X3 - Kartika Larasati - P")</f>
        <v>33 - X3 - Kartika Larasati - P</v>
      </c>
      <c r="U119" s="12" t="s">
        <v>811</v>
      </c>
      <c r="W119" s="25">
        <f>COUNTIFS('Form Presensi SCC'!$B:$B, IF($C119&lt;&gt;0, TEXT($C119, "0000000000"), $D119), 'Form Presensi SCC'!$C:$C, "Hadir")</f>
        <v>0</v>
      </c>
      <c r="Y119" s="26"/>
    </row>
    <row r="120" ht="22.5" customHeight="1">
      <c r="A120" s="18">
        <v>119.0</v>
      </c>
      <c r="B120" s="18">
        <v>25.0</v>
      </c>
      <c r="C120" s="18" t="s">
        <v>821</v>
      </c>
      <c r="D120" s="18" t="s">
        <v>822</v>
      </c>
      <c r="E120" s="18" t="s">
        <v>227</v>
      </c>
      <c r="F120" s="12">
        <v>33.0</v>
      </c>
      <c r="G120" s="10" t="s">
        <v>699</v>
      </c>
      <c r="H120" s="19"/>
      <c r="I120" s="20"/>
      <c r="J120" s="10" t="s">
        <v>699</v>
      </c>
      <c r="K120" s="21"/>
      <c r="L120" s="10"/>
      <c r="M120" s="22"/>
      <c r="N120" s="10"/>
      <c r="O120" s="10"/>
      <c r="P120" s="12" t="str">
        <f t="shared" si="1"/>
        <v>https://docs.google.com/forms/d/e/1FAIpQLSeZ-R1GrWlAPkfaThGqxeTj0QTtrARw4rroxIIepf2kipn1nw/formResponse?usp=pp_url&amp;entry.1313582257=0098772505 / 252610274&amp;entry.1578404635=Hadir</v>
      </c>
      <c r="Q120" s="23" t="s">
        <v>823</v>
      </c>
      <c r="R120" s="12" t="s">
        <v>824</v>
      </c>
      <c r="S120" s="24" t="s">
        <v>825</v>
      </c>
      <c r="T120" s="23" t="str">
        <f>HYPERLINK("https://drive.google.com/file/d/1JboVopWlqN9X-tHscUx8jj9_9a9VklV3/view?usp=drivesdk","33 - X3 - Keynia Louis Cristin Harianja - P")</f>
        <v>33 - X3 - Keynia Louis Cristin Harianja - P</v>
      </c>
      <c r="U120" s="12" t="s">
        <v>811</v>
      </c>
      <c r="W120" s="25">
        <f>COUNTIFS('Form Presensi SCC'!$B:$B, IF($C120&lt;&gt;0, TEXT($C120, "0000000000"), $D120), 'Form Presensi SCC'!$C:$C, "Hadir")</f>
        <v>0</v>
      </c>
      <c r="Y120" s="26"/>
    </row>
    <row r="121" ht="22.5" customHeight="1">
      <c r="A121" s="10">
        <v>120.0</v>
      </c>
      <c r="B121" s="18">
        <v>26.0</v>
      </c>
      <c r="C121" s="18" t="s">
        <v>826</v>
      </c>
      <c r="D121" s="18" t="s">
        <v>827</v>
      </c>
      <c r="E121" s="18" t="s">
        <v>227</v>
      </c>
      <c r="F121" s="12">
        <v>33.0</v>
      </c>
      <c r="G121" s="10" t="s">
        <v>699</v>
      </c>
      <c r="H121" s="19"/>
      <c r="I121" s="20"/>
      <c r="J121" s="10" t="s">
        <v>699</v>
      </c>
      <c r="K121" s="21"/>
      <c r="L121" s="10"/>
      <c r="M121" s="22"/>
      <c r="N121" s="10"/>
      <c r="O121" s="10"/>
      <c r="P121" s="12" t="str">
        <f t="shared" si="1"/>
        <v>https://docs.google.com/forms/d/e/1FAIpQLSeZ-R1GrWlAPkfaThGqxeTj0QTtrARw4rroxIIepf2kipn1nw/formResponse?usp=pp_url&amp;entry.1313582257=0107095977 / 252610276&amp;entry.1578404635=Hadir</v>
      </c>
      <c r="Q121" s="23" t="s">
        <v>828</v>
      </c>
      <c r="R121" s="12" t="s">
        <v>829</v>
      </c>
      <c r="S121" s="24" t="s">
        <v>830</v>
      </c>
      <c r="T121" s="23" t="str">
        <f>HYPERLINK("https://drive.google.com/file/d/1-C9uZT9mTLU13zAa4E_IyhsDDrmBY587/view?usp=drivesdk","33 - X3 - Khairani Asri Utami - P")</f>
        <v>33 - X3 - Khairani Asri Utami - P</v>
      </c>
      <c r="U121" s="12" t="s">
        <v>811</v>
      </c>
      <c r="W121" s="25">
        <f>COUNTIFS('Form Presensi SCC'!$B:$B, IF($C121&lt;&gt;0, TEXT($C121, "0000000000"), $D121), 'Form Presensi SCC'!$C:$C, "Hadir")</f>
        <v>0</v>
      </c>
      <c r="Y121" s="26"/>
    </row>
    <row r="122" ht="22.5" customHeight="1">
      <c r="A122" s="18">
        <v>121.0</v>
      </c>
      <c r="B122" s="18">
        <v>27.0</v>
      </c>
      <c r="C122" s="18" t="s">
        <v>831</v>
      </c>
      <c r="D122" s="18" t="s">
        <v>832</v>
      </c>
      <c r="E122" s="18" t="s">
        <v>220</v>
      </c>
      <c r="F122" s="12">
        <v>33.0</v>
      </c>
      <c r="G122" s="10" t="s">
        <v>699</v>
      </c>
      <c r="H122" s="19"/>
      <c r="I122" s="20"/>
      <c r="J122" s="10" t="s">
        <v>699</v>
      </c>
      <c r="K122" s="21"/>
      <c r="L122" s="10"/>
      <c r="M122" s="22"/>
      <c r="N122" s="10"/>
      <c r="O122" s="10"/>
      <c r="P122" s="12" t="str">
        <f t="shared" si="1"/>
        <v>https://docs.google.com/forms/d/e/1FAIpQLSeZ-R1GrWlAPkfaThGqxeTj0QTtrARw4rroxIIepf2kipn1nw/formResponse?usp=pp_url&amp;entry.1313582257=0092150853 / 252610278&amp;entry.1578404635=Hadir</v>
      </c>
      <c r="Q122" s="23" t="s">
        <v>833</v>
      </c>
      <c r="R122" s="12" t="s">
        <v>834</v>
      </c>
      <c r="S122" s="24" t="s">
        <v>835</v>
      </c>
      <c r="T122" s="23" t="str">
        <f>HYPERLINK("https://drive.google.com/file/d/1gsUqWxaJWaUPYw2ehAzkiCTUY_6L6m7y/view?usp=drivesdk","33 - X3 - Khalifi Ramadhan Darmawan Anda - L")</f>
        <v>33 - X3 - Khalifi Ramadhan Darmawan Anda - L</v>
      </c>
      <c r="U122" s="12" t="s">
        <v>811</v>
      </c>
      <c r="W122" s="25">
        <f>COUNTIFS('Form Presensi SCC'!$B:$B, IF($C122&lt;&gt;0, TEXT($C122, "0000000000"), $D122), 'Form Presensi SCC'!$C:$C, "Hadir")</f>
        <v>0</v>
      </c>
      <c r="Y122" s="26"/>
    </row>
    <row r="123" ht="22.5" customHeight="1">
      <c r="A123" s="10">
        <v>122.0</v>
      </c>
      <c r="B123" s="18">
        <v>28.0</v>
      </c>
      <c r="C123" s="18" t="s">
        <v>836</v>
      </c>
      <c r="D123" s="18" t="s">
        <v>837</v>
      </c>
      <c r="E123" s="18" t="s">
        <v>227</v>
      </c>
      <c r="F123" s="12">
        <v>33.0</v>
      </c>
      <c r="G123" s="10" t="s">
        <v>699</v>
      </c>
      <c r="H123" s="19"/>
      <c r="I123" s="20"/>
      <c r="J123" s="10" t="s">
        <v>699</v>
      </c>
      <c r="K123" s="21"/>
      <c r="L123" s="10"/>
      <c r="M123" s="22"/>
      <c r="N123" s="10"/>
      <c r="O123" s="10"/>
      <c r="P123" s="12" t="str">
        <f t="shared" si="1"/>
        <v>https://docs.google.com/forms/d/e/1FAIpQLSeZ-R1GrWlAPkfaThGqxeTj0QTtrARw4rroxIIepf2kipn1nw/formResponse?usp=pp_url&amp;entry.1313582257=0091769169 / 252610287&amp;entry.1578404635=Hadir</v>
      </c>
      <c r="Q123" s="23" t="s">
        <v>838</v>
      </c>
      <c r="R123" s="12" t="s">
        <v>839</v>
      </c>
      <c r="S123" s="24" t="s">
        <v>840</v>
      </c>
      <c r="T123" s="23" t="str">
        <f>HYPERLINK("https://drive.google.com/file/d/1lL4n_PNZEvREACfVCeXjH8scit3nuZR8/view?usp=drivesdk","33 - X3 - Lathika Aulia Althafunnisa - P")</f>
        <v>33 - X3 - Lathika Aulia Althafunnisa - P</v>
      </c>
      <c r="U123" s="12" t="s">
        <v>841</v>
      </c>
      <c r="W123" s="25">
        <f>COUNTIFS('Form Presensi SCC'!$B:$B, IF($C123&lt;&gt;0, TEXT($C123, "0000000000"), $D123), 'Form Presensi SCC'!$C:$C, "Hadir")</f>
        <v>0</v>
      </c>
      <c r="Y123" s="26"/>
    </row>
    <row r="124" ht="22.5" customHeight="1">
      <c r="A124" s="18">
        <v>123.0</v>
      </c>
      <c r="B124" s="18">
        <v>29.0</v>
      </c>
      <c r="C124" s="18" t="s">
        <v>842</v>
      </c>
      <c r="D124" s="18" t="s">
        <v>843</v>
      </c>
      <c r="E124" s="18" t="s">
        <v>227</v>
      </c>
      <c r="F124" s="12">
        <v>33.0</v>
      </c>
      <c r="G124" s="10" t="s">
        <v>699</v>
      </c>
      <c r="H124" s="19"/>
      <c r="I124" s="20"/>
      <c r="J124" s="10" t="s">
        <v>699</v>
      </c>
      <c r="K124" s="21"/>
      <c r="L124" s="10"/>
      <c r="M124" s="22"/>
      <c r="N124" s="10"/>
      <c r="O124" s="10"/>
      <c r="P124" s="12" t="str">
        <f t="shared" si="1"/>
        <v>https://docs.google.com/forms/d/e/1FAIpQLSeZ-R1GrWlAPkfaThGqxeTj0QTtrARw4rroxIIepf2kipn1nw/formResponse?usp=pp_url&amp;entry.1313582257=0103272603 / 252610288&amp;entry.1578404635=Hadir</v>
      </c>
      <c r="Q124" s="23" t="s">
        <v>844</v>
      </c>
      <c r="R124" s="12" t="s">
        <v>845</v>
      </c>
      <c r="S124" s="24" t="s">
        <v>846</v>
      </c>
      <c r="T124" s="23" t="str">
        <f>HYPERLINK("https://drive.google.com/file/d/11k8iLQ58IsLYSyddiPJhHeJjHivR4xrv/view?usp=drivesdk","33 - X3 - Laura Aubrey Gracia Lubis - P")</f>
        <v>33 - X3 - Laura Aubrey Gracia Lubis - P</v>
      </c>
      <c r="U124" s="12" t="s">
        <v>841</v>
      </c>
      <c r="W124" s="25">
        <f>COUNTIFS('Form Presensi SCC'!$B:$B, IF($C124&lt;&gt;0, TEXT($C124, "0000000000"), $D124), 'Form Presensi SCC'!$C:$C, "Hadir")</f>
        <v>0</v>
      </c>
      <c r="Y124" s="26"/>
    </row>
    <row r="125" ht="22.5" customHeight="1">
      <c r="A125" s="10">
        <v>124.0</v>
      </c>
      <c r="B125" s="18">
        <v>30.0</v>
      </c>
      <c r="C125" s="18" t="s">
        <v>847</v>
      </c>
      <c r="D125" s="18" t="s">
        <v>848</v>
      </c>
      <c r="E125" s="18" t="s">
        <v>227</v>
      </c>
      <c r="F125" s="12">
        <v>33.0</v>
      </c>
      <c r="G125" s="10" t="s">
        <v>699</v>
      </c>
      <c r="H125" s="19"/>
      <c r="I125" s="20"/>
      <c r="J125" s="10" t="s">
        <v>699</v>
      </c>
      <c r="K125" s="21"/>
      <c r="L125" s="10"/>
      <c r="M125" s="22"/>
      <c r="N125" s="10"/>
      <c r="O125" s="10"/>
      <c r="P125" s="12" t="str">
        <f t="shared" si="1"/>
        <v>https://docs.google.com/forms/d/e/1FAIpQLSeZ-R1GrWlAPkfaThGqxeTj0QTtrARw4rroxIIepf2kipn1nw/formResponse?usp=pp_url&amp;entry.1313582257=0103190164 / 252610301&amp;entry.1578404635=Hadir</v>
      </c>
      <c r="Q125" s="23" t="s">
        <v>849</v>
      </c>
      <c r="R125" s="12" t="s">
        <v>850</v>
      </c>
      <c r="S125" s="24" t="s">
        <v>851</v>
      </c>
      <c r="T125" s="23" t="str">
        <f>HYPERLINK("https://drive.google.com/file/d/1nRU2IIrnlFGFubhwbMdllbaXQf9LmEGn/view?usp=drivesdk","33 - X3 - Mandariza Arya Pranata Wijaya - P")</f>
        <v>33 - X3 - Mandariza Arya Pranata Wijaya - P</v>
      </c>
      <c r="U125" s="12" t="s">
        <v>841</v>
      </c>
      <c r="W125" s="25">
        <f>COUNTIFS('Form Presensi SCC'!$B:$B, IF($C125&lt;&gt;0, TEXT($C125, "0000000000"), $D125), 'Form Presensi SCC'!$C:$C, "Hadir")</f>
        <v>0</v>
      </c>
      <c r="Y125" s="26"/>
    </row>
    <row r="126" ht="22.5" customHeight="1">
      <c r="A126" s="18">
        <v>125.0</v>
      </c>
      <c r="B126" s="18">
        <v>31.0</v>
      </c>
      <c r="C126" s="18" t="s">
        <v>852</v>
      </c>
      <c r="D126" s="18" t="s">
        <v>853</v>
      </c>
      <c r="E126" s="18" t="s">
        <v>220</v>
      </c>
      <c r="F126" s="12">
        <v>33.0</v>
      </c>
      <c r="G126" s="10" t="s">
        <v>699</v>
      </c>
      <c r="H126" s="19"/>
      <c r="I126" s="20"/>
      <c r="J126" s="10" t="s">
        <v>699</v>
      </c>
      <c r="K126" s="21"/>
      <c r="L126" s="10"/>
      <c r="M126" s="22"/>
      <c r="N126" s="10"/>
      <c r="O126" s="10"/>
      <c r="P126" s="12" t="str">
        <f t="shared" si="1"/>
        <v>https://docs.google.com/forms/d/e/1FAIpQLSeZ-R1GrWlAPkfaThGqxeTj0QTtrARw4rroxIIepf2kipn1nw/formResponse?usp=pp_url&amp;entry.1313582257=0092154795 / 252610370&amp;entry.1578404635=Hadir</v>
      </c>
      <c r="Q126" s="23" t="s">
        <v>854</v>
      </c>
      <c r="R126" s="12" t="s">
        <v>855</v>
      </c>
      <c r="S126" s="24" t="s">
        <v>856</v>
      </c>
      <c r="T126" s="23" t="str">
        <f>HYPERLINK("https://drive.google.com/file/d/10kT8dDkB_CQNM2aiYOj6PkgEzjstjG1R/view?usp=drivesdk","33 - X3 - Muhammad Rizzieq Yusuf Natakusumah - L")</f>
        <v>33 - X3 - Muhammad Rizzieq Yusuf Natakusumah - L</v>
      </c>
      <c r="U126" s="12" t="s">
        <v>841</v>
      </c>
      <c r="W126" s="25">
        <f>COUNTIFS('Form Presensi SCC'!$B:$B, IF($C126&lt;&gt;0, TEXT($C126, "0000000000"), $D126), 'Form Presensi SCC'!$C:$C, "Hadir")</f>
        <v>0</v>
      </c>
      <c r="Y126" s="26"/>
    </row>
    <row r="127" ht="22.5" customHeight="1">
      <c r="A127" s="10">
        <v>126.0</v>
      </c>
      <c r="B127" s="18">
        <v>32.0</v>
      </c>
      <c r="C127" s="18" t="s">
        <v>857</v>
      </c>
      <c r="D127" s="18" t="s">
        <v>858</v>
      </c>
      <c r="E127" s="18" t="s">
        <v>220</v>
      </c>
      <c r="F127" s="12">
        <v>33.0</v>
      </c>
      <c r="G127" s="10" t="s">
        <v>699</v>
      </c>
      <c r="H127" s="19"/>
      <c r="I127" s="20"/>
      <c r="J127" s="10" t="s">
        <v>699</v>
      </c>
      <c r="K127" s="21"/>
      <c r="L127" s="10"/>
      <c r="M127" s="22"/>
      <c r="N127" s="10"/>
      <c r="O127" s="10"/>
      <c r="P127" s="12" t="str">
        <f t="shared" si="1"/>
        <v>https://docs.google.com/forms/d/e/1FAIpQLSeZ-R1GrWlAPkfaThGqxeTj0QTtrARw4rroxIIepf2kipn1nw/formResponse?usp=pp_url&amp;entry.1313582257=3096846304 / 252610381&amp;entry.1578404635=Hadir</v>
      </c>
      <c r="Q127" s="23" t="s">
        <v>859</v>
      </c>
      <c r="R127" s="12" t="s">
        <v>860</v>
      </c>
      <c r="S127" s="24" t="s">
        <v>861</v>
      </c>
      <c r="T127" s="23" t="str">
        <f>HYPERLINK("https://drive.google.com/file/d/1YdngOiCRp-Y_jaTfEcb9RzWaF1Y4nEbR/view?usp=drivesdk","33 - X3 - Muhammad Zuhear Alfan - L")</f>
        <v>33 - X3 - Muhammad Zuhear Alfan - L</v>
      </c>
      <c r="U127" s="12" t="s">
        <v>841</v>
      </c>
      <c r="W127" s="25">
        <f>COUNTIFS('Form Presensi SCC'!$B:$B, IF($C127&lt;&gt;0, TEXT($C127, "0000000000"), $D127), 'Form Presensi SCC'!$C:$C, "Hadir")</f>
        <v>0</v>
      </c>
      <c r="Y127" s="26"/>
    </row>
    <row r="128" ht="22.5" customHeight="1">
      <c r="A128" s="18">
        <v>127.0</v>
      </c>
      <c r="B128" s="18">
        <v>33.0</v>
      </c>
      <c r="C128" s="18" t="s">
        <v>56</v>
      </c>
      <c r="D128" s="18" t="s">
        <v>862</v>
      </c>
      <c r="E128" s="18" t="s">
        <v>227</v>
      </c>
      <c r="F128" s="12">
        <v>33.0</v>
      </c>
      <c r="G128" s="10" t="s">
        <v>699</v>
      </c>
      <c r="H128" s="19"/>
      <c r="I128" s="20"/>
      <c r="J128" s="10" t="s">
        <v>699</v>
      </c>
      <c r="K128" s="21"/>
      <c r="L128" s="10"/>
      <c r="M128" s="22"/>
      <c r="N128" s="10"/>
      <c r="O128" s="10"/>
      <c r="P128" s="12" t="str">
        <f t="shared" si="1"/>
        <v>https://docs.google.com/forms/d/e/1FAIpQLSeZ-R1GrWlAPkfaThGqxeTj0QTtrARw4rroxIIepf2kipn1nw/formResponse?usp=pp_url&amp;entry.1313582257=0104716348 / 252610386&amp;entry.1578404635=Hadir</v>
      </c>
      <c r="Q128" s="23" t="s">
        <v>863</v>
      </c>
      <c r="R128" s="12" t="s">
        <v>864</v>
      </c>
      <c r="S128" s="24" t="s">
        <v>865</v>
      </c>
      <c r="T128" s="23" t="str">
        <f>HYPERLINK("https://drive.google.com/file/d/1J4Cd_oxtWSMda_78BHUreHrUXMEqSHMM/view?usp=drivesdk","33 - X3 - Nadhifa Farah Falihah - P")</f>
        <v>33 - X3 - Nadhifa Farah Falihah - P</v>
      </c>
      <c r="U128" s="12" t="s">
        <v>866</v>
      </c>
      <c r="W128" s="25">
        <f>COUNTIFS('Form Presensi SCC'!$B:$B, IF($C128&lt;&gt;0, TEXT($C128, "0000000000"), $D128), 'Form Presensi SCC'!$C:$C, "Hadir")</f>
        <v>1</v>
      </c>
      <c r="Y128" s="26"/>
    </row>
    <row r="129" ht="22.5" customHeight="1">
      <c r="A129" s="10">
        <v>128.0</v>
      </c>
      <c r="B129" s="18">
        <v>34.0</v>
      </c>
      <c r="C129" s="18" t="s">
        <v>867</v>
      </c>
      <c r="D129" s="18" t="s">
        <v>868</v>
      </c>
      <c r="E129" s="18" t="s">
        <v>227</v>
      </c>
      <c r="F129" s="12">
        <v>33.0</v>
      </c>
      <c r="G129" s="10" t="s">
        <v>699</v>
      </c>
      <c r="H129" s="19"/>
      <c r="I129" s="20"/>
      <c r="J129" s="10" t="s">
        <v>699</v>
      </c>
      <c r="K129" s="21"/>
      <c r="L129" s="10"/>
      <c r="M129" s="22"/>
      <c r="N129" s="10"/>
      <c r="O129" s="10"/>
      <c r="P129" s="12" t="str">
        <f t="shared" si="1"/>
        <v>https://docs.google.com/forms/d/e/1FAIpQLSeZ-R1GrWlAPkfaThGqxeTj0QTtrARw4rroxIIepf2kipn1nw/formResponse?usp=pp_url&amp;entry.1313582257=0102174126 / 252610415&amp;entry.1578404635=Hadir</v>
      </c>
      <c r="Q129" s="23" t="s">
        <v>869</v>
      </c>
      <c r="R129" s="12" t="s">
        <v>870</v>
      </c>
      <c r="S129" s="24" t="s">
        <v>871</v>
      </c>
      <c r="T129" s="23" t="str">
        <f>HYPERLINK("https://drive.google.com/file/d/13GQxS5TLDdo8J3Q-8B_BHJfQUN4gU8i7/view?usp=drivesdk","33 - X3 - Nazwa Savira - P")</f>
        <v>33 - X3 - Nazwa Savira - P</v>
      </c>
      <c r="U129" s="12" t="s">
        <v>866</v>
      </c>
      <c r="W129" s="25">
        <f>COUNTIFS('Form Presensi SCC'!$B:$B, IF($C129&lt;&gt;0, TEXT($C129, "0000000000"), $D129), 'Form Presensi SCC'!$C:$C, "Hadir")</f>
        <v>0</v>
      </c>
      <c r="Y129" s="26"/>
    </row>
    <row r="130" ht="22.5" customHeight="1">
      <c r="A130" s="18">
        <v>129.0</v>
      </c>
      <c r="B130" s="18">
        <v>35.0</v>
      </c>
      <c r="C130" s="18" t="s">
        <v>872</v>
      </c>
      <c r="D130" s="18" t="s">
        <v>873</v>
      </c>
      <c r="E130" s="18" t="s">
        <v>220</v>
      </c>
      <c r="F130" s="12">
        <v>33.0</v>
      </c>
      <c r="G130" s="10" t="s">
        <v>699</v>
      </c>
      <c r="H130" s="19"/>
      <c r="I130" s="20"/>
      <c r="J130" s="10" t="s">
        <v>699</v>
      </c>
      <c r="K130" s="21"/>
      <c r="L130" s="10"/>
      <c r="M130" s="22"/>
      <c r="N130" s="10"/>
      <c r="O130" s="10"/>
      <c r="P130" s="12" t="str">
        <f t="shared" si="1"/>
        <v>https://docs.google.com/forms/d/e/1FAIpQLSeZ-R1GrWlAPkfaThGqxeTj0QTtrARw4rroxIIepf2kipn1nw/formResponse?usp=pp_url&amp;entry.1313582257=0097540821 / 252610422&amp;entry.1578404635=Hadir</v>
      </c>
      <c r="Q130" s="23" t="s">
        <v>874</v>
      </c>
      <c r="R130" s="12" t="s">
        <v>875</v>
      </c>
      <c r="S130" s="24" t="s">
        <v>876</v>
      </c>
      <c r="T130" s="23" t="str">
        <f>HYPERLINK("https://drive.google.com/file/d/1nd0Q7A2j_t2ayOAmnsDSikzgr8v2FJdU/view?usp=drivesdk","33 - X3 - Nourman Raditia Putra - L")</f>
        <v>33 - X3 - Nourman Raditia Putra - L</v>
      </c>
      <c r="U130" s="12" t="s">
        <v>866</v>
      </c>
      <c r="W130" s="25">
        <f>COUNTIFS('Form Presensi SCC'!$B:$B, IF($C130&lt;&gt;0, TEXT($C130, "0000000000"), $D130), 'Form Presensi SCC'!$C:$C, "Hadir")</f>
        <v>0</v>
      </c>
      <c r="Y130" s="26"/>
    </row>
    <row r="131" ht="22.5" customHeight="1">
      <c r="A131" s="10">
        <v>130.0</v>
      </c>
      <c r="B131" s="18">
        <v>36.0</v>
      </c>
      <c r="C131" s="18" t="s">
        <v>877</v>
      </c>
      <c r="D131" s="18" t="s">
        <v>878</v>
      </c>
      <c r="E131" s="18" t="s">
        <v>227</v>
      </c>
      <c r="F131" s="12">
        <v>33.0</v>
      </c>
      <c r="G131" s="10" t="s">
        <v>699</v>
      </c>
      <c r="H131" s="19"/>
      <c r="I131" s="20"/>
      <c r="J131" s="10" t="s">
        <v>699</v>
      </c>
      <c r="K131" s="21"/>
      <c r="L131" s="10"/>
      <c r="M131" s="22"/>
      <c r="N131" s="10"/>
      <c r="O131" s="10"/>
      <c r="P131" s="12" t="str">
        <f t="shared" si="1"/>
        <v>https://docs.google.com/forms/d/e/1FAIpQLSeZ-R1GrWlAPkfaThGqxeTj0QTtrARw4rroxIIepf2kipn1nw/formResponse?usp=pp_url&amp;entry.1313582257=0102114748 / 252610426&amp;entry.1578404635=Hadir</v>
      </c>
      <c r="Q131" s="23" t="s">
        <v>879</v>
      </c>
      <c r="R131" s="12" t="s">
        <v>880</v>
      </c>
      <c r="S131" s="24" t="s">
        <v>881</v>
      </c>
      <c r="T131" s="23" t="str">
        <f>HYPERLINK("https://drive.google.com/file/d/1jBrMbnYIbs-TviSXCnTRku-6o4hz9Lw9/view?usp=drivesdk","33 - X3 - Nursifa Maulidah - P")</f>
        <v>33 - X3 - Nursifa Maulidah - P</v>
      </c>
      <c r="U131" s="12" t="s">
        <v>866</v>
      </c>
      <c r="W131" s="25">
        <f>COUNTIFS('Form Presensi SCC'!$B:$B, IF($C131&lt;&gt;0, TEXT($C131, "0000000000"), $D131), 'Form Presensi SCC'!$C:$C, "Hadir")</f>
        <v>0</v>
      </c>
      <c r="Y131" s="26"/>
    </row>
    <row r="132" ht="22.5" customHeight="1">
      <c r="A132" s="18">
        <v>131.0</v>
      </c>
      <c r="B132" s="18">
        <v>37.0</v>
      </c>
      <c r="C132" s="18" t="s">
        <v>882</v>
      </c>
      <c r="D132" s="18" t="s">
        <v>883</v>
      </c>
      <c r="E132" s="18" t="s">
        <v>220</v>
      </c>
      <c r="F132" s="12">
        <v>33.0</v>
      </c>
      <c r="G132" s="10" t="s">
        <v>699</v>
      </c>
      <c r="H132" s="19"/>
      <c r="I132" s="20"/>
      <c r="J132" s="10" t="s">
        <v>699</v>
      </c>
      <c r="K132" s="21"/>
      <c r="L132" s="10"/>
      <c r="M132" s="22"/>
      <c r="N132" s="10"/>
      <c r="O132" s="10"/>
      <c r="P132" s="12" t="str">
        <f t="shared" si="1"/>
        <v>https://docs.google.com/forms/d/e/1FAIpQLSeZ-R1GrWlAPkfaThGqxeTj0QTtrARw4rroxIIepf2kipn1nw/formResponse?usp=pp_url&amp;entry.1313582257=0097603092 / 252610432&amp;entry.1578404635=Hadir</v>
      </c>
      <c r="Q132" s="23" t="s">
        <v>884</v>
      </c>
      <c r="R132" s="12" t="s">
        <v>885</v>
      </c>
      <c r="S132" s="24" t="s">
        <v>886</v>
      </c>
      <c r="T132" s="23" t="str">
        <f>HYPERLINK("https://drive.google.com/file/d/1cfIF2AbQsCw3ZlhVfDYAzjJBNLp3k7i-/view?usp=drivesdk","33 - X3 - Pramudhio Sawerigading Ihsan - L")</f>
        <v>33 - X3 - Pramudhio Sawerigading Ihsan - L</v>
      </c>
      <c r="U132" s="12" t="s">
        <v>866</v>
      </c>
      <c r="W132" s="25">
        <f>COUNTIFS('Form Presensi SCC'!$B:$B, IF($C132&lt;&gt;0, TEXT($C132, "0000000000"), $D132), 'Form Presensi SCC'!$C:$C, "Hadir")</f>
        <v>0</v>
      </c>
      <c r="Y132" s="26"/>
    </row>
    <row r="133" ht="22.5" customHeight="1">
      <c r="A133" s="10">
        <v>132.0</v>
      </c>
      <c r="B133" s="18">
        <v>38.0</v>
      </c>
      <c r="C133" s="18" t="s">
        <v>887</v>
      </c>
      <c r="D133" s="18" t="s">
        <v>888</v>
      </c>
      <c r="E133" s="18" t="s">
        <v>227</v>
      </c>
      <c r="F133" s="12">
        <v>33.0</v>
      </c>
      <c r="G133" s="10" t="s">
        <v>699</v>
      </c>
      <c r="H133" s="19"/>
      <c r="I133" s="20"/>
      <c r="J133" s="10" t="s">
        <v>699</v>
      </c>
      <c r="K133" s="21"/>
      <c r="L133" s="10"/>
      <c r="M133" s="22"/>
      <c r="N133" s="10"/>
      <c r="O133" s="10"/>
      <c r="P133" s="12" t="str">
        <f t="shared" si="1"/>
        <v>https://docs.google.com/forms/d/e/1FAIpQLSeZ-R1GrWlAPkfaThGqxeTj0QTtrARw4rroxIIepf2kipn1nw/formResponse?usp=pp_url&amp;entry.1313582257=0106292164 / 252610438&amp;entry.1578404635=Hadir</v>
      </c>
      <c r="Q133" s="23" t="s">
        <v>889</v>
      </c>
      <c r="R133" s="12" t="s">
        <v>890</v>
      </c>
      <c r="S133" s="24" t="s">
        <v>891</v>
      </c>
      <c r="T133" s="23" t="str">
        <f>HYPERLINK("https://drive.google.com/file/d/18d6JxfeiJgZUmtNFUKhpgww-WXi5AHUv/view?usp=drivesdk","33 - X3 - Putri Eisya - P")</f>
        <v>33 - X3 - Putri Eisya - P</v>
      </c>
      <c r="U133" s="12" t="s">
        <v>866</v>
      </c>
      <c r="W133" s="25">
        <f>COUNTIFS('Form Presensi SCC'!$B:$B, IF($C133&lt;&gt;0, TEXT($C133, "0000000000"), $D133), 'Form Presensi SCC'!$C:$C, "Hadir")</f>
        <v>0</v>
      </c>
      <c r="Y133" s="26"/>
    </row>
    <row r="134" ht="22.5" customHeight="1">
      <c r="A134" s="18">
        <v>133.0</v>
      </c>
      <c r="B134" s="18">
        <v>39.0</v>
      </c>
      <c r="C134" s="18" t="s">
        <v>892</v>
      </c>
      <c r="D134" s="18" t="s">
        <v>893</v>
      </c>
      <c r="E134" s="18" t="s">
        <v>227</v>
      </c>
      <c r="F134" s="12">
        <v>33.0</v>
      </c>
      <c r="G134" s="10" t="s">
        <v>699</v>
      </c>
      <c r="H134" s="19"/>
      <c r="I134" s="20"/>
      <c r="J134" s="10" t="s">
        <v>699</v>
      </c>
      <c r="K134" s="21"/>
      <c r="L134" s="10"/>
      <c r="M134" s="22"/>
      <c r="N134" s="10"/>
      <c r="O134" s="10"/>
      <c r="P134" s="12" t="str">
        <f t="shared" si="1"/>
        <v>https://docs.google.com/forms/d/e/1FAIpQLSeZ-R1GrWlAPkfaThGqxeTj0QTtrARw4rroxIIepf2kipn1nw/formResponse?usp=pp_url&amp;entry.1313582257=3104085681 / 252610439&amp;entry.1578404635=Hadir</v>
      </c>
      <c r="Q134" s="23" t="s">
        <v>894</v>
      </c>
      <c r="R134" s="12" t="s">
        <v>895</v>
      </c>
      <c r="S134" s="24" t="s">
        <v>896</v>
      </c>
      <c r="T134" s="23" t="str">
        <f>HYPERLINK("https://drive.google.com/file/d/1dOafJSn46wYbPpq9hmRzhHoSTs76azW4/view?usp=drivesdk","33 - X3 - Putri Zaqiyah - P")</f>
        <v>33 - X3 - Putri Zaqiyah - P</v>
      </c>
      <c r="U134" s="12" t="s">
        <v>866</v>
      </c>
      <c r="W134" s="25">
        <f>COUNTIFS('Form Presensi SCC'!$B:$B, IF($C134&lt;&gt;0, TEXT($C134, "0000000000"), $D134), 'Form Presensi SCC'!$C:$C, "Hadir")</f>
        <v>0</v>
      </c>
      <c r="Y134" s="26"/>
    </row>
    <row r="135" ht="22.5" customHeight="1">
      <c r="A135" s="10">
        <v>134.0</v>
      </c>
      <c r="B135" s="18">
        <v>40.0</v>
      </c>
      <c r="C135" s="18" t="s">
        <v>897</v>
      </c>
      <c r="D135" s="18" t="s">
        <v>898</v>
      </c>
      <c r="E135" s="18" t="s">
        <v>227</v>
      </c>
      <c r="F135" s="12">
        <v>33.0</v>
      </c>
      <c r="G135" s="10" t="s">
        <v>699</v>
      </c>
      <c r="H135" s="19"/>
      <c r="I135" s="20"/>
      <c r="J135" s="10" t="s">
        <v>699</v>
      </c>
      <c r="K135" s="21"/>
      <c r="L135" s="10"/>
      <c r="M135" s="22"/>
      <c r="N135" s="10"/>
      <c r="O135" s="10"/>
      <c r="P135" s="12" t="str">
        <f t="shared" si="1"/>
        <v>https://docs.google.com/forms/d/e/1FAIpQLSeZ-R1GrWlAPkfaThGqxeTj0QTtrARw4rroxIIepf2kipn1nw/formResponse?usp=pp_url&amp;entry.1313582257=0105055522 / 252610461&amp;entry.1578404635=Hadir</v>
      </c>
      <c r="Q135" s="23" t="s">
        <v>899</v>
      </c>
      <c r="R135" s="12" t="s">
        <v>900</v>
      </c>
      <c r="S135" s="24" t="s">
        <v>901</v>
      </c>
      <c r="T135" s="23" t="str">
        <f>HYPERLINK("https://drive.google.com/file/d/1me_btmQJlzw-rys_vI4-YNyJt1l8qQuR/view?usp=drivesdk","33 - X3 - Rahma Marissa - P")</f>
        <v>33 - X3 - Rahma Marissa - P</v>
      </c>
      <c r="U135" s="12" t="s">
        <v>902</v>
      </c>
      <c r="W135" s="25">
        <f>COUNTIFS('Form Presensi SCC'!$B:$B, IF($C135&lt;&gt;0, TEXT($C135, "0000000000"), $D135), 'Form Presensi SCC'!$C:$C, "Hadir")</f>
        <v>0</v>
      </c>
      <c r="Y135" s="26"/>
    </row>
    <row r="136" ht="22.5" customHeight="1">
      <c r="A136" s="18">
        <v>135.0</v>
      </c>
      <c r="B136" s="18">
        <v>41.0</v>
      </c>
      <c r="C136" s="18" t="s">
        <v>903</v>
      </c>
      <c r="D136" s="18" t="s">
        <v>904</v>
      </c>
      <c r="E136" s="18" t="s">
        <v>220</v>
      </c>
      <c r="F136" s="12">
        <v>33.0</v>
      </c>
      <c r="G136" s="10" t="s">
        <v>699</v>
      </c>
      <c r="H136" s="19"/>
      <c r="I136" s="20"/>
      <c r="J136" s="10" t="s">
        <v>699</v>
      </c>
      <c r="K136" s="21"/>
      <c r="L136" s="10"/>
      <c r="M136" s="22"/>
      <c r="N136" s="10"/>
      <c r="O136" s="10"/>
      <c r="P136" s="12" t="str">
        <f t="shared" si="1"/>
        <v>https://docs.google.com/forms/d/e/1FAIpQLSeZ-R1GrWlAPkfaThGqxeTj0QTtrARw4rroxIIepf2kipn1nw/formResponse?usp=pp_url&amp;entry.1313582257=0092263541 / 252610485&amp;entry.1578404635=Hadir</v>
      </c>
      <c r="Q136" s="23" t="s">
        <v>905</v>
      </c>
      <c r="R136" s="12" t="s">
        <v>906</v>
      </c>
      <c r="S136" s="24" t="s">
        <v>907</v>
      </c>
      <c r="T136" s="23" t="str">
        <f>HYPERLINK("https://drive.google.com/file/d/1F0cFf0fxV-C9T_H14o7O9WcYw7ny_ZF5/view?usp=drivesdk","33 - X3 - Revan - L")</f>
        <v>33 - X3 - Revan - L</v>
      </c>
      <c r="U136" s="12" t="s">
        <v>902</v>
      </c>
      <c r="W136" s="25">
        <f>COUNTIFS('Form Presensi SCC'!$B:$B, IF($C136&lt;&gt;0, TEXT($C136, "0000000000"), $D136), 'Form Presensi SCC'!$C:$C, "Hadir")</f>
        <v>0</v>
      </c>
      <c r="Y136" s="26"/>
    </row>
    <row r="137" ht="22.5" customHeight="1">
      <c r="A137" s="10">
        <v>136.0</v>
      </c>
      <c r="B137" s="18">
        <v>42.0</v>
      </c>
      <c r="C137" s="18" t="s">
        <v>908</v>
      </c>
      <c r="D137" s="18" t="s">
        <v>909</v>
      </c>
      <c r="E137" s="18" t="s">
        <v>227</v>
      </c>
      <c r="F137" s="12">
        <v>33.0</v>
      </c>
      <c r="G137" s="10" t="s">
        <v>699</v>
      </c>
      <c r="H137" s="19"/>
      <c r="I137" s="20"/>
      <c r="J137" s="10" t="s">
        <v>699</v>
      </c>
      <c r="K137" s="21"/>
      <c r="L137" s="10"/>
      <c r="M137" s="22"/>
      <c r="N137" s="10"/>
      <c r="O137" s="10"/>
      <c r="P137" s="12" t="str">
        <f t="shared" si="1"/>
        <v>https://docs.google.com/forms/d/e/1FAIpQLSeZ-R1GrWlAPkfaThGqxeTj0QTtrARw4rroxIIepf2kipn1nw/formResponse?usp=pp_url&amp;entry.1313582257=0091178036 / 252610501&amp;entry.1578404635=Hadir</v>
      </c>
      <c r="Q137" s="23" t="s">
        <v>910</v>
      </c>
      <c r="R137" s="12" t="s">
        <v>911</v>
      </c>
      <c r="S137" s="24" t="s">
        <v>912</v>
      </c>
      <c r="T137" s="23" t="str">
        <f>HYPERLINK("https://drive.google.com/file/d/1kpEok9o5gxcKyHN9jX0BNmKeMNVx4FBY/view?usp=drivesdk","33 - X3 - Safa Naya Adristi - P")</f>
        <v>33 - X3 - Safa Naya Adristi - P</v>
      </c>
      <c r="U137" s="12" t="s">
        <v>902</v>
      </c>
      <c r="W137" s="25">
        <f>COUNTIFS('Form Presensi SCC'!$B:$B, IF($C137&lt;&gt;0, TEXT($C137, "0000000000"), $D137), 'Form Presensi SCC'!$C:$C, "Hadir")</f>
        <v>0</v>
      </c>
      <c r="Y137" s="26"/>
    </row>
    <row r="138" ht="22.5" customHeight="1">
      <c r="A138" s="18">
        <v>137.0</v>
      </c>
      <c r="B138" s="18">
        <v>43.0</v>
      </c>
      <c r="C138" s="18" t="s">
        <v>913</v>
      </c>
      <c r="D138" s="18" t="s">
        <v>914</v>
      </c>
      <c r="E138" s="18" t="s">
        <v>227</v>
      </c>
      <c r="F138" s="12">
        <v>33.0</v>
      </c>
      <c r="G138" s="10" t="s">
        <v>699</v>
      </c>
      <c r="H138" s="19"/>
      <c r="I138" s="20"/>
      <c r="J138" s="10" t="s">
        <v>699</v>
      </c>
      <c r="K138" s="21"/>
      <c r="L138" s="10"/>
      <c r="M138" s="22"/>
      <c r="N138" s="10"/>
      <c r="O138" s="10"/>
      <c r="P138" s="12" t="str">
        <f t="shared" si="1"/>
        <v>https://docs.google.com/forms/d/e/1FAIpQLSeZ-R1GrWlAPkfaThGqxeTj0QTtrARw4rroxIIepf2kipn1nw/formResponse?usp=pp_url&amp;entry.1313582257=0106930882 / 252610520&amp;entry.1578404635=Hadir</v>
      </c>
      <c r="Q138" s="23" t="s">
        <v>915</v>
      </c>
      <c r="R138" s="12" t="s">
        <v>916</v>
      </c>
      <c r="S138" s="24" t="s">
        <v>917</v>
      </c>
      <c r="T138" s="23" t="str">
        <f>HYPERLINK("https://drive.google.com/file/d/1xg3r4lBJ5Au-57a5WnPltT74NUnXohOI/view?usp=drivesdk","33 - X3 - Shirane Ghaniyya Ramadhani - P")</f>
        <v>33 - X3 - Shirane Ghaniyya Ramadhani - P</v>
      </c>
      <c r="U138" s="12" t="s">
        <v>902</v>
      </c>
      <c r="W138" s="25">
        <f>COUNTIFS('Form Presensi SCC'!$B:$B, IF($C138&lt;&gt;0, TEXT($C138, "0000000000"), $D138), 'Form Presensi SCC'!$C:$C, "Hadir")</f>
        <v>0</v>
      </c>
      <c r="Y138" s="26"/>
    </row>
    <row r="139" ht="22.5" customHeight="1">
      <c r="A139" s="10">
        <v>138.0</v>
      </c>
      <c r="B139" s="18">
        <v>44.0</v>
      </c>
      <c r="C139" s="18" t="s">
        <v>918</v>
      </c>
      <c r="D139" s="18" t="s">
        <v>919</v>
      </c>
      <c r="E139" s="18" t="s">
        <v>227</v>
      </c>
      <c r="F139" s="12">
        <v>33.0</v>
      </c>
      <c r="G139" s="10" t="s">
        <v>699</v>
      </c>
      <c r="H139" s="19"/>
      <c r="I139" s="20"/>
      <c r="J139" s="10" t="s">
        <v>699</v>
      </c>
      <c r="K139" s="21"/>
      <c r="L139" s="10"/>
      <c r="M139" s="22"/>
      <c r="N139" s="10"/>
      <c r="O139" s="10"/>
      <c r="P139" s="12" t="str">
        <f t="shared" si="1"/>
        <v>https://docs.google.com/forms/d/e/1FAIpQLSeZ-R1GrWlAPkfaThGqxeTj0QTtrARw4rroxIIepf2kipn1nw/formResponse?usp=pp_url&amp;entry.1313582257=0109721617 / 252610555&amp;entry.1578404635=Hadir</v>
      </c>
      <c r="Q139" s="23" t="s">
        <v>920</v>
      </c>
      <c r="R139" s="12" t="s">
        <v>921</v>
      </c>
      <c r="S139" s="24" t="s">
        <v>922</v>
      </c>
      <c r="T139" s="23" t="str">
        <f>HYPERLINK("https://drive.google.com/file/d/1dwDwhNJa-i5Px1BIldGBAl8S2ieSSunK/view?usp=drivesdk","33 - X3 - Yasmin Kirani Affifah - P")</f>
        <v>33 - X3 - Yasmin Kirani Affifah - P</v>
      </c>
      <c r="U139" s="12" t="s">
        <v>902</v>
      </c>
      <c r="W139" s="25">
        <f>COUNTIFS('Form Presensi SCC'!$B:$B, IF($C139&lt;&gt;0, TEXT($C139, "0000000000"), $D139), 'Form Presensi SCC'!$C:$C, "Hadir")</f>
        <v>0</v>
      </c>
      <c r="Y139" s="26"/>
    </row>
    <row r="140" ht="22.5" customHeight="1">
      <c r="A140" s="18">
        <v>139.0</v>
      </c>
      <c r="B140" s="18">
        <v>45.0</v>
      </c>
      <c r="C140" s="18" t="s">
        <v>923</v>
      </c>
      <c r="D140" s="18" t="s">
        <v>924</v>
      </c>
      <c r="E140" s="18" t="s">
        <v>227</v>
      </c>
      <c r="F140" s="12">
        <v>33.0</v>
      </c>
      <c r="G140" s="10" t="s">
        <v>699</v>
      </c>
      <c r="H140" s="19"/>
      <c r="I140" s="20"/>
      <c r="J140" s="10" t="s">
        <v>699</v>
      </c>
      <c r="K140" s="21"/>
      <c r="L140" s="10"/>
      <c r="M140" s="22"/>
      <c r="N140" s="10"/>
      <c r="O140" s="10"/>
      <c r="P140" s="12" t="str">
        <f t="shared" si="1"/>
        <v>https://docs.google.com/forms/d/e/1FAIpQLSeZ-R1GrWlAPkfaThGqxeTj0QTtrARw4rroxIIepf2kipn1nw/formResponse?usp=pp_url&amp;entry.1313582257=0101188685 / 252610556&amp;entry.1578404635=Hadir</v>
      </c>
      <c r="Q140" s="23" t="s">
        <v>925</v>
      </c>
      <c r="R140" s="12" t="s">
        <v>926</v>
      </c>
      <c r="S140" s="24" t="s">
        <v>927</v>
      </c>
      <c r="T140" s="23" t="str">
        <f>HYPERLINK("https://drive.google.com/file/d/1zrJQS28hlypUhj_Lyuqigpe7zZ4-7hJD/view?usp=drivesdk","33 - X3 - Yasmine Almira Queen - P")</f>
        <v>33 - X3 - Yasmine Almira Queen - P</v>
      </c>
      <c r="U140" s="12" t="s">
        <v>902</v>
      </c>
      <c r="W140" s="25">
        <f>COUNTIFS('Form Presensi SCC'!$B:$B, IF($C140&lt;&gt;0, TEXT($C140, "0000000000"), $D140), 'Form Presensi SCC'!$C:$C, "Hadir")</f>
        <v>0</v>
      </c>
      <c r="Y140" s="26"/>
    </row>
    <row r="141" ht="22.5" customHeight="1">
      <c r="A141" s="10">
        <v>140.0</v>
      </c>
      <c r="B141" s="18">
        <v>1.0</v>
      </c>
      <c r="C141" s="18" t="s">
        <v>928</v>
      </c>
      <c r="D141" s="18" t="s">
        <v>929</v>
      </c>
      <c r="E141" s="18" t="s">
        <v>220</v>
      </c>
      <c r="F141" s="12">
        <v>33.0</v>
      </c>
      <c r="G141" s="10" t="s">
        <v>930</v>
      </c>
      <c r="H141" s="19"/>
      <c r="I141" s="20"/>
      <c r="J141" s="10" t="s">
        <v>930</v>
      </c>
      <c r="K141" s="21"/>
      <c r="L141" s="10"/>
      <c r="M141" s="22"/>
      <c r="N141" s="10"/>
      <c r="O141" s="10"/>
      <c r="P141" s="12" t="str">
        <f t="shared" si="1"/>
        <v>https://docs.google.com/forms/d/e/1FAIpQLSeZ-R1GrWlAPkfaThGqxeTj0QTtrARw4rroxIIepf2kipn1nw/formResponse?usp=pp_url&amp;entry.1313582257=0106136353 / 252610016&amp;entry.1578404635=Hadir</v>
      </c>
      <c r="Q141" s="23" t="s">
        <v>931</v>
      </c>
      <c r="R141" s="12" t="s">
        <v>932</v>
      </c>
      <c r="S141" s="24" t="s">
        <v>933</v>
      </c>
      <c r="T141" s="23" t="str">
        <f>HYPERLINK("https://drive.google.com/file/d/1g0hisef2-i9GSdHJ6Ss4ViotRO0ZrBot/view?usp=drivesdk","33 - X4 - Ahmad Azmi Mutaarrofi - L")</f>
        <v>33 - X4 - Ahmad Azmi Mutaarrofi - L</v>
      </c>
      <c r="U141" s="12" t="s">
        <v>934</v>
      </c>
      <c r="W141" s="25">
        <f>COUNTIFS('Form Presensi SCC'!$B:$B, IF($C141&lt;&gt;0, TEXT($C141, "0000000000"), $D141), 'Form Presensi SCC'!$C:$C, "Hadir")</f>
        <v>0</v>
      </c>
      <c r="Y141" s="26"/>
    </row>
    <row r="142" ht="22.5" customHeight="1">
      <c r="A142" s="18">
        <v>141.0</v>
      </c>
      <c r="B142" s="18">
        <v>2.0</v>
      </c>
      <c r="C142" s="18" t="s">
        <v>935</v>
      </c>
      <c r="D142" s="18" t="s">
        <v>936</v>
      </c>
      <c r="E142" s="18" t="s">
        <v>220</v>
      </c>
      <c r="F142" s="12">
        <v>33.0</v>
      </c>
      <c r="G142" s="10" t="s">
        <v>930</v>
      </c>
      <c r="H142" s="19"/>
      <c r="I142" s="20"/>
      <c r="J142" s="10" t="s">
        <v>930</v>
      </c>
      <c r="K142" s="21"/>
      <c r="L142" s="10"/>
      <c r="M142" s="22"/>
      <c r="N142" s="10"/>
      <c r="O142" s="10"/>
      <c r="P142" s="12" t="str">
        <f t="shared" si="1"/>
        <v>https://docs.google.com/forms/d/e/1FAIpQLSeZ-R1GrWlAPkfaThGqxeTj0QTtrARw4rroxIIepf2kipn1nw/formResponse?usp=pp_url&amp;entry.1313582257=0095491750 / 252610018&amp;entry.1578404635=Hadir</v>
      </c>
      <c r="Q142" s="23" t="s">
        <v>937</v>
      </c>
      <c r="R142" s="12" t="s">
        <v>938</v>
      </c>
      <c r="S142" s="24" t="s">
        <v>939</v>
      </c>
      <c r="T142" s="23" t="str">
        <f>HYPERLINK("https://drive.google.com/file/d/17mRG_vEgxBzC85vaAds7DTSBlRwIo6h1/view?usp=drivesdk","33 - X4 - Ahmad Farely Azriel - L")</f>
        <v>33 - X4 - Ahmad Farely Azriel - L</v>
      </c>
      <c r="U142" s="12" t="s">
        <v>934</v>
      </c>
      <c r="W142" s="25">
        <f>COUNTIFS('Form Presensi SCC'!$B:$B, IF($C142&lt;&gt;0, TEXT($C142, "0000000000"), $D142), 'Form Presensi SCC'!$C:$C, "Hadir")</f>
        <v>0</v>
      </c>
      <c r="Y142" s="26"/>
    </row>
    <row r="143" ht="22.5" customHeight="1">
      <c r="A143" s="10">
        <v>142.0</v>
      </c>
      <c r="B143" s="18">
        <v>3.0</v>
      </c>
      <c r="C143" s="18" t="s">
        <v>940</v>
      </c>
      <c r="D143" s="18" t="s">
        <v>941</v>
      </c>
      <c r="E143" s="18" t="s">
        <v>220</v>
      </c>
      <c r="F143" s="12">
        <v>33.0</v>
      </c>
      <c r="G143" s="10" t="s">
        <v>930</v>
      </c>
      <c r="H143" s="19"/>
      <c r="I143" s="20"/>
      <c r="J143" s="10" t="s">
        <v>930</v>
      </c>
      <c r="K143" s="21"/>
      <c r="L143" s="10"/>
      <c r="M143" s="22"/>
      <c r="N143" s="10"/>
      <c r="O143" s="10"/>
      <c r="P143" s="12" t="str">
        <f t="shared" si="1"/>
        <v>https://docs.google.com/forms/d/e/1FAIpQLSeZ-R1GrWlAPkfaThGqxeTj0QTtrARw4rroxIIepf2kipn1nw/formResponse?usp=pp_url&amp;entry.1313582257=0087811342 / 252610038&amp;entry.1578404635=Hadir</v>
      </c>
      <c r="Q143" s="23" t="s">
        <v>942</v>
      </c>
      <c r="R143" s="12" t="s">
        <v>943</v>
      </c>
      <c r="S143" s="24" t="s">
        <v>944</v>
      </c>
      <c r="T143" s="23" t="str">
        <f>HYPERLINK("https://drive.google.com/file/d/1zJ1DxUQDyTfOUZqOrL4jffzaIUsflQ1K/view?usp=drivesdk","33 - X4 - Alfian Chaniago - L")</f>
        <v>33 - X4 - Alfian Chaniago - L</v>
      </c>
      <c r="U143" s="12" t="s">
        <v>934</v>
      </c>
      <c r="W143" s="25">
        <f>COUNTIFS('Form Presensi SCC'!$B:$B, IF($C143&lt;&gt;0, TEXT($C143, "0000000000"), $D143), 'Form Presensi SCC'!$C:$C, "Hadir")</f>
        <v>0</v>
      </c>
      <c r="Y143" s="26"/>
    </row>
    <row r="144" ht="22.5" customHeight="1">
      <c r="A144" s="18">
        <v>143.0</v>
      </c>
      <c r="B144" s="18">
        <v>4.0</v>
      </c>
      <c r="C144" s="18" t="s">
        <v>945</v>
      </c>
      <c r="D144" s="18" t="s">
        <v>946</v>
      </c>
      <c r="E144" s="18" t="s">
        <v>227</v>
      </c>
      <c r="F144" s="12">
        <v>33.0</v>
      </c>
      <c r="G144" s="10" t="s">
        <v>930</v>
      </c>
      <c r="H144" s="19"/>
      <c r="I144" s="20"/>
      <c r="J144" s="10" t="s">
        <v>930</v>
      </c>
      <c r="K144" s="21"/>
      <c r="L144" s="10"/>
      <c r="M144" s="22"/>
      <c r="N144" s="10"/>
      <c r="O144" s="10"/>
      <c r="P144" s="12" t="str">
        <f t="shared" si="1"/>
        <v>https://docs.google.com/forms/d/e/1FAIpQLSeZ-R1GrWlAPkfaThGqxeTj0QTtrARw4rroxIIepf2kipn1nw/formResponse?usp=pp_url&amp;entry.1313582257=0094160993 / 252610045&amp;entry.1578404635=Hadir</v>
      </c>
      <c r="Q144" s="23" t="s">
        <v>947</v>
      </c>
      <c r="R144" s="12" t="s">
        <v>948</v>
      </c>
      <c r="S144" s="24" t="s">
        <v>949</v>
      </c>
      <c r="T144" s="23" t="str">
        <f>HYPERLINK("https://drive.google.com/file/d/16yQ7PW60L170_OXHw9nZTlvax-XF2TG6/view?usp=drivesdk","33 - X4 - Alleandra Kaif Finandita - P")</f>
        <v>33 - X4 - Alleandra Kaif Finandita - P</v>
      </c>
      <c r="U144" s="12" t="s">
        <v>934</v>
      </c>
      <c r="W144" s="25">
        <f>COUNTIFS('Form Presensi SCC'!$B:$B, IF($C144&lt;&gt;0, TEXT($C144, "0000000000"), $D144), 'Form Presensi SCC'!$C:$C, "Hadir")</f>
        <v>0</v>
      </c>
      <c r="Y144" s="26"/>
    </row>
    <row r="145" ht="22.5" customHeight="1">
      <c r="A145" s="10">
        <v>144.0</v>
      </c>
      <c r="B145" s="18">
        <v>5.0</v>
      </c>
      <c r="C145" s="18" t="s">
        <v>950</v>
      </c>
      <c r="D145" s="18" t="s">
        <v>951</v>
      </c>
      <c r="E145" s="18" t="s">
        <v>227</v>
      </c>
      <c r="F145" s="12">
        <v>33.0</v>
      </c>
      <c r="G145" s="10" t="s">
        <v>930</v>
      </c>
      <c r="H145" s="19"/>
      <c r="I145" s="20"/>
      <c r="J145" s="10" t="s">
        <v>930</v>
      </c>
      <c r="K145" s="21"/>
      <c r="L145" s="10"/>
      <c r="M145" s="22"/>
      <c r="N145" s="10"/>
      <c r="O145" s="10"/>
      <c r="P145" s="12" t="str">
        <f t="shared" si="1"/>
        <v>https://docs.google.com/forms/d/e/1FAIpQLSeZ-R1GrWlAPkfaThGqxeTj0QTtrARw4rroxIIepf2kipn1nw/formResponse?usp=pp_url&amp;entry.1313582257=0103659705 / 252610049&amp;entry.1578404635=Hadir</v>
      </c>
      <c r="Q145" s="23" t="s">
        <v>952</v>
      </c>
      <c r="R145" s="12" t="s">
        <v>953</v>
      </c>
      <c r="S145" s="24" t="s">
        <v>954</v>
      </c>
      <c r="T145" s="23" t="str">
        <f>HYPERLINK("https://drive.google.com/file/d/1l6jHrnskVeUKm8aVTSrzqZFoe4NhvYYH/view?usp=drivesdk","33 - X4 - Altaira Aqila Myesha Ario - P")</f>
        <v>33 - X4 - Altaira Aqila Myesha Ario - P</v>
      </c>
      <c r="U145" s="12" t="s">
        <v>934</v>
      </c>
      <c r="W145" s="25">
        <f>COUNTIFS('Form Presensi SCC'!$B:$B, IF($C145&lt;&gt;0, TEXT($C145, "0000000000"), $D145), 'Form Presensi SCC'!$C:$C, "Hadir")</f>
        <v>0</v>
      </c>
      <c r="Y145" s="26"/>
    </row>
    <row r="146" ht="22.5" customHeight="1">
      <c r="A146" s="18">
        <v>145.0</v>
      </c>
      <c r="B146" s="18">
        <v>6.0</v>
      </c>
      <c r="C146" s="18" t="s">
        <v>955</v>
      </c>
      <c r="D146" s="18" t="s">
        <v>956</v>
      </c>
      <c r="E146" s="18" t="s">
        <v>227</v>
      </c>
      <c r="F146" s="12">
        <v>33.0</v>
      </c>
      <c r="G146" s="10" t="s">
        <v>930</v>
      </c>
      <c r="H146" s="19"/>
      <c r="I146" s="20"/>
      <c r="J146" s="10" t="s">
        <v>930</v>
      </c>
      <c r="K146" s="21"/>
      <c r="L146" s="10"/>
      <c r="M146" s="22"/>
      <c r="N146" s="10"/>
      <c r="O146" s="10"/>
      <c r="P146" s="12" t="str">
        <f t="shared" si="1"/>
        <v>https://docs.google.com/forms/d/e/1FAIpQLSeZ-R1GrWlAPkfaThGqxeTj0QTtrARw4rroxIIepf2kipn1nw/formResponse?usp=pp_url&amp;entry.1313582257=0107838813 / 252610056&amp;entry.1578404635=Hadir</v>
      </c>
      <c r="Q146" s="23" t="s">
        <v>957</v>
      </c>
      <c r="R146" s="12" t="s">
        <v>958</v>
      </c>
      <c r="S146" s="24" t="s">
        <v>959</v>
      </c>
      <c r="T146" s="23" t="str">
        <f>HYPERLINK("https://drive.google.com/file/d/1Dk31ObqyyVg-58FSEugMaiAfTbvytuDB/view?usp=drivesdk","33 - X4 - Amira Najwa Fauziyah - P")</f>
        <v>33 - X4 - Amira Najwa Fauziyah - P</v>
      </c>
      <c r="U146" s="12" t="s">
        <v>934</v>
      </c>
      <c r="W146" s="25">
        <f>COUNTIFS('Form Presensi SCC'!$B:$B, IF($C146&lt;&gt;0, TEXT($C146, "0000000000"), $D146), 'Form Presensi SCC'!$C:$C, "Hadir")</f>
        <v>0</v>
      </c>
      <c r="Y146" s="26"/>
    </row>
    <row r="147" ht="22.5" customHeight="1">
      <c r="A147" s="10">
        <v>146.0</v>
      </c>
      <c r="B147" s="18">
        <v>7.0</v>
      </c>
      <c r="C147" s="18" t="s">
        <v>960</v>
      </c>
      <c r="D147" s="18" t="s">
        <v>961</v>
      </c>
      <c r="E147" s="18" t="s">
        <v>227</v>
      </c>
      <c r="F147" s="12">
        <v>33.0</v>
      </c>
      <c r="G147" s="10" t="s">
        <v>930</v>
      </c>
      <c r="H147" s="19"/>
      <c r="I147" s="20"/>
      <c r="J147" s="10" t="s">
        <v>930</v>
      </c>
      <c r="K147" s="21"/>
      <c r="L147" s="10"/>
      <c r="M147" s="22"/>
      <c r="N147" s="10"/>
      <c r="O147" s="10"/>
      <c r="P147" s="12" t="str">
        <f t="shared" si="1"/>
        <v>https://docs.google.com/forms/d/e/1FAIpQLSeZ-R1GrWlAPkfaThGqxeTj0QTtrARw4rroxIIepf2kipn1nw/formResponse?usp=pp_url&amp;entry.1313582257=0108144208 / 252610069&amp;entry.1578404635=Hadir</v>
      </c>
      <c r="Q147" s="23" t="s">
        <v>962</v>
      </c>
      <c r="R147" s="12" t="s">
        <v>963</v>
      </c>
      <c r="S147" s="24" t="s">
        <v>964</v>
      </c>
      <c r="T147" s="23" t="str">
        <f>HYPERLINK("https://drive.google.com/file/d/1hp-HHNIU2nkGIYpK664Dl0NeRqlMNClp/view?usp=drivesdk","33 - X4 - Aphrodyta Aurelia Avrilla - P")</f>
        <v>33 - X4 - Aphrodyta Aurelia Avrilla - P</v>
      </c>
      <c r="U147" s="12" t="s">
        <v>934</v>
      </c>
      <c r="W147" s="25">
        <f>COUNTIFS('Form Presensi SCC'!$B:$B, IF($C147&lt;&gt;0, TEXT($C147, "0000000000"), $D147), 'Form Presensi SCC'!$C:$C, "Hadir")</f>
        <v>0</v>
      </c>
      <c r="Y147" s="26"/>
    </row>
    <row r="148" ht="22.5" customHeight="1">
      <c r="A148" s="18">
        <v>147.0</v>
      </c>
      <c r="B148" s="18">
        <v>8.0</v>
      </c>
      <c r="C148" s="18" t="s">
        <v>965</v>
      </c>
      <c r="D148" s="18" t="s">
        <v>966</v>
      </c>
      <c r="E148" s="18" t="s">
        <v>227</v>
      </c>
      <c r="F148" s="12">
        <v>33.0</v>
      </c>
      <c r="G148" s="10" t="s">
        <v>930</v>
      </c>
      <c r="H148" s="19"/>
      <c r="I148" s="20"/>
      <c r="J148" s="10" t="s">
        <v>930</v>
      </c>
      <c r="K148" s="21"/>
      <c r="L148" s="10"/>
      <c r="M148" s="22"/>
      <c r="N148" s="10"/>
      <c r="O148" s="10"/>
      <c r="P148" s="12" t="str">
        <f t="shared" si="1"/>
        <v>https://docs.google.com/forms/d/e/1FAIpQLSeZ-R1GrWlAPkfaThGqxeTj0QTtrARw4rroxIIepf2kipn1nw/formResponse?usp=pp_url&amp;entry.1313582257=0096853688 / 252610074&amp;entry.1578404635=Hadir</v>
      </c>
      <c r="Q148" s="23" t="s">
        <v>967</v>
      </c>
      <c r="R148" s="12" t="s">
        <v>968</v>
      </c>
      <c r="S148" s="24" t="s">
        <v>969</v>
      </c>
      <c r="T148" s="23" t="str">
        <f>HYPERLINK("https://drive.google.com/file/d/13_KeVAZ137cVbKsK2NVY8vKA7csBh-S9/view?usp=drivesdk","33 - X4 - Aqueena Putri Salimah - P")</f>
        <v>33 - X4 - Aqueena Putri Salimah - P</v>
      </c>
      <c r="U148" s="12" t="s">
        <v>970</v>
      </c>
      <c r="W148" s="25">
        <f>COUNTIFS('Form Presensi SCC'!$B:$B, IF($C148&lt;&gt;0, TEXT($C148, "0000000000"), $D148), 'Form Presensi SCC'!$C:$C, "Hadir")</f>
        <v>0</v>
      </c>
      <c r="Y148" s="26"/>
    </row>
    <row r="149" ht="22.5" customHeight="1">
      <c r="A149" s="10">
        <v>148.0</v>
      </c>
      <c r="B149" s="18">
        <v>9.0</v>
      </c>
      <c r="C149" s="18" t="s">
        <v>971</v>
      </c>
      <c r="D149" s="18" t="s">
        <v>972</v>
      </c>
      <c r="E149" s="18" t="s">
        <v>227</v>
      </c>
      <c r="F149" s="12">
        <v>33.0</v>
      </c>
      <c r="G149" s="10" t="s">
        <v>930</v>
      </c>
      <c r="H149" s="19"/>
      <c r="I149" s="20"/>
      <c r="J149" s="10" t="s">
        <v>930</v>
      </c>
      <c r="K149" s="21"/>
      <c r="L149" s="10"/>
      <c r="M149" s="22"/>
      <c r="N149" s="10"/>
      <c r="O149" s="10"/>
      <c r="P149" s="12" t="str">
        <f t="shared" si="1"/>
        <v>https://docs.google.com/forms/d/e/1FAIpQLSeZ-R1GrWlAPkfaThGqxeTj0QTtrARw4rroxIIepf2kipn1nw/formResponse?usp=pp_url&amp;entry.1313582257=0092637367 / 252610132&amp;entry.1578404635=Hadir</v>
      </c>
      <c r="Q149" s="23" t="s">
        <v>973</v>
      </c>
      <c r="R149" s="12" t="s">
        <v>974</v>
      </c>
      <c r="S149" s="24" t="s">
        <v>975</v>
      </c>
      <c r="T149" s="23" t="str">
        <f>HYPERLINK("https://drive.google.com/file/d/1vR-AjQ5_wJik9gY8wY1eGSTerjYZsSPq/view?usp=drivesdk","33 - X4 - Chairani Kanza Wulandaputri - P")</f>
        <v>33 - X4 - Chairani Kanza Wulandaputri - P</v>
      </c>
      <c r="U149" s="12" t="s">
        <v>970</v>
      </c>
      <c r="W149" s="25">
        <f>COUNTIFS('Form Presensi SCC'!$B:$B, IF($C149&lt;&gt;0, TEXT($C149, "0000000000"), $D149), 'Form Presensi SCC'!$C:$C, "Hadir")</f>
        <v>0</v>
      </c>
      <c r="Y149" s="26"/>
    </row>
    <row r="150" ht="22.5" customHeight="1">
      <c r="A150" s="18">
        <v>149.0</v>
      </c>
      <c r="B150" s="18">
        <v>10.0</v>
      </c>
      <c r="C150" s="18" t="s">
        <v>976</v>
      </c>
      <c r="D150" s="18" t="s">
        <v>977</v>
      </c>
      <c r="E150" s="18" t="s">
        <v>227</v>
      </c>
      <c r="F150" s="12">
        <v>33.0</v>
      </c>
      <c r="G150" s="10" t="s">
        <v>930</v>
      </c>
      <c r="H150" s="19"/>
      <c r="I150" s="20"/>
      <c r="J150" s="10" t="s">
        <v>930</v>
      </c>
      <c r="K150" s="21"/>
      <c r="L150" s="10"/>
      <c r="M150" s="22"/>
      <c r="N150" s="10"/>
      <c r="O150" s="10"/>
      <c r="P150" s="12" t="str">
        <f t="shared" si="1"/>
        <v>https://docs.google.com/forms/d/e/1FAIpQLSeZ-R1GrWlAPkfaThGqxeTj0QTtrARw4rroxIIepf2kipn1nw/formResponse?usp=pp_url&amp;entry.1313582257=0095522157 / 252610155&amp;entry.1578404635=Hadir</v>
      </c>
      <c r="Q150" s="23" t="s">
        <v>978</v>
      </c>
      <c r="R150" s="12" t="s">
        <v>979</v>
      </c>
      <c r="S150" s="24" t="s">
        <v>980</v>
      </c>
      <c r="T150" s="23" t="str">
        <f>HYPERLINK("https://drive.google.com/file/d/1xlHHwbU11-CDIqy3AalkOelWABwWkNCJ/view?usp=drivesdk","33 - X4 - Dhefa Raditya Putra - P")</f>
        <v>33 - X4 - Dhefa Raditya Putra - P</v>
      </c>
      <c r="U150" s="12" t="s">
        <v>970</v>
      </c>
      <c r="W150" s="25">
        <f>COUNTIFS('Form Presensi SCC'!$B:$B, IF($C150&lt;&gt;0, TEXT($C150, "0000000000"), $D150), 'Form Presensi SCC'!$C:$C, "Hadir")</f>
        <v>0</v>
      </c>
      <c r="Y150" s="26"/>
    </row>
    <row r="151" ht="22.5" customHeight="1">
      <c r="A151" s="10">
        <v>150.0</v>
      </c>
      <c r="B151" s="18">
        <v>11.0</v>
      </c>
      <c r="C151" s="18" t="s">
        <v>981</v>
      </c>
      <c r="D151" s="18" t="s">
        <v>982</v>
      </c>
      <c r="E151" s="18" t="s">
        <v>220</v>
      </c>
      <c r="F151" s="12">
        <v>33.0</v>
      </c>
      <c r="G151" s="10" t="s">
        <v>930</v>
      </c>
      <c r="H151" s="19"/>
      <c r="I151" s="20"/>
      <c r="J151" s="10" t="s">
        <v>930</v>
      </c>
      <c r="K151" s="21"/>
      <c r="L151" s="10"/>
      <c r="M151" s="22"/>
      <c r="N151" s="10"/>
      <c r="O151" s="10"/>
      <c r="P151" s="12" t="str">
        <f t="shared" si="1"/>
        <v>https://docs.google.com/forms/d/e/1FAIpQLSeZ-R1GrWlAPkfaThGqxeTj0QTtrARw4rroxIIepf2kipn1nw/formResponse?usp=pp_url&amp;entry.1313582257=0098223677 / 252610162&amp;entry.1578404635=Hadir</v>
      </c>
      <c r="Q151" s="23" t="s">
        <v>983</v>
      </c>
      <c r="R151" s="12" t="s">
        <v>984</v>
      </c>
      <c r="S151" s="24" t="s">
        <v>985</v>
      </c>
      <c r="T151" s="23" t="str">
        <f>HYPERLINK("https://drive.google.com/file/d/152mWa79wIZj4rp_m2R7yLbrwgpm-sDx0/view?usp=drivesdk","33 - X4 - Diaz Syeza Zivanna - L")</f>
        <v>33 - X4 - Diaz Syeza Zivanna - L</v>
      </c>
      <c r="U151" s="12" t="s">
        <v>970</v>
      </c>
      <c r="W151" s="25">
        <f>COUNTIFS('Form Presensi SCC'!$B:$B, IF($C151&lt;&gt;0, TEXT($C151, "0000000000"), $D151), 'Form Presensi SCC'!$C:$C, "Hadir")</f>
        <v>0</v>
      </c>
      <c r="Y151" s="26"/>
    </row>
    <row r="152" ht="22.5" customHeight="1">
      <c r="A152" s="18">
        <v>151.0</v>
      </c>
      <c r="B152" s="18">
        <v>12.0</v>
      </c>
      <c r="C152" s="18" t="s">
        <v>59</v>
      </c>
      <c r="D152" s="18" t="s">
        <v>986</v>
      </c>
      <c r="E152" s="18" t="s">
        <v>227</v>
      </c>
      <c r="F152" s="12">
        <v>33.0</v>
      </c>
      <c r="G152" s="10" t="s">
        <v>930</v>
      </c>
      <c r="H152" s="19"/>
      <c r="I152" s="20"/>
      <c r="J152" s="10" t="s">
        <v>930</v>
      </c>
      <c r="K152" s="21"/>
      <c r="L152" s="10"/>
      <c r="M152" s="22"/>
      <c r="N152" s="10"/>
      <c r="O152" s="10"/>
      <c r="P152" s="12" t="str">
        <f t="shared" si="1"/>
        <v>https://docs.google.com/forms/d/e/1FAIpQLSeZ-R1GrWlAPkfaThGqxeTj0QTtrARw4rroxIIepf2kipn1nw/formResponse?usp=pp_url&amp;entry.1313582257=0106545857 / 252610173&amp;entry.1578404635=Hadir</v>
      </c>
      <c r="Q152" s="23" t="s">
        <v>987</v>
      </c>
      <c r="R152" s="12" t="s">
        <v>988</v>
      </c>
      <c r="S152" s="24" t="s">
        <v>989</v>
      </c>
      <c r="T152" s="23" t="str">
        <f>HYPERLINK("https://drive.google.com/file/d/11FrGucojG0wQYnhkK3Wzsh6UbjyxHe74/view?usp=drivesdk","33 - X4 - Dwi Nailah Azhara - P")</f>
        <v>33 - X4 - Dwi Nailah Azhara - P</v>
      </c>
      <c r="U152" s="12" t="s">
        <v>970</v>
      </c>
      <c r="W152" s="25">
        <f>COUNTIFS('Form Presensi SCC'!$B:$B, IF($C152&lt;&gt;0, TEXT($C152, "0000000000"), $D152), 'Form Presensi SCC'!$C:$C, "Hadir")</f>
        <v>1</v>
      </c>
      <c r="Y152" s="26"/>
    </row>
    <row r="153" ht="22.5" customHeight="1">
      <c r="A153" s="10">
        <v>152.0</v>
      </c>
      <c r="B153" s="18">
        <v>13.0</v>
      </c>
      <c r="C153" s="18" t="s">
        <v>990</v>
      </c>
      <c r="D153" s="18" t="s">
        <v>991</v>
      </c>
      <c r="E153" s="18" t="s">
        <v>220</v>
      </c>
      <c r="F153" s="12">
        <v>33.0</v>
      </c>
      <c r="G153" s="10" t="s">
        <v>930</v>
      </c>
      <c r="H153" s="19"/>
      <c r="I153" s="20"/>
      <c r="J153" s="10" t="s">
        <v>930</v>
      </c>
      <c r="K153" s="21"/>
      <c r="L153" s="10"/>
      <c r="M153" s="22"/>
      <c r="N153" s="10"/>
      <c r="O153" s="10"/>
      <c r="P153" s="12" t="str">
        <f t="shared" si="1"/>
        <v>https://docs.google.com/forms/d/e/1FAIpQLSeZ-R1GrWlAPkfaThGqxeTj0QTtrARw4rroxIIepf2kipn1nw/formResponse?usp=pp_url&amp;entry.1313582257=0108696681 / 252610183&amp;entry.1578404635=Hadir</v>
      </c>
      <c r="Q153" s="23" t="s">
        <v>992</v>
      </c>
      <c r="R153" s="12" t="s">
        <v>993</v>
      </c>
      <c r="S153" s="24" t="s">
        <v>994</v>
      </c>
      <c r="T153" s="23" t="str">
        <f>HYPERLINK("https://drive.google.com/file/d/1-5mPLRj9fGvz4zyeeLmyXZJ3IlUz_SDP/view?usp=drivesdk","33 - X4 - Erlangga Ardiyanto - L")</f>
        <v>33 - X4 - Erlangga Ardiyanto - L</v>
      </c>
      <c r="U153" s="12" t="s">
        <v>970</v>
      </c>
      <c r="W153" s="25">
        <f>COUNTIFS('Form Presensi SCC'!$B:$B, IF($C153&lt;&gt;0, TEXT($C153, "0000000000"), $D153), 'Form Presensi SCC'!$C:$C, "Hadir")</f>
        <v>0</v>
      </c>
      <c r="Y153" s="26"/>
    </row>
    <row r="154" ht="22.5" customHeight="1">
      <c r="A154" s="18">
        <v>153.0</v>
      </c>
      <c r="B154" s="18">
        <v>14.0</v>
      </c>
      <c r="C154" s="18" t="s">
        <v>995</v>
      </c>
      <c r="D154" s="18" t="s">
        <v>996</v>
      </c>
      <c r="E154" s="18" t="s">
        <v>220</v>
      </c>
      <c r="F154" s="12">
        <v>33.0</v>
      </c>
      <c r="G154" s="10" t="s">
        <v>930</v>
      </c>
      <c r="H154" s="19"/>
      <c r="I154" s="20"/>
      <c r="J154" s="10" t="s">
        <v>930</v>
      </c>
      <c r="K154" s="21"/>
      <c r="L154" s="10"/>
      <c r="M154" s="22"/>
      <c r="N154" s="10"/>
      <c r="O154" s="10"/>
      <c r="P154" s="12" t="str">
        <f t="shared" si="1"/>
        <v>https://docs.google.com/forms/d/e/1FAIpQLSeZ-R1GrWlAPkfaThGqxeTj0QTtrARw4rroxIIepf2kipn1nw/formResponse?usp=pp_url&amp;entry.1313582257=0102866245 / 252610188&amp;entry.1578404635=Hadir</v>
      </c>
      <c r="Q154" s="23" t="s">
        <v>997</v>
      </c>
      <c r="R154" s="12" t="s">
        <v>998</v>
      </c>
      <c r="S154" s="24" t="s">
        <v>999</v>
      </c>
      <c r="T154" s="23" t="str">
        <f>HYPERLINK("https://drive.google.com/file/d/1WuQtDKX0bs4AkZ6u6Ycz5FfzNh2fC9hg/view?usp=drivesdk","33 - X4 - Fahmi Adilla Pasha - L")</f>
        <v>33 - X4 - Fahmi Adilla Pasha - L</v>
      </c>
      <c r="U154" s="12" t="s">
        <v>1000</v>
      </c>
      <c r="W154" s="25">
        <f>COUNTIFS('Form Presensi SCC'!$B:$B, IF($C154&lt;&gt;0, TEXT($C154, "0000000000"), $D154), 'Form Presensi SCC'!$C:$C, "Hadir")</f>
        <v>0</v>
      </c>
      <c r="Y154" s="26"/>
    </row>
    <row r="155" ht="22.5" customHeight="1">
      <c r="A155" s="10">
        <v>154.0</v>
      </c>
      <c r="B155" s="18">
        <v>15.0</v>
      </c>
      <c r="C155" s="18" t="s">
        <v>57</v>
      </c>
      <c r="D155" s="18" t="s">
        <v>1001</v>
      </c>
      <c r="E155" s="18" t="s">
        <v>220</v>
      </c>
      <c r="F155" s="12">
        <v>33.0</v>
      </c>
      <c r="G155" s="10" t="s">
        <v>930</v>
      </c>
      <c r="H155" s="19"/>
      <c r="I155" s="20"/>
      <c r="J155" s="10" t="s">
        <v>930</v>
      </c>
      <c r="K155" s="21"/>
      <c r="L155" s="10"/>
      <c r="M155" s="22"/>
      <c r="N155" s="10"/>
      <c r="O155" s="10"/>
      <c r="P155" s="12" t="str">
        <f t="shared" si="1"/>
        <v>https://docs.google.com/forms/d/e/1FAIpQLSeZ-R1GrWlAPkfaThGqxeTj0QTtrARw4rroxIIepf2kipn1nw/formResponse?usp=pp_url&amp;entry.1313582257=0107425879 / 252610191&amp;entry.1578404635=Hadir</v>
      </c>
      <c r="Q155" s="23" t="s">
        <v>1002</v>
      </c>
      <c r="R155" s="12" t="s">
        <v>1003</v>
      </c>
      <c r="S155" s="24" t="s">
        <v>1004</v>
      </c>
      <c r="T155" s="23" t="str">
        <f>HYPERLINK("https://drive.google.com/file/d/1aOU5zy3vVAn0iSw8CWZuEeqUDKFWtCca/view?usp=drivesdk","33 - X4 - Fakhi Zulfia Bilqis Nasyifa - L")</f>
        <v>33 - X4 - Fakhi Zulfia Bilqis Nasyifa - L</v>
      </c>
      <c r="U155" s="12" t="s">
        <v>1000</v>
      </c>
      <c r="W155" s="25">
        <f>COUNTIFS('Form Presensi SCC'!$B:$B, IF($C155&lt;&gt;0, TEXT($C155, "0000000000"), $D155), 'Form Presensi SCC'!$C:$C, "Hadir")</f>
        <v>1</v>
      </c>
      <c r="Y155" s="26"/>
    </row>
    <row r="156" ht="22.5" customHeight="1">
      <c r="A156" s="18">
        <v>155.0</v>
      </c>
      <c r="B156" s="18">
        <v>16.0</v>
      </c>
      <c r="C156" s="18" t="s">
        <v>62</v>
      </c>
      <c r="D156" s="18" t="s">
        <v>1005</v>
      </c>
      <c r="E156" s="18" t="s">
        <v>227</v>
      </c>
      <c r="F156" s="12">
        <v>33.0</v>
      </c>
      <c r="G156" s="10" t="s">
        <v>930</v>
      </c>
      <c r="H156" s="19"/>
      <c r="I156" s="20"/>
      <c r="J156" s="10" t="s">
        <v>930</v>
      </c>
      <c r="K156" s="21"/>
      <c r="L156" s="10"/>
      <c r="M156" s="22"/>
      <c r="N156" s="10"/>
      <c r="O156" s="10"/>
      <c r="P156" s="12" t="str">
        <f t="shared" si="1"/>
        <v>https://docs.google.com/forms/d/e/1FAIpQLSeZ-R1GrWlAPkfaThGqxeTj0QTtrARw4rroxIIepf2kipn1nw/formResponse?usp=pp_url&amp;entry.1313582257=0104987304 / 252610216&amp;entry.1578404635=Hadir</v>
      </c>
      <c r="Q156" s="23" t="s">
        <v>1006</v>
      </c>
      <c r="R156" s="12" t="s">
        <v>1007</v>
      </c>
      <c r="S156" s="24" t="s">
        <v>1008</v>
      </c>
      <c r="T156" s="23" t="str">
        <f>HYPERLINK("https://drive.google.com/file/d/1SmOyMnT6s9aZ4Cfxe9efn65GKU9TqGi6/view?usp=drivesdk","33 - X4 - Friska Feby Aulia - P")</f>
        <v>33 - X4 - Friska Feby Aulia - P</v>
      </c>
      <c r="U156" s="12" t="s">
        <v>1000</v>
      </c>
      <c r="W156" s="25">
        <f>COUNTIFS('Form Presensi SCC'!$B:$B, IF($C156&lt;&gt;0, TEXT($C156, "0000000000"), $D156), 'Form Presensi SCC'!$C:$C, "Hadir")</f>
        <v>1</v>
      </c>
      <c r="Y156" s="26"/>
    </row>
    <row r="157" ht="22.5" customHeight="1">
      <c r="A157" s="10">
        <v>156.0</v>
      </c>
      <c r="B157" s="18">
        <v>17.0</v>
      </c>
      <c r="C157" s="18" t="s">
        <v>60</v>
      </c>
      <c r="D157" s="18" t="s">
        <v>1009</v>
      </c>
      <c r="E157" s="18" t="s">
        <v>227</v>
      </c>
      <c r="F157" s="12">
        <v>33.0</v>
      </c>
      <c r="G157" s="10" t="s">
        <v>930</v>
      </c>
      <c r="H157" s="19"/>
      <c r="I157" s="20"/>
      <c r="J157" s="10" t="s">
        <v>930</v>
      </c>
      <c r="K157" s="21"/>
      <c r="L157" s="10"/>
      <c r="M157" s="22"/>
      <c r="N157" s="10"/>
      <c r="O157" s="10"/>
      <c r="P157" s="12" t="str">
        <f t="shared" si="1"/>
        <v>https://docs.google.com/forms/d/e/1FAIpQLSeZ-R1GrWlAPkfaThGqxeTj0QTtrARw4rroxIIepf2kipn1nw/formResponse?usp=pp_url&amp;entry.1313582257=0104595564 / 252610233&amp;entry.1578404635=Hadir</v>
      </c>
      <c r="Q157" s="23" t="s">
        <v>1010</v>
      </c>
      <c r="R157" s="12" t="s">
        <v>1011</v>
      </c>
      <c r="S157" s="24" t="s">
        <v>1012</v>
      </c>
      <c r="T157" s="23" t="str">
        <f>HYPERLINK("https://drive.google.com/file/d/1zz825j7I4T7X4AnyEYLC3b-2ATo48ImX/view?usp=drivesdk","33 - X4 - Inaya Janeeta - P")</f>
        <v>33 - X4 - Inaya Janeeta - P</v>
      </c>
      <c r="U157" s="12" t="s">
        <v>1000</v>
      </c>
      <c r="W157" s="25">
        <f>COUNTIFS('Form Presensi SCC'!$B:$B, IF($C157&lt;&gt;0, TEXT($C157, "0000000000"), $D157), 'Form Presensi SCC'!$C:$C, "Hadir")</f>
        <v>1</v>
      </c>
      <c r="Y157" s="26"/>
    </row>
    <row r="158" ht="22.5" customHeight="1">
      <c r="A158" s="18">
        <v>157.0</v>
      </c>
      <c r="B158" s="18">
        <v>18.0</v>
      </c>
      <c r="C158" s="18" t="s">
        <v>1013</v>
      </c>
      <c r="D158" s="18" t="s">
        <v>1014</v>
      </c>
      <c r="E158" s="18" t="s">
        <v>227</v>
      </c>
      <c r="F158" s="12">
        <v>33.0</v>
      </c>
      <c r="G158" s="10" t="s">
        <v>930</v>
      </c>
      <c r="H158" s="19"/>
      <c r="I158" s="20"/>
      <c r="J158" s="10" t="s">
        <v>930</v>
      </c>
      <c r="K158" s="21"/>
      <c r="L158" s="10"/>
      <c r="M158" s="22"/>
      <c r="N158" s="10"/>
      <c r="O158" s="10"/>
      <c r="P158" s="12" t="str">
        <f t="shared" si="1"/>
        <v>https://docs.google.com/forms/d/e/1FAIpQLSeZ-R1GrWlAPkfaThGqxeTj0QTtrARw4rroxIIepf2kipn1nw/formResponse?usp=pp_url&amp;entry.1313582257=0107286739 / 252610258&amp;entry.1578404635=Hadir</v>
      </c>
      <c r="Q158" s="23" t="s">
        <v>1015</v>
      </c>
      <c r="R158" s="12" t="s">
        <v>1016</v>
      </c>
      <c r="S158" s="24" t="s">
        <v>1017</v>
      </c>
      <c r="T158" s="23" t="str">
        <f>HYPERLINK("https://drive.google.com/file/d/1dAxQgT7HYu3s3mYS7N71bEfn2GfpZJJY/view?usp=drivesdk","33 - X4 - Karnizara Ringga Rabbani - P")</f>
        <v>33 - X4 - Karnizara Ringga Rabbani - P</v>
      </c>
      <c r="U158" s="12" t="s">
        <v>1000</v>
      </c>
      <c r="W158" s="25">
        <f>COUNTIFS('Form Presensi SCC'!$B:$B, IF($C158&lt;&gt;0, TEXT($C158, "0000000000"), $D158), 'Form Presensi SCC'!$C:$C, "Hadir")</f>
        <v>0</v>
      </c>
      <c r="Y158" s="26"/>
    </row>
    <row r="159" ht="22.5" customHeight="1">
      <c r="A159" s="10">
        <v>158.0</v>
      </c>
      <c r="B159" s="18">
        <v>19.0</v>
      </c>
      <c r="C159" s="18" t="s">
        <v>61</v>
      </c>
      <c r="D159" s="18" t="s">
        <v>1018</v>
      </c>
      <c r="E159" s="18" t="s">
        <v>227</v>
      </c>
      <c r="F159" s="12">
        <v>33.0</v>
      </c>
      <c r="G159" s="10" t="s">
        <v>930</v>
      </c>
      <c r="H159" s="19"/>
      <c r="I159" s="20"/>
      <c r="J159" s="10" t="s">
        <v>930</v>
      </c>
      <c r="K159" s="21"/>
      <c r="L159" s="10"/>
      <c r="M159" s="22"/>
      <c r="N159" s="10"/>
      <c r="O159" s="10"/>
      <c r="P159" s="12" t="str">
        <f t="shared" si="1"/>
        <v>https://docs.google.com/forms/d/e/1FAIpQLSeZ-R1GrWlAPkfaThGqxeTj0QTtrARw4rroxIIepf2kipn1nw/formResponse?usp=pp_url&amp;entry.1313582257=0109267722 / 252610260&amp;entry.1578404635=Hadir</v>
      </c>
      <c r="Q159" s="23" t="s">
        <v>1019</v>
      </c>
      <c r="R159" s="12" t="s">
        <v>1020</v>
      </c>
      <c r="S159" s="24" t="s">
        <v>1021</v>
      </c>
      <c r="T159" s="23" t="str">
        <f>HYPERLINK("https://drive.google.com/file/d/1V9lshM4t4dm-GdMzxlHpN7-RRqeAkT-F/view?usp=drivesdk","33 - X4 - Karunia Dwi Rahmawati - P")</f>
        <v>33 - X4 - Karunia Dwi Rahmawati - P</v>
      </c>
      <c r="U159" s="12" t="s">
        <v>1022</v>
      </c>
      <c r="W159" s="25">
        <f>COUNTIFS('Form Presensi SCC'!$B:$B, IF($C159&lt;&gt;0, TEXT($C159, "0000000000"), $D159), 'Form Presensi SCC'!$C:$C, "Hadir")</f>
        <v>1</v>
      </c>
      <c r="Y159" s="26"/>
    </row>
    <row r="160" ht="22.5" customHeight="1">
      <c r="A160" s="18">
        <v>159.0</v>
      </c>
      <c r="B160" s="18">
        <v>20.0</v>
      </c>
      <c r="C160" s="18" t="s">
        <v>1023</v>
      </c>
      <c r="D160" s="18" t="s">
        <v>1024</v>
      </c>
      <c r="E160" s="18" t="s">
        <v>227</v>
      </c>
      <c r="F160" s="12">
        <v>33.0</v>
      </c>
      <c r="G160" s="10" t="s">
        <v>930</v>
      </c>
      <c r="H160" s="19"/>
      <c r="I160" s="20"/>
      <c r="J160" s="10" t="s">
        <v>930</v>
      </c>
      <c r="K160" s="21"/>
      <c r="L160" s="10"/>
      <c r="M160" s="22"/>
      <c r="N160" s="10"/>
      <c r="O160" s="10"/>
      <c r="P160" s="12" t="str">
        <f t="shared" si="1"/>
        <v>https://docs.google.com/forms/d/e/1FAIpQLSeZ-R1GrWlAPkfaThGqxeTj0QTtrARw4rroxIIepf2kipn1nw/formResponse?usp=pp_url&amp;entry.1313582257=0093634061 / 252610266&amp;entry.1578404635=Hadir</v>
      </c>
      <c r="Q160" s="23" t="s">
        <v>1025</v>
      </c>
      <c r="R160" s="12" t="s">
        <v>1026</v>
      </c>
      <c r="S160" s="24" t="s">
        <v>1027</v>
      </c>
      <c r="T160" s="23" t="str">
        <f>HYPERLINK("https://drive.google.com/file/d/1Kr9ttkF108kcultThPFvi_24Q527esxA/view?usp=drivesdk","33 - X4 - Keisa Wanda Setiawan - P")</f>
        <v>33 - X4 - Keisa Wanda Setiawan - P</v>
      </c>
      <c r="U160" s="12" t="s">
        <v>1022</v>
      </c>
      <c r="W160" s="25">
        <f>COUNTIFS('Form Presensi SCC'!$B:$B, IF($C160&lt;&gt;0, TEXT($C160, "0000000000"), $D160), 'Form Presensi SCC'!$C:$C, "Hadir")</f>
        <v>0</v>
      </c>
      <c r="Y160" s="26"/>
    </row>
    <row r="161" ht="22.5" customHeight="1">
      <c r="A161" s="10">
        <v>160.0</v>
      </c>
      <c r="B161" s="18">
        <v>21.0</v>
      </c>
      <c r="C161" s="18" t="s">
        <v>1028</v>
      </c>
      <c r="D161" s="18" t="s">
        <v>1029</v>
      </c>
      <c r="E161" s="18" t="s">
        <v>220</v>
      </c>
      <c r="F161" s="12">
        <v>33.0</v>
      </c>
      <c r="G161" s="10" t="s">
        <v>930</v>
      </c>
      <c r="H161" s="22" t="s">
        <v>371</v>
      </c>
      <c r="I161" s="20"/>
      <c r="J161" s="10" t="s">
        <v>930</v>
      </c>
      <c r="K161" s="21"/>
      <c r="L161" s="10"/>
      <c r="M161" s="22"/>
      <c r="N161" s="10"/>
      <c r="O161" s="10"/>
      <c r="P161" s="12" t="str">
        <f t="shared" si="1"/>
        <v>https://docs.google.com/forms/d/e/1FAIpQLSeZ-R1GrWlAPkfaThGqxeTj0QTtrARw4rroxIIepf2kipn1nw/formResponse?usp=pp_url&amp;entry.1313582257=3091547533 / 252610275&amp;entry.1578404635=Hadir</v>
      </c>
      <c r="Q161" s="23" t="s">
        <v>1030</v>
      </c>
      <c r="R161" s="12" t="s">
        <v>1031</v>
      </c>
      <c r="S161" s="24" t="s">
        <v>1032</v>
      </c>
      <c r="T161" s="23" t="str">
        <f>HYPERLINK("https://drive.google.com/file/d/11TwBzSTV5-MRHYy0noiTdodHIT1KEfva/view?usp=drivesdk","33 - X4 - Keyno Nazmi Afham - L")</f>
        <v>33 - X4 - Keyno Nazmi Afham - L</v>
      </c>
      <c r="U161" s="12" t="s">
        <v>1022</v>
      </c>
      <c r="W161" s="25">
        <f>COUNTIFS('Form Presensi SCC'!$B:$B, IF($C161&lt;&gt;0, TEXT($C161, "0000000000"), $D161), 'Form Presensi SCC'!$C:$C, "Hadir")</f>
        <v>0</v>
      </c>
      <c r="Y161" s="26"/>
    </row>
    <row r="162" ht="22.5" customHeight="1">
      <c r="A162" s="18">
        <v>161.0</v>
      </c>
      <c r="B162" s="18">
        <v>22.0</v>
      </c>
      <c r="C162" s="18" t="s">
        <v>1033</v>
      </c>
      <c r="D162" s="18" t="s">
        <v>1034</v>
      </c>
      <c r="E162" s="18" t="s">
        <v>227</v>
      </c>
      <c r="F162" s="12">
        <v>33.0</v>
      </c>
      <c r="G162" s="10" t="s">
        <v>930</v>
      </c>
      <c r="H162" s="19"/>
      <c r="I162" s="20"/>
      <c r="J162" s="10" t="s">
        <v>930</v>
      </c>
      <c r="K162" s="21"/>
      <c r="L162" s="10"/>
      <c r="M162" s="22"/>
      <c r="N162" s="10"/>
      <c r="O162" s="10"/>
      <c r="P162" s="12" t="str">
        <f t="shared" si="1"/>
        <v>https://docs.google.com/forms/d/e/1FAIpQLSeZ-R1GrWlAPkfaThGqxeTj0QTtrARw4rroxIIepf2kipn1nw/formResponse?usp=pp_url&amp;entry.1313582257=0097951249 / 252610282&amp;entry.1578404635=Hadir</v>
      </c>
      <c r="Q162" s="23" t="s">
        <v>1035</v>
      </c>
      <c r="R162" s="12" t="s">
        <v>1036</v>
      </c>
      <c r="S162" s="24" t="s">
        <v>1037</v>
      </c>
      <c r="T162" s="23" t="str">
        <f>HYPERLINK("https://drive.google.com/file/d/14k_LbGq-nRD5iTNaOcvDJgPBoMmNc8LK/view?usp=drivesdk","33 - X4 - Khansa Vanya Laudya Putri - P")</f>
        <v>33 - X4 - Khansa Vanya Laudya Putri - P</v>
      </c>
      <c r="U162" s="12" t="s">
        <v>1022</v>
      </c>
      <c r="W162" s="25">
        <f>COUNTIFS('Form Presensi SCC'!$B:$B, IF($C162&lt;&gt;0, TEXT($C162, "0000000000"), $D162), 'Form Presensi SCC'!$C:$C, "Hadir")</f>
        <v>0</v>
      </c>
      <c r="Y162" s="26"/>
    </row>
    <row r="163" ht="22.5" customHeight="1">
      <c r="A163" s="10">
        <v>162.0</v>
      </c>
      <c r="B163" s="18">
        <v>23.0</v>
      </c>
      <c r="C163" s="18" t="s">
        <v>1038</v>
      </c>
      <c r="D163" s="18" t="s">
        <v>1039</v>
      </c>
      <c r="E163" s="18" t="s">
        <v>227</v>
      </c>
      <c r="F163" s="12">
        <v>33.0</v>
      </c>
      <c r="G163" s="10" t="s">
        <v>930</v>
      </c>
      <c r="H163" s="19"/>
      <c r="I163" s="20"/>
      <c r="J163" s="10" t="s">
        <v>930</v>
      </c>
      <c r="K163" s="21"/>
      <c r="L163" s="10"/>
      <c r="M163" s="22"/>
      <c r="N163" s="10"/>
      <c r="O163" s="10"/>
      <c r="P163" s="12" t="str">
        <f t="shared" si="1"/>
        <v>https://docs.google.com/forms/d/e/1FAIpQLSeZ-R1GrWlAPkfaThGqxeTj0QTtrARw4rroxIIepf2kipn1nw/formResponse?usp=pp_url&amp;entry.1313582257=0102015407 / 252610294&amp;entry.1578404635=Hadir</v>
      </c>
      <c r="Q163" s="23" t="s">
        <v>1040</v>
      </c>
      <c r="R163" s="12" t="s">
        <v>1041</v>
      </c>
      <c r="S163" s="24" t="s">
        <v>1042</v>
      </c>
      <c r="T163" s="23" t="str">
        <f>HYPERLINK("https://drive.google.com/file/d/1kZEOmByY_X4TyCo8dhzXCT0yn-mcnhfm/view?usp=drivesdk","33 - X4 - Lutfi Dwi Melati - P")</f>
        <v>33 - X4 - Lutfi Dwi Melati - P</v>
      </c>
      <c r="U163" s="12" t="s">
        <v>1043</v>
      </c>
      <c r="W163" s="25">
        <f>COUNTIFS('Form Presensi SCC'!$B:$B, IF($C163&lt;&gt;0, TEXT($C163, "0000000000"), $D163), 'Form Presensi SCC'!$C:$C, "Hadir")</f>
        <v>0</v>
      </c>
      <c r="Y163" s="26"/>
    </row>
    <row r="164" ht="22.5" customHeight="1">
      <c r="A164" s="18">
        <v>163.0</v>
      </c>
      <c r="B164" s="18">
        <v>24.0</v>
      </c>
      <c r="C164" s="18" t="s">
        <v>1044</v>
      </c>
      <c r="D164" s="18" t="s">
        <v>1045</v>
      </c>
      <c r="E164" s="18" t="s">
        <v>227</v>
      </c>
      <c r="F164" s="12">
        <v>33.0</v>
      </c>
      <c r="G164" s="10" t="s">
        <v>930</v>
      </c>
      <c r="H164" s="19"/>
      <c r="I164" s="20"/>
      <c r="J164" s="10" t="s">
        <v>930</v>
      </c>
      <c r="K164" s="21"/>
      <c r="L164" s="10"/>
      <c r="M164" s="22"/>
      <c r="N164" s="10"/>
      <c r="O164" s="10"/>
      <c r="P164" s="12" t="str">
        <f t="shared" si="1"/>
        <v>https://docs.google.com/forms/d/e/1FAIpQLSeZ-R1GrWlAPkfaThGqxeTj0QTtrARw4rroxIIepf2kipn1nw/formResponse?usp=pp_url&amp;entry.1313582257=0106908655 / 252610306&amp;entry.1578404635=Hadir</v>
      </c>
      <c r="Q164" s="23" t="s">
        <v>1046</v>
      </c>
      <c r="R164" s="12" t="s">
        <v>1047</v>
      </c>
      <c r="S164" s="24" t="s">
        <v>1048</v>
      </c>
      <c r="T164" s="23" t="str">
        <f>HYPERLINK("https://drive.google.com/file/d/1pifJIYMcrr1DEj9Qb-BIgazz9udIdsxX/view?usp=drivesdk","33 - X4 - Masayu Ganisha Pembayun Putri - P")</f>
        <v>33 - X4 - Masayu Ganisha Pembayun Putri - P</v>
      </c>
      <c r="U164" s="12" t="s">
        <v>1043</v>
      </c>
      <c r="W164" s="25">
        <f>COUNTIFS('Form Presensi SCC'!$B:$B, IF($C164&lt;&gt;0, TEXT($C164, "0000000000"), $D164), 'Form Presensi SCC'!$C:$C, "Hadir")</f>
        <v>0</v>
      </c>
      <c r="Y164" s="26"/>
    </row>
    <row r="165" ht="22.5" customHeight="1">
      <c r="A165" s="10">
        <v>164.0</v>
      </c>
      <c r="B165" s="18">
        <v>25.0</v>
      </c>
      <c r="C165" s="18" t="s">
        <v>1049</v>
      </c>
      <c r="D165" s="18" t="s">
        <v>1050</v>
      </c>
      <c r="E165" s="18" t="s">
        <v>227</v>
      </c>
      <c r="F165" s="12">
        <v>33.0</v>
      </c>
      <c r="G165" s="10" t="s">
        <v>930</v>
      </c>
      <c r="H165" s="19"/>
      <c r="I165" s="20"/>
      <c r="J165" s="10" t="s">
        <v>930</v>
      </c>
      <c r="K165" s="21"/>
      <c r="L165" s="10"/>
      <c r="M165" s="22"/>
      <c r="N165" s="10"/>
      <c r="O165" s="10"/>
      <c r="P165" s="12" t="str">
        <f t="shared" si="1"/>
        <v>https://docs.google.com/forms/d/e/1FAIpQLSeZ-R1GrWlAPkfaThGqxeTj0QTtrARw4rroxIIepf2kipn1nw/formResponse?usp=pp_url&amp;entry.1313582257=0092608342 / 252610309&amp;entry.1578404635=Hadir</v>
      </c>
      <c r="Q165" s="23" t="s">
        <v>1051</v>
      </c>
      <c r="R165" s="12" t="s">
        <v>1052</v>
      </c>
      <c r="S165" s="24" t="s">
        <v>1053</v>
      </c>
      <c r="T165" s="23" t="str">
        <f>HYPERLINK("https://drive.google.com/file/d/13FpcITMmlCF-nALz0P2VEjsFGTgRIB85/view?usp=drivesdk","33 - X4 - Mazaya Aqila Betha Diladena - P")</f>
        <v>33 - X4 - Mazaya Aqila Betha Diladena - P</v>
      </c>
      <c r="U165" s="12" t="s">
        <v>1043</v>
      </c>
      <c r="W165" s="25">
        <f>COUNTIFS('Form Presensi SCC'!$B:$B, IF($C165&lt;&gt;0, TEXT($C165, "0000000000"), $D165), 'Form Presensi SCC'!$C:$C, "Hadir")</f>
        <v>0</v>
      </c>
      <c r="Y165" s="26"/>
    </row>
    <row r="166" ht="22.5" customHeight="1">
      <c r="A166" s="18">
        <v>165.0</v>
      </c>
      <c r="B166" s="18">
        <v>26.0</v>
      </c>
      <c r="C166" s="18" t="s">
        <v>1054</v>
      </c>
      <c r="D166" s="18" t="s">
        <v>1055</v>
      </c>
      <c r="E166" s="18" t="s">
        <v>220</v>
      </c>
      <c r="F166" s="12">
        <v>33.0</v>
      </c>
      <c r="G166" s="10" t="s">
        <v>930</v>
      </c>
      <c r="H166" s="19"/>
      <c r="I166" s="20"/>
      <c r="J166" s="10" t="s">
        <v>930</v>
      </c>
      <c r="K166" s="21"/>
      <c r="L166" s="10"/>
      <c r="M166" s="22"/>
      <c r="N166" s="10"/>
      <c r="O166" s="10"/>
      <c r="P166" s="12" t="str">
        <f t="shared" si="1"/>
        <v>https://docs.google.com/forms/d/e/1FAIpQLSeZ-R1GrWlAPkfaThGqxeTj0QTtrARw4rroxIIepf2kipn1nw/formResponse?usp=pp_url&amp;entry.1313582257=0098979111 / 252610329&amp;entry.1578404635=Hadir</v>
      </c>
      <c r="Q166" s="23" t="s">
        <v>1056</v>
      </c>
      <c r="R166" s="12" t="s">
        <v>1057</v>
      </c>
      <c r="S166" s="24" t="s">
        <v>1058</v>
      </c>
      <c r="T166" s="23" t="str">
        <f>HYPERLINK("https://drive.google.com/file/d/16ONLvmyN3XWzF4SAnuZVWgK-yYsa8sRE/view?usp=drivesdk","33 - X4 - Muhamad Rizqi Darmawan - L")</f>
        <v>33 - X4 - Muhamad Rizqi Darmawan - L</v>
      </c>
      <c r="U166" s="12" t="s">
        <v>1043</v>
      </c>
      <c r="W166" s="25">
        <f>COUNTIFS('Form Presensi SCC'!$B:$B, IF($C166&lt;&gt;0, TEXT($C166, "0000000000"), $D166), 'Form Presensi SCC'!$C:$C, "Hadir")</f>
        <v>0</v>
      </c>
      <c r="Y166" s="26"/>
    </row>
    <row r="167" ht="22.5" customHeight="1">
      <c r="A167" s="10">
        <v>166.0</v>
      </c>
      <c r="B167" s="18">
        <v>27.0</v>
      </c>
      <c r="C167" s="18" t="s">
        <v>1059</v>
      </c>
      <c r="D167" s="18" t="s">
        <v>1060</v>
      </c>
      <c r="E167" s="18" t="s">
        <v>220</v>
      </c>
      <c r="F167" s="12">
        <v>33.0</v>
      </c>
      <c r="G167" s="10" t="s">
        <v>930</v>
      </c>
      <c r="H167" s="19"/>
      <c r="I167" s="20"/>
      <c r="J167" s="10" t="s">
        <v>930</v>
      </c>
      <c r="K167" s="21"/>
      <c r="L167" s="10"/>
      <c r="M167" s="22"/>
      <c r="N167" s="10"/>
      <c r="O167" s="10"/>
      <c r="P167" s="12" t="str">
        <f t="shared" si="1"/>
        <v>https://docs.google.com/forms/d/e/1FAIpQLSeZ-R1GrWlAPkfaThGqxeTj0QTtrARw4rroxIIepf2kipn1nw/formResponse?usp=pp_url&amp;entry.1313582257=0105497173 / 252610357&amp;entry.1578404635=Hadir</v>
      </c>
      <c r="Q167" s="23" t="s">
        <v>1061</v>
      </c>
      <c r="R167" s="12" t="s">
        <v>1062</v>
      </c>
      <c r="S167" s="24" t="s">
        <v>1063</v>
      </c>
      <c r="T167" s="23" t="str">
        <f>HYPERLINK("https://drive.google.com/file/d/1WpUwS6OzDXyTQW0soa2yuuiC4F4SLkfb/view?usp=drivesdk","33 - X4 - Muhammad Ihsan Putra Pamungkas - L")</f>
        <v>33 - X4 - Muhammad Ihsan Putra Pamungkas - L</v>
      </c>
      <c r="U167" s="12" t="s">
        <v>1043</v>
      </c>
      <c r="W167" s="25">
        <f>COUNTIFS('Form Presensi SCC'!$B:$B, IF($C167&lt;&gt;0, TEXT($C167, "0000000000"), $D167), 'Form Presensi SCC'!$C:$C, "Hadir")</f>
        <v>0</v>
      </c>
      <c r="Y167" s="26"/>
    </row>
    <row r="168" ht="22.5" customHeight="1">
      <c r="A168" s="18">
        <v>167.0</v>
      </c>
      <c r="B168" s="18">
        <v>28.0</v>
      </c>
      <c r="C168" s="18" t="s">
        <v>1064</v>
      </c>
      <c r="D168" s="18" t="s">
        <v>1065</v>
      </c>
      <c r="E168" s="18" t="s">
        <v>220</v>
      </c>
      <c r="F168" s="12">
        <v>33.0</v>
      </c>
      <c r="G168" s="10" t="s">
        <v>930</v>
      </c>
      <c r="H168" s="19"/>
      <c r="I168" s="20"/>
      <c r="J168" s="10" t="s">
        <v>930</v>
      </c>
      <c r="K168" s="21"/>
      <c r="L168" s="10"/>
      <c r="M168" s="22"/>
      <c r="N168" s="10"/>
      <c r="O168" s="10"/>
      <c r="P168" s="12" t="str">
        <f t="shared" si="1"/>
        <v>https://docs.google.com/forms/d/e/1FAIpQLSeZ-R1GrWlAPkfaThGqxeTj0QTtrARw4rroxIIepf2kipn1nw/formResponse?usp=pp_url&amp;entry.1313582257=0092028941 / 252610363&amp;entry.1578404635=Hadir</v>
      </c>
      <c r="Q168" s="23" t="s">
        <v>1066</v>
      </c>
      <c r="R168" s="12" t="s">
        <v>1067</v>
      </c>
      <c r="S168" s="24" t="s">
        <v>1068</v>
      </c>
      <c r="T168" s="23" t="str">
        <f>HYPERLINK("https://drive.google.com/file/d/1S4WIDvGQljG62p5n4KT4drgbHCYrYkxZ/view?usp=drivesdk","33 - X4 - Muhammad Rafi Kurniawan - L")</f>
        <v>33 - X4 - Muhammad Rafi Kurniawan - L</v>
      </c>
      <c r="U168" s="12" t="s">
        <v>1043</v>
      </c>
      <c r="W168" s="25">
        <f>COUNTIFS('Form Presensi SCC'!$B:$B, IF($C168&lt;&gt;0, TEXT($C168, "0000000000"), $D168), 'Form Presensi SCC'!$C:$C, "Hadir")</f>
        <v>0</v>
      </c>
      <c r="Y168" s="26"/>
    </row>
    <row r="169" ht="22.5" customHeight="1">
      <c r="A169" s="10">
        <v>168.0</v>
      </c>
      <c r="B169" s="18">
        <v>29.0</v>
      </c>
      <c r="C169" s="18" t="s">
        <v>1069</v>
      </c>
      <c r="D169" s="18" t="s">
        <v>1070</v>
      </c>
      <c r="E169" s="18" t="s">
        <v>220</v>
      </c>
      <c r="F169" s="12">
        <v>33.0</v>
      </c>
      <c r="G169" s="10" t="s">
        <v>930</v>
      </c>
      <c r="H169" s="19"/>
      <c r="I169" s="20"/>
      <c r="J169" s="10" t="s">
        <v>930</v>
      </c>
      <c r="K169" s="21"/>
      <c r="L169" s="10"/>
      <c r="M169" s="22"/>
      <c r="N169" s="10"/>
      <c r="O169" s="10"/>
      <c r="P169" s="12" t="str">
        <f t="shared" si="1"/>
        <v>https://docs.google.com/forms/d/e/1FAIpQLSeZ-R1GrWlAPkfaThGqxeTj0QTtrARw4rroxIIepf2kipn1nw/formResponse?usp=pp_url&amp;entry.1313582257=0097410697 / 252610373&amp;entry.1578404635=Hadir</v>
      </c>
      <c r="Q169" s="23" t="s">
        <v>1071</v>
      </c>
      <c r="R169" s="12" t="s">
        <v>1072</v>
      </c>
      <c r="S169" s="24" t="s">
        <v>1073</v>
      </c>
      <c r="T169" s="23" t="str">
        <f>HYPERLINK("https://drive.google.com/file/d/1U5c4z0u5cmwP7-85kqm-BH_yEGcXtZrn/view?usp=drivesdk","33 - X4 - Muhammad Sulthon Najib - L")</f>
        <v>33 - X4 - Muhammad Sulthon Najib - L</v>
      </c>
      <c r="U169" s="12" t="s">
        <v>1074</v>
      </c>
      <c r="W169" s="25">
        <f>COUNTIFS('Form Presensi SCC'!$B:$B, IF($C169&lt;&gt;0, TEXT($C169, "0000000000"), $D169), 'Form Presensi SCC'!$C:$C, "Hadir")</f>
        <v>0</v>
      </c>
      <c r="Y169" s="26"/>
    </row>
    <row r="170" ht="22.5" customHeight="1">
      <c r="A170" s="18">
        <v>169.0</v>
      </c>
      <c r="B170" s="18">
        <v>30.0</v>
      </c>
      <c r="C170" s="18" t="s">
        <v>1075</v>
      </c>
      <c r="D170" s="18" t="s">
        <v>1076</v>
      </c>
      <c r="E170" s="18" t="s">
        <v>220</v>
      </c>
      <c r="F170" s="12">
        <v>33.0</v>
      </c>
      <c r="G170" s="10" t="s">
        <v>930</v>
      </c>
      <c r="H170" s="22" t="s">
        <v>371</v>
      </c>
      <c r="I170" s="20"/>
      <c r="J170" s="10" t="s">
        <v>930</v>
      </c>
      <c r="K170" s="21"/>
      <c r="L170" s="10"/>
      <c r="M170" s="22"/>
      <c r="N170" s="10"/>
      <c r="O170" s="10"/>
      <c r="P170" s="12" t="str">
        <f t="shared" si="1"/>
        <v>https://docs.google.com/forms/d/e/1FAIpQLSeZ-R1GrWlAPkfaThGqxeTj0QTtrARw4rroxIIepf2kipn1nw/formResponse?usp=pp_url&amp;entry.1313582257=3105173369 / 252610378&amp;entry.1578404635=Hadir</v>
      </c>
      <c r="Q170" s="23" t="s">
        <v>1077</v>
      </c>
      <c r="R170" s="12" t="s">
        <v>1078</v>
      </c>
      <c r="S170" s="24" t="s">
        <v>1079</v>
      </c>
      <c r="T170" s="23" t="str">
        <f>HYPERLINK("https://drive.google.com/file/d/1lzWgNrOGgUcTiDOzl9J2mtj_qLuyFYtQ/view?usp=drivesdk","33 - X4 - Muhammad Zaidan Aqil - L")</f>
        <v>33 - X4 - Muhammad Zaidan Aqil - L</v>
      </c>
      <c r="U170" s="12" t="s">
        <v>1074</v>
      </c>
      <c r="W170" s="25">
        <f>COUNTIFS('Form Presensi SCC'!$B:$B, IF($C170&lt;&gt;0, TEXT($C170, "0000000000"), $D170), 'Form Presensi SCC'!$C:$C, "Hadir")</f>
        <v>0</v>
      </c>
      <c r="Y170" s="26"/>
    </row>
    <row r="171" ht="22.5" customHeight="1">
      <c r="A171" s="10">
        <v>170.0</v>
      </c>
      <c r="B171" s="18">
        <v>31.0</v>
      </c>
      <c r="C171" s="18" t="s">
        <v>1080</v>
      </c>
      <c r="D171" s="18" t="s">
        <v>1081</v>
      </c>
      <c r="E171" s="18" t="s">
        <v>227</v>
      </c>
      <c r="F171" s="12">
        <v>33.0</v>
      </c>
      <c r="G171" s="10" t="s">
        <v>930</v>
      </c>
      <c r="H171" s="19"/>
      <c r="I171" s="20"/>
      <c r="J171" s="10" t="s">
        <v>930</v>
      </c>
      <c r="K171" s="21"/>
      <c r="L171" s="10"/>
      <c r="M171" s="22"/>
      <c r="N171" s="10"/>
      <c r="O171" s="10"/>
      <c r="P171" s="12" t="str">
        <f t="shared" si="1"/>
        <v>https://docs.google.com/forms/d/e/1FAIpQLSeZ-R1GrWlAPkfaThGqxeTj0QTtrARw4rroxIIepf2kipn1nw/formResponse?usp=pp_url&amp;entry.1313582257=3107700954 / 252610382&amp;entry.1578404635=Hadir</v>
      </c>
      <c r="Q171" s="23" t="s">
        <v>1082</v>
      </c>
      <c r="R171" s="12" t="s">
        <v>1083</v>
      </c>
      <c r="S171" s="24" t="s">
        <v>1084</v>
      </c>
      <c r="T171" s="23" t="str">
        <f>HYPERLINK("https://drive.google.com/file/d/1NmIggidpV6JkajkBeYY1-Cch36BT0Od9/view?usp=drivesdk","33 - X4 - Mutiara Geisya Nuraini - P")</f>
        <v>33 - X4 - Mutiara Geisya Nuraini - P</v>
      </c>
      <c r="U171" s="12" t="s">
        <v>1074</v>
      </c>
      <c r="W171" s="25">
        <f>COUNTIFS('Form Presensi SCC'!$B:$B, IF($C171&lt;&gt;0, TEXT($C171, "0000000000"), $D171), 'Form Presensi SCC'!$C:$C, "Hadir")</f>
        <v>0</v>
      </c>
      <c r="Y171" s="26"/>
    </row>
    <row r="172" ht="22.5" customHeight="1">
      <c r="A172" s="18">
        <v>171.0</v>
      </c>
      <c r="B172" s="18">
        <v>32.0</v>
      </c>
      <c r="C172" s="18" t="s">
        <v>1085</v>
      </c>
      <c r="D172" s="18" t="s">
        <v>1086</v>
      </c>
      <c r="E172" s="18" t="s">
        <v>227</v>
      </c>
      <c r="F172" s="12">
        <v>33.0</v>
      </c>
      <c r="G172" s="10" t="s">
        <v>930</v>
      </c>
      <c r="H172" s="19"/>
      <c r="I172" s="20"/>
      <c r="J172" s="10" t="s">
        <v>930</v>
      </c>
      <c r="K172" s="21"/>
      <c r="L172" s="10"/>
      <c r="M172" s="22"/>
      <c r="N172" s="10"/>
      <c r="O172" s="10"/>
      <c r="P172" s="12" t="str">
        <f t="shared" si="1"/>
        <v>https://docs.google.com/forms/d/e/1FAIpQLSeZ-R1GrWlAPkfaThGqxeTj0QTtrARw4rroxIIepf2kipn1nw/formResponse?usp=pp_url&amp;entry.1313582257=0103461516 / 252610433&amp;entry.1578404635=Hadir</v>
      </c>
      <c r="Q172" s="23" t="s">
        <v>1087</v>
      </c>
      <c r="R172" s="12" t="s">
        <v>1088</v>
      </c>
      <c r="S172" s="24" t="s">
        <v>1089</v>
      </c>
      <c r="T172" s="23" t="str">
        <f>HYPERLINK("https://drive.google.com/file/d/1kKRi8jHuS02UV8ZvhTCpUWPE8uG9Dcj3/view?usp=drivesdk","33 - X4 - Priscilia Michelle Pasau - P")</f>
        <v>33 - X4 - Priscilia Michelle Pasau - P</v>
      </c>
      <c r="U172" s="12" t="s">
        <v>1074</v>
      </c>
      <c r="W172" s="25">
        <f>COUNTIFS('Form Presensi SCC'!$B:$B, IF($C172&lt;&gt;0, TEXT($C172, "0000000000"), $D172), 'Form Presensi SCC'!$C:$C, "Hadir")</f>
        <v>0</v>
      </c>
      <c r="Y172" s="26"/>
    </row>
    <row r="173" ht="22.5" customHeight="1">
      <c r="A173" s="10">
        <v>172.0</v>
      </c>
      <c r="B173" s="18">
        <v>33.0</v>
      </c>
      <c r="C173" s="18" t="s">
        <v>1090</v>
      </c>
      <c r="D173" s="18" t="s">
        <v>1091</v>
      </c>
      <c r="E173" s="18" t="s">
        <v>220</v>
      </c>
      <c r="F173" s="12">
        <v>33.0</v>
      </c>
      <c r="G173" s="10" t="s">
        <v>930</v>
      </c>
      <c r="H173" s="19"/>
      <c r="I173" s="20"/>
      <c r="J173" s="10" t="s">
        <v>930</v>
      </c>
      <c r="K173" s="21"/>
      <c r="L173" s="10"/>
      <c r="M173" s="22"/>
      <c r="N173" s="10"/>
      <c r="O173" s="10"/>
      <c r="P173" s="12" t="str">
        <f t="shared" si="1"/>
        <v>https://docs.google.com/forms/d/e/1FAIpQLSeZ-R1GrWlAPkfaThGqxeTj0QTtrARw4rroxIIepf2kipn1nw/formResponse?usp=pp_url&amp;entry.1313582257=0109782055 / 252610435&amp;entry.1578404635=Hadir</v>
      </c>
      <c r="Q173" s="23" t="s">
        <v>1092</v>
      </c>
      <c r="R173" s="12" t="s">
        <v>1093</v>
      </c>
      <c r="S173" s="24" t="s">
        <v>1094</v>
      </c>
      <c r="T173" s="23" t="str">
        <f>HYPERLINK("https://drive.google.com/file/d/1KQukR-tklUjVqW8EVedBDg98Ujt0njK6/view?usp=drivesdk","33 - X4 - Puffin Rohis Jusup Manurung - L")</f>
        <v>33 - X4 - Puffin Rohis Jusup Manurung - L</v>
      </c>
      <c r="U173" s="12" t="s">
        <v>1074</v>
      </c>
      <c r="W173" s="25">
        <f>COUNTIFS('Form Presensi SCC'!$B:$B, IF($C173&lt;&gt;0, TEXT($C173, "0000000000"), $D173), 'Form Presensi SCC'!$C:$C, "Hadir")</f>
        <v>0</v>
      </c>
      <c r="Y173" s="26"/>
    </row>
    <row r="174" ht="22.5" customHeight="1">
      <c r="A174" s="18">
        <v>173.0</v>
      </c>
      <c r="B174" s="18">
        <v>34.0</v>
      </c>
      <c r="C174" s="18" t="s">
        <v>1095</v>
      </c>
      <c r="D174" s="18" t="s">
        <v>1096</v>
      </c>
      <c r="E174" s="18" t="s">
        <v>220</v>
      </c>
      <c r="F174" s="12">
        <v>33.0</v>
      </c>
      <c r="G174" s="10" t="s">
        <v>930</v>
      </c>
      <c r="H174" s="19"/>
      <c r="I174" s="20"/>
      <c r="J174" s="10" t="s">
        <v>930</v>
      </c>
      <c r="K174" s="21"/>
      <c r="L174" s="10"/>
      <c r="M174" s="22"/>
      <c r="N174" s="10"/>
      <c r="O174" s="10"/>
      <c r="P174" s="12" t="str">
        <f t="shared" si="1"/>
        <v>https://docs.google.com/forms/d/e/1FAIpQLSeZ-R1GrWlAPkfaThGqxeTj0QTtrARw4rroxIIepf2kipn1nw/formResponse?usp=pp_url&amp;entry.1313582257=0108699884 / 252610447&amp;entry.1578404635=Hadir</v>
      </c>
      <c r="Q174" s="23" t="s">
        <v>1097</v>
      </c>
      <c r="R174" s="12" t="s">
        <v>1098</v>
      </c>
      <c r="S174" s="24" t="s">
        <v>1099</v>
      </c>
      <c r="T174" s="23" t="str">
        <f>HYPERLINK("https://drive.google.com/file/d/1ra3WjJfYY4y7yug2XeBb-juJ5s3eHPjo/view?usp=drivesdk","33 - X4 - Quizal Razky Ahmad - L")</f>
        <v>33 - X4 - Quizal Razky Ahmad - L</v>
      </c>
      <c r="U174" s="12" t="s">
        <v>1100</v>
      </c>
      <c r="W174" s="25">
        <f>COUNTIFS('Form Presensi SCC'!$B:$B, IF($C174&lt;&gt;0, TEXT($C174, "0000000000"), $D174), 'Form Presensi SCC'!$C:$C, "Hadir")</f>
        <v>0</v>
      </c>
      <c r="Y174" s="26"/>
    </row>
    <row r="175" ht="22.5" customHeight="1">
      <c r="A175" s="10">
        <v>174.0</v>
      </c>
      <c r="B175" s="18">
        <v>35.0</v>
      </c>
      <c r="C175" s="18" t="s">
        <v>1101</v>
      </c>
      <c r="D175" s="18" t="s">
        <v>1102</v>
      </c>
      <c r="E175" s="18" t="s">
        <v>220</v>
      </c>
      <c r="F175" s="12">
        <v>33.0</v>
      </c>
      <c r="G175" s="10" t="s">
        <v>930</v>
      </c>
      <c r="H175" s="19"/>
      <c r="I175" s="20"/>
      <c r="J175" s="10" t="s">
        <v>930</v>
      </c>
      <c r="K175" s="21"/>
      <c r="L175" s="10"/>
      <c r="M175" s="22"/>
      <c r="N175" s="10"/>
      <c r="O175" s="10"/>
      <c r="P175" s="12" t="str">
        <f t="shared" si="1"/>
        <v>https://docs.google.com/forms/d/e/1FAIpQLSeZ-R1GrWlAPkfaThGqxeTj0QTtrARw4rroxIIepf2kipn1nw/formResponse?usp=pp_url&amp;entry.1313582257=0108390462 / 252610472&amp;entry.1578404635=Hadir</v>
      </c>
      <c r="Q175" s="23" t="s">
        <v>1103</v>
      </c>
      <c r="R175" s="12" t="s">
        <v>1104</v>
      </c>
      <c r="S175" s="24" t="s">
        <v>1105</v>
      </c>
      <c r="T175" s="23" t="str">
        <f>HYPERLINK("https://drive.google.com/file/d/1x3EBgAY0b0LsatGYUd83-AvIaRgie9oR/view?usp=drivesdk","33 - X4 - Randy Adiya Pratama Kouw - L")</f>
        <v>33 - X4 - Randy Adiya Pratama Kouw - L</v>
      </c>
      <c r="U175" s="12" t="s">
        <v>1100</v>
      </c>
      <c r="W175" s="25">
        <f>COUNTIFS('Form Presensi SCC'!$B:$B, IF($C175&lt;&gt;0, TEXT($C175, "0000000000"), $D175), 'Form Presensi SCC'!$C:$C, "Hadir")</f>
        <v>0</v>
      </c>
      <c r="Y175" s="26"/>
    </row>
    <row r="176" ht="22.5" customHeight="1">
      <c r="A176" s="18">
        <v>175.0</v>
      </c>
      <c r="B176" s="18">
        <v>36.0</v>
      </c>
      <c r="C176" s="18" t="s">
        <v>1106</v>
      </c>
      <c r="D176" s="18" t="s">
        <v>1107</v>
      </c>
      <c r="E176" s="18" t="s">
        <v>220</v>
      </c>
      <c r="F176" s="12">
        <v>33.0</v>
      </c>
      <c r="G176" s="10" t="s">
        <v>930</v>
      </c>
      <c r="H176" s="19"/>
      <c r="I176" s="20"/>
      <c r="J176" s="10" t="s">
        <v>930</v>
      </c>
      <c r="K176" s="21"/>
      <c r="L176" s="10"/>
      <c r="M176" s="22"/>
      <c r="N176" s="10"/>
      <c r="O176" s="10"/>
      <c r="P176" s="12" t="str">
        <f t="shared" si="1"/>
        <v>https://docs.google.com/forms/d/e/1FAIpQLSeZ-R1GrWlAPkfaThGqxeTj0QTtrARw4rroxIIepf2kipn1nw/formResponse?usp=pp_url&amp;entry.1313582257=0107960365 / 252610475&amp;entry.1578404635=Hadir</v>
      </c>
      <c r="Q176" s="23" t="s">
        <v>1108</v>
      </c>
      <c r="R176" s="12" t="s">
        <v>1109</v>
      </c>
      <c r="S176" s="24" t="s">
        <v>1110</v>
      </c>
      <c r="T176" s="23" t="str">
        <f>HYPERLINK("https://drive.google.com/file/d/1nDdLIIUXNOy5cAEKQ0ubnzvdovbicSDW/view?usp=drivesdk","33 - X4 - Ravino Abbas Subaga - L")</f>
        <v>33 - X4 - Ravino Abbas Subaga - L</v>
      </c>
      <c r="U176" s="12" t="s">
        <v>1100</v>
      </c>
      <c r="W176" s="25">
        <f>COUNTIFS('Form Presensi SCC'!$B:$B, IF($C176&lt;&gt;0, TEXT($C176, "0000000000"), $D176), 'Form Presensi SCC'!$C:$C, "Hadir")</f>
        <v>0</v>
      </c>
      <c r="Y176" s="26"/>
    </row>
    <row r="177" ht="22.5" customHeight="1">
      <c r="A177" s="10">
        <v>176.0</v>
      </c>
      <c r="B177" s="18">
        <v>37.0</v>
      </c>
      <c r="C177" s="18" t="s">
        <v>1111</v>
      </c>
      <c r="D177" s="18" t="s">
        <v>1112</v>
      </c>
      <c r="E177" s="18" t="s">
        <v>220</v>
      </c>
      <c r="F177" s="12">
        <v>33.0</v>
      </c>
      <c r="G177" s="10" t="s">
        <v>930</v>
      </c>
      <c r="H177" s="19"/>
      <c r="I177" s="20"/>
      <c r="J177" s="10" t="s">
        <v>930</v>
      </c>
      <c r="K177" s="21"/>
      <c r="L177" s="10"/>
      <c r="M177" s="22"/>
      <c r="N177" s="10"/>
      <c r="O177" s="10"/>
      <c r="P177" s="12" t="str">
        <f t="shared" si="1"/>
        <v>https://docs.google.com/forms/d/e/1FAIpQLSeZ-R1GrWlAPkfaThGqxeTj0QTtrARw4rroxIIepf2kipn1nw/formResponse?usp=pp_url&amp;entry.1313582257=0104838010 / 252610480&amp;entry.1578404635=Hadir</v>
      </c>
      <c r="Q177" s="23" t="s">
        <v>1113</v>
      </c>
      <c r="R177" s="12" t="s">
        <v>1114</v>
      </c>
      <c r="S177" s="24" t="s">
        <v>1115</v>
      </c>
      <c r="T177" s="23" t="str">
        <f>HYPERLINK("https://drive.google.com/file/d/1H_9hDuvs1uDGlqhns5LgesxFmtOvk204/view?usp=drivesdk","33 - X4 - Rei Dillan Hartedi - L")</f>
        <v>33 - X4 - Rei Dillan Hartedi - L</v>
      </c>
      <c r="U177" s="12" t="s">
        <v>1100</v>
      </c>
      <c r="W177" s="25">
        <f>COUNTIFS('Form Presensi SCC'!$B:$B, IF($C177&lt;&gt;0, TEXT($C177, "0000000000"), $D177), 'Form Presensi SCC'!$C:$C, "Hadir")</f>
        <v>0</v>
      </c>
      <c r="Y177" s="26"/>
    </row>
    <row r="178" ht="22.5" customHeight="1">
      <c r="A178" s="18">
        <v>177.0</v>
      </c>
      <c r="B178" s="18">
        <v>38.0</v>
      </c>
      <c r="C178" s="18" t="s">
        <v>1116</v>
      </c>
      <c r="D178" s="18" t="s">
        <v>1117</v>
      </c>
      <c r="E178" s="18" t="s">
        <v>227</v>
      </c>
      <c r="F178" s="12">
        <v>33.0</v>
      </c>
      <c r="G178" s="10" t="s">
        <v>930</v>
      </c>
      <c r="H178" s="19"/>
      <c r="I178" s="20"/>
      <c r="J178" s="10" t="s">
        <v>930</v>
      </c>
      <c r="K178" s="21"/>
      <c r="L178" s="10"/>
      <c r="M178" s="22"/>
      <c r="N178" s="10"/>
      <c r="O178" s="10"/>
      <c r="P178" s="12" t="str">
        <f t="shared" si="1"/>
        <v>https://docs.google.com/forms/d/e/1FAIpQLSeZ-R1GrWlAPkfaThGqxeTj0QTtrARw4rroxIIepf2kipn1nw/formResponse?usp=pp_url&amp;entry.1313582257=0108451246 / 252610483&amp;entry.1578404635=Hadir</v>
      </c>
      <c r="Q178" s="23" t="s">
        <v>1118</v>
      </c>
      <c r="R178" s="12" t="s">
        <v>1119</v>
      </c>
      <c r="S178" s="24" t="s">
        <v>1120</v>
      </c>
      <c r="T178" s="23" t="str">
        <f>HYPERLINK("https://drive.google.com/file/d/1_cH6Fd-Dezdj4lVJP8QrLfagHuYeJPSs/view?usp=drivesdk","33 - X4 - Reni Apriliani - P")</f>
        <v>33 - X4 - Reni Apriliani - P</v>
      </c>
      <c r="U178" s="12" t="s">
        <v>1100</v>
      </c>
      <c r="W178" s="25">
        <f>COUNTIFS('Form Presensi SCC'!$B:$B, IF($C178&lt;&gt;0, TEXT($C178, "0000000000"), $D178), 'Form Presensi SCC'!$C:$C, "Hadir")</f>
        <v>0</v>
      </c>
      <c r="Y178" s="26"/>
    </row>
    <row r="179" ht="22.5" customHeight="1">
      <c r="A179" s="10">
        <v>178.0</v>
      </c>
      <c r="B179" s="18">
        <v>39.0</v>
      </c>
      <c r="C179" s="18" t="s">
        <v>1121</v>
      </c>
      <c r="D179" s="18" t="s">
        <v>1122</v>
      </c>
      <c r="E179" s="18" t="s">
        <v>220</v>
      </c>
      <c r="F179" s="12">
        <v>33.0</v>
      </c>
      <c r="G179" s="10" t="s">
        <v>930</v>
      </c>
      <c r="H179" s="19"/>
      <c r="I179" s="20"/>
      <c r="J179" s="10" t="s">
        <v>930</v>
      </c>
      <c r="K179" s="21"/>
      <c r="L179" s="10"/>
      <c r="M179" s="22"/>
      <c r="N179" s="10"/>
      <c r="O179" s="10"/>
      <c r="P179" s="12" t="str">
        <f t="shared" si="1"/>
        <v>https://docs.google.com/forms/d/e/1FAIpQLSeZ-R1GrWlAPkfaThGqxeTj0QTtrARw4rroxIIepf2kipn1nw/formResponse?usp=pp_url&amp;entry.1313582257=3104089400 / 252610492&amp;entry.1578404635=Hadir</v>
      </c>
      <c r="Q179" s="23" t="s">
        <v>1123</v>
      </c>
      <c r="R179" s="12" t="s">
        <v>1124</v>
      </c>
      <c r="S179" s="24" t="s">
        <v>1125</v>
      </c>
      <c r="T179" s="23" t="str">
        <f>HYPERLINK("https://drive.google.com/file/d/1JyGoIRkDpMoX15AEMsG2CAaPx8u4xJ99/view?usp=drivesdk","33 - X4 - Rizky Putra Kunta Ajie - L")</f>
        <v>33 - X4 - Rizky Putra Kunta Ajie - L</v>
      </c>
      <c r="U179" s="12" t="s">
        <v>1126</v>
      </c>
      <c r="W179" s="25">
        <f>COUNTIFS('Form Presensi SCC'!$B:$B, IF($C179&lt;&gt;0, TEXT($C179, "0000000000"), $D179), 'Form Presensi SCC'!$C:$C, "Hadir")</f>
        <v>0</v>
      </c>
      <c r="Y179" s="26"/>
    </row>
    <row r="180" ht="22.5" customHeight="1">
      <c r="A180" s="18">
        <v>179.0</v>
      </c>
      <c r="B180" s="18">
        <v>40.0</v>
      </c>
      <c r="C180" s="18" t="s">
        <v>1127</v>
      </c>
      <c r="D180" s="18" t="s">
        <v>1128</v>
      </c>
      <c r="E180" s="18" t="s">
        <v>227</v>
      </c>
      <c r="F180" s="12">
        <v>33.0</v>
      </c>
      <c r="G180" s="10" t="s">
        <v>930</v>
      </c>
      <c r="H180" s="19"/>
      <c r="I180" s="20"/>
      <c r="J180" s="10" t="s">
        <v>930</v>
      </c>
      <c r="K180" s="21"/>
      <c r="L180" s="10"/>
      <c r="M180" s="22"/>
      <c r="N180" s="10"/>
      <c r="O180" s="10"/>
      <c r="P180" s="12" t="str">
        <f t="shared" si="1"/>
        <v>https://docs.google.com/forms/d/e/1FAIpQLSeZ-R1GrWlAPkfaThGqxeTj0QTtrARw4rroxIIepf2kipn1nw/formResponse?usp=pp_url&amp;entry.1313582257=0107731505 / 252610512&amp;entry.1578404635=Hadir</v>
      </c>
      <c r="Q180" s="23" t="s">
        <v>1129</v>
      </c>
      <c r="R180" s="12" t="s">
        <v>1130</v>
      </c>
      <c r="S180" s="24" t="s">
        <v>1131</v>
      </c>
      <c r="T180" s="23" t="str">
        <f>HYPERLINK("https://drive.google.com/file/d/1DB4K3TlOZCD9YZI9-4QwJQS0RtMlHyyD/view?usp=drivesdk","33 - X4 - Shabira Andiani - P")</f>
        <v>33 - X4 - Shabira Andiani - P</v>
      </c>
      <c r="U180" s="12" t="s">
        <v>1126</v>
      </c>
      <c r="W180" s="25">
        <f>COUNTIFS('Form Presensi SCC'!$B:$B, IF($C180&lt;&gt;0, TEXT($C180, "0000000000"), $D180), 'Form Presensi SCC'!$C:$C, "Hadir")</f>
        <v>0</v>
      </c>
      <c r="Y180" s="26"/>
    </row>
    <row r="181" ht="22.5" customHeight="1">
      <c r="A181" s="10">
        <v>180.0</v>
      </c>
      <c r="B181" s="18">
        <v>41.0</v>
      </c>
      <c r="C181" s="18" t="s">
        <v>1132</v>
      </c>
      <c r="D181" s="18" t="s">
        <v>1133</v>
      </c>
      <c r="E181" s="18" t="s">
        <v>227</v>
      </c>
      <c r="F181" s="12">
        <v>33.0</v>
      </c>
      <c r="G181" s="10" t="s">
        <v>930</v>
      </c>
      <c r="H181" s="19"/>
      <c r="I181" s="20"/>
      <c r="J181" s="10" t="s">
        <v>930</v>
      </c>
      <c r="K181" s="21"/>
      <c r="L181" s="10"/>
      <c r="M181" s="22"/>
      <c r="N181" s="10"/>
      <c r="O181" s="10"/>
      <c r="P181" s="12" t="str">
        <f t="shared" si="1"/>
        <v>https://docs.google.com/forms/d/e/1FAIpQLSeZ-R1GrWlAPkfaThGqxeTj0QTtrARw4rroxIIepf2kipn1nw/formResponse?usp=pp_url&amp;entry.1313582257=0105775007 / 252610514&amp;entry.1578404635=Hadir</v>
      </c>
      <c r="Q181" s="23" t="s">
        <v>1134</v>
      </c>
      <c r="R181" s="12" t="s">
        <v>1135</v>
      </c>
      <c r="S181" s="24" t="s">
        <v>1136</v>
      </c>
      <c r="T181" s="23" t="str">
        <f>HYPERLINK("https://drive.google.com/file/d/1LxjQl3_y5FbZXabwdvYgLnH8yR11ZXxU/view?usp=drivesdk","33 - X4 - Shafa Talitha Budiarto - P")</f>
        <v>33 - X4 - Shafa Talitha Budiarto - P</v>
      </c>
      <c r="U181" s="12" t="s">
        <v>1126</v>
      </c>
      <c r="W181" s="25">
        <f>COUNTIFS('Form Presensi SCC'!$B:$B, IF($C181&lt;&gt;0, TEXT($C181, "0000000000"), $D181), 'Form Presensi SCC'!$C:$C, "Hadir")</f>
        <v>0</v>
      </c>
      <c r="Y181" s="26"/>
    </row>
    <row r="182" ht="22.5" customHeight="1">
      <c r="A182" s="18">
        <v>181.0</v>
      </c>
      <c r="B182" s="18">
        <v>42.0</v>
      </c>
      <c r="C182" s="18" t="s">
        <v>1137</v>
      </c>
      <c r="D182" s="18" t="s">
        <v>1138</v>
      </c>
      <c r="E182" s="18" t="s">
        <v>227</v>
      </c>
      <c r="F182" s="12">
        <v>33.0</v>
      </c>
      <c r="G182" s="10" t="s">
        <v>930</v>
      </c>
      <c r="H182" s="19"/>
      <c r="I182" s="20"/>
      <c r="J182" s="10" t="s">
        <v>930</v>
      </c>
      <c r="K182" s="21"/>
      <c r="L182" s="10"/>
      <c r="M182" s="22"/>
      <c r="N182" s="10"/>
      <c r="O182" s="10"/>
      <c r="P182" s="12" t="str">
        <f t="shared" si="1"/>
        <v>https://docs.google.com/forms/d/e/1FAIpQLSeZ-R1GrWlAPkfaThGqxeTj0QTtrARw4rroxIIepf2kipn1nw/formResponse?usp=pp_url&amp;entry.1313582257=0106588309 / 252610515&amp;entry.1578404635=Hadir</v>
      </c>
      <c r="Q182" s="23" t="s">
        <v>1139</v>
      </c>
      <c r="R182" s="12" t="s">
        <v>1140</v>
      </c>
      <c r="S182" s="24" t="s">
        <v>1141</v>
      </c>
      <c r="T182" s="23" t="str">
        <f>HYPERLINK("https://drive.google.com/file/d/1Yn_AyU087jAs3POAZf8dwCMPrZPZ-4AY/view?usp=drivesdk","33 - X4 - Shahira Hafiza Putri - P")</f>
        <v>33 - X4 - Shahira Hafiza Putri - P</v>
      </c>
      <c r="U182" s="12" t="s">
        <v>1126</v>
      </c>
      <c r="W182" s="25">
        <f>COUNTIFS('Form Presensi SCC'!$B:$B, IF($C182&lt;&gt;0, TEXT($C182, "0000000000"), $D182), 'Form Presensi SCC'!$C:$C, "Hadir")</f>
        <v>0</v>
      </c>
      <c r="Y182" s="26"/>
    </row>
    <row r="183" ht="22.5" customHeight="1">
      <c r="A183" s="10">
        <v>182.0</v>
      </c>
      <c r="B183" s="18">
        <v>43.0</v>
      </c>
      <c r="C183" s="18" t="s">
        <v>1142</v>
      </c>
      <c r="D183" s="18" t="s">
        <v>1143</v>
      </c>
      <c r="E183" s="18" t="s">
        <v>227</v>
      </c>
      <c r="F183" s="12">
        <v>33.0</v>
      </c>
      <c r="G183" s="10" t="s">
        <v>930</v>
      </c>
      <c r="H183" s="19"/>
      <c r="I183" s="20"/>
      <c r="J183" s="10" t="s">
        <v>930</v>
      </c>
      <c r="K183" s="21"/>
      <c r="L183" s="10"/>
      <c r="M183" s="22"/>
      <c r="N183" s="10"/>
      <c r="O183" s="10"/>
      <c r="P183" s="12" t="str">
        <f t="shared" si="1"/>
        <v>https://docs.google.com/forms/d/e/1FAIpQLSeZ-R1GrWlAPkfaThGqxeTj0QTtrARw4rroxIIepf2kipn1nw/formResponse?usp=pp_url&amp;entry.1313582257=0106219079 / 252610519&amp;entry.1578404635=Hadir</v>
      </c>
      <c r="Q183" s="23" t="s">
        <v>1144</v>
      </c>
      <c r="R183" s="12" t="s">
        <v>1145</v>
      </c>
      <c r="S183" s="24" t="s">
        <v>1146</v>
      </c>
      <c r="T183" s="23" t="str">
        <f>HYPERLINK("https://drive.google.com/file/d/1D-Ocxiy33rIwYhuw2Dr8d1SvEeXr8Dsd/view?usp=drivesdk","33 - X4 - Sheika Rizki Ramadanti Aurelia - P")</f>
        <v>33 - X4 - Sheika Rizki Ramadanti Aurelia - P</v>
      </c>
      <c r="U183" s="12" t="s">
        <v>1147</v>
      </c>
      <c r="W183" s="25">
        <f>COUNTIFS('Form Presensi SCC'!$B:$B, IF($C183&lt;&gt;0, TEXT($C183, "0000000000"), $D183), 'Form Presensi SCC'!$C:$C, "Hadir")</f>
        <v>0</v>
      </c>
      <c r="Y183" s="26"/>
    </row>
    <row r="184" ht="22.5" customHeight="1">
      <c r="A184" s="18">
        <v>183.0</v>
      </c>
      <c r="B184" s="18">
        <v>44.0</v>
      </c>
      <c r="C184" s="18" t="s">
        <v>1148</v>
      </c>
      <c r="D184" s="18" t="s">
        <v>1149</v>
      </c>
      <c r="E184" s="18" t="s">
        <v>227</v>
      </c>
      <c r="F184" s="12">
        <v>33.0</v>
      </c>
      <c r="G184" s="10" t="s">
        <v>930</v>
      </c>
      <c r="H184" s="19"/>
      <c r="I184" s="20"/>
      <c r="J184" s="10" t="s">
        <v>930</v>
      </c>
      <c r="K184" s="21"/>
      <c r="L184" s="10"/>
      <c r="M184" s="22"/>
      <c r="N184" s="10"/>
      <c r="O184" s="10"/>
      <c r="P184" s="12" t="str">
        <f t="shared" si="1"/>
        <v>https://docs.google.com/forms/d/e/1FAIpQLSeZ-R1GrWlAPkfaThGqxeTj0QTtrARw4rroxIIepf2kipn1nw/formResponse?usp=pp_url&amp;entry.1313582257=0094714082 / 252610533&amp;entry.1578404635=Hadir</v>
      </c>
      <c r="Q184" s="23" t="s">
        <v>1150</v>
      </c>
      <c r="R184" s="12" t="s">
        <v>1151</v>
      </c>
      <c r="S184" s="24" t="s">
        <v>1152</v>
      </c>
      <c r="T184" s="23" t="str">
        <f>HYPERLINK("https://drive.google.com/file/d/1r8WJK5JiZS53iA96-DRHXq5RvwIPfLTQ/view?usp=drivesdk","33 - X4 - Syahwa Fatmah - P")</f>
        <v>33 - X4 - Syahwa Fatmah - P</v>
      </c>
      <c r="U184" s="12" t="s">
        <v>1147</v>
      </c>
      <c r="W184" s="25">
        <f>COUNTIFS('Form Presensi SCC'!$B:$B, IF($C184&lt;&gt;0, TEXT($C184, "0000000000"), $D184), 'Form Presensi SCC'!$C:$C, "Hadir")</f>
        <v>0</v>
      </c>
      <c r="Y184" s="26"/>
    </row>
    <row r="185" ht="22.5" customHeight="1">
      <c r="A185" s="10">
        <v>184.0</v>
      </c>
      <c r="B185" s="18">
        <v>45.0</v>
      </c>
      <c r="C185" s="18" t="s">
        <v>1153</v>
      </c>
      <c r="D185" s="18" t="s">
        <v>1154</v>
      </c>
      <c r="E185" s="18" t="s">
        <v>227</v>
      </c>
      <c r="F185" s="12">
        <v>33.0</v>
      </c>
      <c r="G185" s="10" t="s">
        <v>930</v>
      </c>
      <c r="H185" s="19"/>
      <c r="I185" s="20"/>
      <c r="J185" s="10" t="s">
        <v>930</v>
      </c>
      <c r="K185" s="21"/>
      <c r="L185" s="10"/>
      <c r="M185" s="22"/>
      <c r="N185" s="10"/>
      <c r="O185" s="10"/>
      <c r="P185" s="12" t="str">
        <f t="shared" si="1"/>
        <v>https://docs.google.com/forms/d/e/1FAIpQLSeZ-R1GrWlAPkfaThGqxeTj0QTtrARw4rroxIIepf2kipn1nw/formResponse?usp=pp_url&amp;entry.1313582257=0102630183 / 252610534&amp;entry.1578404635=Hadir</v>
      </c>
      <c r="Q185" s="23" t="s">
        <v>1155</v>
      </c>
      <c r="R185" s="12" t="s">
        <v>1156</v>
      </c>
      <c r="S185" s="24" t="s">
        <v>1157</v>
      </c>
      <c r="T185" s="23" t="str">
        <f>HYPERLINK("https://drive.google.com/file/d/1ax1s8LlhkRE8pqEbLCrj7Ujul3np3WwX/view?usp=drivesdk","33 - X4 - Syakira Alma Annisa - P")</f>
        <v>33 - X4 - Syakira Alma Annisa - P</v>
      </c>
      <c r="U185" s="12" t="s">
        <v>1147</v>
      </c>
      <c r="W185" s="25">
        <f>COUNTIFS('Form Presensi SCC'!$B:$B, IF($C185&lt;&gt;0, TEXT($C185, "0000000000"), $D185), 'Form Presensi SCC'!$C:$C, "Hadir")</f>
        <v>0</v>
      </c>
      <c r="Y185" s="26"/>
    </row>
    <row r="186" ht="22.5" customHeight="1">
      <c r="A186" s="18">
        <v>185.0</v>
      </c>
      <c r="B186" s="18">
        <v>46.0</v>
      </c>
      <c r="C186" s="18" t="s">
        <v>1158</v>
      </c>
      <c r="D186" s="18" t="s">
        <v>1159</v>
      </c>
      <c r="E186" s="18" t="s">
        <v>227</v>
      </c>
      <c r="F186" s="12">
        <v>33.0</v>
      </c>
      <c r="G186" s="10" t="s">
        <v>930</v>
      </c>
      <c r="H186" s="19"/>
      <c r="I186" s="20"/>
      <c r="J186" s="10" t="s">
        <v>930</v>
      </c>
      <c r="K186" s="21"/>
      <c r="L186" s="10"/>
      <c r="M186" s="22"/>
      <c r="N186" s="10"/>
      <c r="O186" s="10"/>
      <c r="P186" s="12" t="str">
        <f t="shared" si="1"/>
        <v>https://docs.google.com/forms/d/e/1FAIpQLSeZ-R1GrWlAPkfaThGqxeTj0QTtrARw4rroxIIepf2kipn1nw/formResponse?usp=pp_url&amp;entry.1313582257=0106490661 / 252610544&amp;entry.1578404635=Hadir</v>
      </c>
      <c r="Q186" s="23" t="s">
        <v>1160</v>
      </c>
      <c r="R186" s="12" t="s">
        <v>1161</v>
      </c>
      <c r="S186" s="24" t="s">
        <v>1162</v>
      </c>
      <c r="T186" s="23" t="str">
        <f>HYPERLINK("https://drive.google.com/file/d/1wvF9SSseZ0grM1yk1WxH6nyF-yIv-URz/view?usp=drivesdk","33 - X4 - Tiara Winni Melia - P")</f>
        <v>33 - X4 - Tiara Winni Melia - P</v>
      </c>
      <c r="U186" s="12" t="s">
        <v>1147</v>
      </c>
      <c r="W186" s="25">
        <f>COUNTIFS('Form Presensi SCC'!$B:$B, IF($C186&lt;&gt;0, TEXT($C186, "0000000000"), $D186), 'Form Presensi SCC'!$C:$C, "Hadir")</f>
        <v>0</v>
      </c>
      <c r="Y186" s="26"/>
    </row>
    <row r="187" ht="22.5" customHeight="1">
      <c r="A187" s="10">
        <v>186.0</v>
      </c>
      <c r="B187" s="18">
        <v>1.0</v>
      </c>
      <c r="C187" s="18" t="s">
        <v>160</v>
      </c>
      <c r="D187" s="18" t="s">
        <v>1163</v>
      </c>
      <c r="E187" s="18" t="s">
        <v>220</v>
      </c>
      <c r="F187" s="12">
        <v>33.0</v>
      </c>
      <c r="G187" s="10" t="s">
        <v>1164</v>
      </c>
      <c r="H187" s="22" t="s">
        <v>371</v>
      </c>
      <c r="I187" s="20"/>
      <c r="J187" s="10" t="s">
        <v>1164</v>
      </c>
      <c r="K187" s="21"/>
      <c r="L187" s="10"/>
      <c r="M187" s="22"/>
      <c r="N187" s="10"/>
      <c r="O187" s="10"/>
      <c r="P187" s="12" t="str">
        <f t="shared" si="1"/>
        <v>https://docs.google.com/forms/d/e/1FAIpQLSeZ-R1GrWlAPkfaThGqxeTj0QTtrARw4rroxIIepf2kipn1nw/formResponse?usp=pp_url&amp;entry.1313582257=0092194625 / 252610004&amp;entry.1578404635=Hadir</v>
      </c>
      <c r="Q187" s="23" t="s">
        <v>1165</v>
      </c>
      <c r="R187" s="12" t="s">
        <v>1166</v>
      </c>
      <c r="S187" s="24" t="s">
        <v>1167</v>
      </c>
      <c r="T187" s="23" t="str">
        <f>HYPERLINK("https://drive.google.com/file/d/1R8J3i5ODxAk_Mi-KqnIck1iD3zkhySRL/view?usp=drivesdk","33 - X5 - Achmad Ardiansyah - L")</f>
        <v>33 - X5 - Achmad Ardiansyah - L</v>
      </c>
      <c r="U187" s="12" t="s">
        <v>1147</v>
      </c>
      <c r="W187" s="25">
        <f>COUNTIFS('Form Presensi SCC'!$B:$B, IF($C187&lt;&gt;0, TEXT($C187, "0000000000"), $D187), 'Form Presensi SCC'!$C:$C, "Hadir")</f>
        <v>3</v>
      </c>
      <c r="Y187" s="26"/>
    </row>
    <row r="188" ht="22.5" customHeight="1">
      <c r="A188" s="18">
        <v>187.0</v>
      </c>
      <c r="B188" s="18">
        <v>2.0</v>
      </c>
      <c r="C188" s="18" t="s">
        <v>1168</v>
      </c>
      <c r="D188" s="18" t="s">
        <v>1169</v>
      </c>
      <c r="E188" s="18" t="s">
        <v>220</v>
      </c>
      <c r="F188" s="12">
        <v>33.0</v>
      </c>
      <c r="G188" s="10" t="s">
        <v>1164</v>
      </c>
      <c r="H188" s="19"/>
      <c r="I188" s="20"/>
      <c r="J188" s="10" t="s">
        <v>1164</v>
      </c>
      <c r="K188" s="21"/>
      <c r="L188" s="10"/>
      <c r="M188" s="22"/>
      <c r="N188" s="10"/>
      <c r="O188" s="10"/>
      <c r="P188" s="12" t="str">
        <f t="shared" si="1"/>
        <v>https://docs.google.com/forms/d/e/1FAIpQLSeZ-R1GrWlAPkfaThGqxeTj0QTtrARw4rroxIIepf2kipn1nw/formResponse?usp=pp_url&amp;entry.1313582257=3108509756 / 252610013&amp;entry.1578404635=Hadir</v>
      </c>
      <c r="Q188" s="23" t="s">
        <v>1170</v>
      </c>
      <c r="R188" s="12" t="s">
        <v>1171</v>
      </c>
      <c r="S188" s="24" t="s">
        <v>1172</v>
      </c>
      <c r="T188" s="23" t="str">
        <f>HYPERLINK("https://drive.google.com/file/d/1_b_FwnzYorCDRBowxuasQGiqZV99FGcV/view?usp=drivesdk","33 - X5 - Adrian Muhammad Fadillah - L")</f>
        <v>33 - X5 - Adrian Muhammad Fadillah - L</v>
      </c>
      <c r="U188" s="12" t="s">
        <v>1173</v>
      </c>
      <c r="W188" s="25">
        <f>COUNTIFS('Form Presensi SCC'!$B:$B, IF($C188&lt;&gt;0, TEXT($C188, "0000000000"), $D188), 'Form Presensi SCC'!$C:$C, "Hadir")</f>
        <v>0</v>
      </c>
      <c r="Y188" s="26"/>
    </row>
    <row r="189" ht="22.5" customHeight="1">
      <c r="A189" s="10">
        <v>188.0</v>
      </c>
      <c r="B189" s="18">
        <v>3.0</v>
      </c>
      <c r="C189" s="18" t="s">
        <v>1174</v>
      </c>
      <c r="D189" s="18" t="s">
        <v>1175</v>
      </c>
      <c r="E189" s="18" t="s">
        <v>227</v>
      </c>
      <c r="F189" s="12">
        <v>33.0</v>
      </c>
      <c r="G189" s="10" t="s">
        <v>1164</v>
      </c>
      <c r="H189" s="19"/>
      <c r="I189" s="20"/>
      <c r="J189" s="10" t="s">
        <v>1164</v>
      </c>
      <c r="K189" s="21"/>
      <c r="L189" s="10"/>
      <c r="M189" s="22"/>
      <c r="N189" s="10"/>
      <c r="O189" s="10"/>
      <c r="P189" s="12" t="str">
        <f t="shared" si="1"/>
        <v>https://docs.google.com/forms/d/e/1FAIpQLSeZ-R1GrWlAPkfaThGqxeTj0QTtrARw4rroxIIepf2kipn1nw/formResponse?usp=pp_url&amp;entry.1313582257=0099540724 / 252610022&amp;entry.1578404635=Hadir</v>
      </c>
      <c r="Q189" s="23" t="s">
        <v>1176</v>
      </c>
      <c r="R189" s="12" t="s">
        <v>1177</v>
      </c>
      <c r="S189" s="24" t="s">
        <v>1178</v>
      </c>
      <c r="T189" s="23" t="str">
        <f>HYPERLINK("https://drive.google.com/file/d/1dOzvpo-GSj80MxMzC-wEXuc6KfWmO4dI/view?usp=drivesdk","33 - X5 - Aira Alessia Adha - P")</f>
        <v>33 - X5 - Aira Alessia Adha - P</v>
      </c>
      <c r="U189" s="12" t="s">
        <v>1173</v>
      </c>
      <c r="W189" s="25">
        <f>COUNTIFS('Form Presensi SCC'!$B:$B, IF($C189&lt;&gt;0, TEXT($C189, "0000000000"), $D189), 'Form Presensi SCC'!$C:$C, "Hadir")</f>
        <v>0</v>
      </c>
      <c r="Y189" s="26"/>
    </row>
    <row r="190" ht="22.5" customHeight="1">
      <c r="A190" s="18">
        <v>189.0</v>
      </c>
      <c r="B190" s="18">
        <v>4.0</v>
      </c>
      <c r="C190" s="18" t="s">
        <v>190</v>
      </c>
      <c r="D190" s="18" t="s">
        <v>1179</v>
      </c>
      <c r="E190" s="18" t="s">
        <v>227</v>
      </c>
      <c r="F190" s="12">
        <v>33.0</v>
      </c>
      <c r="G190" s="10" t="s">
        <v>1164</v>
      </c>
      <c r="H190" s="19"/>
      <c r="I190" s="20"/>
      <c r="J190" s="10" t="s">
        <v>1164</v>
      </c>
      <c r="K190" s="21"/>
      <c r="L190" s="10"/>
      <c r="M190" s="22"/>
      <c r="N190" s="10"/>
      <c r="O190" s="10"/>
      <c r="P190" s="12" t="str">
        <f t="shared" si="1"/>
        <v>https://docs.google.com/forms/d/e/1FAIpQLSeZ-R1GrWlAPkfaThGqxeTj0QTtrARw4rroxIIepf2kipn1nw/formResponse?usp=pp_url&amp;entry.1313582257=0107934430 / 252610024&amp;entry.1578404635=Hadir</v>
      </c>
      <c r="Q190" s="23" t="s">
        <v>1180</v>
      </c>
      <c r="R190" s="12" t="s">
        <v>1181</v>
      </c>
      <c r="S190" s="24" t="s">
        <v>1182</v>
      </c>
      <c r="T190" s="23" t="str">
        <f>HYPERLINK("https://drive.google.com/file/d/1ZrrNrOkfkuKtlXEBMl0EQBydPNY9ZjEF/view?usp=drivesdk","33 - X5 - Aira Febria Sari - P")</f>
        <v>33 - X5 - Aira Febria Sari - P</v>
      </c>
      <c r="U190" s="12" t="s">
        <v>1173</v>
      </c>
      <c r="W190" s="25">
        <f>COUNTIFS('Form Presensi SCC'!$B:$B, IF($C190&lt;&gt;0, TEXT($C190, "0000000000"), $D190), 'Form Presensi SCC'!$C:$C, "Hadir")</f>
        <v>6</v>
      </c>
      <c r="Y190" s="26"/>
    </row>
    <row r="191" ht="22.5" customHeight="1">
      <c r="A191" s="10">
        <v>190.0</v>
      </c>
      <c r="B191" s="18">
        <v>5.0</v>
      </c>
      <c r="C191" s="18" t="s">
        <v>1183</v>
      </c>
      <c r="D191" s="18" t="s">
        <v>1184</v>
      </c>
      <c r="E191" s="18" t="s">
        <v>220</v>
      </c>
      <c r="F191" s="12">
        <v>33.0</v>
      </c>
      <c r="G191" s="10" t="s">
        <v>1164</v>
      </c>
      <c r="H191" s="19"/>
      <c r="I191" s="20"/>
      <c r="J191" s="10" t="s">
        <v>1164</v>
      </c>
      <c r="K191" s="21"/>
      <c r="L191" s="10"/>
      <c r="M191" s="22"/>
      <c r="N191" s="10"/>
      <c r="O191" s="10"/>
      <c r="P191" s="12" t="str">
        <f t="shared" si="1"/>
        <v>https://docs.google.com/forms/d/e/1FAIpQLSeZ-R1GrWlAPkfaThGqxeTj0QTtrARw4rroxIIepf2kipn1nw/formResponse?usp=pp_url&amp;entry.1313582257=0099668827 / 252610034&amp;entry.1578404635=Hadir</v>
      </c>
      <c r="Q191" s="23" t="s">
        <v>1185</v>
      </c>
      <c r="R191" s="12" t="s">
        <v>1186</v>
      </c>
      <c r="S191" s="24" t="s">
        <v>1187</v>
      </c>
      <c r="T191" s="23" t="str">
        <f>HYPERLINK("https://drive.google.com/file/d/1gT3AeSc0ECkO2_n_pLT2UwUUWiXxRMVs/view?usp=drivesdk","33 - X5 - Al Jadid Syafruddin Lubis - L")</f>
        <v>33 - X5 - Al Jadid Syafruddin Lubis - L</v>
      </c>
      <c r="U191" s="12" t="s">
        <v>1173</v>
      </c>
      <c r="W191" s="25">
        <f>COUNTIFS('Form Presensi SCC'!$B:$B, IF($C191&lt;&gt;0, TEXT($C191, "0000000000"), $D191), 'Form Presensi SCC'!$C:$C, "Hadir")</f>
        <v>0</v>
      </c>
      <c r="Y191" s="26"/>
    </row>
    <row r="192" ht="22.5" customHeight="1">
      <c r="A192" s="18">
        <v>191.0</v>
      </c>
      <c r="B192" s="18">
        <v>6.0</v>
      </c>
      <c r="C192" s="18" t="s">
        <v>1188</v>
      </c>
      <c r="D192" s="18" t="s">
        <v>1189</v>
      </c>
      <c r="E192" s="18" t="s">
        <v>227</v>
      </c>
      <c r="F192" s="12">
        <v>33.0</v>
      </c>
      <c r="G192" s="10" t="s">
        <v>1164</v>
      </c>
      <c r="H192" s="19"/>
      <c r="I192" s="20"/>
      <c r="J192" s="10" t="s">
        <v>1164</v>
      </c>
      <c r="K192" s="21"/>
      <c r="L192" s="10"/>
      <c r="M192" s="22"/>
      <c r="N192" s="10"/>
      <c r="O192" s="10"/>
      <c r="P192" s="12" t="str">
        <f t="shared" si="1"/>
        <v>https://docs.google.com/forms/d/e/1FAIpQLSeZ-R1GrWlAPkfaThGqxeTj0QTtrARw4rroxIIepf2kipn1nw/formResponse?usp=pp_url&amp;entry.1313582257=0102993208 / 252610043&amp;entry.1578404635=Hadir</v>
      </c>
      <c r="Q192" s="23" t="s">
        <v>1190</v>
      </c>
      <c r="R192" s="12" t="s">
        <v>1191</v>
      </c>
      <c r="S192" s="24" t="s">
        <v>1192</v>
      </c>
      <c r="T192" s="23" t="str">
        <f>HYPERLINK("https://drive.google.com/file/d/1IVbGAZfbHbpS3QcBVlzM4jaQNIFSS0cv/view?usp=drivesdk","33 - X5 - Alisya Belva Dhio - P")</f>
        <v>33 - X5 - Alisya Belva Dhio - P</v>
      </c>
      <c r="U192" s="12" t="s">
        <v>1173</v>
      </c>
      <c r="W192" s="25">
        <f>COUNTIFS('Form Presensi SCC'!$B:$B, IF($C192&lt;&gt;0, TEXT($C192, "0000000000"), $D192), 'Form Presensi SCC'!$C:$C, "Hadir")</f>
        <v>0</v>
      </c>
      <c r="Y192" s="26"/>
    </row>
    <row r="193" ht="22.5" customHeight="1">
      <c r="A193" s="10">
        <v>192.0</v>
      </c>
      <c r="B193" s="18">
        <v>7.0</v>
      </c>
      <c r="C193" s="18" t="s">
        <v>179</v>
      </c>
      <c r="D193" s="18" t="s">
        <v>1193</v>
      </c>
      <c r="E193" s="18" t="s">
        <v>227</v>
      </c>
      <c r="F193" s="12">
        <v>33.0</v>
      </c>
      <c r="G193" s="10" t="s">
        <v>1164</v>
      </c>
      <c r="H193" s="19"/>
      <c r="I193" s="20"/>
      <c r="J193" s="10" t="s">
        <v>1164</v>
      </c>
      <c r="K193" s="21"/>
      <c r="L193" s="10"/>
      <c r="M193" s="22"/>
      <c r="N193" s="10"/>
      <c r="O193" s="10"/>
      <c r="P193" s="12" t="str">
        <f t="shared" si="1"/>
        <v>https://docs.google.com/forms/d/e/1FAIpQLSeZ-R1GrWlAPkfaThGqxeTj0QTtrARw4rroxIIepf2kipn1nw/formResponse?usp=pp_url&amp;entry.1313582257=0104459637 / 252610055&amp;entry.1578404635=Hadir</v>
      </c>
      <c r="Q193" s="23" t="s">
        <v>1194</v>
      </c>
      <c r="R193" s="12" t="s">
        <v>1195</v>
      </c>
      <c r="S193" s="24" t="s">
        <v>1196</v>
      </c>
      <c r="T193" s="23" t="str">
        <f>HYPERLINK("https://drive.google.com/file/d/1kg-VuXMgfAsLENAS6FW3F_B3juYm7Sdx/view?usp=drivesdk","33 - X5 - Amira Agni Kayla Raisya - P")</f>
        <v>33 - X5 - Amira Agni Kayla Raisya - P</v>
      </c>
      <c r="U193" s="12" t="s">
        <v>1173</v>
      </c>
      <c r="W193" s="25">
        <f>COUNTIFS('Form Presensi SCC'!$B:$B, IF($C193&lt;&gt;0, TEXT($C193, "0000000000"), $D193), 'Form Presensi SCC'!$C:$C, "Hadir")</f>
        <v>9</v>
      </c>
      <c r="Y193" s="26"/>
    </row>
    <row r="194" ht="22.5" customHeight="1">
      <c r="A194" s="18">
        <v>193.0</v>
      </c>
      <c r="B194" s="18">
        <v>8.0</v>
      </c>
      <c r="C194" s="18" t="s">
        <v>184</v>
      </c>
      <c r="D194" s="18" t="s">
        <v>1197</v>
      </c>
      <c r="E194" s="18" t="s">
        <v>227</v>
      </c>
      <c r="F194" s="12">
        <v>33.0</v>
      </c>
      <c r="G194" s="10" t="s">
        <v>1164</v>
      </c>
      <c r="H194" s="19"/>
      <c r="I194" s="20"/>
      <c r="J194" s="10" t="s">
        <v>1164</v>
      </c>
      <c r="K194" s="21"/>
      <c r="L194" s="10"/>
      <c r="M194" s="22"/>
      <c r="N194" s="10"/>
      <c r="O194" s="10"/>
      <c r="P194" s="12" t="str">
        <f t="shared" si="1"/>
        <v>https://docs.google.com/forms/d/e/1FAIpQLSeZ-R1GrWlAPkfaThGqxeTj0QTtrARw4rroxIIepf2kipn1nw/formResponse?usp=pp_url&amp;entry.1313582257=0104825356 / 252610057&amp;entry.1578404635=Hadir</v>
      </c>
      <c r="Q194" s="23" t="s">
        <v>1198</v>
      </c>
      <c r="R194" s="12" t="s">
        <v>1199</v>
      </c>
      <c r="S194" s="24" t="s">
        <v>1200</v>
      </c>
      <c r="T194" s="23" t="str">
        <f>HYPERLINK("https://drive.google.com/file/d/10UbH2FS8D9Dc0z7becyNeTsiiZzDkDuA/view?usp=drivesdk","33 - X5 - Amirah Khalishah Somoal - P")</f>
        <v>33 - X5 - Amirah Khalishah Somoal - P</v>
      </c>
      <c r="U194" s="12" t="s">
        <v>1173</v>
      </c>
      <c r="W194" s="25">
        <f>COUNTIFS('Form Presensi SCC'!$B:$B, IF($C194&lt;&gt;0, TEXT($C194, "0000000000"), $D194), 'Form Presensi SCC'!$C:$C, "Hadir")</f>
        <v>7</v>
      </c>
      <c r="Y194" s="26"/>
    </row>
    <row r="195" ht="22.5" customHeight="1">
      <c r="A195" s="10">
        <v>194.0</v>
      </c>
      <c r="B195" s="18">
        <v>9.0</v>
      </c>
      <c r="C195" s="18" t="s">
        <v>1201</v>
      </c>
      <c r="D195" s="18" t="s">
        <v>1202</v>
      </c>
      <c r="E195" s="18" t="s">
        <v>220</v>
      </c>
      <c r="F195" s="12">
        <v>33.0</v>
      </c>
      <c r="G195" s="10" t="s">
        <v>1164</v>
      </c>
      <c r="H195" s="19"/>
      <c r="I195" s="20"/>
      <c r="J195" s="10" t="s">
        <v>1164</v>
      </c>
      <c r="K195" s="21"/>
      <c r="L195" s="10"/>
      <c r="M195" s="22"/>
      <c r="N195" s="10"/>
      <c r="O195" s="10"/>
      <c r="P195" s="12" t="str">
        <f t="shared" si="1"/>
        <v>https://docs.google.com/forms/d/e/1FAIpQLSeZ-R1GrWlAPkfaThGqxeTj0QTtrARw4rroxIIepf2kipn1nw/formResponse?usp=pp_url&amp;entry.1313582257=0099339799 / 252610060&amp;entry.1578404635=Hadir</v>
      </c>
      <c r="Q195" s="23" t="s">
        <v>1203</v>
      </c>
      <c r="R195" s="12" t="s">
        <v>1204</v>
      </c>
      <c r="S195" s="24" t="s">
        <v>1205</v>
      </c>
      <c r="T195" s="23" t="str">
        <f>HYPERLINK("https://drive.google.com/file/d/1QQMBSSp0hjH26n5PJhZktYcVAmUH3fFR/view?usp=drivesdk","33 - X5 - Anas Legawa Riyadi - L")</f>
        <v>33 - X5 - Anas Legawa Riyadi - L</v>
      </c>
      <c r="U195" s="12" t="s">
        <v>1206</v>
      </c>
      <c r="W195" s="25">
        <f>COUNTIFS('Form Presensi SCC'!$B:$B, IF($C195&lt;&gt;0, TEXT($C195, "0000000000"), $D195), 'Form Presensi SCC'!$C:$C, "Hadir")</f>
        <v>0</v>
      </c>
      <c r="Y195" s="26"/>
    </row>
    <row r="196" ht="22.5" customHeight="1">
      <c r="A196" s="18">
        <v>195.0</v>
      </c>
      <c r="B196" s="18">
        <v>10.0</v>
      </c>
      <c r="C196" s="18" t="s">
        <v>183</v>
      </c>
      <c r="D196" s="18" t="s">
        <v>1207</v>
      </c>
      <c r="E196" s="18" t="s">
        <v>227</v>
      </c>
      <c r="F196" s="12">
        <v>33.0</v>
      </c>
      <c r="G196" s="10" t="s">
        <v>1164</v>
      </c>
      <c r="H196" s="19"/>
      <c r="I196" s="20"/>
      <c r="J196" s="10" t="s">
        <v>1164</v>
      </c>
      <c r="K196" s="21"/>
      <c r="L196" s="10"/>
      <c r="M196" s="22"/>
      <c r="N196" s="10"/>
      <c r="O196" s="10"/>
      <c r="P196" s="12" t="str">
        <f t="shared" si="1"/>
        <v>https://docs.google.com/forms/d/e/1FAIpQLSeZ-R1GrWlAPkfaThGqxeTj0QTtrARw4rroxIIepf2kipn1nw/formResponse?usp=pp_url&amp;entry.1313582257=0098197227 / 252610067&amp;entry.1578404635=Hadir</v>
      </c>
      <c r="Q196" s="23" t="s">
        <v>1208</v>
      </c>
      <c r="R196" s="12" t="s">
        <v>1209</v>
      </c>
      <c r="S196" s="24" t="s">
        <v>1210</v>
      </c>
      <c r="T196" s="23" t="str">
        <f>HYPERLINK("https://drive.google.com/file/d/1xaQ_pDWRLn74uycy_Dwc7YosCFa2bT7S/view?usp=drivesdk","33 - X5 - Annisa Fitriyani - P")</f>
        <v>33 - X5 - Annisa Fitriyani - P</v>
      </c>
      <c r="U196" s="12" t="s">
        <v>1206</v>
      </c>
      <c r="W196" s="25">
        <f>COUNTIFS('Form Presensi SCC'!$B:$B, IF($C196&lt;&gt;0, TEXT($C196, "0000000000"), $D196), 'Form Presensi SCC'!$C:$C, "Hadir")</f>
        <v>7</v>
      </c>
      <c r="Y196" s="26"/>
    </row>
    <row r="197" ht="22.5" customHeight="1">
      <c r="A197" s="10">
        <v>196.0</v>
      </c>
      <c r="B197" s="18">
        <v>11.0</v>
      </c>
      <c r="C197" s="18" t="s">
        <v>1211</v>
      </c>
      <c r="D197" s="18" t="s">
        <v>1212</v>
      </c>
      <c r="E197" s="18" t="s">
        <v>220</v>
      </c>
      <c r="F197" s="12">
        <v>33.0</v>
      </c>
      <c r="G197" s="10" t="s">
        <v>1164</v>
      </c>
      <c r="H197" s="19"/>
      <c r="I197" s="20"/>
      <c r="J197" s="10" t="s">
        <v>1164</v>
      </c>
      <c r="K197" s="21"/>
      <c r="L197" s="10"/>
      <c r="M197" s="22"/>
      <c r="N197" s="10"/>
      <c r="O197" s="10"/>
      <c r="P197" s="12" t="str">
        <f t="shared" si="1"/>
        <v>https://docs.google.com/forms/d/e/1FAIpQLSeZ-R1GrWlAPkfaThGqxeTj0QTtrARw4rroxIIepf2kipn1nw/formResponse?usp=pp_url&amp;entry.1313582257=0093274791 / 252610115&amp;entry.1578404635=Hadir</v>
      </c>
      <c r="Q197" s="23" t="s">
        <v>1213</v>
      </c>
      <c r="R197" s="12" t="s">
        <v>1214</v>
      </c>
      <c r="S197" s="24" t="s">
        <v>1215</v>
      </c>
      <c r="T197" s="23" t="str">
        <f>HYPERLINK("https://drive.google.com/file/d/1tCRH-XrECEuTZLc7ZMfwMKwmMeEhSEhM/view?usp=drivesdk","33 - X5 - Bagaskara Bisma Anoka - L")</f>
        <v>33 - X5 - Bagaskara Bisma Anoka - L</v>
      </c>
      <c r="U197" s="12" t="s">
        <v>1206</v>
      </c>
      <c r="W197" s="25">
        <f>COUNTIFS('Form Presensi SCC'!$B:$B, IF($C197&lt;&gt;0, TEXT($C197, "0000000000"), $D197), 'Form Presensi SCC'!$C:$C, "Hadir")</f>
        <v>0</v>
      </c>
      <c r="Y197" s="26"/>
    </row>
    <row r="198" ht="22.5" customHeight="1">
      <c r="A198" s="18">
        <v>197.0</v>
      </c>
      <c r="B198" s="18">
        <v>12.0</v>
      </c>
      <c r="C198" s="18" t="s">
        <v>188</v>
      </c>
      <c r="D198" s="18" t="s">
        <v>1216</v>
      </c>
      <c r="E198" s="18" t="s">
        <v>227</v>
      </c>
      <c r="F198" s="12">
        <v>33.0</v>
      </c>
      <c r="G198" s="10" t="s">
        <v>1164</v>
      </c>
      <c r="H198" s="19"/>
      <c r="I198" s="20"/>
      <c r="J198" s="10" t="s">
        <v>1164</v>
      </c>
      <c r="K198" s="21"/>
      <c r="L198" s="10"/>
      <c r="M198" s="22"/>
      <c r="N198" s="10"/>
      <c r="O198" s="10"/>
      <c r="P198" s="12" t="str">
        <f t="shared" si="1"/>
        <v>https://docs.google.com/forms/d/e/1FAIpQLSeZ-R1GrWlAPkfaThGqxeTj0QTtrARw4rroxIIepf2kipn1nw/formResponse?usp=pp_url&amp;entry.1313582257=0099900563 / 252610123&amp;entry.1578404635=Hadir</v>
      </c>
      <c r="Q198" s="23" t="s">
        <v>1217</v>
      </c>
      <c r="R198" s="12" t="s">
        <v>1218</v>
      </c>
      <c r="S198" s="24" t="s">
        <v>1219</v>
      </c>
      <c r="T198" s="23" t="str">
        <f>HYPERLINK("https://drive.google.com/file/d/1-fDT1hwZqjRxco2mVgk1yOFQ5FZswAgh/view?usp=drivesdk","33 - X5 - Bilqis Nikita Aylani - P")</f>
        <v>33 - X5 - Bilqis Nikita Aylani - P</v>
      </c>
      <c r="U198" s="12" t="s">
        <v>1206</v>
      </c>
      <c r="W198" s="25">
        <f>COUNTIFS('Form Presensi SCC'!$B:$B, IF($C198&lt;&gt;0, TEXT($C198, "0000000000"), $D198), 'Form Presensi SCC'!$C:$C, "Hadir")</f>
        <v>9</v>
      </c>
      <c r="Y198" s="26"/>
    </row>
    <row r="199" ht="22.5" customHeight="1">
      <c r="A199" s="10">
        <v>198.0</v>
      </c>
      <c r="B199" s="18">
        <v>13.0</v>
      </c>
      <c r="C199" s="18" t="s">
        <v>181</v>
      </c>
      <c r="D199" s="18" t="s">
        <v>1220</v>
      </c>
      <c r="E199" s="18" t="s">
        <v>227</v>
      </c>
      <c r="F199" s="12">
        <v>33.0</v>
      </c>
      <c r="G199" s="10" t="s">
        <v>1164</v>
      </c>
      <c r="H199" s="19"/>
      <c r="I199" s="20"/>
      <c r="J199" s="10" t="s">
        <v>1164</v>
      </c>
      <c r="K199" s="21"/>
      <c r="L199" s="10"/>
      <c r="M199" s="22"/>
      <c r="N199" s="10"/>
      <c r="O199" s="10"/>
      <c r="P199" s="12" t="str">
        <f t="shared" si="1"/>
        <v>https://docs.google.com/forms/d/e/1FAIpQLSeZ-R1GrWlAPkfaThGqxeTj0QTtrARw4rroxIIepf2kipn1nw/formResponse?usp=pp_url&amp;entry.1313582257=0092597384 / 252610163&amp;entry.1578404635=Hadir</v>
      </c>
      <c r="Q199" s="23" t="s">
        <v>1221</v>
      </c>
      <c r="R199" s="12" t="s">
        <v>1222</v>
      </c>
      <c r="S199" s="24" t="s">
        <v>1223</v>
      </c>
      <c r="T199" s="23" t="str">
        <f>HYPERLINK("https://drive.google.com/file/d/17lBggHUrNb83oet9Ciw55aOwXvXVmQr8/view?usp=drivesdk","33 - X5 - Dilla Novianti Putri - P")</f>
        <v>33 - X5 - Dilla Novianti Putri - P</v>
      </c>
      <c r="U199" s="12" t="s">
        <v>1206</v>
      </c>
      <c r="W199" s="25">
        <f>COUNTIFS('Form Presensi SCC'!$B:$B, IF($C199&lt;&gt;0, TEXT($C199, "0000000000"), $D199), 'Form Presensi SCC'!$C:$C, "Hadir")</f>
        <v>9</v>
      </c>
      <c r="Y199" s="26"/>
    </row>
    <row r="200" ht="22.5" customHeight="1">
      <c r="A200" s="18">
        <v>199.0</v>
      </c>
      <c r="B200" s="18">
        <v>14.0</v>
      </c>
      <c r="C200" s="18" t="s">
        <v>182</v>
      </c>
      <c r="D200" s="18" t="s">
        <v>1224</v>
      </c>
      <c r="E200" s="18" t="s">
        <v>227</v>
      </c>
      <c r="F200" s="12">
        <v>33.0</v>
      </c>
      <c r="G200" s="10" t="s">
        <v>1164</v>
      </c>
      <c r="H200" s="19"/>
      <c r="I200" s="20"/>
      <c r="J200" s="10" t="s">
        <v>1164</v>
      </c>
      <c r="K200" s="21"/>
      <c r="L200" s="10"/>
      <c r="M200" s="22"/>
      <c r="N200" s="10"/>
      <c r="O200" s="10"/>
      <c r="P200" s="12" t="str">
        <f t="shared" si="1"/>
        <v>https://docs.google.com/forms/d/e/1FAIpQLSeZ-R1GrWlAPkfaThGqxeTj0QTtrARw4rroxIIepf2kipn1nw/formResponse?usp=pp_url&amp;entry.1313582257=3105062394 / 252610166&amp;entry.1578404635=Hadir</v>
      </c>
      <c r="Q200" s="23" t="s">
        <v>1225</v>
      </c>
      <c r="R200" s="12" t="s">
        <v>1226</v>
      </c>
      <c r="S200" s="24" t="s">
        <v>1227</v>
      </c>
      <c r="T200" s="23" t="str">
        <f>HYPERLINK("https://drive.google.com/file/d/1cgTXdX16JTvr6wb7d1HXoYT42ppvfOp8/view?usp=drivesdk","33 - X5 - Dinda Aulia - P")</f>
        <v>33 - X5 - Dinda Aulia - P</v>
      </c>
      <c r="U200" s="12" t="s">
        <v>1228</v>
      </c>
      <c r="W200" s="25">
        <f>COUNTIFS('Form Presensi SCC'!$B:$B, IF($C200&lt;&gt;0, TEXT($C200, "0000000000"), $D200), 'Form Presensi SCC'!$C:$C, "Hadir")</f>
        <v>8</v>
      </c>
      <c r="Y200" s="26"/>
    </row>
    <row r="201" ht="22.5" customHeight="1">
      <c r="A201" s="10">
        <v>200.0</v>
      </c>
      <c r="B201" s="18">
        <v>15.0</v>
      </c>
      <c r="C201" s="18" t="s">
        <v>1229</v>
      </c>
      <c r="D201" s="18" t="s">
        <v>1230</v>
      </c>
      <c r="E201" s="18" t="s">
        <v>227</v>
      </c>
      <c r="F201" s="12">
        <v>33.0</v>
      </c>
      <c r="G201" s="10" t="s">
        <v>1164</v>
      </c>
      <c r="H201" s="19"/>
      <c r="I201" s="20"/>
      <c r="J201" s="10" t="s">
        <v>1164</v>
      </c>
      <c r="K201" s="21"/>
      <c r="L201" s="10"/>
      <c r="M201" s="22"/>
      <c r="N201" s="10"/>
      <c r="O201" s="10"/>
      <c r="P201" s="12" t="str">
        <f t="shared" si="1"/>
        <v>https://docs.google.com/forms/d/e/1FAIpQLSeZ-R1GrWlAPkfaThGqxeTj0QTtrARw4rroxIIepf2kipn1nw/formResponse?usp=pp_url&amp;entry.1313582257=0103139137 / 252610205&amp;entry.1578404635=Hadir</v>
      </c>
      <c r="Q201" s="23" t="s">
        <v>1231</v>
      </c>
      <c r="R201" s="12" t="s">
        <v>1232</v>
      </c>
      <c r="S201" s="24" t="s">
        <v>1233</v>
      </c>
      <c r="T201" s="23" t="str">
        <f>HYPERLINK("https://drive.google.com/file/d/1o76-C1TfkCDDe8duicbX7xlhTWlNtWwP/view?usp=drivesdk","33 - X5 - Fathimah Septiani Azahra - P")</f>
        <v>33 - X5 - Fathimah Septiani Azahra - P</v>
      </c>
      <c r="U201" s="12" t="s">
        <v>1228</v>
      </c>
      <c r="W201" s="25">
        <f>COUNTIFS('Form Presensi SCC'!$B:$B, IF($C201&lt;&gt;0, TEXT($C201, "0000000000"), $D201), 'Form Presensi SCC'!$C:$C, "Hadir")</f>
        <v>0</v>
      </c>
      <c r="Y201" s="26"/>
    </row>
    <row r="202" ht="22.5" customHeight="1">
      <c r="A202" s="18">
        <v>201.0</v>
      </c>
      <c r="B202" s="18">
        <v>16.0</v>
      </c>
      <c r="C202" s="18" t="s">
        <v>185</v>
      </c>
      <c r="D202" s="18" t="s">
        <v>1234</v>
      </c>
      <c r="E202" s="18" t="s">
        <v>227</v>
      </c>
      <c r="F202" s="12">
        <v>33.0</v>
      </c>
      <c r="G202" s="10" t="s">
        <v>1164</v>
      </c>
      <c r="H202" s="19"/>
      <c r="I202" s="20"/>
      <c r="J202" s="10" t="s">
        <v>1164</v>
      </c>
      <c r="K202" s="21"/>
      <c r="L202" s="10"/>
      <c r="M202" s="22"/>
      <c r="N202" s="10"/>
      <c r="O202" s="10"/>
      <c r="P202" s="12" t="str">
        <f t="shared" si="1"/>
        <v>https://docs.google.com/forms/d/e/1FAIpQLSeZ-R1GrWlAPkfaThGqxeTj0QTtrARw4rroxIIepf2kipn1nw/formResponse?usp=pp_url&amp;entry.1313582257=0091763745 / 252610229&amp;entry.1578404635=Hadir</v>
      </c>
      <c r="Q202" s="23" t="s">
        <v>1235</v>
      </c>
      <c r="R202" s="12" t="s">
        <v>1236</v>
      </c>
      <c r="S202" s="24" t="s">
        <v>1237</v>
      </c>
      <c r="T202" s="23" t="str">
        <f>HYPERLINK("https://drive.google.com/file/d/100lkjWBFWpX4CkUHPQ8T3PiKWST6hzBM/view?usp=drivesdk","33 - X5 - Hikmah Septiya - P")</f>
        <v>33 - X5 - Hikmah Septiya - P</v>
      </c>
      <c r="U202" s="12" t="s">
        <v>1228</v>
      </c>
      <c r="W202" s="25">
        <f>COUNTIFS('Form Presensi SCC'!$B:$B, IF($C202&lt;&gt;0, TEXT($C202, "0000000000"), $D202), 'Form Presensi SCC'!$C:$C, "Hadir")</f>
        <v>7</v>
      </c>
      <c r="Y202" s="26"/>
    </row>
    <row r="203" ht="22.5" customHeight="1">
      <c r="A203" s="10">
        <v>202.0</v>
      </c>
      <c r="B203" s="18">
        <v>17.0</v>
      </c>
      <c r="C203" s="18" t="s">
        <v>1238</v>
      </c>
      <c r="D203" s="18" t="s">
        <v>1239</v>
      </c>
      <c r="E203" s="18" t="s">
        <v>220</v>
      </c>
      <c r="F203" s="12">
        <v>33.0</v>
      </c>
      <c r="G203" s="10" t="s">
        <v>1164</v>
      </c>
      <c r="H203" s="19"/>
      <c r="I203" s="20"/>
      <c r="J203" s="10" t="s">
        <v>1164</v>
      </c>
      <c r="K203" s="21"/>
      <c r="L203" s="10"/>
      <c r="M203" s="22"/>
      <c r="N203" s="10"/>
      <c r="O203" s="10"/>
      <c r="P203" s="12" t="str">
        <f t="shared" si="1"/>
        <v>https://docs.google.com/forms/d/e/1FAIpQLSeZ-R1GrWlAPkfaThGqxeTj0QTtrARw4rroxIIepf2kipn1nw/formResponse?usp=pp_url&amp;entry.1313582257=0095064549 / 252610230&amp;entry.1578404635=Hadir</v>
      </c>
      <c r="Q203" s="23" t="s">
        <v>1240</v>
      </c>
      <c r="R203" s="12" t="s">
        <v>1241</v>
      </c>
      <c r="S203" s="24" t="s">
        <v>1242</v>
      </c>
      <c r="T203" s="23" t="str">
        <f>HYPERLINK("https://drive.google.com/file/d/1T6nJZw1zfLt2D_uumAyeJ7JczCMyt5D4/view?usp=drivesdk","33 - X5 - Hilmi Ardhana Fuady - L")</f>
        <v>33 - X5 - Hilmi Ardhana Fuady - L</v>
      </c>
      <c r="U203" s="12" t="s">
        <v>1228</v>
      </c>
      <c r="W203" s="25">
        <f>COUNTIFS('Form Presensi SCC'!$B:$B, IF($C203&lt;&gt;0, TEXT($C203, "0000000000"), $D203), 'Form Presensi SCC'!$C:$C, "Hadir")</f>
        <v>0</v>
      </c>
      <c r="Y203" s="26"/>
    </row>
    <row r="204" ht="22.5" customHeight="1">
      <c r="A204" s="18">
        <v>203.0</v>
      </c>
      <c r="B204" s="18">
        <v>18.0</v>
      </c>
      <c r="C204" s="18" t="s">
        <v>189</v>
      </c>
      <c r="D204" s="18" t="s">
        <v>1243</v>
      </c>
      <c r="E204" s="18" t="s">
        <v>227</v>
      </c>
      <c r="F204" s="12">
        <v>33.0</v>
      </c>
      <c r="G204" s="10" t="s">
        <v>1164</v>
      </c>
      <c r="H204" s="19"/>
      <c r="I204" s="20"/>
      <c r="J204" s="10" t="s">
        <v>1164</v>
      </c>
      <c r="K204" s="21"/>
      <c r="L204" s="10"/>
      <c r="M204" s="22"/>
      <c r="N204" s="10"/>
      <c r="O204" s="10"/>
      <c r="P204" s="12" t="str">
        <f t="shared" si="1"/>
        <v>https://docs.google.com/forms/d/e/1FAIpQLSeZ-R1GrWlAPkfaThGqxeTj0QTtrARw4rroxIIepf2kipn1nw/formResponse?usp=pp_url&amp;entry.1313582257=3098845163 / 252610245&amp;entry.1578404635=Hadir</v>
      </c>
      <c r="Q204" s="23" t="s">
        <v>1244</v>
      </c>
      <c r="R204" s="12" t="s">
        <v>1245</v>
      </c>
      <c r="S204" s="24" t="s">
        <v>1246</v>
      </c>
      <c r="T204" s="23" t="str">
        <f>HYPERLINK("https://drive.google.com/file/d/1W5WaNjXuVp5OyKV1q_03qI8PpLQsF_kd/view?usp=drivesdk","33 - X5 - Jevelin Ambarep Putri - P")</f>
        <v>33 - X5 - Jevelin Ambarep Putri - P</v>
      </c>
      <c r="U204" s="12" t="s">
        <v>1228</v>
      </c>
      <c r="W204" s="25">
        <f>COUNTIFS('Form Presensi SCC'!$B:$B, IF($C204&lt;&gt;0, TEXT($C204, "0000000000"), $D204), 'Form Presensi SCC'!$C:$C, "Hadir")</f>
        <v>7</v>
      </c>
      <c r="Y204" s="26"/>
    </row>
    <row r="205" ht="22.5" customHeight="1">
      <c r="A205" s="10">
        <v>204.0</v>
      </c>
      <c r="B205" s="18">
        <v>19.0</v>
      </c>
      <c r="C205" s="18" t="s">
        <v>186</v>
      </c>
      <c r="D205" s="18" t="s">
        <v>1247</v>
      </c>
      <c r="E205" s="18" t="s">
        <v>227</v>
      </c>
      <c r="F205" s="12">
        <v>33.0</v>
      </c>
      <c r="G205" s="10" t="s">
        <v>1164</v>
      </c>
      <c r="H205" s="19"/>
      <c r="I205" s="20"/>
      <c r="J205" s="10" t="s">
        <v>1164</v>
      </c>
      <c r="K205" s="21"/>
      <c r="L205" s="10"/>
      <c r="M205" s="22"/>
      <c r="N205" s="10"/>
      <c r="O205" s="10"/>
      <c r="P205" s="12" t="str">
        <f t="shared" si="1"/>
        <v>https://docs.google.com/forms/d/e/1FAIpQLSeZ-R1GrWlAPkfaThGqxeTj0QTtrARw4rroxIIepf2kipn1nw/formResponse?usp=pp_url&amp;entry.1313582257=0104630358 / 252610281&amp;entry.1578404635=Hadir</v>
      </c>
      <c r="Q205" s="23" t="s">
        <v>1248</v>
      </c>
      <c r="R205" s="12" t="s">
        <v>1249</v>
      </c>
      <c r="S205" s="24" t="s">
        <v>1250</v>
      </c>
      <c r="T205" s="23" t="str">
        <f>HYPERLINK("https://drive.google.com/file/d/1-93ZF7OlCf6hvohwfIS_QwRoTuwm62Yr/view?usp=drivesdk","33 - X5 - Khansa Tabita Aura Sakhi - P")</f>
        <v>33 - X5 - Khansa Tabita Aura Sakhi - P</v>
      </c>
      <c r="U205" s="12" t="s">
        <v>1228</v>
      </c>
      <c r="W205" s="25">
        <f>COUNTIFS('Form Presensi SCC'!$B:$B, IF($C205&lt;&gt;0, TEXT($C205, "0000000000"), $D205), 'Form Presensi SCC'!$C:$C, "Hadir")</f>
        <v>7</v>
      </c>
      <c r="Y205" s="26"/>
    </row>
    <row r="206" ht="22.5" customHeight="1">
      <c r="A206" s="18">
        <v>205.0</v>
      </c>
      <c r="B206" s="18">
        <v>20.0</v>
      </c>
      <c r="C206" s="18" t="s">
        <v>187</v>
      </c>
      <c r="D206" s="18" t="s">
        <v>1251</v>
      </c>
      <c r="E206" s="18" t="s">
        <v>227</v>
      </c>
      <c r="F206" s="12">
        <v>33.0</v>
      </c>
      <c r="G206" s="10" t="s">
        <v>1164</v>
      </c>
      <c r="H206" s="19"/>
      <c r="I206" s="20"/>
      <c r="J206" s="10" t="s">
        <v>1164</v>
      </c>
      <c r="K206" s="21"/>
      <c r="L206" s="10"/>
      <c r="M206" s="22"/>
      <c r="N206" s="10"/>
      <c r="O206" s="10"/>
      <c r="P206" s="12" t="str">
        <f t="shared" si="1"/>
        <v>https://docs.google.com/forms/d/e/1FAIpQLSeZ-R1GrWlAPkfaThGqxeTj0QTtrARw4rroxIIepf2kipn1nw/formResponse?usp=pp_url&amp;entry.1313582257=0097535113 / 252610286&amp;entry.1578404635=Hadir</v>
      </c>
      <c r="Q206" s="23" t="s">
        <v>1252</v>
      </c>
      <c r="R206" s="12" t="s">
        <v>1253</v>
      </c>
      <c r="S206" s="24" t="s">
        <v>1254</v>
      </c>
      <c r="T206" s="23" t="str">
        <f>HYPERLINK("https://drive.google.com/file/d/1YNRaHwRbf2KYzQhUJWJEkD0aSIobCBi2/view?usp=drivesdk","33 - X5 - Lalitya Namu Wangundahina - P")</f>
        <v>33 - X5 - Lalitya Namu Wangundahina - P</v>
      </c>
      <c r="U206" s="12" t="s">
        <v>1255</v>
      </c>
      <c r="W206" s="25">
        <f>COUNTIFS('Form Presensi SCC'!$B:$B, IF($C206&lt;&gt;0, TEXT($C206, "0000000000"), $D206), 'Form Presensi SCC'!$C:$C, "Hadir")</f>
        <v>10</v>
      </c>
      <c r="Y206" s="26"/>
    </row>
    <row r="207" ht="22.5" customHeight="1">
      <c r="A207" s="10">
        <v>206.0</v>
      </c>
      <c r="B207" s="18">
        <v>21.0</v>
      </c>
      <c r="C207" s="18" t="s">
        <v>191</v>
      </c>
      <c r="D207" s="18" t="s">
        <v>1256</v>
      </c>
      <c r="E207" s="18" t="s">
        <v>227</v>
      </c>
      <c r="F207" s="12">
        <v>33.0</v>
      </c>
      <c r="G207" s="10" t="s">
        <v>1164</v>
      </c>
      <c r="H207" s="19"/>
      <c r="I207" s="20"/>
      <c r="J207" s="10" t="s">
        <v>1164</v>
      </c>
      <c r="K207" s="21"/>
      <c r="L207" s="10"/>
      <c r="M207" s="22"/>
      <c r="N207" s="10"/>
      <c r="O207" s="10"/>
      <c r="P207" s="12" t="str">
        <f t="shared" si="1"/>
        <v>https://docs.google.com/forms/d/e/1FAIpQLSeZ-R1GrWlAPkfaThGqxeTj0QTtrARw4rroxIIepf2kipn1nw/formResponse?usp=pp_url&amp;entry.1313582257=0094686372 / 252610299&amp;entry.1578404635=Hadir</v>
      </c>
      <c r="Q207" s="23" t="s">
        <v>1257</v>
      </c>
      <c r="R207" s="12" t="s">
        <v>1258</v>
      </c>
      <c r="S207" s="24" t="s">
        <v>1259</v>
      </c>
      <c r="T207" s="23" t="str">
        <f>HYPERLINK("https://drive.google.com/file/d/1uBL72l8iBn2XBFApYk76iAOuIVdoolot/view?usp=drivesdk","33 - X5 - Mahira Aqila Azra - P")</f>
        <v>33 - X5 - Mahira Aqila Azra - P</v>
      </c>
      <c r="U207" s="12" t="s">
        <v>1255</v>
      </c>
      <c r="W207" s="25">
        <f>COUNTIFS('Form Presensi SCC'!$B:$B, IF($C207&lt;&gt;0, TEXT($C207, "0000000000"), $D207), 'Form Presensi SCC'!$C:$C, "Hadir")</f>
        <v>9</v>
      </c>
      <c r="Y207" s="26"/>
    </row>
    <row r="208" ht="22.5" customHeight="1">
      <c r="A208" s="18">
        <v>207.0</v>
      </c>
      <c r="B208" s="18">
        <v>22.0</v>
      </c>
      <c r="C208" s="18" t="s">
        <v>1260</v>
      </c>
      <c r="D208" s="18" t="s">
        <v>1261</v>
      </c>
      <c r="E208" s="18" t="s">
        <v>220</v>
      </c>
      <c r="F208" s="12">
        <v>33.0</v>
      </c>
      <c r="G208" s="10" t="s">
        <v>1164</v>
      </c>
      <c r="H208" s="19"/>
      <c r="I208" s="20"/>
      <c r="J208" s="10" t="s">
        <v>1164</v>
      </c>
      <c r="K208" s="21"/>
      <c r="L208" s="10"/>
      <c r="M208" s="22"/>
      <c r="N208" s="10"/>
      <c r="O208" s="10"/>
      <c r="P208" s="12" t="str">
        <f t="shared" si="1"/>
        <v>https://docs.google.com/forms/d/e/1FAIpQLSeZ-R1GrWlAPkfaThGqxeTj0QTtrARw4rroxIIepf2kipn1nw/formResponse?usp=pp_url&amp;entry.1313582257=0108578906 / 252610322&amp;entry.1578404635=Hadir</v>
      </c>
      <c r="Q208" s="23" t="s">
        <v>1262</v>
      </c>
      <c r="R208" s="12" t="s">
        <v>1263</v>
      </c>
      <c r="S208" s="24" t="s">
        <v>1264</v>
      </c>
      <c r="T208" s="23" t="str">
        <f>HYPERLINK("https://drive.google.com/file/d/1erECNq_PSvEp93bh0dO6EhpariPJqBdh/view?usp=drivesdk","33 - X5 - Muhamad Adri Fachry - L")</f>
        <v>33 - X5 - Muhamad Adri Fachry - L</v>
      </c>
      <c r="U208" s="12" t="s">
        <v>1255</v>
      </c>
      <c r="W208" s="25">
        <f>COUNTIFS('Form Presensi SCC'!$B:$B, IF($C208&lt;&gt;0, TEXT($C208, "0000000000"), $D208), 'Form Presensi SCC'!$C:$C, "Hadir")</f>
        <v>0</v>
      </c>
      <c r="Y208" s="26"/>
    </row>
    <row r="209" ht="22.5" customHeight="1">
      <c r="A209" s="10">
        <v>208.0</v>
      </c>
      <c r="B209" s="18">
        <v>23.0</v>
      </c>
      <c r="C209" s="18" t="s">
        <v>1265</v>
      </c>
      <c r="D209" s="18" t="s">
        <v>1266</v>
      </c>
      <c r="E209" s="18" t="s">
        <v>220</v>
      </c>
      <c r="F209" s="12">
        <v>33.0</v>
      </c>
      <c r="G209" s="10" t="s">
        <v>1164</v>
      </c>
      <c r="H209" s="19"/>
      <c r="I209" s="20"/>
      <c r="J209" s="10" t="s">
        <v>1164</v>
      </c>
      <c r="K209" s="21"/>
      <c r="L209" s="10"/>
      <c r="M209" s="22"/>
      <c r="N209" s="10"/>
      <c r="O209" s="10"/>
      <c r="P209" s="12" t="str">
        <f t="shared" si="1"/>
        <v>https://docs.google.com/forms/d/e/1FAIpQLSeZ-R1GrWlAPkfaThGqxeTj0QTtrARw4rroxIIepf2kipn1nw/formResponse?usp=pp_url&amp;entry.1313582257=3107979922 / 252610323&amp;entry.1578404635=Hadir</v>
      </c>
      <c r="Q209" s="23" t="s">
        <v>1267</v>
      </c>
      <c r="R209" s="12" t="s">
        <v>1268</v>
      </c>
      <c r="S209" s="24" t="s">
        <v>1269</v>
      </c>
      <c r="T209" s="23" t="str">
        <f>HYPERLINK("https://drive.google.com/file/d/1SRxbR8fQU3GhSnDZ7v7AHvijYEAWGUVT/view?usp=drivesdk","33 - X5 - Muhamad Gaza Al-Mahdi - L")</f>
        <v>33 - X5 - Muhamad Gaza Al-Mahdi - L</v>
      </c>
      <c r="U209" s="12" t="s">
        <v>1255</v>
      </c>
      <c r="W209" s="25">
        <f>COUNTIFS('Form Presensi SCC'!$B:$B, IF($C209&lt;&gt;0, TEXT($C209, "0000000000"), $D209), 'Form Presensi SCC'!$C:$C, "Hadir")</f>
        <v>0</v>
      </c>
      <c r="Y209" s="26"/>
    </row>
    <row r="210" ht="22.5" customHeight="1">
      <c r="A210" s="18">
        <v>209.0</v>
      </c>
      <c r="B210" s="18">
        <v>24.0</v>
      </c>
      <c r="C210" s="18" t="s">
        <v>1270</v>
      </c>
      <c r="D210" s="18" t="s">
        <v>1271</v>
      </c>
      <c r="E210" s="18" t="s">
        <v>220</v>
      </c>
      <c r="F210" s="12">
        <v>33.0</v>
      </c>
      <c r="G210" s="10" t="s">
        <v>1164</v>
      </c>
      <c r="H210" s="22" t="s">
        <v>371</v>
      </c>
      <c r="I210" s="20"/>
      <c r="J210" s="10" t="s">
        <v>1164</v>
      </c>
      <c r="K210" s="21"/>
      <c r="L210" s="10"/>
      <c r="M210" s="22"/>
      <c r="N210" s="10"/>
      <c r="O210" s="10"/>
      <c r="P210" s="12" t="str">
        <f t="shared" si="1"/>
        <v>https://docs.google.com/forms/d/e/1FAIpQLSeZ-R1GrWlAPkfaThGqxeTj0QTtrARw4rroxIIepf2kipn1nw/formResponse?usp=pp_url&amp;entry.1313582257=0105902624 / 252610361&amp;entry.1578404635=Hadir</v>
      </c>
      <c r="Q210" s="23" t="s">
        <v>1272</v>
      </c>
      <c r="R210" s="12" t="s">
        <v>1273</v>
      </c>
      <c r="S210" s="24" t="s">
        <v>1274</v>
      </c>
      <c r="T210" s="23" t="str">
        <f>HYPERLINK("https://drive.google.com/file/d/1cTm7VEDQOIMiL8ze5t9Z-7VA7nOLJ27V/view?usp=drivesdk","33 - X5 - Muhammad Naufal Rhesa Fernando - L")</f>
        <v>33 - X5 - Muhammad Naufal Rhesa Fernando - L</v>
      </c>
      <c r="U210" s="12" t="s">
        <v>1255</v>
      </c>
      <c r="W210" s="25">
        <f>COUNTIFS('Form Presensi SCC'!$B:$B, IF($C210&lt;&gt;0, TEXT($C210, "0000000000"), $D210), 'Form Presensi SCC'!$C:$C, "Hadir")</f>
        <v>0</v>
      </c>
      <c r="Y210" s="26"/>
    </row>
    <row r="211" ht="22.5" customHeight="1">
      <c r="A211" s="10">
        <v>210.0</v>
      </c>
      <c r="B211" s="18">
        <v>25.0</v>
      </c>
      <c r="C211" s="18" t="s">
        <v>1275</v>
      </c>
      <c r="D211" s="18" t="s">
        <v>1276</v>
      </c>
      <c r="E211" s="18" t="s">
        <v>220</v>
      </c>
      <c r="F211" s="12">
        <v>33.0</v>
      </c>
      <c r="G211" s="10" t="s">
        <v>1164</v>
      </c>
      <c r="H211" s="19"/>
      <c r="I211" s="20"/>
      <c r="J211" s="10" t="s">
        <v>1164</v>
      </c>
      <c r="K211" s="21"/>
      <c r="L211" s="10"/>
      <c r="M211" s="22"/>
      <c r="N211" s="10"/>
      <c r="O211" s="10"/>
      <c r="P211" s="12" t="str">
        <f t="shared" si="1"/>
        <v>https://docs.google.com/forms/d/e/1FAIpQLSeZ-R1GrWlAPkfaThGqxeTj0QTtrARw4rroxIIepf2kipn1nw/formResponse?usp=pp_url&amp;entry.1313582257=0095937017 / 252610366&amp;entry.1578404635=Hadir</v>
      </c>
      <c r="Q211" s="23" t="s">
        <v>1277</v>
      </c>
      <c r="R211" s="12" t="s">
        <v>1278</v>
      </c>
      <c r="S211" s="24" t="s">
        <v>1279</v>
      </c>
      <c r="T211" s="23" t="str">
        <f>HYPERLINK("https://drive.google.com/file/d/13nlDOik1kyynO2nGMtB4OMkm2jv_qyyk/view?usp=drivesdk","33 - X5 - Muhammad Raya Al Maghfirah - L")</f>
        <v>33 - X5 - Muhammad Raya Al Maghfirah - L</v>
      </c>
      <c r="U211" s="12" t="s">
        <v>1280</v>
      </c>
      <c r="W211" s="25">
        <f>COUNTIFS('Form Presensi SCC'!$B:$B, IF($C211&lt;&gt;0, TEXT($C211, "0000000000"), $D211), 'Form Presensi SCC'!$C:$C, "Hadir")</f>
        <v>0</v>
      </c>
      <c r="Y211" s="26"/>
    </row>
    <row r="212" ht="22.5" customHeight="1">
      <c r="A212" s="18">
        <v>211.0</v>
      </c>
      <c r="B212" s="18">
        <v>26.0</v>
      </c>
      <c r="C212" s="18" t="s">
        <v>1281</v>
      </c>
      <c r="D212" s="18" t="s">
        <v>1282</v>
      </c>
      <c r="E212" s="18" t="s">
        <v>220</v>
      </c>
      <c r="F212" s="12">
        <v>33.0</v>
      </c>
      <c r="G212" s="10" t="s">
        <v>1164</v>
      </c>
      <c r="H212" s="19"/>
      <c r="I212" s="20"/>
      <c r="J212" s="10" t="s">
        <v>1164</v>
      </c>
      <c r="K212" s="21"/>
      <c r="L212" s="10"/>
      <c r="M212" s="22"/>
      <c r="N212" s="10"/>
      <c r="O212" s="10"/>
      <c r="P212" s="12" t="str">
        <f t="shared" si="1"/>
        <v>https://docs.google.com/forms/d/e/1FAIpQLSeZ-R1GrWlAPkfaThGqxeTj0QTtrARw4rroxIIepf2kipn1nw/formResponse?usp=pp_url&amp;entry.1313582257=3094594523 / 252610374&amp;entry.1578404635=Hadir</v>
      </c>
      <c r="Q212" s="23" t="s">
        <v>1283</v>
      </c>
      <c r="R212" s="12" t="s">
        <v>1284</v>
      </c>
      <c r="S212" s="24" t="s">
        <v>1285</v>
      </c>
      <c r="T212" s="23" t="str">
        <f>HYPERLINK("https://drive.google.com/file/d/1t4cEOt5h5FmpUR6Y5yaUCQq38JL2mgDq/view?usp=drivesdk","33 - X5 - Muhammad Tristan Sanjaya - L")</f>
        <v>33 - X5 - Muhammad Tristan Sanjaya - L</v>
      </c>
      <c r="U212" s="12" t="s">
        <v>1280</v>
      </c>
      <c r="W212" s="25">
        <f>COUNTIFS('Form Presensi SCC'!$B:$B, IF($C212&lt;&gt;0, TEXT($C212, "0000000000"), $D212), 'Form Presensi SCC'!$C:$C, "Hadir")</f>
        <v>0</v>
      </c>
      <c r="Y212" s="26"/>
    </row>
    <row r="213" ht="22.5" customHeight="1">
      <c r="A213" s="10">
        <v>212.0</v>
      </c>
      <c r="B213" s="18">
        <v>27.0</v>
      </c>
      <c r="C213" s="18" t="s">
        <v>1286</v>
      </c>
      <c r="D213" s="18" t="s">
        <v>1287</v>
      </c>
      <c r="E213" s="18" t="s">
        <v>220</v>
      </c>
      <c r="F213" s="12">
        <v>33.0</v>
      </c>
      <c r="G213" s="10" t="s">
        <v>1164</v>
      </c>
      <c r="H213" s="19"/>
      <c r="I213" s="20"/>
      <c r="J213" s="10" t="s">
        <v>1164</v>
      </c>
      <c r="K213" s="21"/>
      <c r="L213" s="10"/>
      <c r="M213" s="22"/>
      <c r="N213" s="10"/>
      <c r="O213" s="10"/>
      <c r="P213" s="12" t="str">
        <f t="shared" si="1"/>
        <v>https://docs.google.com/forms/d/e/1FAIpQLSeZ-R1GrWlAPkfaThGqxeTj0QTtrARw4rroxIIepf2kipn1nw/formResponse?usp=pp_url&amp;entry.1313582257=0092479207 / 252610379&amp;entry.1578404635=Hadir</v>
      </c>
      <c r="Q213" s="23" t="s">
        <v>1288</v>
      </c>
      <c r="R213" s="12" t="s">
        <v>1289</v>
      </c>
      <c r="S213" s="24" t="s">
        <v>1290</v>
      </c>
      <c r="T213" s="23" t="str">
        <f>HYPERLINK("https://drive.google.com/file/d/1my4DBIVwIVjLXuPgCf1xWV997UuZ2EA0/view?usp=drivesdk","33 - X5 - Muhammad Zaidan Wibowo - L")</f>
        <v>33 - X5 - Muhammad Zaidan Wibowo - L</v>
      </c>
      <c r="U213" s="12" t="s">
        <v>1280</v>
      </c>
      <c r="W213" s="25">
        <f>COUNTIFS('Form Presensi SCC'!$B:$B, IF($C213&lt;&gt;0, TEXT($C213, "0000000000"), $D213), 'Form Presensi SCC'!$C:$C, "Hadir")</f>
        <v>0</v>
      </c>
      <c r="Y213" s="26"/>
    </row>
    <row r="214" ht="22.5" customHeight="1">
      <c r="A214" s="18">
        <v>213.0</v>
      </c>
      <c r="B214" s="18">
        <v>28.0</v>
      </c>
      <c r="C214" s="18" t="s">
        <v>1291</v>
      </c>
      <c r="D214" s="18" t="s">
        <v>1292</v>
      </c>
      <c r="E214" s="18" t="s">
        <v>227</v>
      </c>
      <c r="F214" s="12">
        <v>33.0</v>
      </c>
      <c r="G214" s="10" t="s">
        <v>1164</v>
      </c>
      <c r="H214" s="19"/>
      <c r="I214" s="20"/>
      <c r="J214" s="10" t="s">
        <v>1164</v>
      </c>
      <c r="K214" s="21"/>
      <c r="L214" s="10"/>
      <c r="M214" s="22"/>
      <c r="N214" s="10"/>
      <c r="O214" s="10"/>
      <c r="P214" s="12" t="str">
        <f t="shared" si="1"/>
        <v>https://docs.google.com/forms/d/e/1FAIpQLSeZ-R1GrWlAPkfaThGqxeTj0QTtrARw4rroxIIepf2kipn1nw/formResponse?usp=pp_url&amp;entry.1313582257=0092223990 / 252610384&amp;entry.1578404635=Hadir</v>
      </c>
      <c r="Q214" s="23" t="s">
        <v>1293</v>
      </c>
      <c r="R214" s="12" t="s">
        <v>1294</v>
      </c>
      <c r="S214" s="24" t="s">
        <v>1295</v>
      </c>
      <c r="T214" s="23" t="str">
        <f>HYPERLINK("https://drive.google.com/file/d/1vTCYnIRbTvWEUW3lZkIaK9ZP1PJItCcg/view?usp=drivesdk","33 - X5 - Nabilah Shakeela Kusuma - P")</f>
        <v>33 - X5 - Nabilah Shakeela Kusuma - P</v>
      </c>
      <c r="U214" s="12" t="s">
        <v>1280</v>
      </c>
      <c r="W214" s="25">
        <f>COUNTIFS('Form Presensi SCC'!$B:$B, IF($C214&lt;&gt;0, TEXT($C214, "0000000000"), $D214), 'Form Presensi SCC'!$C:$C, "Hadir")</f>
        <v>0</v>
      </c>
      <c r="Y214" s="26"/>
    </row>
    <row r="215" ht="22.5" customHeight="1">
      <c r="A215" s="10">
        <v>214.0</v>
      </c>
      <c r="B215" s="18">
        <v>29.0</v>
      </c>
      <c r="C215" s="18" t="s">
        <v>1296</v>
      </c>
      <c r="D215" s="18" t="s">
        <v>1297</v>
      </c>
      <c r="E215" s="18" t="s">
        <v>220</v>
      </c>
      <c r="F215" s="12">
        <v>33.0</v>
      </c>
      <c r="G215" s="10" t="s">
        <v>1164</v>
      </c>
      <c r="H215" s="19"/>
      <c r="I215" s="20"/>
      <c r="J215" s="10" t="s">
        <v>1164</v>
      </c>
      <c r="K215" s="21"/>
      <c r="L215" s="10"/>
      <c r="M215" s="22"/>
      <c r="N215" s="10"/>
      <c r="O215" s="10"/>
      <c r="P215" s="12" t="str">
        <f t="shared" si="1"/>
        <v>https://docs.google.com/forms/d/e/1FAIpQLSeZ-R1GrWlAPkfaThGqxeTj0QTtrARw4rroxIIepf2kipn1nw/formResponse?usp=pp_url&amp;entry.1313582257=0104434944 / 252610401&amp;entry.1578404635=Hadir</v>
      </c>
      <c r="Q215" s="23" t="s">
        <v>1298</v>
      </c>
      <c r="R215" s="12" t="s">
        <v>1299</v>
      </c>
      <c r="S215" s="24" t="s">
        <v>1300</v>
      </c>
      <c r="T215" s="23" t="str">
        <f>HYPERLINK("https://drive.google.com/file/d/1wE0aAxciOBhfWlYsxDeJs6q1gWOzT57p/view?usp=drivesdk","33 - X5 - Naufal Aditama - L")</f>
        <v>33 - X5 - Naufal Aditama - L</v>
      </c>
      <c r="U215" s="12" t="s">
        <v>1280</v>
      </c>
      <c r="W215" s="25">
        <f>COUNTIFS('Form Presensi SCC'!$B:$B, IF($C215&lt;&gt;0, TEXT($C215, "0000000000"), $D215), 'Form Presensi SCC'!$C:$C, "Hadir")</f>
        <v>0</v>
      </c>
      <c r="Y215" s="26"/>
    </row>
    <row r="216" ht="22.5" customHeight="1">
      <c r="A216" s="18">
        <v>215.0</v>
      </c>
      <c r="B216" s="18">
        <v>30.0</v>
      </c>
      <c r="C216" s="18" t="s">
        <v>1301</v>
      </c>
      <c r="D216" s="18" t="s">
        <v>1302</v>
      </c>
      <c r="E216" s="18" t="s">
        <v>227</v>
      </c>
      <c r="F216" s="12">
        <v>33.0</v>
      </c>
      <c r="G216" s="10" t="s">
        <v>1164</v>
      </c>
      <c r="H216" s="19"/>
      <c r="I216" s="20"/>
      <c r="J216" s="10" t="s">
        <v>1164</v>
      </c>
      <c r="K216" s="21"/>
      <c r="L216" s="10"/>
      <c r="M216" s="22"/>
      <c r="N216" s="10"/>
      <c r="O216" s="10"/>
      <c r="P216" s="12" t="str">
        <f t="shared" si="1"/>
        <v>https://docs.google.com/forms/d/e/1FAIpQLSeZ-R1GrWlAPkfaThGqxeTj0QTtrARw4rroxIIepf2kipn1nw/formResponse?usp=pp_url&amp;entry.1313582257=0108770789 / 252610412&amp;entry.1578404635=Hadir</v>
      </c>
      <c r="Q216" s="23" t="s">
        <v>1303</v>
      </c>
      <c r="R216" s="12" t="s">
        <v>1304</v>
      </c>
      <c r="S216" s="24" t="s">
        <v>1305</v>
      </c>
      <c r="T216" s="23" t="str">
        <f>HYPERLINK("https://drive.google.com/file/d/1Hd3xRsD3gmU02RZEufIqpI9dvV_KBPhr/view?usp=drivesdk","33 - X5 - Nayyira Ghania Mehnaz - P")</f>
        <v>33 - X5 - Nayyira Ghania Mehnaz - P</v>
      </c>
      <c r="U216" s="12" t="s">
        <v>1306</v>
      </c>
      <c r="W216" s="25">
        <f>COUNTIFS('Form Presensi SCC'!$B:$B, IF($C216&lt;&gt;0, TEXT($C216, "0000000000"), $D216), 'Form Presensi SCC'!$C:$C, "Hadir")</f>
        <v>0</v>
      </c>
      <c r="Y216" s="26"/>
    </row>
    <row r="217" ht="22.5" customHeight="1">
      <c r="A217" s="10">
        <v>216.0</v>
      </c>
      <c r="B217" s="18">
        <v>31.0</v>
      </c>
      <c r="C217" s="18" t="s">
        <v>1307</v>
      </c>
      <c r="D217" s="18" t="s">
        <v>1308</v>
      </c>
      <c r="E217" s="18" t="s">
        <v>227</v>
      </c>
      <c r="F217" s="12">
        <v>33.0</v>
      </c>
      <c r="G217" s="10" t="s">
        <v>1164</v>
      </c>
      <c r="H217" s="19"/>
      <c r="I217" s="20"/>
      <c r="J217" s="10" t="s">
        <v>1164</v>
      </c>
      <c r="K217" s="21"/>
      <c r="L217" s="10"/>
      <c r="M217" s="22"/>
      <c r="N217" s="10"/>
      <c r="O217" s="10"/>
      <c r="P217" s="12" t="str">
        <f t="shared" si="1"/>
        <v>https://docs.google.com/forms/d/e/1FAIpQLSeZ-R1GrWlAPkfaThGqxeTj0QTtrARw4rroxIIepf2kipn1nw/formResponse?usp=pp_url&amp;entry.1313582257=0101523916 / 252610414&amp;entry.1578404635=Hadir</v>
      </c>
      <c r="Q217" s="23" t="s">
        <v>1309</v>
      </c>
      <c r="R217" s="12" t="s">
        <v>1310</v>
      </c>
      <c r="S217" s="24" t="s">
        <v>1311</v>
      </c>
      <c r="T217" s="23" t="str">
        <f>HYPERLINK("https://drive.google.com/file/d/1iFJFaEYZR4Udfp9N80CKpWMaYjd0aJ47/view?usp=drivesdk","33 - X5 - Nazwa Nur Rahmah - P")</f>
        <v>33 - X5 - Nazwa Nur Rahmah - P</v>
      </c>
      <c r="U217" s="12" t="s">
        <v>1306</v>
      </c>
      <c r="W217" s="25">
        <f>COUNTIFS('Form Presensi SCC'!$B:$B, IF($C217&lt;&gt;0, TEXT($C217, "0000000000"), $D217), 'Form Presensi SCC'!$C:$C, "Hadir")</f>
        <v>0</v>
      </c>
      <c r="Y217" s="26"/>
    </row>
    <row r="218" ht="22.5" customHeight="1">
      <c r="A218" s="18">
        <v>217.0</v>
      </c>
      <c r="B218" s="18">
        <v>32.0</v>
      </c>
      <c r="C218" s="18" t="s">
        <v>1312</v>
      </c>
      <c r="D218" s="18" t="s">
        <v>1313</v>
      </c>
      <c r="E218" s="18" t="s">
        <v>227</v>
      </c>
      <c r="F218" s="12">
        <v>33.0</v>
      </c>
      <c r="G218" s="10" t="s">
        <v>1164</v>
      </c>
      <c r="H218" s="19"/>
      <c r="I218" s="20"/>
      <c r="J218" s="10" t="s">
        <v>1164</v>
      </c>
      <c r="K218" s="21"/>
      <c r="L218" s="10"/>
      <c r="M218" s="22"/>
      <c r="N218" s="10"/>
      <c r="O218" s="10"/>
      <c r="P218" s="12" t="str">
        <f t="shared" si="1"/>
        <v>https://docs.google.com/forms/d/e/1FAIpQLSeZ-R1GrWlAPkfaThGqxeTj0QTtrARw4rroxIIepf2kipn1nw/formResponse?usp=pp_url&amp;entry.1313582257=3099045754 / 252610427&amp;entry.1578404635=Hadir</v>
      </c>
      <c r="Q218" s="23" t="s">
        <v>1314</v>
      </c>
      <c r="R218" s="12" t="s">
        <v>1315</v>
      </c>
      <c r="S218" s="24" t="s">
        <v>1316</v>
      </c>
      <c r="T218" s="23" t="str">
        <f>HYPERLINK("https://drive.google.com/file/d/1vpvFQ6LUQY4Sdf_45ISIKeagXHzn8M7p/view?usp=drivesdk","33 - X5 - Nurul Aulia Ramadhani - P")</f>
        <v>33 - X5 - Nurul Aulia Ramadhani - P</v>
      </c>
      <c r="U218" s="12" t="s">
        <v>1306</v>
      </c>
      <c r="W218" s="25">
        <f>COUNTIFS('Form Presensi SCC'!$B:$B, IF($C218&lt;&gt;0, TEXT($C218, "0000000000"), $D218), 'Form Presensi SCC'!$C:$C, "Hadir")</f>
        <v>0</v>
      </c>
      <c r="Y218" s="26"/>
    </row>
    <row r="219" ht="22.5" customHeight="1">
      <c r="A219" s="10">
        <v>218.0</v>
      </c>
      <c r="B219" s="18">
        <v>33.0</v>
      </c>
      <c r="C219" s="18" t="s">
        <v>1317</v>
      </c>
      <c r="D219" s="18" t="s">
        <v>1318</v>
      </c>
      <c r="E219" s="18" t="s">
        <v>220</v>
      </c>
      <c r="F219" s="12">
        <v>33.0</v>
      </c>
      <c r="G219" s="10" t="s">
        <v>1164</v>
      </c>
      <c r="H219" s="19"/>
      <c r="I219" s="20"/>
      <c r="J219" s="10" t="s">
        <v>1164</v>
      </c>
      <c r="K219" s="21"/>
      <c r="L219" s="10"/>
      <c r="M219" s="22"/>
      <c r="N219" s="10"/>
      <c r="O219" s="10"/>
      <c r="P219" s="12" t="str">
        <f t="shared" si="1"/>
        <v>https://docs.google.com/forms/d/e/1FAIpQLSeZ-R1GrWlAPkfaThGqxeTj0QTtrARw4rroxIIepf2kipn1nw/formResponse?usp=pp_url&amp;entry.1313582257=0104883711 / 252610429&amp;entry.1578404635=Hadir</v>
      </c>
      <c r="Q219" s="23" t="s">
        <v>1319</v>
      </c>
      <c r="R219" s="12" t="s">
        <v>1320</v>
      </c>
      <c r="S219" s="24" t="s">
        <v>1321</v>
      </c>
      <c r="T219" s="23" t="str">
        <f>HYPERLINK("https://drive.google.com/file/d/15V8PAoNDpwfwpCMdE2I8PNuB3f3KQI5r/view?usp=drivesdk","33 - X5 - Ohan Marhadi Haryono - L")</f>
        <v>33 - X5 - Ohan Marhadi Haryono - L</v>
      </c>
      <c r="U219" s="12" t="s">
        <v>1306</v>
      </c>
      <c r="W219" s="25">
        <f>COUNTIFS('Form Presensi SCC'!$B:$B, IF($C219&lt;&gt;0, TEXT($C219, "0000000000"), $D219), 'Form Presensi SCC'!$C:$C, "Hadir")</f>
        <v>0</v>
      </c>
      <c r="Y219" s="26"/>
    </row>
    <row r="220" ht="22.5" customHeight="1">
      <c r="A220" s="18">
        <v>219.0</v>
      </c>
      <c r="B220" s="18">
        <v>34.0</v>
      </c>
      <c r="C220" s="18" t="s">
        <v>1322</v>
      </c>
      <c r="D220" s="18" t="s">
        <v>1323</v>
      </c>
      <c r="E220" s="18" t="s">
        <v>227</v>
      </c>
      <c r="F220" s="12">
        <v>33.0</v>
      </c>
      <c r="G220" s="10" t="s">
        <v>1164</v>
      </c>
      <c r="H220" s="19"/>
      <c r="I220" s="20"/>
      <c r="J220" s="10" t="s">
        <v>1164</v>
      </c>
      <c r="K220" s="21"/>
      <c r="L220" s="10"/>
      <c r="M220" s="22"/>
      <c r="N220" s="10"/>
      <c r="O220" s="10"/>
      <c r="P220" s="12" t="str">
        <f t="shared" si="1"/>
        <v>https://docs.google.com/forms/d/e/1FAIpQLSeZ-R1GrWlAPkfaThGqxeTj0QTtrARw4rroxIIepf2kipn1nw/formResponse?usp=pp_url&amp;entry.1313582257=3099055467 / 252610437&amp;entry.1578404635=Hadir</v>
      </c>
      <c r="Q220" s="23" t="s">
        <v>1324</v>
      </c>
      <c r="R220" s="12" t="s">
        <v>1325</v>
      </c>
      <c r="S220" s="24" t="s">
        <v>1326</v>
      </c>
      <c r="T220" s="23" t="str">
        <f>HYPERLINK("https://drive.google.com/file/d/1OIEloVYdQITaeXBYDTkFlsV0pnMe4Hmz/view?usp=drivesdk","33 - X5 - Puthik Ramadani - P")</f>
        <v>33 - X5 - Puthik Ramadani - P</v>
      </c>
      <c r="U220" s="12" t="s">
        <v>1327</v>
      </c>
      <c r="W220" s="25">
        <f>COUNTIFS('Form Presensi SCC'!$B:$B, IF($C220&lt;&gt;0, TEXT($C220, "0000000000"), $D220), 'Form Presensi SCC'!$C:$C, "Hadir")</f>
        <v>0</v>
      </c>
      <c r="Y220" s="26"/>
    </row>
    <row r="221" ht="22.5" customHeight="1">
      <c r="A221" s="10">
        <v>220.0</v>
      </c>
      <c r="B221" s="18">
        <v>35.0</v>
      </c>
      <c r="C221" s="18" t="s">
        <v>1328</v>
      </c>
      <c r="D221" s="18" t="s">
        <v>1329</v>
      </c>
      <c r="E221" s="18" t="s">
        <v>227</v>
      </c>
      <c r="F221" s="12">
        <v>33.0</v>
      </c>
      <c r="G221" s="10" t="s">
        <v>1164</v>
      </c>
      <c r="H221" s="19"/>
      <c r="I221" s="20"/>
      <c r="J221" s="10" t="s">
        <v>1164</v>
      </c>
      <c r="K221" s="21"/>
      <c r="L221" s="10"/>
      <c r="M221" s="22"/>
      <c r="N221" s="10"/>
      <c r="O221" s="10"/>
      <c r="P221" s="12" t="str">
        <f t="shared" si="1"/>
        <v>https://docs.google.com/forms/d/e/1FAIpQLSeZ-R1GrWlAPkfaThGqxeTj0QTtrARw4rroxIIepf2kipn1nw/formResponse?usp=pp_url&amp;entry.1313582257=0092103124 / 252610450&amp;entry.1578404635=Hadir</v>
      </c>
      <c r="Q221" s="23" t="s">
        <v>1330</v>
      </c>
      <c r="R221" s="12" t="s">
        <v>1331</v>
      </c>
      <c r="S221" s="24" t="s">
        <v>1332</v>
      </c>
      <c r="T221" s="23" t="str">
        <f>HYPERLINK("https://drive.google.com/file/d/1fGLw33Bf4d_JsTyDNaJUqkU6VXNKLvzL/view?usp=drivesdk","33 - X5 - Raden Chintya Dewi Maharani - P")</f>
        <v>33 - X5 - Raden Chintya Dewi Maharani - P</v>
      </c>
      <c r="U221" s="12" t="s">
        <v>1327</v>
      </c>
      <c r="W221" s="25">
        <f>COUNTIFS('Form Presensi SCC'!$B:$B, IF($C221&lt;&gt;0, TEXT($C221, "0000000000"), $D221), 'Form Presensi SCC'!$C:$C, "Hadir")</f>
        <v>0</v>
      </c>
      <c r="Y221" s="26"/>
    </row>
    <row r="222" ht="22.5" customHeight="1">
      <c r="A222" s="18">
        <v>221.0</v>
      </c>
      <c r="B222" s="18">
        <v>36.0</v>
      </c>
      <c r="C222" s="18" t="s">
        <v>1333</v>
      </c>
      <c r="D222" s="18" t="s">
        <v>1334</v>
      </c>
      <c r="E222" s="18" t="s">
        <v>227</v>
      </c>
      <c r="F222" s="12">
        <v>33.0</v>
      </c>
      <c r="G222" s="10" t="s">
        <v>1164</v>
      </c>
      <c r="H222" s="19"/>
      <c r="I222" s="20"/>
      <c r="J222" s="10" t="s">
        <v>1164</v>
      </c>
      <c r="K222" s="21"/>
      <c r="L222" s="10"/>
      <c r="M222" s="22"/>
      <c r="N222" s="10"/>
      <c r="O222" s="10"/>
      <c r="P222" s="12" t="str">
        <f t="shared" si="1"/>
        <v>https://docs.google.com/forms/d/e/1FAIpQLSeZ-R1GrWlAPkfaThGqxeTj0QTtrARw4rroxIIepf2kipn1nw/formResponse?usp=pp_url&amp;entry.1313582257=0102081772 / 252610451&amp;entry.1578404635=Hadir</v>
      </c>
      <c r="Q222" s="23" t="s">
        <v>1335</v>
      </c>
      <c r="R222" s="12" t="s">
        <v>1336</v>
      </c>
      <c r="S222" s="24" t="s">
        <v>1337</v>
      </c>
      <c r="T222" s="23" t="str">
        <f>HYPERLINK("https://drive.google.com/file/d/1UaRKbLWKzAXl9vDTe9j6Umew3drGqJ1o/view?usp=drivesdk","33 - X5 - Raden Ciara Za Syahluna - P")</f>
        <v>33 - X5 - Raden Ciara Za Syahluna - P</v>
      </c>
      <c r="U222" s="12" t="s">
        <v>1327</v>
      </c>
      <c r="W222" s="25">
        <f>COUNTIFS('Form Presensi SCC'!$B:$B, IF($C222&lt;&gt;0, TEXT($C222, "0000000000"), $D222), 'Form Presensi SCC'!$C:$C, "Hadir")</f>
        <v>0</v>
      </c>
      <c r="Y222" s="26"/>
    </row>
    <row r="223" ht="22.5" customHeight="1">
      <c r="A223" s="10">
        <v>222.0</v>
      </c>
      <c r="B223" s="18">
        <v>37.0</v>
      </c>
      <c r="C223" s="18" t="s">
        <v>1338</v>
      </c>
      <c r="D223" s="18" t="s">
        <v>1339</v>
      </c>
      <c r="E223" s="18" t="s">
        <v>220</v>
      </c>
      <c r="F223" s="12">
        <v>33.0</v>
      </c>
      <c r="G223" s="10" t="s">
        <v>1164</v>
      </c>
      <c r="H223" s="19"/>
      <c r="I223" s="20"/>
      <c r="J223" s="10" t="s">
        <v>1164</v>
      </c>
      <c r="K223" s="21"/>
      <c r="L223" s="10"/>
      <c r="M223" s="22"/>
      <c r="N223" s="10"/>
      <c r="O223" s="10"/>
      <c r="P223" s="12" t="str">
        <f t="shared" si="1"/>
        <v>https://docs.google.com/forms/d/e/1FAIpQLSeZ-R1GrWlAPkfaThGqxeTj0QTtrARw4rroxIIepf2kipn1nw/formResponse?usp=pp_url&amp;entry.1313582257=0097864614 / 252610471&amp;entry.1578404635=Hadir</v>
      </c>
      <c r="Q223" s="23" t="s">
        <v>1340</v>
      </c>
      <c r="R223" s="12" t="s">
        <v>1341</v>
      </c>
      <c r="S223" s="24" t="s">
        <v>1342</v>
      </c>
      <c r="T223" s="23" t="str">
        <f>HYPERLINK("https://drive.google.com/file/d/18a1R5Rh1ccebDedXlmMI_hEGZddgN0Io/view?usp=drivesdk","33 - X5 - Rama Andhika - L")</f>
        <v>33 - X5 - Rama Andhika - L</v>
      </c>
      <c r="U223" s="12" t="s">
        <v>1327</v>
      </c>
      <c r="W223" s="25">
        <f>COUNTIFS('Form Presensi SCC'!$B:$B, IF($C223&lt;&gt;0, TEXT($C223, "0000000000"), $D223), 'Form Presensi SCC'!$C:$C, "Hadir")</f>
        <v>0</v>
      </c>
      <c r="Y223" s="26"/>
    </row>
    <row r="224" ht="22.5" customHeight="1">
      <c r="A224" s="18">
        <v>223.0</v>
      </c>
      <c r="B224" s="18">
        <v>38.0</v>
      </c>
      <c r="C224" s="18" t="s">
        <v>1343</v>
      </c>
      <c r="D224" s="18" t="s">
        <v>1344</v>
      </c>
      <c r="E224" s="18" t="s">
        <v>227</v>
      </c>
      <c r="F224" s="12">
        <v>33.0</v>
      </c>
      <c r="G224" s="10" t="s">
        <v>1164</v>
      </c>
      <c r="H224" s="19"/>
      <c r="I224" s="20"/>
      <c r="J224" s="10" t="s">
        <v>1164</v>
      </c>
      <c r="K224" s="21"/>
      <c r="L224" s="10"/>
      <c r="M224" s="22"/>
      <c r="N224" s="10"/>
      <c r="O224" s="10"/>
      <c r="P224" s="12" t="str">
        <f t="shared" si="1"/>
        <v>https://docs.google.com/forms/d/e/1FAIpQLSeZ-R1GrWlAPkfaThGqxeTj0QTtrARw4rroxIIepf2kipn1nw/formResponse?usp=pp_url&amp;entry.1313582257=0093090773 / 252610481&amp;entry.1578404635=Hadir</v>
      </c>
      <c r="Q224" s="23" t="s">
        <v>1345</v>
      </c>
      <c r="R224" s="12" t="s">
        <v>1346</v>
      </c>
      <c r="S224" s="24" t="s">
        <v>1347</v>
      </c>
      <c r="T224" s="23" t="str">
        <f>HYPERLINK("https://drive.google.com/file/d/1i_wSlIWP924guS0Qn-2D7kekHS12nzam/view?usp=drivesdk","33 - X5 - Reisha Azzahra Pramesti - P")</f>
        <v>33 - X5 - Reisha Azzahra Pramesti - P</v>
      </c>
      <c r="U224" s="12" t="s">
        <v>1348</v>
      </c>
      <c r="W224" s="25">
        <f>COUNTIFS('Form Presensi SCC'!$B:$B, IF($C224&lt;&gt;0, TEXT($C224, "0000000000"), $D224), 'Form Presensi SCC'!$C:$C, "Hadir")</f>
        <v>0</v>
      </c>
      <c r="Y224" s="26"/>
    </row>
    <row r="225" ht="22.5" customHeight="1">
      <c r="A225" s="10">
        <v>224.0</v>
      </c>
      <c r="B225" s="18">
        <v>39.0</v>
      </c>
      <c r="C225" s="18" t="s">
        <v>1349</v>
      </c>
      <c r="D225" s="18" t="s">
        <v>1350</v>
      </c>
      <c r="E225" s="18" t="s">
        <v>227</v>
      </c>
      <c r="F225" s="12">
        <v>33.0</v>
      </c>
      <c r="G225" s="10" t="s">
        <v>1164</v>
      </c>
      <c r="H225" s="19"/>
      <c r="I225" s="20"/>
      <c r="J225" s="10" t="s">
        <v>1164</v>
      </c>
      <c r="K225" s="21"/>
      <c r="L225" s="10"/>
      <c r="M225" s="22"/>
      <c r="N225" s="10"/>
      <c r="O225" s="10"/>
      <c r="P225" s="12" t="str">
        <f t="shared" si="1"/>
        <v>https://docs.google.com/forms/d/e/1FAIpQLSeZ-R1GrWlAPkfaThGqxeTj0QTtrARw4rroxIIepf2kipn1nw/formResponse?usp=pp_url&amp;entry.1313582257=0095160472 / 252610488&amp;entry.1578404635=Hadir</v>
      </c>
      <c r="Q225" s="23" t="s">
        <v>1351</v>
      </c>
      <c r="R225" s="12" t="s">
        <v>1352</v>
      </c>
      <c r="S225" s="24" t="s">
        <v>1353</v>
      </c>
      <c r="T225" s="23" t="str">
        <f>HYPERLINK("https://drive.google.com/file/d/1waNX8oetZlwDLP41UclCYydF-qrgJ55i/view?usp=drivesdk","33 - X5 - Rheiska Amelia - P")</f>
        <v>33 - X5 - Rheiska Amelia - P</v>
      </c>
      <c r="U225" s="12" t="s">
        <v>1348</v>
      </c>
      <c r="W225" s="25">
        <f>COUNTIFS('Form Presensi SCC'!$B:$B, IF($C225&lt;&gt;0, TEXT($C225, "0000000000"), $D225), 'Form Presensi SCC'!$C:$C, "Hadir")</f>
        <v>0</v>
      </c>
      <c r="Y225" s="26"/>
    </row>
    <row r="226" ht="22.5" customHeight="1">
      <c r="A226" s="18">
        <v>225.0</v>
      </c>
      <c r="B226" s="18">
        <v>40.0</v>
      </c>
      <c r="C226" s="18" t="s">
        <v>1354</v>
      </c>
      <c r="D226" s="18" t="s">
        <v>1355</v>
      </c>
      <c r="E226" s="18" t="s">
        <v>227</v>
      </c>
      <c r="F226" s="12">
        <v>33.0</v>
      </c>
      <c r="G226" s="10" t="s">
        <v>1164</v>
      </c>
      <c r="H226" s="19"/>
      <c r="I226" s="20"/>
      <c r="J226" s="10" t="s">
        <v>1164</v>
      </c>
      <c r="K226" s="21"/>
      <c r="L226" s="10"/>
      <c r="M226" s="22"/>
      <c r="N226" s="10"/>
      <c r="O226" s="10"/>
      <c r="P226" s="12" t="str">
        <f t="shared" si="1"/>
        <v>https://docs.google.com/forms/d/e/1FAIpQLSeZ-R1GrWlAPkfaThGqxeTj0QTtrARw4rroxIIepf2kipn1nw/formResponse?usp=pp_url&amp;entry.1313582257=0092402487 / 252610507&amp;entry.1578404635=Hadir</v>
      </c>
      <c r="Q226" s="23" t="s">
        <v>1356</v>
      </c>
      <c r="R226" s="12" t="s">
        <v>1357</v>
      </c>
      <c r="S226" s="24" t="s">
        <v>1358</v>
      </c>
      <c r="T226" s="23" t="str">
        <f>HYPERLINK("https://drive.google.com/file/d/1gzpEXuJCg4DayCTe1Sy860DjNBIhO9XV/view?usp=drivesdk","33 - X5 - Salsabila Kinaya - P")</f>
        <v>33 - X5 - Salsabila Kinaya - P</v>
      </c>
      <c r="U226" s="12" t="s">
        <v>1348</v>
      </c>
      <c r="W226" s="25">
        <f>COUNTIFS('Form Presensi SCC'!$B:$B, IF($C226&lt;&gt;0, TEXT($C226, "0000000000"), $D226), 'Form Presensi SCC'!$C:$C, "Hadir")</f>
        <v>0</v>
      </c>
      <c r="Y226" s="26"/>
    </row>
    <row r="227" ht="22.5" customHeight="1">
      <c r="A227" s="10">
        <v>226.0</v>
      </c>
      <c r="B227" s="18">
        <v>41.0</v>
      </c>
      <c r="C227" s="18" t="s">
        <v>1359</v>
      </c>
      <c r="D227" s="18" t="s">
        <v>1360</v>
      </c>
      <c r="E227" s="18" t="s">
        <v>227</v>
      </c>
      <c r="F227" s="12">
        <v>33.0</v>
      </c>
      <c r="G227" s="10" t="s">
        <v>1164</v>
      </c>
      <c r="H227" s="19"/>
      <c r="I227" s="20"/>
      <c r="J227" s="10" t="s">
        <v>1164</v>
      </c>
      <c r="K227" s="21"/>
      <c r="L227" s="10"/>
      <c r="M227" s="22"/>
      <c r="N227" s="10"/>
      <c r="O227" s="10"/>
      <c r="P227" s="12" t="str">
        <f t="shared" si="1"/>
        <v>https://docs.google.com/forms/d/e/1FAIpQLSeZ-R1GrWlAPkfaThGqxeTj0QTtrARw4rroxIIepf2kipn1nw/formResponse?usp=pp_url&amp;entry.1313582257=0092706472 / 252610535&amp;entry.1578404635=Hadir</v>
      </c>
      <c r="Q227" s="23" t="s">
        <v>1361</v>
      </c>
      <c r="R227" s="12" t="s">
        <v>1362</v>
      </c>
      <c r="S227" s="24" t="s">
        <v>1363</v>
      </c>
      <c r="T227" s="23" t="str">
        <f>HYPERLINK("https://drive.google.com/file/d/1INlMb4XXl29c1EYZv6ZrdLa-TYt1cyAc/view?usp=drivesdk","33 - X5 - Syarafina Nur Alifatuzahro - P")</f>
        <v>33 - X5 - Syarafina Nur Alifatuzahro - P</v>
      </c>
      <c r="U227" s="12" t="s">
        <v>1348</v>
      </c>
      <c r="W227" s="25">
        <f>COUNTIFS('Form Presensi SCC'!$B:$B, IF($C227&lt;&gt;0, TEXT($C227, "0000000000"), $D227), 'Form Presensi SCC'!$C:$C, "Hadir")</f>
        <v>0</v>
      </c>
      <c r="Y227" s="26"/>
    </row>
    <row r="228" ht="22.5" customHeight="1">
      <c r="A228" s="18">
        <v>227.0</v>
      </c>
      <c r="B228" s="18">
        <v>42.0</v>
      </c>
      <c r="C228" s="18" t="s">
        <v>1364</v>
      </c>
      <c r="D228" s="18" t="s">
        <v>1365</v>
      </c>
      <c r="E228" s="18" t="s">
        <v>227</v>
      </c>
      <c r="F228" s="12">
        <v>33.0</v>
      </c>
      <c r="G228" s="10" t="s">
        <v>1164</v>
      </c>
      <c r="H228" s="19"/>
      <c r="I228" s="20"/>
      <c r="J228" s="10" t="s">
        <v>1164</v>
      </c>
      <c r="K228" s="21"/>
      <c r="L228" s="10"/>
      <c r="M228" s="22"/>
      <c r="N228" s="10"/>
      <c r="O228" s="10"/>
      <c r="P228" s="12" t="str">
        <f t="shared" si="1"/>
        <v>https://docs.google.com/forms/d/e/1FAIpQLSeZ-R1GrWlAPkfaThGqxeTj0QTtrARw4rroxIIepf2kipn1nw/formResponse?usp=pp_url&amp;entry.1313582257=0105183684 / 252610540&amp;entry.1578404635=Hadir</v>
      </c>
      <c r="Q228" s="23" t="s">
        <v>1366</v>
      </c>
      <c r="R228" s="12" t="s">
        <v>1367</v>
      </c>
      <c r="S228" s="24" t="s">
        <v>1368</v>
      </c>
      <c r="T228" s="23" t="str">
        <f>HYPERLINK("https://drive.google.com/file/d/1HK5k4DfXpMYjTWRLebkwz5p4EOxxRT4C/view?usp=drivesdk","33 - X5 - Tanty Amelia Al Rasyid - P")</f>
        <v>33 - X5 - Tanty Amelia Al Rasyid - P</v>
      </c>
      <c r="U228" s="12" t="s">
        <v>1348</v>
      </c>
      <c r="W228" s="25">
        <f>COUNTIFS('Form Presensi SCC'!$B:$B, IF($C228&lt;&gt;0, TEXT($C228, "0000000000"), $D228), 'Form Presensi SCC'!$C:$C, "Hadir")</f>
        <v>0</v>
      </c>
      <c r="Y228" s="26"/>
    </row>
    <row r="229" ht="22.5" customHeight="1">
      <c r="A229" s="10">
        <v>228.0</v>
      </c>
      <c r="B229" s="18">
        <v>43.0</v>
      </c>
      <c r="C229" s="18" t="s">
        <v>1369</v>
      </c>
      <c r="D229" s="18" t="s">
        <v>1370</v>
      </c>
      <c r="E229" s="18" t="s">
        <v>227</v>
      </c>
      <c r="F229" s="12">
        <v>33.0</v>
      </c>
      <c r="G229" s="10" t="s">
        <v>1164</v>
      </c>
      <c r="H229" s="19"/>
      <c r="I229" s="20"/>
      <c r="J229" s="10" t="s">
        <v>1164</v>
      </c>
      <c r="K229" s="21"/>
      <c r="L229" s="10"/>
      <c r="M229" s="22"/>
      <c r="N229" s="10"/>
      <c r="O229" s="10"/>
      <c r="P229" s="12" t="str">
        <f t="shared" si="1"/>
        <v>https://docs.google.com/forms/d/e/1FAIpQLSeZ-R1GrWlAPkfaThGqxeTj0QTtrARw4rroxIIepf2kipn1nw/formResponse?usp=pp_url&amp;entry.1313582257=0098052333 / 252610543&amp;entry.1578404635=Hadir</v>
      </c>
      <c r="Q229" s="23" t="s">
        <v>1371</v>
      </c>
      <c r="R229" s="12" t="s">
        <v>1372</v>
      </c>
      <c r="S229" s="24" t="s">
        <v>1373</v>
      </c>
      <c r="T229" s="23" t="str">
        <f>HYPERLINK("https://drive.google.com/file/d/1gcpNqH-YL8upEXV81W2ULHBthogKd8PE/view?usp=drivesdk","33 - X5 - Teduh Mutiara Hapsari - P")</f>
        <v>33 - X5 - Teduh Mutiara Hapsari - P</v>
      </c>
      <c r="U229" s="12" t="s">
        <v>1374</v>
      </c>
      <c r="W229" s="25">
        <f>COUNTIFS('Form Presensi SCC'!$B:$B, IF($C229&lt;&gt;0, TEXT($C229, "0000000000"), $D229), 'Form Presensi SCC'!$C:$C, "Hadir")</f>
        <v>0</v>
      </c>
      <c r="Y229" s="26"/>
    </row>
    <row r="230" ht="22.5" customHeight="1">
      <c r="A230" s="18">
        <v>229.0</v>
      </c>
      <c r="B230" s="18">
        <v>44.0</v>
      </c>
      <c r="C230" s="18" t="s">
        <v>1375</v>
      </c>
      <c r="D230" s="18" t="s">
        <v>1376</v>
      </c>
      <c r="E230" s="18" t="s">
        <v>220</v>
      </c>
      <c r="F230" s="12">
        <v>33.0</v>
      </c>
      <c r="G230" s="10" t="s">
        <v>1164</v>
      </c>
      <c r="H230" s="19"/>
      <c r="I230" s="20"/>
      <c r="J230" s="10" t="s">
        <v>1164</v>
      </c>
      <c r="K230" s="21"/>
      <c r="L230" s="10"/>
      <c r="M230" s="22"/>
      <c r="N230" s="10"/>
      <c r="O230" s="10"/>
      <c r="P230" s="12" t="str">
        <f t="shared" si="1"/>
        <v>https://docs.google.com/forms/d/e/1FAIpQLSeZ-R1GrWlAPkfaThGqxeTj0QTtrARw4rroxIIepf2kipn1nw/formResponse?usp=pp_url&amp;entry.1313582257=3094664028 / 252610549&amp;entry.1578404635=Hadir</v>
      </c>
      <c r="Q230" s="23" t="s">
        <v>1377</v>
      </c>
      <c r="R230" s="12" t="s">
        <v>1378</v>
      </c>
      <c r="S230" s="24" t="s">
        <v>1379</v>
      </c>
      <c r="T230" s="23" t="str">
        <f>HYPERLINK("https://drive.google.com/file/d/15S7UOzfkcDKS1daQ1MlFVdfT2kBWvDGT/view?usp=drivesdk","33 - X5 - Tubagus Mochamad Rizki Fauzan Faris - L")</f>
        <v>33 - X5 - Tubagus Mochamad Rizki Fauzan Faris - L</v>
      </c>
      <c r="U230" s="12" t="s">
        <v>1374</v>
      </c>
      <c r="W230" s="25">
        <f>COUNTIFS('Form Presensi SCC'!$B:$B, IF($C230&lt;&gt;0, TEXT($C230, "0000000000"), $D230), 'Form Presensi SCC'!$C:$C, "Hadir")</f>
        <v>0</v>
      </c>
      <c r="Y230" s="26"/>
    </row>
    <row r="231" ht="22.5" customHeight="1">
      <c r="A231" s="10">
        <v>230.0</v>
      </c>
      <c r="B231" s="18">
        <v>45.0</v>
      </c>
      <c r="C231" s="18" t="s">
        <v>1380</v>
      </c>
      <c r="D231" s="18" t="s">
        <v>1381</v>
      </c>
      <c r="E231" s="18" t="s">
        <v>227</v>
      </c>
      <c r="F231" s="12">
        <v>33.0</v>
      </c>
      <c r="G231" s="10" t="s">
        <v>1164</v>
      </c>
      <c r="H231" s="19"/>
      <c r="I231" s="20"/>
      <c r="J231" s="10" t="s">
        <v>1164</v>
      </c>
      <c r="K231" s="21"/>
      <c r="L231" s="10"/>
      <c r="M231" s="22"/>
      <c r="N231" s="10"/>
      <c r="O231" s="10"/>
      <c r="P231" s="12" t="str">
        <f t="shared" si="1"/>
        <v>https://docs.google.com/forms/d/e/1FAIpQLSeZ-R1GrWlAPkfaThGqxeTj0QTtrARw4rroxIIepf2kipn1nw/formResponse?usp=pp_url&amp;entry.1313582257=0099429653 / 252610554&amp;entry.1578404635=Hadir</v>
      </c>
      <c r="Q231" s="23" t="s">
        <v>1382</v>
      </c>
      <c r="R231" s="12" t="s">
        <v>1383</v>
      </c>
      <c r="S231" s="24" t="s">
        <v>1384</v>
      </c>
      <c r="T231" s="23" t="str">
        <f>HYPERLINK("https://drive.google.com/file/d/17XltOqPsvfGgvneKk44bFRkExhUorUd0/view?usp=drivesdk","33 - X5 - Yanza Rizkia Salsabillah - P")</f>
        <v>33 - X5 - Yanza Rizkia Salsabillah - P</v>
      </c>
      <c r="U231" s="12" t="s">
        <v>1374</v>
      </c>
      <c r="W231" s="25">
        <f>COUNTIFS('Form Presensi SCC'!$B:$B, IF($C231&lt;&gt;0, TEXT($C231, "0000000000"), $D231), 'Form Presensi SCC'!$C:$C, "Hadir")</f>
        <v>0</v>
      </c>
      <c r="Y231" s="26"/>
    </row>
    <row r="232" ht="22.5" customHeight="1">
      <c r="A232" s="18">
        <v>231.0</v>
      </c>
      <c r="B232" s="18">
        <v>1.0</v>
      </c>
      <c r="C232" s="18" t="s">
        <v>1385</v>
      </c>
      <c r="D232" s="18" t="s">
        <v>1386</v>
      </c>
      <c r="E232" s="18" t="s">
        <v>220</v>
      </c>
      <c r="F232" s="12">
        <v>33.0</v>
      </c>
      <c r="G232" s="10" t="s">
        <v>1387</v>
      </c>
      <c r="H232" s="19"/>
      <c r="I232" s="20"/>
      <c r="J232" s="10" t="s">
        <v>1387</v>
      </c>
      <c r="K232" s="21"/>
      <c r="L232" s="10"/>
      <c r="M232" s="22"/>
      <c r="N232" s="10"/>
      <c r="O232" s="10"/>
      <c r="P232" s="12" t="str">
        <f t="shared" si="1"/>
        <v>https://docs.google.com/forms/d/e/1FAIpQLSeZ-R1GrWlAPkfaThGqxeTj0QTtrARw4rroxIIepf2kipn1nw/formResponse?usp=pp_url&amp;entry.1313582257=0096316890 / 252610005&amp;entry.1578404635=Hadir</v>
      </c>
      <c r="Q232" s="23" t="s">
        <v>1388</v>
      </c>
      <c r="R232" s="12" t="s">
        <v>1389</v>
      </c>
      <c r="S232" s="24" t="s">
        <v>1390</v>
      </c>
      <c r="T232" s="23" t="str">
        <f>HYPERLINK("https://drive.google.com/file/d/1I0NRcb_l88_W1gccrG4LAkOzficE5sdI/view?usp=drivesdk","33 - X6 - Achmad Firza Ghibran - L")</f>
        <v>33 - X6 - Achmad Firza Ghibran - L</v>
      </c>
      <c r="U232" s="12" t="s">
        <v>1374</v>
      </c>
      <c r="W232" s="25">
        <f>COUNTIFS('Form Presensi SCC'!$B:$B, IF($C232&lt;&gt;0, TEXT($C232, "0000000000"), $D232), 'Form Presensi SCC'!$C:$C, "Hadir")</f>
        <v>0</v>
      </c>
      <c r="Y232" s="26"/>
    </row>
    <row r="233" ht="22.5" customHeight="1">
      <c r="A233" s="10">
        <v>232.0</v>
      </c>
      <c r="B233" s="18">
        <v>2.0</v>
      </c>
      <c r="C233" s="18" t="s">
        <v>1391</v>
      </c>
      <c r="D233" s="18" t="s">
        <v>1392</v>
      </c>
      <c r="E233" s="18" t="s">
        <v>220</v>
      </c>
      <c r="F233" s="12">
        <v>33.0</v>
      </c>
      <c r="G233" s="10" t="s">
        <v>1387</v>
      </c>
      <c r="H233" s="19"/>
      <c r="I233" s="20"/>
      <c r="J233" s="10" t="s">
        <v>1387</v>
      </c>
      <c r="K233" s="21"/>
      <c r="L233" s="10"/>
      <c r="M233" s="22"/>
      <c r="N233" s="10"/>
      <c r="O233" s="10"/>
      <c r="P233" s="12" t="str">
        <f t="shared" si="1"/>
        <v>https://docs.google.com/forms/d/e/1FAIpQLSeZ-R1GrWlAPkfaThGqxeTj0QTtrARw4rroxIIepf2kipn1nw/formResponse?usp=pp_url&amp;entry.1313582257=0091825991 / 252610009&amp;entry.1578404635=Hadir</v>
      </c>
      <c r="Q233" s="23" t="s">
        <v>1393</v>
      </c>
      <c r="R233" s="12" t="s">
        <v>1394</v>
      </c>
      <c r="S233" s="24" t="s">
        <v>1395</v>
      </c>
      <c r="T233" s="23" t="str">
        <f>HYPERLINK("https://drive.google.com/file/d/1PWefSw__xYOs6KIo-U-Dj0fDPaPPSPwT/view?usp=drivesdk","33 - X6 - Adi Pati Jaya Prana - L")</f>
        <v>33 - X6 - Adi Pati Jaya Prana - L</v>
      </c>
      <c r="U233" s="12" t="s">
        <v>1374</v>
      </c>
      <c r="W233" s="25">
        <f>COUNTIFS('Form Presensi SCC'!$B:$B, IF($C233&lt;&gt;0, TEXT($C233, "0000000000"), $D233), 'Form Presensi SCC'!$C:$C, "Hadir")</f>
        <v>0</v>
      </c>
      <c r="Y233" s="26"/>
    </row>
    <row r="234" ht="22.5" customHeight="1">
      <c r="A234" s="18">
        <v>233.0</v>
      </c>
      <c r="B234" s="18">
        <v>3.0</v>
      </c>
      <c r="C234" s="18" t="s">
        <v>1396</v>
      </c>
      <c r="D234" s="18" t="s">
        <v>1397</v>
      </c>
      <c r="E234" s="18" t="s">
        <v>227</v>
      </c>
      <c r="F234" s="12">
        <v>33.0</v>
      </c>
      <c r="G234" s="10" t="s">
        <v>1387</v>
      </c>
      <c r="H234" s="19"/>
      <c r="I234" s="20"/>
      <c r="J234" s="10" t="s">
        <v>1387</v>
      </c>
      <c r="K234" s="21"/>
      <c r="L234" s="10"/>
      <c r="M234" s="22"/>
      <c r="N234" s="10"/>
      <c r="O234" s="10"/>
      <c r="P234" s="12" t="str">
        <f t="shared" si="1"/>
        <v>https://docs.google.com/forms/d/e/1FAIpQLSeZ-R1GrWlAPkfaThGqxeTj0QTtrARw4rroxIIepf2kipn1nw/formResponse?usp=pp_url&amp;entry.1313582257=0094216872 / 252610036&amp;entry.1578404635=Hadir</v>
      </c>
      <c r="Q234" s="23" t="s">
        <v>1398</v>
      </c>
      <c r="R234" s="12" t="s">
        <v>1399</v>
      </c>
      <c r="S234" s="24" t="s">
        <v>1400</v>
      </c>
      <c r="T234" s="23" t="str">
        <f>HYPERLINK("https://drive.google.com/file/d/1TpnyvYXaZDZpOOXs_lE4mwo-FBBteq6S/view?usp=drivesdk","33 - X6 - Alfany Himma Roudina - P")</f>
        <v>33 - X6 - Alfany Himma Roudina - P</v>
      </c>
      <c r="U234" s="12" t="s">
        <v>1401</v>
      </c>
      <c r="W234" s="25">
        <f>COUNTIFS('Form Presensi SCC'!$B:$B, IF($C234&lt;&gt;0, TEXT($C234, "0000000000"), $D234), 'Form Presensi SCC'!$C:$C, "Hadir")</f>
        <v>0</v>
      </c>
      <c r="Y234" s="26"/>
    </row>
    <row r="235" ht="22.5" customHeight="1">
      <c r="A235" s="10">
        <v>234.0</v>
      </c>
      <c r="B235" s="18">
        <v>4.0</v>
      </c>
      <c r="C235" s="18" t="s">
        <v>165</v>
      </c>
      <c r="D235" s="18" t="s">
        <v>1402</v>
      </c>
      <c r="E235" s="18" t="s">
        <v>227</v>
      </c>
      <c r="F235" s="12">
        <v>33.0</v>
      </c>
      <c r="G235" s="10" t="s">
        <v>1387</v>
      </c>
      <c r="H235" s="19"/>
      <c r="I235" s="20"/>
      <c r="J235" s="10" t="s">
        <v>1387</v>
      </c>
      <c r="K235" s="21"/>
      <c r="L235" s="10"/>
      <c r="M235" s="22"/>
      <c r="N235" s="10"/>
      <c r="O235" s="10"/>
      <c r="P235" s="12" t="str">
        <f t="shared" si="1"/>
        <v>https://docs.google.com/forms/d/e/1FAIpQLSeZ-R1GrWlAPkfaThGqxeTj0QTtrARw4rroxIIepf2kipn1nw/formResponse?usp=pp_url&amp;entry.1313582257=3093210071 / 252610042&amp;entry.1578404635=Hadir</v>
      </c>
      <c r="Q235" s="23" t="s">
        <v>1403</v>
      </c>
      <c r="R235" s="12" t="s">
        <v>1404</v>
      </c>
      <c r="S235" s="24" t="s">
        <v>1405</v>
      </c>
      <c r="T235" s="23" t="str">
        <f>HYPERLINK("https://drive.google.com/file/d/1HF-0BU14t34QAT-GnVQGN0ygUbXjRMZg/view?usp=drivesdk","33 - X6 - Alisa Putri - P")</f>
        <v>33 - X6 - Alisa Putri - P</v>
      </c>
      <c r="U235" s="12" t="s">
        <v>1401</v>
      </c>
      <c r="W235" s="25">
        <f>COUNTIFS('Form Presensi SCC'!$B:$B, IF($C235&lt;&gt;0, TEXT($C235, "0000000000"), $D235), 'Form Presensi SCC'!$C:$C, "Hadir")</f>
        <v>4</v>
      </c>
      <c r="Y235" s="26"/>
    </row>
    <row r="236" ht="22.5" customHeight="1">
      <c r="A236" s="18">
        <v>235.0</v>
      </c>
      <c r="B236" s="18">
        <v>5.0</v>
      </c>
      <c r="C236" s="18" t="s">
        <v>167</v>
      </c>
      <c r="D236" s="18" t="s">
        <v>1406</v>
      </c>
      <c r="E236" s="18" t="s">
        <v>227</v>
      </c>
      <c r="F236" s="12">
        <v>33.0</v>
      </c>
      <c r="G236" s="10" t="s">
        <v>1387</v>
      </c>
      <c r="H236" s="19"/>
      <c r="I236" s="20"/>
      <c r="J236" s="10" t="s">
        <v>1387</v>
      </c>
      <c r="K236" s="21"/>
      <c r="L236" s="10"/>
      <c r="M236" s="22"/>
      <c r="N236" s="10"/>
      <c r="O236" s="10"/>
      <c r="P236" s="12" t="str">
        <f t="shared" si="1"/>
        <v>https://docs.google.com/forms/d/e/1FAIpQLSeZ-R1GrWlAPkfaThGqxeTj0QTtrARw4rroxIIepf2kipn1nw/formResponse?usp=pp_url&amp;entry.1313582257=0099344894 / 252610072&amp;entry.1578404635=Hadir</v>
      </c>
      <c r="Q236" s="23" t="s">
        <v>1407</v>
      </c>
      <c r="R236" s="12" t="s">
        <v>1408</v>
      </c>
      <c r="S236" s="24" t="s">
        <v>1409</v>
      </c>
      <c r="T236" s="23" t="str">
        <f>HYPERLINK("https://drive.google.com/file/d/1QJBh0NFgDhD1-3izu7NIFETXYf4HYedi/view?usp=drivesdk","33 - X6 - Aqila Noya Faiza - P")</f>
        <v>33 - X6 - Aqila Noya Faiza - P</v>
      </c>
      <c r="U236" s="12" t="s">
        <v>1401</v>
      </c>
      <c r="W236" s="25">
        <f>COUNTIFS('Form Presensi SCC'!$B:$B, IF($C236&lt;&gt;0, TEXT($C236, "0000000000"), $D236), 'Form Presensi SCC'!$C:$C, "Hadir")</f>
        <v>2</v>
      </c>
      <c r="Y236" s="26"/>
    </row>
    <row r="237" ht="22.5" customHeight="1">
      <c r="A237" s="10">
        <v>236.0</v>
      </c>
      <c r="B237" s="18">
        <v>6.0</v>
      </c>
      <c r="C237" s="18" t="s">
        <v>1410</v>
      </c>
      <c r="D237" s="18" t="s">
        <v>1411</v>
      </c>
      <c r="E237" s="18" t="s">
        <v>227</v>
      </c>
      <c r="F237" s="12">
        <v>33.0</v>
      </c>
      <c r="G237" s="10" t="s">
        <v>1387</v>
      </c>
      <c r="H237" s="19"/>
      <c r="I237" s="20"/>
      <c r="J237" s="10" t="s">
        <v>1387</v>
      </c>
      <c r="K237" s="21"/>
      <c r="L237" s="10"/>
      <c r="M237" s="22"/>
      <c r="N237" s="10"/>
      <c r="O237" s="10"/>
      <c r="P237" s="12" t="str">
        <f t="shared" si="1"/>
        <v>https://docs.google.com/forms/d/e/1FAIpQLSeZ-R1GrWlAPkfaThGqxeTj0QTtrARw4rroxIIepf2kipn1nw/formResponse?usp=pp_url&amp;entry.1313582257=0109520546 / 252610120&amp;entry.1578404635=Hadir</v>
      </c>
      <c r="Q237" s="23" t="s">
        <v>1412</v>
      </c>
      <c r="R237" s="12" t="s">
        <v>1413</v>
      </c>
      <c r="S237" s="24" t="s">
        <v>1414</v>
      </c>
      <c r="T237" s="23" t="str">
        <f>HYPERLINK("https://drive.google.com/file/d/1CtxI6QsPaPFwQjW0hZMmrP6zPKKpN0R5/view?usp=drivesdk","33 - X6 - Bernala Baratama Sirait - P")</f>
        <v>33 - X6 - Bernala Baratama Sirait - P</v>
      </c>
      <c r="U237" s="12" t="s">
        <v>1401</v>
      </c>
      <c r="W237" s="25">
        <f>COUNTIFS('Form Presensi SCC'!$B:$B, IF($C237&lt;&gt;0, TEXT($C237, "0000000000"), $D237), 'Form Presensi SCC'!$C:$C, "Hadir")</f>
        <v>0</v>
      </c>
      <c r="Y237" s="26"/>
    </row>
    <row r="238" ht="22.5" customHeight="1">
      <c r="A238" s="18">
        <v>237.0</v>
      </c>
      <c r="B238" s="18">
        <v>7.0</v>
      </c>
      <c r="C238" s="18" t="s">
        <v>168</v>
      </c>
      <c r="D238" s="18" t="s">
        <v>1415</v>
      </c>
      <c r="E238" s="18" t="s">
        <v>227</v>
      </c>
      <c r="F238" s="12">
        <v>33.0</v>
      </c>
      <c r="G238" s="10" t="s">
        <v>1387</v>
      </c>
      <c r="H238" s="19"/>
      <c r="I238" s="20"/>
      <c r="J238" s="10" t="s">
        <v>1387</v>
      </c>
      <c r="K238" s="21"/>
      <c r="L238" s="10"/>
      <c r="M238" s="22"/>
      <c r="N238" s="10"/>
      <c r="O238" s="10"/>
      <c r="P238" s="12" t="str">
        <f t="shared" si="1"/>
        <v>https://docs.google.com/forms/d/e/1FAIpQLSeZ-R1GrWlAPkfaThGqxeTj0QTtrARw4rroxIIepf2kipn1nw/formResponse?usp=pp_url&amp;entry.1313582257=0104799326 / 252610134&amp;entry.1578404635=Hadir</v>
      </c>
      <c r="Q238" s="23" t="s">
        <v>1416</v>
      </c>
      <c r="R238" s="12" t="s">
        <v>1417</v>
      </c>
      <c r="S238" s="24" t="s">
        <v>1418</v>
      </c>
      <c r="T238" s="23" t="str">
        <f>HYPERLINK("https://drive.google.com/file/d/1CJNbCwFZzDF0hh2uR6eBgqWidJlSlKDl/view?usp=drivesdk","33 - X6 - Chempaka Balqist Zavira Mentary Misman - P")</f>
        <v>33 - X6 - Chempaka Balqist Zavira Mentary Misman - P</v>
      </c>
      <c r="U238" s="12" t="s">
        <v>1401</v>
      </c>
      <c r="W238" s="25">
        <f>COUNTIFS('Form Presensi SCC'!$B:$B, IF($C238&lt;&gt;0, TEXT($C238, "0000000000"), $D238), 'Form Presensi SCC'!$C:$C, "Hadir")</f>
        <v>1</v>
      </c>
      <c r="Y238" s="26"/>
    </row>
    <row r="239" ht="22.5" customHeight="1">
      <c r="A239" s="10">
        <v>238.0</v>
      </c>
      <c r="B239" s="18">
        <v>8.0</v>
      </c>
      <c r="C239" s="18" t="s">
        <v>1419</v>
      </c>
      <c r="D239" s="18" t="s">
        <v>1420</v>
      </c>
      <c r="E239" s="18" t="s">
        <v>220</v>
      </c>
      <c r="F239" s="12">
        <v>33.0</v>
      </c>
      <c r="G239" s="10" t="s">
        <v>1387</v>
      </c>
      <c r="H239" s="19"/>
      <c r="I239" s="20"/>
      <c r="J239" s="10" t="s">
        <v>1387</v>
      </c>
      <c r="K239" s="21"/>
      <c r="L239" s="10"/>
      <c r="M239" s="22"/>
      <c r="N239" s="10"/>
      <c r="O239" s="10"/>
      <c r="P239" s="12" t="str">
        <f t="shared" si="1"/>
        <v>https://docs.google.com/forms/d/e/1FAIpQLSeZ-R1GrWlAPkfaThGqxeTj0QTtrARw4rroxIIepf2kipn1nw/formResponse?usp=pp_url&amp;entry.1313582257=0081552525 / 252610150&amp;entry.1578404635=Hadir</v>
      </c>
      <c r="Q239" s="23" t="s">
        <v>1421</v>
      </c>
      <c r="R239" s="12" t="s">
        <v>1422</v>
      </c>
      <c r="S239" s="24" t="s">
        <v>1423</v>
      </c>
      <c r="T239" s="23" t="str">
        <f>HYPERLINK("https://drive.google.com/file/d/1UMsXMsgjM77aGNsWvz4HxWf6egi5pHX2/view?usp=drivesdk","33 - X6 - Defrino Viernadi Laitnis Yusfa - L")</f>
        <v>33 - X6 - Defrino Viernadi Laitnis Yusfa - L</v>
      </c>
      <c r="U239" s="12" t="s">
        <v>1401</v>
      </c>
      <c r="W239" s="25">
        <f>COUNTIFS('Form Presensi SCC'!$B:$B, IF($C239&lt;&gt;0, TEXT($C239, "0000000000"), $D239), 'Form Presensi SCC'!$C:$C, "Hadir")</f>
        <v>0</v>
      </c>
      <c r="Y239" s="26"/>
    </row>
    <row r="240" ht="22.5" customHeight="1">
      <c r="A240" s="18">
        <v>239.0</v>
      </c>
      <c r="B240" s="18">
        <v>9.0</v>
      </c>
      <c r="C240" s="18" t="s">
        <v>169</v>
      </c>
      <c r="D240" s="18" t="s">
        <v>1424</v>
      </c>
      <c r="E240" s="18" t="s">
        <v>227</v>
      </c>
      <c r="F240" s="12">
        <v>33.0</v>
      </c>
      <c r="G240" s="10" t="s">
        <v>1387</v>
      </c>
      <c r="H240" s="19"/>
      <c r="I240" s="20"/>
      <c r="J240" s="10" t="s">
        <v>1387</v>
      </c>
      <c r="K240" s="21"/>
      <c r="L240" s="10"/>
      <c r="M240" s="22"/>
      <c r="N240" s="10"/>
      <c r="O240" s="10"/>
      <c r="P240" s="12" t="str">
        <f t="shared" si="1"/>
        <v>https://docs.google.com/forms/d/e/1FAIpQLSeZ-R1GrWlAPkfaThGqxeTj0QTtrARw4rroxIIepf2kipn1nw/formResponse?usp=pp_url&amp;entry.1313582257=0099286083 / 252610157&amp;entry.1578404635=Hadir</v>
      </c>
      <c r="Q240" s="23" t="s">
        <v>1425</v>
      </c>
      <c r="R240" s="12" t="s">
        <v>1426</v>
      </c>
      <c r="S240" s="24" t="s">
        <v>1427</v>
      </c>
      <c r="T240" s="23" t="str">
        <f>HYPERLINK("https://drive.google.com/file/d/1R_AD_g3bdmjOr0gftsxpQHjUF69UnrM6/view?usp=drivesdk","33 - X6 - Dhia Salsabila - P")</f>
        <v>33 - X6 - Dhia Salsabila - P</v>
      </c>
      <c r="U240" s="12" t="s">
        <v>1428</v>
      </c>
      <c r="W240" s="25">
        <f>COUNTIFS('Form Presensi SCC'!$B:$B, IF($C240&lt;&gt;0, TEXT($C240, "0000000000"), $D240), 'Form Presensi SCC'!$C:$C, "Hadir")</f>
        <v>3</v>
      </c>
      <c r="Y240" s="26"/>
    </row>
    <row r="241" ht="22.5" customHeight="1">
      <c r="A241" s="10">
        <v>240.0</v>
      </c>
      <c r="B241" s="18">
        <v>10.0</v>
      </c>
      <c r="C241" s="18" t="s">
        <v>170</v>
      </c>
      <c r="D241" s="18" t="s">
        <v>1429</v>
      </c>
      <c r="E241" s="18" t="s">
        <v>227</v>
      </c>
      <c r="F241" s="12">
        <v>33.0</v>
      </c>
      <c r="G241" s="10" t="s">
        <v>1387</v>
      </c>
      <c r="H241" s="19"/>
      <c r="I241" s="20"/>
      <c r="J241" s="10" t="s">
        <v>1387</v>
      </c>
      <c r="K241" s="21"/>
      <c r="L241" s="10"/>
      <c r="M241" s="22"/>
      <c r="N241" s="10"/>
      <c r="O241" s="10"/>
      <c r="P241" s="12" t="str">
        <f t="shared" si="1"/>
        <v>https://docs.google.com/forms/d/e/1FAIpQLSeZ-R1GrWlAPkfaThGqxeTj0QTtrARw4rroxIIepf2kipn1nw/formResponse?usp=pp_url&amp;entry.1313582257=0093451857 / 252610167&amp;entry.1578404635=Hadir</v>
      </c>
      <c r="Q241" s="23" t="s">
        <v>1430</v>
      </c>
      <c r="R241" s="12" t="s">
        <v>1431</v>
      </c>
      <c r="S241" s="24" t="s">
        <v>1432</v>
      </c>
      <c r="T241" s="23" t="str">
        <f>HYPERLINK("https://drive.google.com/file/d/1L8JiYxqOsjpzv31flJUfXdiXVn7YQTk4/view?usp=drivesdk","33 - X6 - Dinda Dyah Pitaloka - P")</f>
        <v>33 - X6 - Dinda Dyah Pitaloka - P</v>
      </c>
      <c r="U241" s="12" t="s">
        <v>1428</v>
      </c>
      <c r="W241" s="25">
        <f>COUNTIFS('Form Presensi SCC'!$B:$B, IF($C241&lt;&gt;0, TEXT($C241, "0000000000"), $D241), 'Form Presensi SCC'!$C:$C, "Hadir")</f>
        <v>4</v>
      </c>
      <c r="Y241" s="26"/>
    </row>
    <row r="242" ht="22.5" customHeight="1">
      <c r="A242" s="18">
        <v>241.0</v>
      </c>
      <c r="B242" s="18">
        <v>11.0</v>
      </c>
      <c r="C242" s="18" t="s">
        <v>171</v>
      </c>
      <c r="D242" s="18" t="s">
        <v>1433</v>
      </c>
      <c r="E242" s="18" t="s">
        <v>220</v>
      </c>
      <c r="F242" s="12">
        <v>33.0</v>
      </c>
      <c r="G242" s="10" t="s">
        <v>1387</v>
      </c>
      <c r="H242" s="19"/>
      <c r="I242" s="20"/>
      <c r="J242" s="10" t="s">
        <v>1387</v>
      </c>
      <c r="K242" s="21"/>
      <c r="L242" s="10"/>
      <c r="M242" s="22"/>
      <c r="N242" s="10"/>
      <c r="O242" s="10"/>
      <c r="P242" s="12" t="str">
        <f t="shared" si="1"/>
        <v>https://docs.google.com/forms/d/e/1FAIpQLSeZ-R1GrWlAPkfaThGqxeTj0QTtrARw4rroxIIepf2kipn1nw/formResponse?usp=pp_url&amp;entry.1313582257=0074430959 / 252610172&amp;entry.1578404635=Hadir</v>
      </c>
      <c r="Q242" s="23" t="s">
        <v>1434</v>
      </c>
      <c r="R242" s="12" t="s">
        <v>1435</v>
      </c>
      <c r="S242" s="24" t="s">
        <v>1436</v>
      </c>
      <c r="T242" s="23" t="str">
        <f>HYPERLINK("https://drive.google.com/file/d/1HULAlrD_vMvhXONRCIgJDj9oxEA6-_no/view?usp=drivesdk","33 - X6 - Dwi Irmawati - L")</f>
        <v>33 - X6 - Dwi Irmawati - L</v>
      </c>
      <c r="U242" s="12" t="s">
        <v>1428</v>
      </c>
      <c r="W242" s="25">
        <f>COUNTIFS('Form Presensi SCC'!$B:$B, IF($C242&lt;&gt;0, TEXT($C242, "0000000000"), $D242), 'Form Presensi SCC'!$C:$C, "Hadir")</f>
        <v>4</v>
      </c>
      <c r="Y242" s="26"/>
    </row>
    <row r="243" ht="22.5" customHeight="1">
      <c r="A243" s="10">
        <v>242.0</v>
      </c>
      <c r="B243" s="18">
        <v>12.0</v>
      </c>
      <c r="C243" s="18" t="s">
        <v>1437</v>
      </c>
      <c r="D243" s="18" t="s">
        <v>1438</v>
      </c>
      <c r="E243" s="18" t="s">
        <v>220</v>
      </c>
      <c r="F243" s="12">
        <v>33.0</v>
      </c>
      <c r="G243" s="10" t="s">
        <v>1387</v>
      </c>
      <c r="H243" s="19"/>
      <c r="I243" s="20"/>
      <c r="J243" s="10" t="s">
        <v>1387</v>
      </c>
      <c r="K243" s="21"/>
      <c r="L243" s="10"/>
      <c r="M243" s="22"/>
      <c r="N243" s="10"/>
      <c r="O243" s="10"/>
      <c r="P243" s="12" t="str">
        <f t="shared" si="1"/>
        <v>https://docs.google.com/forms/d/e/1FAIpQLSeZ-R1GrWlAPkfaThGqxeTj0QTtrARw4rroxIIepf2kipn1nw/formResponse?usp=pp_url&amp;entry.1313582257=0096744611 / 252610176&amp;entry.1578404635=Hadir</v>
      </c>
      <c r="Q243" s="23" t="s">
        <v>1439</v>
      </c>
      <c r="R243" s="12" t="s">
        <v>1440</v>
      </c>
      <c r="S243" s="24" t="s">
        <v>1441</v>
      </c>
      <c r="T243" s="23" t="str">
        <f>HYPERLINK("https://drive.google.com/file/d/17d2yn5K1mCkIGEHrDhAUkT0dfZW1f65J/view?usp=drivesdk","33 - X6 - Egi Surjana - L")</f>
        <v>33 - X6 - Egi Surjana - L</v>
      </c>
      <c r="U243" s="12" t="s">
        <v>1428</v>
      </c>
      <c r="W243" s="25">
        <f>COUNTIFS('Form Presensi SCC'!$B:$B, IF($C243&lt;&gt;0, TEXT($C243, "0000000000"), $D243), 'Form Presensi SCC'!$C:$C, "Hadir")</f>
        <v>0</v>
      </c>
      <c r="Y243" s="26"/>
    </row>
    <row r="244" ht="22.5" customHeight="1">
      <c r="A244" s="18">
        <v>243.0</v>
      </c>
      <c r="B244" s="18">
        <v>13.0</v>
      </c>
      <c r="C244" s="18" t="s">
        <v>173</v>
      </c>
      <c r="D244" s="18" t="s">
        <v>1442</v>
      </c>
      <c r="E244" s="18" t="s">
        <v>227</v>
      </c>
      <c r="F244" s="12">
        <v>33.0</v>
      </c>
      <c r="G244" s="10" t="s">
        <v>1387</v>
      </c>
      <c r="H244" s="19"/>
      <c r="I244" s="20"/>
      <c r="J244" s="10" t="s">
        <v>1387</v>
      </c>
      <c r="K244" s="21"/>
      <c r="L244" s="10"/>
      <c r="M244" s="22"/>
      <c r="N244" s="10"/>
      <c r="O244" s="10"/>
      <c r="P244" s="12" t="str">
        <f t="shared" si="1"/>
        <v>https://docs.google.com/forms/d/e/1FAIpQLSeZ-R1GrWlAPkfaThGqxeTj0QTtrARw4rroxIIepf2kipn1nw/formResponse?usp=pp_url&amp;entry.1313582257=0091620147 / 252610189&amp;entry.1578404635=Hadir</v>
      </c>
      <c r="Q244" s="23" t="s">
        <v>1443</v>
      </c>
      <c r="R244" s="12" t="s">
        <v>1444</v>
      </c>
      <c r="S244" s="24" t="s">
        <v>1445</v>
      </c>
      <c r="T244" s="23" t="str">
        <f>HYPERLINK("https://drive.google.com/file/d/1GcITi9Z6f7WS4oYGGS2D2tU5Pwghd_TC/view?usp=drivesdk","33 - X6 - Faiha Raqilla Darmawan - P")</f>
        <v>33 - X6 - Faiha Raqilla Darmawan - P</v>
      </c>
      <c r="U244" s="12" t="s">
        <v>1428</v>
      </c>
      <c r="W244" s="25">
        <f>COUNTIFS('Form Presensi SCC'!$B:$B, IF($C244&lt;&gt;0, TEXT($C244, "0000000000"), $D244), 'Form Presensi SCC'!$C:$C, "Hadir")</f>
        <v>1</v>
      </c>
      <c r="Y244" s="26"/>
    </row>
    <row r="245" ht="22.5" customHeight="1">
      <c r="A245" s="10">
        <v>244.0</v>
      </c>
      <c r="B245" s="18">
        <v>14.0</v>
      </c>
      <c r="C245" s="18" t="s">
        <v>174</v>
      </c>
      <c r="D245" s="18" t="s">
        <v>1446</v>
      </c>
      <c r="E245" s="18" t="s">
        <v>227</v>
      </c>
      <c r="F245" s="12">
        <v>33.0</v>
      </c>
      <c r="G245" s="10" t="s">
        <v>1387</v>
      </c>
      <c r="H245" s="19"/>
      <c r="I245" s="20"/>
      <c r="J245" s="10" t="s">
        <v>1387</v>
      </c>
      <c r="K245" s="21"/>
      <c r="L245" s="10"/>
      <c r="M245" s="22"/>
      <c r="N245" s="10"/>
      <c r="O245" s="10"/>
      <c r="P245" s="12" t="str">
        <f t="shared" si="1"/>
        <v>https://docs.google.com/forms/d/e/1FAIpQLSeZ-R1GrWlAPkfaThGqxeTj0QTtrARw4rroxIIepf2kipn1nw/formResponse?usp=pp_url&amp;entry.1313582257=0093286261 / 252610194&amp;entry.1578404635=Hadir</v>
      </c>
      <c r="Q245" s="23" t="s">
        <v>1447</v>
      </c>
      <c r="R245" s="12" t="s">
        <v>1448</v>
      </c>
      <c r="S245" s="24" t="s">
        <v>1449</v>
      </c>
      <c r="T245" s="23" t="str">
        <f>HYPERLINK("https://drive.google.com/file/d/1LaOPvRE23-EGEZMKY68pbwFl6Tu9E0ko/view?usp=drivesdk","33 - X6 - Fanesya Agfrisfidia - P")</f>
        <v>33 - X6 - Fanesya Agfrisfidia - P</v>
      </c>
      <c r="U245" s="12" t="s">
        <v>1428</v>
      </c>
      <c r="W245" s="25">
        <f>COUNTIFS('Form Presensi SCC'!$B:$B, IF($C245&lt;&gt;0, TEXT($C245, "0000000000"), $D245), 'Form Presensi SCC'!$C:$C, "Hadir")</f>
        <v>4</v>
      </c>
      <c r="Y245" s="26"/>
    </row>
    <row r="246" ht="22.5" customHeight="1">
      <c r="A246" s="18">
        <v>245.0</v>
      </c>
      <c r="B246" s="18">
        <v>15.0</v>
      </c>
      <c r="C246" s="18" t="s">
        <v>1450</v>
      </c>
      <c r="D246" s="18" t="s">
        <v>1451</v>
      </c>
      <c r="E246" s="18" t="s">
        <v>227</v>
      </c>
      <c r="F246" s="12">
        <v>33.0</v>
      </c>
      <c r="G246" s="10" t="s">
        <v>1387</v>
      </c>
      <c r="H246" s="19"/>
      <c r="I246" s="20"/>
      <c r="J246" s="10" t="s">
        <v>1387</v>
      </c>
      <c r="K246" s="21"/>
      <c r="L246" s="10"/>
      <c r="M246" s="22"/>
      <c r="N246" s="10"/>
      <c r="O246" s="10"/>
      <c r="P246" s="12" t="str">
        <f t="shared" si="1"/>
        <v>https://docs.google.com/forms/d/e/1FAIpQLSeZ-R1GrWlAPkfaThGqxeTj0QTtrARw4rroxIIepf2kipn1nw/formResponse?usp=pp_url&amp;entry.1313582257=0092383688 / 252610195&amp;entry.1578404635=Hadir</v>
      </c>
      <c r="Q246" s="23" t="s">
        <v>1452</v>
      </c>
      <c r="R246" s="12" t="s">
        <v>1453</v>
      </c>
      <c r="S246" s="24" t="s">
        <v>1454</v>
      </c>
      <c r="T246" s="23" t="str">
        <f>HYPERLINK("https://drive.google.com/file/d/1t2mvjWinLOccTgPRRVD-rpYoGRIEaFbS/view?usp=drivesdk","33 - X6 - Fanisa Nurkamila Hamdani - P")</f>
        <v>33 - X6 - Fanisa Nurkamila Hamdani - P</v>
      </c>
      <c r="U246" s="12" t="s">
        <v>1428</v>
      </c>
      <c r="W246" s="25">
        <f>COUNTIFS('Form Presensi SCC'!$B:$B, IF($C246&lt;&gt;0, TEXT($C246, "0000000000"), $D246), 'Form Presensi SCC'!$C:$C, "Hadir")</f>
        <v>0</v>
      </c>
      <c r="Y246" s="26"/>
    </row>
    <row r="247" ht="22.5" customHeight="1">
      <c r="A247" s="10">
        <v>246.0</v>
      </c>
      <c r="B247" s="18">
        <v>16.0</v>
      </c>
      <c r="C247" s="18" t="s">
        <v>1455</v>
      </c>
      <c r="D247" s="18" t="s">
        <v>1456</v>
      </c>
      <c r="E247" s="18" t="s">
        <v>220</v>
      </c>
      <c r="F247" s="12">
        <v>33.0</v>
      </c>
      <c r="G247" s="10" t="s">
        <v>1387</v>
      </c>
      <c r="H247" s="19"/>
      <c r="I247" s="20"/>
      <c r="J247" s="10" t="s">
        <v>1387</v>
      </c>
      <c r="K247" s="21"/>
      <c r="L247" s="10"/>
      <c r="M247" s="22"/>
      <c r="N247" s="10"/>
      <c r="O247" s="10"/>
      <c r="P247" s="12" t="str">
        <f t="shared" si="1"/>
        <v>https://docs.google.com/forms/d/e/1FAIpQLSeZ-R1GrWlAPkfaThGqxeTj0QTtrARw4rroxIIepf2kipn1nw/formResponse?usp=pp_url&amp;entry.1313582257=0096185979 / 252610198&amp;entry.1578404635=Hadir</v>
      </c>
      <c r="Q247" s="23" t="s">
        <v>1457</v>
      </c>
      <c r="R247" s="12" t="s">
        <v>1458</v>
      </c>
      <c r="S247" s="24" t="s">
        <v>1459</v>
      </c>
      <c r="T247" s="23" t="str">
        <f>HYPERLINK("https://drive.google.com/file/d/19MIIaIj9mSta3bjqv4dYx4_BXIYxkRO9/view?usp=drivesdk","33 - X6 - Farhan Benzema - L")</f>
        <v>33 - X6 - Farhan Benzema - L</v>
      </c>
      <c r="U247" s="12" t="s">
        <v>1460</v>
      </c>
      <c r="W247" s="25">
        <f>COUNTIFS('Form Presensi SCC'!$B:$B, IF($C247&lt;&gt;0, TEXT($C247, "0000000000"), $D247), 'Form Presensi SCC'!$C:$C, "Hadir")</f>
        <v>0</v>
      </c>
      <c r="Y247" s="26"/>
    </row>
    <row r="248" ht="22.5" customHeight="1">
      <c r="A248" s="18">
        <v>247.0</v>
      </c>
      <c r="B248" s="18">
        <v>17.0</v>
      </c>
      <c r="C248" s="18" t="s">
        <v>1461</v>
      </c>
      <c r="D248" s="18" t="s">
        <v>1462</v>
      </c>
      <c r="E248" s="18" t="s">
        <v>227</v>
      </c>
      <c r="F248" s="12">
        <v>33.0</v>
      </c>
      <c r="G248" s="10" t="s">
        <v>1387</v>
      </c>
      <c r="H248" s="19"/>
      <c r="I248" s="20"/>
      <c r="J248" s="10" t="s">
        <v>1387</v>
      </c>
      <c r="K248" s="21"/>
      <c r="L248" s="10"/>
      <c r="M248" s="22"/>
      <c r="N248" s="10"/>
      <c r="O248" s="10"/>
      <c r="P248" s="12" t="str">
        <f t="shared" si="1"/>
        <v>https://docs.google.com/forms/d/e/1FAIpQLSeZ-R1GrWlAPkfaThGqxeTj0QTtrARw4rroxIIepf2kipn1nw/formResponse?usp=pp_url&amp;entry.1313582257=0094160236 / 252610209&amp;entry.1578404635=Hadir</v>
      </c>
      <c r="Q248" s="23" t="s">
        <v>1463</v>
      </c>
      <c r="R248" s="12" t="s">
        <v>1464</v>
      </c>
      <c r="S248" s="24" t="s">
        <v>1465</v>
      </c>
      <c r="T248" s="23" t="str">
        <f>HYPERLINK("https://drive.google.com/file/d/1AxBreP4Us4-Cdevyq5IcdNkh02yaUlJO/view?usp=drivesdk","33 - X6 - Fauzi Castle Satara - P")</f>
        <v>33 - X6 - Fauzi Castle Satara - P</v>
      </c>
      <c r="U248" s="12" t="s">
        <v>1460</v>
      </c>
      <c r="W248" s="25">
        <f>COUNTIFS('Form Presensi SCC'!$B:$B, IF($C248&lt;&gt;0, TEXT($C248, "0000000000"), $D248), 'Form Presensi SCC'!$C:$C, "Hadir")</f>
        <v>0</v>
      </c>
      <c r="Y248" s="26"/>
    </row>
    <row r="249" ht="22.5" customHeight="1">
      <c r="A249" s="10">
        <v>248.0</v>
      </c>
      <c r="B249" s="18">
        <v>18.0</v>
      </c>
      <c r="C249" s="18" t="s">
        <v>175</v>
      </c>
      <c r="D249" s="18" t="s">
        <v>1466</v>
      </c>
      <c r="E249" s="18" t="s">
        <v>227</v>
      </c>
      <c r="F249" s="12">
        <v>33.0</v>
      </c>
      <c r="G249" s="10" t="s">
        <v>1387</v>
      </c>
      <c r="H249" s="19"/>
      <c r="I249" s="20"/>
      <c r="J249" s="10" t="s">
        <v>1387</v>
      </c>
      <c r="K249" s="21"/>
      <c r="L249" s="10"/>
      <c r="M249" s="22"/>
      <c r="N249" s="10"/>
      <c r="O249" s="10"/>
      <c r="P249" s="12" t="str">
        <f t="shared" si="1"/>
        <v>https://docs.google.com/forms/d/e/1FAIpQLSeZ-R1GrWlAPkfaThGqxeTj0QTtrARw4rroxIIepf2kipn1nw/formResponse?usp=pp_url&amp;entry.1313582257=0101705316 / 252610210&amp;entry.1578404635=Hadir</v>
      </c>
      <c r="Q249" s="23" t="s">
        <v>1467</v>
      </c>
      <c r="R249" s="12" t="s">
        <v>1468</v>
      </c>
      <c r="S249" s="24" t="s">
        <v>1469</v>
      </c>
      <c r="T249" s="23" t="str">
        <f>HYPERLINK("https://drive.google.com/file/d/1CEi9hQpmaN5WslL52RymTjnQM9jypmmo/view?usp=drivesdk","33 - X6 - Febri Afriani - P")</f>
        <v>33 - X6 - Febri Afriani - P</v>
      </c>
      <c r="U249" s="12" t="s">
        <v>1460</v>
      </c>
      <c r="W249" s="25">
        <f>COUNTIFS('Form Presensi SCC'!$B:$B, IF($C249&lt;&gt;0, TEXT($C249, "0000000000"), $D249), 'Form Presensi SCC'!$C:$C, "Hadir")</f>
        <v>4</v>
      </c>
      <c r="Y249" s="26"/>
    </row>
    <row r="250" ht="22.5" customHeight="1">
      <c r="A250" s="18">
        <v>249.0</v>
      </c>
      <c r="B250" s="18">
        <v>19.0</v>
      </c>
      <c r="C250" s="18" t="s">
        <v>176</v>
      </c>
      <c r="D250" s="18" t="s">
        <v>1470</v>
      </c>
      <c r="E250" s="18" t="s">
        <v>227</v>
      </c>
      <c r="F250" s="12">
        <v>33.0</v>
      </c>
      <c r="G250" s="10" t="s">
        <v>1387</v>
      </c>
      <c r="H250" s="19"/>
      <c r="I250" s="20"/>
      <c r="J250" s="10" t="s">
        <v>1387</v>
      </c>
      <c r="K250" s="21"/>
      <c r="L250" s="10"/>
      <c r="M250" s="22"/>
      <c r="N250" s="10"/>
      <c r="O250" s="10"/>
      <c r="P250" s="12" t="str">
        <f t="shared" si="1"/>
        <v>https://docs.google.com/forms/d/e/1FAIpQLSeZ-R1GrWlAPkfaThGqxeTj0QTtrARw4rroxIIepf2kipn1nw/formResponse?usp=pp_url&amp;entry.1313582257=3090346201 / 252610214&amp;entry.1578404635=Hadir</v>
      </c>
      <c r="Q250" s="23" t="s">
        <v>1471</v>
      </c>
      <c r="R250" s="12" t="s">
        <v>1472</v>
      </c>
      <c r="S250" s="24" t="s">
        <v>1473</v>
      </c>
      <c r="T250" s="23" t="str">
        <f>HYPERLINK("https://drive.google.com/file/d/1Sjxwh-HYChLeyo2Yv-whlTQb-Vg9n5S1/view?usp=drivesdk","33 - X6 - Freja Aira Anindhita - P")</f>
        <v>33 - X6 - Freja Aira Anindhita - P</v>
      </c>
      <c r="U250" s="12" t="s">
        <v>1460</v>
      </c>
      <c r="W250" s="25">
        <f>COUNTIFS('Form Presensi SCC'!$B:$B, IF($C250&lt;&gt;0, TEXT($C250, "0000000000"), $D250), 'Form Presensi SCC'!$C:$C, "Hadir")</f>
        <v>4</v>
      </c>
      <c r="Y250" s="26"/>
    </row>
    <row r="251" ht="22.5" customHeight="1">
      <c r="A251" s="10">
        <v>250.0</v>
      </c>
      <c r="B251" s="18">
        <v>20.0</v>
      </c>
      <c r="C251" s="18" t="s">
        <v>177</v>
      </c>
      <c r="D251" s="18" t="s">
        <v>1474</v>
      </c>
      <c r="E251" s="18" t="s">
        <v>227</v>
      </c>
      <c r="F251" s="12">
        <v>33.0</v>
      </c>
      <c r="G251" s="10" t="s">
        <v>1387</v>
      </c>
      <c r="H251" s="19"/>
      <c r="I251" s="20"/>
      <c r="J251" s="10" t="s">
        <v>1387</v>
      </c>
      <c r="K251" s="21"/>
      <c r="L251" s="10"/>
      <c r="M251" s="22"/>
      <c r="N251" s="10"/>
      <c r="O251" s="10"/>
      <c r="P251" s="12" t="str">
        <f t="shared" si="1"/>
        <v>https://docs.google.com/forms/d/e/1FAIpQLSeZ-R1GrWlAPkfaThGqxeTj0QTtrARw4rroxIIepf2kipn1nw/formResponse?usp=pp_url&amp;entry.1313582257=0107948623 / 252610227&amp;entry.1578404635=Hadir</v>
      </c>
      <c r="Q251" s="23" t="s">
        <v>1475</v>
      </c>
      <c r="R251" s="12" t="s">
        <v>1476</v>
      </c>
      <c r="S251" s="24" t="s">
        <v>1477</v>
      </c>
      <c r="T251" s="23" t="str">
        <f>HYPERLINK("https://drive.google.com/file/d/116IBW44q-nUF4EOOt5y_wWqty9N8fWYy/view?usp=drivesdk","33 - X6 - Hasfa Zulfana Nahdah - P")</f>
        <v>33 - X6 - Hasfa Zulfana Nahdah - P</v>
      </c>
      <c r="U251" s="12" t="s">
        <v>1478</v>
      </c>
      <c r="W251" s="25">
        <f>COUNTIFS('Form Presensi SCC'!$B:$B, IF($C251&lt;&gt;0, TEXT($C251, "0000000000"), $D251), 'Form Presensi SCC'!$C:$C, "Hadir")</f>
        <v>4</v>
      </c>
      <c r="Y251" s="26"/>
    </row>
    <row r="252" ht="22.5" customHeight="1">
      <c r="A252" s="18">
        <v>251.0</v>
      </c>
      <c r="B252" s="18">
        <v>21.0</v>
      </c>
      <c r="C252" s="18" t="s">
        <v>1479</v>
      </c>
      <c r="D252" s="18" t="s">
        <v>1480</v>
      </c>
      <c r="E252" s="18" t="s">
        <v>227</v>
      </c>
      <c r="F252" s="12">
        <v>33.0</v>
      </c>
      <c r="G252" s="10" t="s">
        <v>1387</v>
      </c>
      <c r="H252" s="19"/>
      <c r="I252" s="20"/>
      <c r="J252" s="10" t="s">
        <v>1387</v>
      </c>
      <c r="K252" s="21"/>
      <c r="L252" s="10"/>
      <c r="M252" s="22"/>
      <c r="N252" s="10"/>
      <c r="O252" s="10"/>
      <c r="P252" s="12" t="str">
        <f t="shared" si="1"/>
        <v>https://docs.google.com/forms/d/e/1FAIpQLSeZ-R1GrWlAPkfaThGqxeTj0QTtrARw4rroxIIepf2kipn1nw/formResponse?usp=pp_url&amp;entry.1313582257=0105199862 / 252610249&amp;entry.1578404635=Hadir</v>
      </c>
      <c r="Q252" s="23" t="s">
        <v>1481</v>
      </c>
      <c r="R252" s="12" t="s">
        <v>1482</v>
      </c>
      <c r="S252" s="24" t="s">
        <v>1483</v>
      </c>
      <c r="T252" s="23" t="str">
        <f>HYPERLINK("https://drive.google.com/file/d/16O9PU_R5KQdmATeaIRDgLOqdXqUGl4mI/view?usp=drivesdk","33 - X6 - Joceline Sisca Lumongga Manurung - P")</f>
        <v>33 - X6 - Joceline Sisca Lumongga Manurung - P</v>
      </c>
      <c r="U252" s="12" t="s">
        <v>1478</v>
      </c>
      <c r="W252" s="25">
        <f>COUNTIFS('Form Presensi SCC'!$B:$B, IF($C252&lt;&gt;0, TEXT($C252, "0000000000"), $D252), 'Form Presensi SCC'!$C:$C, "Hadir")</f>
        <v>0</v>
      </c>
      <c r="Y252" s="26"/>
    </row>
    <row r="253" ht="22.5" customHeight="1">
      <c r="A253" s="10">
        <v>252.0</v>
      </c>
      <c r="B253" s="18">
        <v>22.0</v>
      </c>
      <c r="C253" s="18" t="s">
        <v>1484</v>
      </c>
      <c r="D253" s="18" t="s">
        <v>1485</v>
      </c>
      <c r="E253" s="18" t="s">
        <v>227</v>
      </c>
      <c r="F253" s="12">
        <v>33.0</v>
      </c>
      <c r="G253" s="10" t="s">
        <v>1387</v>
      </c>
      <c r="H253" s="19"/>
      <c r="I253" s="20"/>
      <c r="J253" s="10" t="s">
        <v>1387</v>
      </c>
      <c r="K253" s="21"/>
      <c r="L253" s="10"/>
      <c r="M253" s="22"/>
      <c r="N253" s="10"/>
      <c r="O253" s="10"/>
      <c r="P253" s="12" t="str">
        <f t="shared" si="1"/>
        <v>https://docs.google.com/forms/d/e/1FAIpQLSeZ-R1GrWlAPkfaThGqxeTj0QTtrARw4rroxIIepf2kipn1nw/formResponse?usp=pp_url&amp;entry.1313582257=0099375007 / 252610273&amp;entry.1578404635=Hadir</v>
      </c>
      <c r="Q253" s="23" t="s">
        <v>1486</v>
      </c>
      <c r="R253" s="12" t="s">
        <v>1487</v>
      </c>
      <c r="S253" s="24" t="s">
        <v>1488</v>
      </c>
      <c r="T253" s="23" t="str">
        <f>HYPERLINK("https://drive.google.com/file/d/1QatggcSHlTkDw0e49gTeXXmp7cWQ3w07/view?usp=drivesdk","33 - X6 - Keyla Putri Saksono - P")</f>
        <v>33 - X6 - Keyla Putri Saksono - P</v>
      </c>
      <c r="U253" s="12" t="s">
        <v>1478</v>
      </c>
      <c r="W253" s="25">
        <f>COUNTIFS('Form Presensi SCC'!$B:$B, IF($C253&lt;&gt;0, TEXT($C253, "0000000000"), $D253), 'Form Presensi SCC'!$C:$C, "Hadir")</f>
        <v>0</v>
      </c>
      <c r="Y253" s="26"/>
    </row>
    <row r="254" ht="22.5" customHeight="1">
      <c r="A254" s="18">
        <v>253.0</v>
      </c>
      <c r="B254" s="18">
        <v>23.0</v>
      </c>
      <c r="C254" s="18" t="s">
        <v>1489</v>
      </c>
      <c r="D254" s="18" t="s">
        <v>1490</v>
      </c>
      <c r="E254" s="18" t="s">
        <v>227</v>
      </c>
      <c r="F254" s="12">
        <v>33.0</v>
      </c>
      <c r="G254" s="10" t="s">
        <v>1387</v>
      </c>
      <c r="H254" s="19"/>
      <c r="I254" s="20"/>
      <c r="J254" s="10" t="s">
        <v>1387</v>
      </c>
      <c r="K254" s="21"/>
      <c r="L254" s="10"/>
      <c r="M254" s="22"/>
      <c r="N254" s="10"/>
      <c r="O254" s="10"/>
      <c r="P254" s="12" t="str">
        <f t="shared" si="1"/>
        <v>https://docs.google.com/forms/d/e/1FAIpQLSeZ-R1GrWlAPkfaThGqxeTj0QTtrARw4rroxIIepf2kipn1nw/formResponse?usp=pp_url&amp;entry.1313582257=0109221606 / 252610279&amp;entry.1578404635=Hadir</v>
      </c>
      <c r="Q254" s="23" t="s">
        <v>1491</v>
      </c>
      <c r="R254" s="12" t="s">
        <v>1492</v>
      </c>
      <c r="S254" s="24" t="s">
        <v>1493</v>
      </c>
      <c r="T254" s="23" t="str">
        <f>HYPERLINK("https://drive.google.com/file/d/1bCB3w6-AVaEnhb_AK8G45LUsnCneN72T/view?usp=drivesdk","33 - X6 - Khalisa Silmi Jovita Warsito - P")</f>
        <v>33 - X6 - Khalisa Silmi Jovita Warsito - P</v>
      </c>
      <c r="U254" s="12" t="s">
        <v>1478</v>
      </c>
      <c r="W254" s="25">
        <f>COUNTIFS('Form Presensi SCC'!$B:$B, IF($C254&lt;&gt;0, TEXT($C254, "0000000000"), $D254), 'Form Presensi SCC'!$C:$C, "Hadir")</f>
        <v>0</v>
      </c>
      <c r="Y254" s="26"/>
    </row>
    <row r="255" ht="22.5" customHeight="1">
      <c r="A255" s="10">
        <v>254.0</v>
      </c>
      <c r="B255" s="18">
        <v>24.0</v>
      </c>
      <c r="C255" s="18" t="s">
        <v>178</v>
      </c>
      <c r="D255" s="18" t="s">
        <v>1494</v>
      </c>
      <c r="E255" s="18" t="s">
        <v>227</v>
      </c>
      <c r="F255" s="12">
        <v>33.0</v>
      </c>
      <c r="G255" s="10" t="s">
        <v>1387</v>
      </c>
      <c r="H255" s="19"/>
      <c r="I255" s="20"/>
      <c r="J255" s="10" t="s">
        <v>1387</v>
      </c>
      <c r="K255" s="21"/>
      <c r="L255" s="10"/>
      <c r="M255" s="22"/>
      <c r="N255" s="10"/>
      <c r="O255" s="10"/>
      <c r="P255" s="12" t="str">
        <f t="shared" si="1"/>
        <v>https://docs.google.com/forms/d/e/1FAIpQLSeZ-R1GrWlAPkfaThGqxeTj0QTtrARw4rroxIIepf2kipn1nw/formResponse?usp=pp_url&amp;entry.1313582257=0094583694 / 252610285&amp;entry.1578404635=Hadir</v>
      </c>
      <c r="Q255" s="23" t="s">
        <v>1495</v>
      </c>
      <c r="R255" s="12" t="s">
        <v>1496</v>
      </c>
      <c r="S255" s="24" t="s">
        <v>1497</v>
      </c>
      <c r="T255" s="23" t="str">
        <f>HYPERLINK("https://drive.google.com/file/d/1MGF-yN5VLxYqaPFvZOP5-7PRbCk21Jqp/view?usp=drivesdk","33 - X6 - Kharisma Zahra Tiara Putri - P")</f>
        <v>33 - X6 - Kharisma Zahra Tiara Putri - P</v>
      </c>
      <c r="U255" s="12" t="s">
        <v>1478</v>
      </c>
      <c r="W255" s="25">
        <f>COUNTIFS('Form Presensi SCC'!$B:$B, IF($C255&lt;&gt;0, TEXT($C255, "0000000000"), $D255), 'Form Presensi SCC'!$C:$C, "Hadir")</f>
        <v>1</v>
      </c>
      <c r="Y255" s="26"/>
    </row>
    <row r="256" ht="22.5" customHeight="1">
      <c r="A256" s="18">
        <v>255.0</v>
      </c>
      <c r="B256" s="18">
        <v>25.0</v>
      </c>
      <c r="C256" s="18" t="s">
        <v>1498</v>
      </c>
      <c r="D256" s="18" t="s">
        <v>1499</v>
      </c>
      <c r="E256" s="18" t="s">
        <v>227</v>
      </c>
      <c r="F256" s="12">
        <v>33.0</v>
      </c>
      <c r="G256" s="10" t="s">
        <v>1387</v>
      </c>
      <c r="H256" s="19"/>
      <c r="I256" s="20"/>
      <c r="J256" s="10" t="s">
        <v>1387</v>
      </c>
      <c r="K256" s="21"/>
      <c r="L256" s="10"/>
      <c r="M256" s="22"/>
      <c r="N256" s="10"/>
      <c r="O256" s="10"/>
      <c r="P256" s="12" t="str">
        <f t="shared" si="1"/>
        <v>https://docs.google.com/forms/d/e/1FAIpQLSeZ-R1GrWlAPkfaThGqxeTj0QTtrARw4rroxIIepf2kipn1nw/formResponse?usp=pp_url&amp;entry.1313582257=0109522386 / 252610308&amp;entry.1578404635=Hadir</v>
      </c>
      <c r="Q256" s="23" t="s">
        <v>1500</v>
      </c>
      <c r="R256" s="12" t="s">
        <v>1501</v>
      </c>
      <c r="S256" s="24" t="s">
        <v>1502</v>
      </c>
      <c r="T256" s="23" t="str">
        <f>HYPERLINK("https://drive.google.com/file/d/1lZ7DITJKDBMR_TUYBi1ACNRDaZz1V6K9/view?usp=drivesdk","33 - X6 - Mawar Aprilliana - P")</f>
        <v>33 - X6 - Mawar Aprilliana - P</v>
      </c>
      <c r="U256" s="12" t="s">
        <v>1503</v>
      </c>
      <c r="W256" s="25">
        <f>COUNTIFS('Form Presensi SCC'!$B:$B, IF($C256&lt;&gt;0, TEXT($C256, "0000000000"), $D256), 'Form Presensi SCC'!$C:$C, "Hadir")</f>
        <v>0</v>
      </c>
      <c r="Y256" s="26"/>
    </row>
    <row r="257" ht="22.5" customHeight="1">
      <c r="A257" s="10">
        <v>256.0</v>
      </c>
      <c r="B257" s="18">
        <v>26.0</v>
      </c>
      <c r="C257" s="18" t="s">
        <v>1504</v>
      </c>
      <c r="D257" s="18" t="s">
        <v>1505</v>
      </c>
      <c r="E257" s="18" t="s">
        <v>227</v>
      </c>
      <c r="F257" s="12">
        <v>33.0</v>
      </c>
      <c r="G257" s="10" t="s">
        <v>1387</v>
      </c>
      <c r="H257" s="19"/>
      <c r="I257" s="20"/>
      <c r="J257" s="10" t="s">
        <v>1387</v>
      </c>
      <c r="K257" s="21"/>
      <c r="L257" s="10"/>
      <c r="M257" s="22"/>
      <c r="N257" s="10"/>
      <c r="O257" s="10"/>
      <c r="P257" s="12" t="str">
        <f t="shared" si="1"/>
        <v>https://docs.google.com/forms/d/e/1FAIpQLSeZ-R1GrWlAPkfaThGqxeTj0QTtrARw4rroxIIepf2kipn1nw/formResponse?usp=pp_url&amp;entry.1313582257=0095079380 / 252610312&amp;entry.1578404635=Hadir</v>
      </c>
      <c r="Q257" s="23" t="s">
        <v>1506</v>
      </c>
      <c r="R257" s="12" t="s">
        <v>1507</v>
      </c>
      <c r="S257" s="24" t="s">
        <v>1508</v>
      </c>
      <c r="T257" s="23" t="str">
        <f>HYPERLINK("https://drive.google.com/file/d/1XDW3ZS4J8ruw2ISfwvgTooihq-HzHIDc/view?usp=drivesdk","33 - X6 - Mentari Dwi Anggraeni - P")</f>
        <v>33 - X6 - Mentari Dwi Anggraeni - P</v>
      </c>
      <c r="U257" s="12" t="s">
        <v>1503</v>
      </c>
      <c r="W257" s="25">
        <f>COUNTIFS('Form Presensi SCC'!$B:$B, IF($C257&lt;&gt;0, TEXT($C257, "0000000000"), $D257), 'Form Presensi SCC'!$C:$C, "Hadir")</f>
        <v>0</v>
      </c>
      <c r="Y257" s="26"/>
    </row>
    <row r="258" ht="22.5" customHeight="1">
      <c r="A258" s="18">
        <v>257.0</v>
      </c>
      <c r="B258" s="18">
        <v>27.0</v>
      </c>
      <c r="C258" s="18" t="s">
        <v>1509</v>
      </c>
      <c r="D258" s="18" t="s">
        <v>1510</v>
      </c>
      <c r="E258" s="18" t="s">
        <v>220</v>
      </c>
      <c r="F258" s="12">
        <v>33.0</v>
      </c>
      <c r="G258" s="10" t="s">
        <v>1387</v>
      </c>
      <c r="H258" s="19"/>
      <c r="I258" s="20"/>
      <c r="J258" s="10" t="s">
        <v>1387</v>
      </c>
      <c r="K258" s="21"/>
      <c r="L258" s="10"/>
      <c r="M258" s="22"/>
      <c r="N258" s="10"/>
      <c r="O258" s="10"/>
      <c r="P258" s="12" t="str">
        <f t="shared" si="1"/>
        <v>https://docs.google.com/forms/d/e/1FAIpQLSeZ-R1GrWlAPkfaThGqxeTj0QTtrARw4rroxIIepf2kipn1nw/formResponse?usp=pp_url&amp;entry.1313582257=0098849299 / 252610342&amp;entry.1578404635=Hadir</v>
      </c>
      <c r="Q258" s="23" t="s">
        <v>1511</v>
      </c>
      <c r="R258" s="12" t="s">
        <v>1512</v>
      </c>
      <c r="S258" s="24" t="s">
        <v>1513</v>
      </c>
      <c r="T258" s="23" t="str">
        <f>HYPERLINK("https://drive.google.com/file/d/1dhaskgn5b9-_DI6pTxqzKvRYcJl7sXY3/view?usp=drivesdk","33 - X6 - Muhammad Azzam Ananda Fatahilah - L")</f>
        <v>33 - X6 - Muhammad Azzam Ananda Fatahilah - L</v>
      </c>
      <c r="U258" s="12" t="s">
        <v>1503</v>
      </c>
      <c r="W258" s="25">
        <f>COUNTIFS('Form Presensi SCC'!$B:$B, IF($C258&lt;&gt;0, TEXT($C258, "0000000000"), $D258), 'Form Presensi SCC'!$C:$C, "Hadir")</f>
        <v>0</v>
      </c>
      <c r="Y258" s="26"/>
    </row>
    <row r="259" ht="22.5" customHeight="1">
      <c r="A259" s="10">
        <v>258.0</v>
      </c>
      <c r="B259" s="18">
        <v>28.0</v>
      </c>
      <c r="C259" s="18" t="s">
        <v>1514</v>
      </c>
      <c r="D259" s="18" t="s">
        <v>1515</v>
      </c>
      <c r="E259" s="18" t="s">
        <v>220</v>
      </c>
      <c r="F259" s="12">
        <v>33.0</v>
      </c>
      <c r="G259" s="10" t="s">
        <v>1387</v>
      </c>
      <c r="H259" s="19"/>
      <c r="I259" s="20"/>
      <c r="J259" s="10" t="s">
        <v>1387</v>
      </c>
      <c r="K259" s="21"/>
      <c r="L259" s="10"/>
      <c r="M259" s="22"/>
      <c r="N259" s="10"/>
      <c r="O259" s="10"/>
      <c r="P259" s="12" t="str">
        <f t="shared" si="1"/>
        <v>https://docs.google.com/forms/d/e/1FAIpQLSeZ-R1GrWlAPkfaThGqxeTj0QTtrARw4rroxIIepf2kipn1nw/formResponse?usp=pp_url&amp;entry.1313582257=0108710844 / 252610355&amp;entry.1578404635=Hadir</v>
      </c>
      <c r="Q259" s="23" t="s">
        <v>1516</v>
      </c>
      <c r="R259" s="12" t="s">
        <v>1517</v>
      </c>
      <c r="S259" s="24" t="s">
        <v>1518</v>
      </c>
      <c r="T259" s="23" t="str">
        <f>HYPERLINK("https://drive.google.com/file/d/1jps3_fjiKA74ZoB75IoJ3MwHV18FP5Dx/view?usp=drivesdk","33 - X6 - Muhammad Hafizh Arrantisi - L")</f>
        <v>33 - X6 - Muhammad Hafizh Arrantisi - L</v>
      </c>
      <c r="U259" s="12" t="s">
        <v>1503</v>
      </c>
      <c r="W259" s="25">
        <f>COUNTIFS('Form Presensi SCC'!$B:$B, IF($C259&lt;&gt;0, TEXT($C259, "0000000000"), $D259), 'Form Presensi SCC'!$C:$C, "Hadir")</f>
        <v>0</v>
      </c>
      <c r="Y259" s="26"/>
    </row>
    <row r="260" ht="22.5" customHeight="1">
      <c r="A260" s="18">
        <v>259.0</v>
      </c>
      <c r="B260" s="18">
        <v>29.0</v>
      </c>
      <c r="C260" s="18" t="s">
        <v>1519</v>
      </c>
      <c r="D260" s="18" t="s">
        <v>1520</v>
      </c>
      <c r="E260" s="18" t="s">
        <v>220</v>
      </c>
      <c r="F260" s="12">
        <v>33.0</v>
      </c>
      <c r="G260" s="10" t="s">
        <v>1387</v>
      </c>
      <c r="H260" s="19"/>
      <c r="I260" s="20"/>
      <c r="J260" s="10" t="s">
        <v>1387</v>
      </c>
      <c r="K260" s="21"/>
      <c r="L260" s="10"/>
      <c r="M260" s="22"/>
      <c r="N260" s="10"/>
      <c r="O260" s="10"/>
      <c r="P260" s="12" t="str">
        <f t="shared" si="1"/>
        <v>https://docs.google.com/forms/d/e/1FAIpQLSeZ-R1GrWlAPkfaThGqxeTj0QTtrARw4rroxIIepf2kipn1nw/formResponse?usp=pp_url&amp;entry.1313582257=0103242050 / 252610360&amp;entry.1578404635=Hadir</v>
      </c>
      <c r="Q260" s="23" t="s">
        <v>1521</v>
      </c>
      <c r="R260" s="12" t="s">
        <v>1522</v>
      </c>
      <c r="S260" s="24" t="s">
        <v>1523</v>
      </c>
      <c r="T260" s="23" t="str">
        <f>HYPERLINK("https://drive.google.com/file/d/1X9nSRmosj5jMZbpmXFF0_rVMbOvV4Mf8/view?usp=drivesdk","33 - X6 - Muhammad Musyaffa Latief - L")</f>
        <v>33 - X6 - Muhammad Musyaffa Latief - L</v>
      </c>
      <c r="U260" s="12" t="s">
        <v>1524</v>
      </c>
      <c r="W260" s="25">
        <f>COUNTIFS('Form Presensi SCC'!$B:$B, IF($C260&lt;&gt;0, TEXT($C260, "0000000000"), $D260), 'Form Presensi SCC'!$C:$C, "Hadir")</f>
        <v>0</v>
      </c>
      <c r="Y260" s="26"/>
    </row>
    <row r="261" ht="22.5" customHeight="1">
      <c r="A261" s="10">
        <v>260.0</v>
      </c>
      <c r="B261" s="18">
        <v>30.0</v>
      </c>
      <c r="C261" s="18" t="s">
        <v>1525</v>
      </c>
      <c r="D261" s="18" t="s">
        <v>1526</v>
      </c>
      <c r="E261" s="18" t="s">
        <v>227</v>
      </c>
      <c r="F261" s="12">
        <v>33.0</v>
      </c>
      <c r="G261" s="10" t="s">
        <v>1387</v>
      </c>
      <c r="H261" s="19"/>
      <c r="I261" s="20"/>
      <c r="J261" s="10" t="s">
        <v>1387</v>
      </c>
      <c r="K261" s="21"/>
      <c r="L261" s="10"/>
      <c r="M261" s="22"/>
      <c r="N261" s="10"/>
      <c r="O261" s="10"/>
      <c r="P261" s="12" t="str">
        <f t="shared" si="1"/>
        <v>https://docs.google.com/forms/d/e/1FAIpQLSeZ-R1GrWlAPkfaThGqxeTj0QTtrARw4rroxIIepf2kipn1nw/formResponse?usp=pp_url&amp;entry.1313582257=0095549480 / 252610394&amp;entry.1578404635=Hadir</v>
      </c>
      <c r="Q261" s="23" t="s">
        <v>1527</v>
      </c>
      <c r="R261" s="12" t="s">
        <v>1528</v>
      </c>
      <c r="S261" s="24" t="s">
        <v>1529</v>
      </c>
      <c r="T261" s="23" t="str">
        <f>HYPERLINK("https://drive.google.com/file/d/1Krltp8_86ZczGUXgnhOGvcEi8FJNwc2c/view?usp=drivesdk","33 - X6 - Najwa Citra Lestari - P")</f>
        <v>33 - X6 - Najwa Citra Lestari - P</v>
      </c>
      <c r="U261" s="12" t="s">
        <v>1524</v>
      </c>
      <c r="W261" s="25">
        <f>COUNTIFS('Form Presensi SCC'!$B:$B, IF($C261&lt;&gt;0, TEXT($C261, "0000000000"), $D261), 'Form Presensi SCC'!$C:$C, "Hadir")</f>
        <v>0</v>
      </c>
      <c r="Y261" s="26"/>
    </row>
    <row r="262" ht="22.5" customHeight="1">
      <c r="A262" s="18">
        <v>261.0</v>
      </c>
      <c r="B262" s="18">
        <v>31.0</v>
      </c>
      <c r="C262" s="18" t="s">
        <v>1530</v>
      </c>
      <c r="D262" s="18" t="s">
        <v>1531</v>
      </c>
      <c r="E262" s="18" t="s">
        <v>227</v>
      </c>
      <c r="F262" s="12">
        <v>33.0</v>
      </c>
      <c r="G262" s="10" t="s">
        <v>1387</v>
      </c>
      <c r="H262" s="19"/>
      <c r="I262" s="20"/>
      <c r="J262" s="10" t="s">
        <v>1387</v>
      </c>
      <c r="K262" s="21"/>
      <c r="L262" s="10"/>
      <c r="M262" s="22"/>
      <c r="N262" s="10"/>
      <c r="O262" s="10"/>
      <c r="P262" s="12" t="str">
        <f t="shared" si="1"/>
        <v>https://docs.google.com/forms/d/e/1FAIpQLSeZ-R1GrWlAPkfaThGqxeTj0QTtrARw4rroxIIepf2kipn1nw/formResponse?usp=pp_url&amp;entry.1313582257=0108065698 / 252610410&amp;entry.1578404635=Hadir</v>
      </c>
      <c r="Q262" s="23" t="s">
        <v>1532</v>
      </c>
      <c r="R262" s="12" t="s">
        <v>1533</v>
      </c>
      <c r="S262" s="24" t="s">
        <v>1534</v>
      </c>
      <c r="T262" s="23" t="str">
        <f>HYPERLINK("https://drive.google.com/file/d/10fv9Wpkn16WmqnYZolE6UAdqpxmpyVc-/view?usp=drivesdk","33 - X6 - Nayra Putri Sagita - P")</f>
        <v>33 - X6 - Nayra Putri Sagita - P</v>
      </c>
      <c r="U262" s="12" t="s">
        <v>1524</v>
      </c>
      <c r="W262" s="25">
        <f>COUNTIFS('Form Presensi SCC'!$B:$B, IF($C262&lt;&gt;0, TEXT($C262, "0000000000"), $D262), 'Form Presensi SCC'!$C:$C, "Hadir")</f>
        <v>0</v>
      </c>
      <c r="Y262" s="26"/>
    </row>
    <row r="263" ht="22.5" customHeight="1">
      <c r="A263" s="10">
        <v>262.0</v>
      </c>
      <c r="B263" s="18">
        <v>32.0</v>
      </c>
      <c r="C263" s="18" t="s">
        <v>1535</v>
      </c>
      <c r="D263" s="18" t="s">
        <v>1536</v>
      </c>
      <c r="E263" s="18" t="s">
        <v>227</v>
      </c>
      <c r="F263" s="12">
        <v>33.0</v>
      </c>
      <c r="G263" s="10" t="s">
        <v>1387</v>
      </c>
      <c r="H263" s="19"/>
      <c r="I263" s="20"/>
      <c r="J263" s="10" t="s">
        <v>1387</v>
      </c>
      <c r="K263" s="21"/>
      <c r="L263" s="10"/>
      <c r="M263" s="22"/>
      <c r="N263" s="10"/>
      <c r="O263" s="10"/>
      <c r="P263" s="12" t="str">
        <f t="shared" si="1"/>
        <v>https://docs.google.com/forms/d/e/1FAIpQLSeZ-R1GrWlAPkfaThGqxeTj0QTtrARw4rroxIIepf2kipn1nw/formResponse?usp=pp_url&amp;entry.1313582257=0106380486 / 252610442&amp;entry.1578404635=Hadir</v>
      </c>
      <c r="Q263" s="23" t="s">
        <v>1537</v>
      </c>
      <c r="R263" s="12" t="s">
        <v>1538</v>
      </c>
      <c r="S263" s="24" t="s">
        <v>1539</v>
      </c>
      <c r="T263" s="23" t="str">
        <f>HYPERLINK("https://drive.google.com/file/d/1YdYuLcKGzXCO9vu7zTJKO21jX25O6vTO/view?usp=drivesdk","33 - X6 - Queensha Amiradana Putri Hamka - P")</f>
        <v>33 - X6 - Queensha Amiradana Putri Hamka - P</v>
      </c>
      <c r="U263" s="12" t="s">
        <v>1524</v>
      </c>
      <c r="W263" s="25">
        <f>COUNTIFS('Form Presensi SCC'!$B:$B, IF($C263&lt;&gt;0, TEXT($C263, "0000000000"), $D263), 'Form Presensi SCC'!$C:$C, "Hadir")</f>
        <v>0</v>
      </c>
      <c r="Y263" s="26"/>
    </row>
    <row r="264" ht="22.5" customHeight="1">
      <c r="A264" s="18">
        <v>263.0</v>
      </c>
      <c r="B264" s="18">
        <v>33.0</v>
      </c>
      <c r="C264" s="18" t="s">
        <v>1540</v>
      </c>
      <c r="D264" s="18" t="s">
        <v>1541</v>
      </c>
      <c r="E264" s="18" t="s">
        <v>227</v>
      </c>
      <c r="F264" s="12">
        <v>33.0</v>
      </c>
      <c r="G264" s="10" t="s">
        <v>1387</v>
      </c>
      <c r="H264" s="19"/>
      <c r="I264" s="20"/>
      <c r="J264" s="10" t="s">
        <v>1387</v>
      </c>
      <c r="K264" s="21"/>
      <c r="L264" s="10"/>
      <c r="M264" s="22"/>
      <c r="N264" s="10"/>
      <c r="O264" s="10"/>
      <c r="P264" s="12" t="str">
        <f t="shared" si="1"/>
        <v>https://docs.google.com/forms/d/e/1FAIpQLSeZ-R1GrWlAPkfaThGqxeTj0QTtrARw4rroxIIepf2kipn1nw/formResponse?usp=pp_url&amp;entry.1313582257=0101582567 / 252610446&amp;entry.1578404635=Hadir</v>
      </c>
      <c r="Q264" s="23" t="s">
        <v>1542</v>
      </c>
      <c r="R264" s="12" t="s">
        <v>1543</v>
      </c>
      <c r="S264" s="24" t="s">
        <v>1544</v>
      </c>
      <c r="T264" s="23" t="str">
        <f>HYPERLINK("https://drive.google.com/file/d/1OsJNT8-hdUiQEJd-PnhFfMxwSmjo6Zab/view?usp=drivesdk","33 - X6 - Quinsha Rizkya Irawan - P")</f>
        <v>33 - X6 - Quinsha Rizkya Irawan - P</v>
      </c>
      <c r="U264" s="12" t="s">
        <v>1545</v>
      </c>
      <c r="W264" s="25">
        <f>COUNTIFS('Form Presensi SCC'!$B:$B, IF($C264&lt;&gt;0, TEXT($C264, "0000000000"), $D264), 'Form Presensi SCC'!$C:$C, "Hadir")</f>
        <v>0</v>
      </c>
      <c r="Y264" s="26"/>
    </row>
    <row r="265" ht="22.5" customHeight="1">
      <c r="A265" s="10">
        <v>264.0</v>
      </c>
      <c r="B265" s="18">
        <v>34.0</v>
      </c>
      <c r="C265" s="18" t="s">
        <v>1546</v>
      </c>
      <c r="D265" s="18" t="s">
        <v>1547</v>
      </c>
      <c r="E265" s="18" t="s">
        <v>220</v>
      </c>
      <c r="F265" s="12">
        <v>33.0</v>
      </c>
      <c r="G265" s="10" t="s">
        <v>1387</v>
      </c>
      <c r="H265" s="19"/>
      <c r="I265" s="20"/>
      <c r="J265" s="10" t="s">
        <v>1387</v>
      </c>
      <c r="K265" s="21"/>
      <c r="L265" s="10"/>
      <c r="M265" s="22"/>
      <c r="N265" s="10"/>
      <c r="O265" s="10"/>
      <c r="P265" s="12" t="str">
        <f t="shared" si="1"/>
        <v>https://docs.google.com/forms/d/e/1FAIpQLSeZ-R1GrWlAPkfaThGqxeTj0QTtrARw4rroxIIepf2kipn1nw/formResponse?usp=pp_url&amp;entry.1313582257=0092020564 / 252610449&amp;entry.1578404635=Hadir</v>
      </c>
      <c r="Q265" s="23" t="s">
        <v>1548</v>
      </c>
      <c r="R265" s="12" t="s">
        <v>1549</v>
      </c>
      <c r="S265" s="24" t="s">
        <v>1550</v>
      </c>
      <c r="T265" s="23" t="str">
        <f>HYPERLINK("https://drive.google.com/file/d/1wH6m1Hp_VdHA1BZWds47XspS_Tr2e-6W/view?usp=drivesdk","33 - X6 - Raasyid Zhariif Santoso - L")</f>
        <v>33 - X6 - Raasyid Zhariif Santoso - L</v>
      </c>
      <c r="U265" s="12" t="s">
        <v>1545</v>
      </c>
      <c r="W265" s="25">
        <f>COUNTIFS('Form Presensi SCC'!$B:$B, IF($C265&lt;&gt;0, TEXT($C265, "0000000000"), $D265), 'Form Presensi SCC'!$C:$C, "Hadir")</f>
        <v>0</v>
      </c>
      <c r="Y265" s="26"/>
    </row>
    <row r="266" ht="22.5" customHeight="1">
      <c r="A266" s="18">
        <v>265.0</v>
      </c>
      <c r="B266" s="18">
        <v>35.0</v>
      </c>
      <c r="C266" s="18" t="s">
        <v>1551</v>
      </c>
      <c r="D266" s="18" t="s">
        <v>1552</v>
      </c>
      <c r="E266" s="18" t="s">
        <v>220</v>
      </c>
      <c r="F266" s="12">
        <v>33.0</v>
      </c>
      <c r="G266" s="10" t="s">
        <v>1387</v>
      </c>
      <c r="H266" s="19"/>
      <c r="I266" s="20"/>
      <c r="J266" s="10" t="s">
        <v>1387</v>
      </c>
      <c r="K266" s="21"/>
      <c r="L266" s="10"/>
      <c r="M266" s="22"/>
      <c r="N266" s="10"/>
      <c r="O266" s="10"/>
      <c r="P266" s="12" t="str">
        <f t="shared" si="1"/>
        <v>https://docs.google.com/forms/d/e/1FAIpQLSeZ-R1GrWlAPkfaThGqxeTj0QTtrARw4rroxIIepf2kipn1nw/formResponse?usp=pp_url&amp;entry.1313582257=0107445789 / 252610456&amp;entry.1578404635=Hadir</v>
      </c>
      <c r="Q266" s="23" t="s">
        <v>1553</v>
      </c>
      <c r="R266" s="12" t="s">
        <v>1554</v>
      </c>
      <c r="S266" s="24" t="s">
        <v>1555</v>
      </c>
      <c r="T266" s="23" t="str">
        <f>HYPERLINK("https://drive.google.com/file/d/1InSYWy0ZFfj4W8oC-I5T7bDayGcHCYq8/view?usp=drivesdk","33 - X6 - Raditya Rafa Abdillah - L")</f>
        <v>33 - X6 - Raditya Rafa Abdillah - L</v>
      </c>
      <c r="U266" s="12" t="s">
        <v>1545</v>
      </c>
      <c r="W266" s="25">
        <f>COUNTIFS('Form Presensi SCC'!$B:$B, IF($C266&lt;&gt;0, TEXT($C266, "0000000000"), $D266), 'Form Presensi SCC'!$C:$C, "Hadir")</f>
        <v>0</v>
      </c>
      <c r="Y266" s="26"/>
    </row>
    <row r="267" ht="22.5" customHeight="1">
      <c r="A267" s="10">
        <v>266.0</v>
      </c>
      <c r="B267" s="18">
        <v>36.0</v>
      </c>
      <c r="C267" s="18" t="s">
        <v>1556</v>
      </c>
      <c r="D267" s="18" t="s">
        <v>1557</v>
      </c>
      <c r="E267" s="18" t="s">
        <v>220</v>
      </c>
      <c r="F267" s="12">
        <v>33.0</v>
      </c>
      <c r="G267" s="10" t="s">
        <v>1387</v>
      </c>
      <c r="H267" s="19"/>
      <c r="I267" s="20"/>
      <c r="J267" s="10" t="s">
        <v>1387</v>
      </c>
      <c r="K267" s="21"/>
      <c r="L267" s="10"/>
      <c r="M267" s="22"/>
      <c r="N267" s="10"/>
      <c r="O267" s="10"/>
      <c r="P267" s="12" t="str">
        <f t="shared" si="1"/>
        <v>https://docs.google.com/forms/d/e/1FAIpQLSeZ-R1GrWlAPkfaThGqxeTj0QTtrARw4rroxIIepf2kipn1nw/formResponse?usp=pp_url&amp;entry.1313582257=0094690365 / 252610478&amp;entry.1578404635=Hadir</v>
      </c>
      <c r="Q267" s="23" t="s">
        <v>1558</v>
      </c>
      <c r="R267" s="12" t="s">
        <v>1559</v>
      </c>
      <c r="S267" s="24" t="s">
        <v>1560</v>
      </c>
      <c r="T267" s="23" t="str">
        <f>HYPERLINK("https://drive.google.com/file/d/1MZq_u6VF6CGfbGnIYbmdiWtK9QqAtRbr/view?usp=drivesdk","33 - X6 - Raynar Abiyu Diera - L")</f>
        <v>33 - X6 - Raynar Abiyu Diera - L</v>
      </c>
      <c r="U267" s="12" t="s">
        <v>1545</v>
      </c>
      <c r="W267" s="25">
        <f>COUNTIFS('Form Presensi SCC'!$B:$B, IF($C267&lt;&gt;0, TEXT($C267, "0000000000"), $D267), 'Form Presensi SCC'!$C:$C, "Hadir")</f>
        <v>0</v>
      </c>
      <c r="Y267" s="26"/>
    </row>
    <row r="268" ht="22.5" customHeight="1">
      <c r="A268" s="18">
        <v>267.0</v>
      </c>
      <c r="B268" s="18">
        <v>37.0</v>
      </c>
      <c r="C268" s="18" t="s">
        <v>1561</v>
      </c>
      <c r="D268" s="18" t="s">
        <v>1562</v>
      </c>
      <c r="E268" s="18" t="s">
        <v>220</v>
      </c>
      <c r="F268" s="12">
        <v>33.0</v>
      </c>
      <c r="G268" s="10" t="s">
        <v>1387</v>
      </c>
      <c r="H268" s="19"/>
      <c r="I268" s="20"/>
      <c r="J268" s="10" t="s">
        <v>1387</v>
      </c>
      <c r="K268" s="21"/>
      <c r="L268" s="10"/>
      <c r="M268" s="22"/>
      <c r="N268" s="10"/>
      <c r="O268" s="10"/>
      <c r="P268" s="12" t="str">
        <f t="shared" si="1"/>
        <v>https://docs.google.com/forms/d/e/1FAIpQLSeZ-R1GrWlAPkfaThGqxeTj0QTtrARw4rroxIIepf2kipn1nw/formResponse?usp=pp_url&amp;entry.1313582257=0093623051 / 252610479&amp;entry.1578404635=Hadir</v>
      </c>
      <c r="Q268" s="23" t="s">
        <v>1563</v>
      </c>
      <c r="R268" s="12" t="s">
        <v>1564</v>
      </c>
      <c r="S268" s="24" t="s">
        <v>1565</v>
      </c>
      <c r="T268" s="23" t="str">
        <f>HYPERLINK("https://drive.google.com/file/d/1tlrINIeMSTClo7v3LHvlEB2GuQsbwVQ2/view?usp=drivesdk","33 - X6 - Rayyan Wahyu Ramadhan - L")</f>
        <v>33 - X6 - Rayyan Wahyu Ramadhan - L</v>
      </c>
      <c r="U268" s="12" t="s">
        <v>1545</v>
      </c>
      <c r="W268" s="25">
        <f>COUNTIFS('Form Presensi SCC'!$B:$B, IF($C268&lt;&gt;0, TEXT($C268, "0000000000"), $D268), 'Form Presensi SCC'!$C:$C, "Hadir")</f>
        <v>0</v>
      </c>
      <c r="Y268" s="26"/>
    </row>
    <row r="269" ht="22.5" customHeight="1">
      <c r="A269" s="10">
        <v>268.0</v>
      </c>
      <c r="B269" s="18">
        <v>38.0</v>
      </c>
      <c r="C269" s="18" t="s">
        <v>1566</v>
      </c>
      <c r="D269" s="18" t="s">
        <v>1567</v>
      </c>
      <c r="E269" s="18" t="s">
        <v>227</v>
      </c>
      <c r="F269" s="12">
        <v>33.0</v>
      </c>
      <c r="G269" s="10" t="s">
        <v>1387</v>
      </c>
      <c r="H269" s="19"/>
      <c r="I269" s="20"/>
      <c r="J269" s="10" t="s">
        <v>1387</v>
      </c>
      <c r="K269" s="21"/>
      <c r="L269" s="10"/>
      <c r="M269" s="22"/>
      <c r="N269" s="10"/>
      <c r="O269" s="10"/>
      <c r="P269" s="12" t="str">
        <f t="shared" si="1"/>
        <v>https://docs.google.com/forms/d/e/1FAIpQLSeZ-R1GrWlAPkfaThGqxeTj0QTtrARw4rroxIIepf2kipn1nw/formResponse?usp=pp_url&amp;entry.1313582257=0108406931 / 252610484&amp;entry.1578404635=Hadir</v>
      </c>
      <c r="Q269" s="23" t="s">
        <v>1568</v>
      </c>
      <c r="R269" s="12" t="s">
        <v>1569</v>
      </c>
      <c r="S269" s="24" t="s">
        <v>1570</v>
      </c>
      <c r="T269" s="23" t="str">
        <f>HYPERLINK("https://drive.google.com/file/d/1um8ZeyTvrNYaAdokbZrgc5jowoarqdOX/view?usp=drivesdk","33 - X6 - Reva Aulia Putri - P")</f>
        <v>33 - X6 - Reva Aulia Putri - P</v>
      </c>
      <c r="U269" s="12" t="s">
        <v>1571</v>
      </c>
      <c r="W269" s="25">
        <f>COUNTIFS('Form Presensi SCC'!$B:$B, IF($C269&lt;&gt;0, TEXT($C269, "0000000000"), $D269), 'Form Presensi SCC'!$C:$C, "Hadir")</f>
        <v>0</v>
      </c>
      <c r="Y269" s="26"/>
    </row>
    <row r="270" ht="22.5" customHeight="1">
      <c r="A270" s="18">
        <v>269.0</v>
      </c>
      <c r="B270" s="18">
        <v>39.0</v>
      </c>
      <c r="C270" s="18" t="s">
        <v>1572</v>
      </c>
      <c r="D270" s="18" t="s">
        <v>1573</v>
      </c>
      <c r="E270" s="18" t="s">
        <v>227</v>
      </c>
      <c r="F270" s="12">
        <v>33.0</v>
      </c>
      <c r="G270" s="10" t="s">
        <v>1387</v>
      </c>
      <c r="H270" s="19"/>
      <c r="I270" s="20"/>
      <c r="J270" s="10" t="s">
        <v>1387</v>
      </c>
      <c r="K270" s="21"/>
      <c r="L270" s="10"/>
      <c r="M270" s="22"/>
      <c r="N270" s="10"/>
      <c r="O270" s="10"/>
      <c r="P270" s="12" t="str">
        <f t="shared" si="1"/>
        <v>https://docs.google.com/forms/d/e/1FAIpQLSeZ-R1GrWlAPkfaThGqxeTj0QTtrARw4rroxIIepf2kipn1nw/formResponse?usp=pp_url&amp;entry.1313582257=0104171202 / 252610486&amp;entry.1578404635=Hadir</v>
      </c>
      <c r="Q270" s="23" t="s">
        <v>1574</v>
      </c>
      <c r="R270" s="12" t="s">
        <v>1575</v>
      </c>
      <c r="S270" s="24" t="s">
        <v>1576</v>
      </c>
      <c r="T270" s="23" t="str">
        <f>HYPERLINK("https://drive.google.com/file/d/1UdxmdVhxMV76N6Nv-Nk-7tddUB_1SP_D/view?usp=drivesdk","33 - X6 - Revina Apriza - P")</f>
        <v>33 - X6 - Revina Apriza - P</v>
      </c>
      <c r="U270" s="12" t="s">
        <v>1571</v>
      </c>
      <c r="W270" s="25">
        <f>COUNTIFS('Form Presensi SCC'!$B:$B, IF($C270&lt;&gt;0, TEXT($C270, "0000000000"), $D270), 'Form Presensi SCC'!$C:$C, "Hadir")</f>
        <v>0</v>
      </c>
      <c r="Y270" s="26"/>
    </row>
    <row r="271" ht="22.5" customHeight="1">
      <c r="A271" s="10">
        <v>270.0</v>
      </c>
      <c r="B271" s="18">
        <v>40.0</v>
      </c>
      <c r="C271" s="18" t="s">
        <v>1577</v>
      </c>
      <c r="D271" s="18" t="s">
        <v>1578</v>
      </c>
      <c r="E271" s="18" t="s">
        <v>227</v>
      </c>
      <c r="F271" s="12">
        <v>33.0</v>
      </c>
      <c r="G271" s="10" t="s">
        <v>1387</v>
      </c>
      <c r="H271" s="19"/>
      <c r="I271" s="20"/>
      <c r="J271" s="10" t="s">
        <v>1387</v>
      </c>
      <c r="K271" s="21"/>
      <c r="L271" s="10"/>
      <c r="M271" s="22"/>
      <c r="N271" s="10"/>
      <c r="O271" s="10"/>
      <c r="P271" s="12" t="str">
        <f t="shared" si="1"/>
        <v>https://docs.google.com/forms/d/e/1FAIpQLSeZ-R1GrWlAPkfaThGqxeTj0QTtrARw4rroxIIepf2kipn1nw/formResponse?usp=pp_url&amp;entry.1313582257=3096816288 / 252610495&amp;entry.1578404635=Hadir</v>
      </c>
      <c r="Q271" s="23" t="s">
        <v>1579</v>
      </c>
      <c r="R271" s="12" t="s">
        <v>1580</v>
      </c>
      <c r="S271" s="24" t="s">
        <v>1581</v>
      </c>
      <c r="T271" s="23" t="str">
        <f>HYPERLINK("https://drive.google.com/file/d/1opE__sRAKCoYyAn9crLHfabvI_BFWzm2/view?usp=drivesdk","33 - X6 - Rossy Indriyati - P")</f>
        <v>33 - X6 - Rossy Indriyati - P</v>
      </c>
      <c r="U271" s="12" t="s">
        <v>1571</v>
      </c>
      <c r="W271" s="25">
        <f>COUNTIFS('Form Presensi SCC'!$B:$B, IF($C271&lt;&gt;0, TEXT($C271, "0000000000"), $D271), 'Form Presensi SCC'!$C:$C, "Hadir")</f>
        <v>0</v>
      </c>
      <c r="Y271" s="26"/>
    </row>
    <row r="272" ht="22.5" customHeight="1">
      <c r="A272" s="18">
        <v>271.0</v>
      </c>
      <c r="B272" s="18">
        <v>41.0</v>
      </c>
      <c r="C272" s="18" t="s">
        <v>1582</v>
      </c>
      <c r="D272" s="18" t="s">
        <v>1583</v>
      </c>
      <c r="E272" s="18" t="s">
        <v>227</v>
      </c>
      <c r="F272" s="12">
        <v>33.0</v>
      </c>
      <c r="G272" s="10" t="s">
        <v>1387</v>
      </c>
      <c r="H272" s="19"/>
      <c r="I272" s="20"/>
      <c r="J272" s="10" t="s">
        <v>1387</v>
      </c>
      <c r="K272" s="21"/>
      <c r="L272" s="10"/>
      <c r="M272" s="22"/>
      <c r="N272" s="10"/>
      <c r="O272" s="10"/>
      <c r="P272" s="12" t="str">
        <f t="shared" si="1"/>
        <v>https://docs.google.com/forms/d/e/1FAIpQLSeZ-R1GrWlAPkfaThGqxeTj0QTtrARw4rroxIIepf2kipn1nw/formResponse?usp=pp_url&amp;entry.1313582257=0102698949 / 252610505&amp;entry.1578404635=Hadir</v>
      </c>
      <c r="Q272" s="23" t="s">
        <v>1584</v>
      </c>
      <c r="R272" s="12" t="s">
        <v>1585</v>
      </c>
      <c r="S272" s="24" t="s">
        <v>1586</v>
      </c>
      <c r="T272" s="23" t="str">
        <f>HYPERLINK("https://drive.google.com/file/d/1E-sxpa6-EewmMh3sb_tYZlelAkGNwfha/view?usp=drivesdk","33 - X6 - Salsa Kirana Putri - P")</f>
        <v>33 - X6 - Salsa Kirana Putri - P</v>
      </c>
      <c r="U272" s="12" t="s">
        <v>1571</v>
      </c>
      <c r="W272" s="25">
        <f>COUNTIFS('Form Presensi SCC'!$B:$B, IF($C272&lt;&gt;0, TEXT($C272, "0000000000"), $D272), 'Form Presensi SCC'!$C:$C, "Hadir")</f>
        <v>0</v>
      </c>
      <c r="Y272" s="26"/>
    </row>
    <row r="273" ht="22.5" customHeight="1">
      <c r="A273" s="10">
        <v>272.0</v>
      </c>
      <c r="B273" s="18">
        <v>42.0</v>
      </c>
      <c r="C273" s="18" t="s">
        <v>1587</v>
      </c>
      <c r="D273" s="18" t="s">
        <v>1588</v>
      </c>
      <c r="E273" s="18" t="s">
        <v>227</v>
      </c>
      <c r="F273" s="12">
        <v>33.0</v>
      </c>
      <c r="G273" s="10" t="s">
        <v>1387</v>
      </c>
      <c r="H273" s="19"/>
      <c r="I273" s="20"/>
      <c r="J273" s="10" t="s">
        <v>1387</v>
      </c>
      <c r="K273" s="21"/>
      <c r="L273" s="10"/>
      <c r="M273" s="22"/>
      <c r="N273" s="10"/>
      <c r="O273" s="10"/>
      <c r="P273" s="12" t="str">
        <f t="shared" si="1"/>
        <v>https://docs.google.com/forms/d/e/1FAIpQLSeZ-R1GrWlAPkfaThGqxeTj0QTtrARw4rroxIIepf2kipn1nw/formResponse?usp=pp_url&amp;entry.1313582257=3096600612 / 252610517&amp;entry.1578404635=Hadir</v>
      </c>
      <c r="Q273" s="23" t="s">
        <v>1589</v>
      </c>
      <c r="R273" s="12" t="s">
        <v>1590</v>
      </c>
      <c r="S273" s="24" t="s">
        <v>1591</v>
      </c>
      <c r="T273" s="23" t="str">
        <f>HYPERLINK("https://drive.google.com/file/d/1rykEWF3929Ix4i95Vr3YX6oAaTggJYhw/view?usp=drivesdk","33 - X6 - Shalomieta Aira Kinaya - P")</f>
        <v>33 - X6 - Shalomieta Aira Kinaya - P</v>
      </c>
      <c r="U273" s="12" t="s">
        <v>1571</v>
      </c>
      <c r="W273" s="25">
        <f>COUNTIFS('Form Presensi SCC'!$B:$B, IF($C273&lt;&gt;0, TEXT($C273, "0000000000"), $D273), 'Form Presensi SCC'!$C:$C, "Hadir")</f>
        <v>0</v>
      </c>
      <c r="Y273" s="26"/>
    </row>
    <row r="274" ht="22.5" customHeight="1">
      <c r="A274" s="18">
        <v>273.0</v>
      </c>
      <c r="B274" s="18">
        <v>43.0</v>
      </c>
      <c r="C274" s="18" t="s">
        <v>1592</v>
      </c>
      <c r="D274" s="18" t="s">
        <v>1593</v>
      </c>
      <c r="E274" s="18" t="s">
        <v>220</v>
      </c>
      <c r="F274" s="12">
        <v>33.0</v>
      </c>
      <c r="G274" s="10" t="s">
        <v>1387</v>
      </c>
      <c r="H274" s="19"/>
      <c r="I274" s="20"/>
      <c r="J274" s="10" t="s">
        <v>1387</v>
      </c>
      <c r="K274" s="21"/>
      <c r="L274" s="10"/>
      <c r="M274" s="22"/>
      <c r="N274" s="10"/>
      <c r="O274" s="10"/>
      <c r="P274" s="12" t="str">
        <f t="shared" si="1"/>
        <v>https://docs.google.com/forms/d/e/1FAIpQLSeZ-R1GrWlAPkfaThGqxeTj0QTtrARw4rroxIIepf2kipn1nw/formResponse?usp=pp_url&amp;entry.1313582257=0106462308 / 252610528&amp;entry.1578404635=Hadir</v>
      </c>
      <c r="Q274" s="23" t="s">
        <v>1594</v>
      </c>
      <c r="R274" s="12" t="s">
        <v>1595</v>
      </c>
      <c r="S274" s="24" t="s">
        <v>1596</v>
      </c>
      <c r="T274" s="23" t="str">
        <f>HYPERLINK("https://drive.google.com/file/d/1mJsCd2MaCZHgXkeZnlDQznGIkaAbAnzr/view?usp=drivesdk","33 - X6 - Syahdan Akbar Mara Putra - L")</f>
        <v>33 - X6 - Syahdan Akbar Mara Putra - L</v>
      </c>
      <c r="U274" s="12" t="s">
        <v>1597</v>
      </c>
      <c r="W274" s="25">
        <f>COUNTIFS('Form Presensi SCC'!$B:$B, IF($C274&lt;&gt;0, TEXT($C274, "0000000000"), $D274), 'Form Presensi SCC'!$C:$C, "Hadir")</f>
        <v>0</v>
      </c>
      <c r="Y274" s="26"/>
    </row>
    <row r="275" ht="22.5" customHeight="1">
      <c r="A275" s="10">
        <v>274.0</v>
      </c>
      <c r="B275" s="18">
        <v>44.0</v>
      </c>
      <c r="C275" s="18" t="s">
        <v>1598</v>
      </c>
      <c r="D275" s="18" t="s">
        <v>1599</v>
      </c>
      <c r="E275" s="18" t="s">
        <v>227</v>
      </c>
      <c r="F275" s="12">
        <v>33.0</v>
      </c>
      <c r="G275" s="10" t="s">
        <v>1387</v>
      </c>
      <c r="H275" s="19"/>
      <c r="I275" s="20"/>
      <c r="J275" s="10" t="s">
        <v>1387</v>
      </c>
      <c r="K275" s="21"/>
      <c r="L275" s="10"/>
      <c r="M275" s="22"/>
      <c r="N275" s="10"/>
      <c r="O275" s="10"/>
      <c r="P275" s="12" t="str">
        <f t="shared" si="1"/>
        <v>https://docs.google.com/forms/d/e/1FAIpQLSeZ-R1GrWlAPkfaThGqxeTj0QTtrARw4rroxIIepf2kipn1nw/formResponse?usp=pp_url&amp;entry.1313582257=0101383149 / 252610529&amp;entry.1578404635=Hadir</v>
      </c>
      <c r="Q275" s="23" t="s">
        <v>1600</v>
      </c>
      <c r="R275" s="12" t="s">
        <v>1601</v>
      </c>
      <c r="S275" s="24" t="s">
        <v>1602</v>
      </c>
      <c r="T275" s="23" t="str">
        <f>HYPERLINK("https://drive.google.com/file/d/1ouJ5Q6DSbL7V4O7VVF4PK94JpHuSgAKc/view?usp=drivesdk","33 - X6 - Syahla Adzkannisa Vuzela - P")</f>
        <v>33 - X6 - Syahla Adzkannisa Vuzela - P</v>
      </c>
      <c r="U275" s="12" t="s">
        <v>1597</v>
      </c>
      <c r="W275" s="25">
        <f>COUNTIFS('Form Presensi SCC'!$B:$B, IF($C275&lt;&gt;0, TEXT($C275, "0000000000"), $D275), 'Form Presensi SCC'!$C:$C, "Hadir")</f>
        <v>0</v>
      </c>
      <c r="Y275" s="26"/>
    </row>
    <row r="276" ht="22.5" customHeight="1">
      <c r="A276" s="18">
        <v>275.0</v>
      </c>
      <c r="B276" s="18">
        <v>45.0</v>
      </c>
      <c r="C276" s="18" t="s">
        <v>1603</v>
      </c>
      <c r="D276" s="18" t="s">
        <v>1604</v>
      </c>
      <c r="E276" s="18" t="s">
        <v>220</v>
      </c>
      <c r="F276" s="12">
        <v>33.0</v>
      </c>
      <c r="G276" s="10" t="s">
        <v>1387</v>
      </c>
      <c r="H276" s="19"/>
      <c r="I276" s="20"/>
      <c r="J276" s="10" t="s">
        <v>1387</v>
      </c>
      <c r="K276" s="21"/>
      <c r="L276" s="10"/>
      <c r="M276" s="22"/>
      <c r="N276" s="10"/>
      <c r="O276" s="10"/>
      <c r="P276" s="12" t="str">
        <f t="shared" si="1"/>
        <v>https://docs.google.com/forms/d/e/1FAIpQLSeZ-R1GrWlAPkfaThGqxeTj0QTtrARw4rroxIIepf2kipn1nw/formResponse?usp=pp_url&amp;entry.1313582257=0107096617 / 252610541&amp;entry.1578404635=Hadir</v>
      </c>
      <c r="Q276" s="23" t="s">
        <v>1605</v>
      </c>
      <c r="R276" s="12" t="s">
        <v>1606</v>
      </c>
      <c r="S276" s="24" t="s">
        <v>1607</v>
      </c>
      <c r="T276" s="23" t="str">
        <f>HYPERLINK("https://drive.google.com/file/d/1Vnp7qGQ42f_J1eRShzKRXXvjwqWqQN88/view?usp=drivesdk","33 - X6 - Taufik Hidayah - L")</f>
        <v>33 - X6 - Taufik Hidayah - L</v>
      </c>
      <c r="U276" s="12" t="s">
        <v>1597</v>
      </c>
      <c r="W276" s="25">
        <f>COUNTIFS('Form Presensi SCC'!$B:$B, IF($C276&lt;&gt;0, TEXT($C276, "0000000000"), $D276), 'Form Presensi SCC'!$C:$C, "Hadir")</f>
        <v>0</v>
      </c>
      <c r="Y276" s="26"/>
    </row>
    <row r="277" ht="22.5" customHeight="1">
      <c r="A277" s="10">
        <v>276.0</v>
      </c>
      <c r="B277" s="18">
        <v>1.0</v>
      </c>
      <c r="C277" s="18" t="s">
        <v>1608</v>
      </c>
      <c r="D277" s="18" t="s">
        <v>1609</v>
      </c>
      <c r="E277" s="18" t="s">
        <v>227</v>
      </c>
      <c r="F277" s="12">
        <v>33.0</v>
      </c>
      <c r="G277" s="10" t="s">
        <v>1610</v>
      </c>
      <c r="H277" s="19"/>
      <c r="I277" s="20"/>
      <c r="J277" s="10" t="s">
        <v>1610</v>
      </c>
      <c r="K277" s="21"/>
      <c r="L277" s="10"/>
      <c r="M277" s="22"/>
      <c r="N277" s="10"/>
      <c r="O277" s="10"/>
      <c r="P277" s="12" t="str">
        <f t="shared" si="1"/>
        <v>https://docs.google.com/forms/d/e/1FAIpQLSeZ-R1GrWlAPkfaThGqxeTj0QTtrARw4rroxIIepf2kipn1nw/formResponse?usp=pp_url&amp;entry.1313582257=0101303057 / 252610006&amp;entry.1578404635=Hadir</v>
      </c>
      <c r="Q277" s="23" t="s">
        <v>1611</v>
      </c>
      <c r="R277" s="12" t="s">
        <v>1612</v>
      </c>
      <c r="S277" s="24" t="s">
        <v>1613</v>
      </c>
      <c r="T277" s="23" t="str">
        <f>HYPERLINK("https://drive.google.com/file/d/1prGU8SJ-IJPBTudgrA8n86oCpLDpP6LA/view?usp=drivesdk","33 - X7 - Adara Luthfia Putri - P")</f>
        <v>33 - X7 - Adara Luthfia Putri - P</v>
      </c>
      <c r="U277" s="12" t="s">
        <v>1597</v>
      </c>
      <c r="W277" s="25">
        <f>COUNTIFS('Form Presensi SCC'!$B:$B, IF($C277&lt;&gt;0, TEXT($C277, "0000000000"), $D277), 'Form Presensi SCC'!$C:$C, "Hadir")</f>
        <v>0</v>
      </c>
      <c r="Y277" s="26"/>
    </row>
    <row r="278" ht="22.5" customHeight="1">
      <c r="A278" s="18">
        <v>277.0</v>
      </c>
      <c r="B278" s="18">
        <v>2.0</v>
      </c>
      <c r="C278" s="18" t="s">
        <v>1614</v>
      </c>
      <c r="D278" s="18" t="s">
        <v>1615</v>
      </c>
      <c r="E278" s="18" t="s">
        <v>220</v>
      </c>
      <c r="F278" s="12">
        <v>33.0</v>
      </c>
      <c r="G278" s="10" t="s">
        <v>1610</v>
      </c>
      <c r="H278" s="19"/>
      <c r="I278" s="20"/>
      <c r="J278" s="10" t="s">
        <v>1610</v>
      </c>
      <c r="K278" s="21"/>
      <c r="L278" s="10"/>
      <c r="M278" s="22"/>
      <c r="N278" s="10"/>
      <c r="O278" s="10"/>
      <c r="P278" s="12" t="str">
        <f t="shared" si="1"/>
        <v>https://docs.google.com/forms/d/e/1FAIpQLSeZ-R1GrWlAPkfaThGqxeTj0QTtrARw4rroxIIepf2kipn1nw/formResponse?usp=pp_url&amp;entry.1313582257=0109597144 / 252610017&amp;entry.1578404635=Hadir</v>
      </c>
      <c r="Q278" s="23" t="s">
        <v>1616</v>
      </c>
      <c r="R278" s="12" t="s">
        <v>1617</v>
      </c>
      <c r="S278" s="24" t="s">
        <v>1618</v>
      </c>
      <c r="T278" s="23" t="str">
        <f>HYPERLINK("https://drive.google.com/file/d/1k_SCLZ9fSTmtjaBQYqpC9xXeoEgxItEk/view?usp=drivesdk","33 - X7 - Ahmad Fahri Hidayat - L")</f>
        <v>33 - X7 - Ahmad Fahri Hidayat - L</v>
      </c>
      <c r="U278" s="12" t="s">
        <v>1597</v>
      </c>
      <c r="W278" s="25">
        <f>COUNTIFS('Form Presensi SCC'!$B:$B, IF($C278&lt;&gt;0, TEXT($C278, "0000000000"), $D278), 'Form Presensi SCC'!$C:$C, "Hadir")</f>
        <v>0</v>
      </c>
      <c r="Y278" s="26"/>
    </row>
    <row r="279" ht="22.5" customHeight="1">
      <c r="A279" s="10">
        <v>278.0</v>
      </c>
      <c r="B279" s="18">
        <v>3.0</v>
      </c>
      <c r="C279" s="18" t="s">
        <v>65</v>
      </c>
      <c r="D279" s="18" t="s">
        <v>1619</v>
      </c>
      <c r="E279" s="18" t="s">
        <v>227</v>
      </c>
      <c r="F279" s="12">
        <v>33.0</v>
      </c>
      <c r="G279" s="10" t="s">
        <v>1610</v>
      </c>
      <c r="H279" s="19"/>
      <c r="I279" s="20"/>
      <c r="J279" s="10" t="s">
        <v>1610</v>
      </c>
      <c r="K279" s="21"/>
      <c r="L279" s="10"/>
      <c r="M279" s="22"/>
      <c r="N279" s="10"/>
      <c r="O279" s="10"/>
      <c r="P279" s="12" t="str">
        <f t="shared" si="1"/>
        <v>https://docs.google.com/forms/d/e/1FAIpQLSeZ-R1GrWlAPkfaThGqxeTj0QTtrARw4rroxIIepf2kipn1nw/formResponse?usp=pp_url&amp;entry.1313582257=3096764634 / 252610025&amp;entry.1578404635=Hadir</v>
      </c>
      <c r="Q279" s="23" t="s">
        <v>1620</v>
      </c>
      <c r="R279" s="12" t="s">
        <v>1621</v>
      </c>
      <c r="S279" s="24" t="s">
        <v>1622</v>
      </c>
      <c r="T279" s="23" t="str">
        <f>HYPERLINK("https://drive.google.com/file/d/1Sqz7pITl8A-BX94GJpa0mG2BZv-uoYgZ/view?usp=drivesdk","33 - X7 - Aira Kirana - P")</f>
        <v>33 - X7 - Aira Kirana - P</v>
      </c>
      <c r="U279" s="12" t="s">
        <v>1623</v>
      </c>
      <c r="W279" s="25">
        <f>COUNTIFS('Form Presensi SCC'!$B:$B, IF($C279&lt;&gt;0, TEXT($C279, "0000000000"), $D279), 'Form Presensi SCC'!$C:$C, "Hadir")</f>
        <v>4</v>
      </c>
      <c r="Y279" s="26"/>
    </row>
    <row r="280" ht="22.5" customHeight="1">
      <c r="A280" s="18">
        <v>279.0</v>
      </c>
      <c r="B280" s="18">
        <v>4.0</v>
      </c>
      <c r="C280" s="18" t="s">
        <v>1624</v>
      </c>
      <c r="D280" s="18" t="s">
        <v>1625</v>
      </c>
      <c r="E280" s="18" t="s">
        <v>227</v>
      </c>
      <c r="F280" s="12">
        <v>33.0</v>
      </c>
      <c r="G280" s="10" t="s">
        <v>1610</v>
      </c>
      <c r="H280" s="19"/>
      <c r="I280" s="20"/>
      <c r="J280" s="10" t="s">
        <v>1610</v>
      </c>
      <c r="K280" s="21"/>
      <c r="L280" s="10"/>
      <c r="M280" s="22"/>
      <c r="N280" s="10"/>
      <c r="O280" s="10"/>
      <c r="P280" s="12" t="str">
        <f t="shared" si="1"/>
        <v>https://docs.google.com/forms/d/e/1FAIpQLSeZ-R1GrWlAPkfaThGqxeTj0QTtrARw4rroxIIepf2kipn1nw/formResponse?usp=pp_url&amp;entry.1313582257=0094347087 / 252610044&amp;entry.1578404635=Hadir</v>
      </c>
      <c r="Q280" s="23" t="s">
        <v>1626</v>
      </c>
      <c r="R280" s="12" t="s">
        <v>1627</v>
      </c>
      <c r="S280" s="24" t="s">
        <v>1628</v>
      </c>
      <c r="T280" s="23" t="str">
        <f>HYPERLINK("https://drive.google.com/file/d/1ukNP_BnqVTmqbnpLJBPQWWm5zvGZu-oW/view?usp=drivesdk","33 - X7 - Aliya Trianzani Putri - P")</f>
        <v>33 - X7 - Aliya Trianzani Putri - P</v>
      </c>
      <c r="U280" s="12" t="s">
        <v>1623</v>
      </c>
      <c r="W280" s="25">
        <f>COUNTIFS('Form Presensi SCC'!$B:$B, IF($C280&lt;&gt;0, TEXT($C280, "0000000000"), $D280), 'Form Presensi SCC'!$C:$C, "Hadir")</f>
        <v>0</v>
      </c>
      <c r="Y280" s="26"/>
    </row>
    <row r="281" ht="22.5" customHeight="1">
      <c r="A281" s="10">
        <v>280.0</v>
      </c>
      <c r="B281" s="18">
        <v>5.0</v>
      </c>
      <c r="C281" s="18" t="s">
        <v>150</v>
      </c>
      <c r="D281" s="18" t="s">
        <v>1629</v>
      </c>
      <c r="E281" s="18" t="s">
        <v>227</v>
      </c>
      <c r="F281" s="12">
        <v>33.0</v>
      </c>
      <c r="G281" s="10" t="s">
        <v>1610</v>
      </c>
      <c r="H281" s="19"/>
      <c r="I281" s="20"/>
      <c r="J281" s="10" t="s">
        <v>1610</v>
      </c>
      <c r="K281" s="21"/>
      <c r="L281" s="10"/>
      <c r="M281" s="22"/>
      <c r="N281" s="10"/>
      <c r="O281" s="10"/>
      <c r="P281" s="12" t="str">
        <f t="shared" si="1"/>
        <v>https://docs.google.com/forms/d/e/1FAIpQLSeZ-R1GrWlAPkfaThGqxeTj0QTtrARw4rroxIIepf2kipn1nw/formResponse?usp=pp_url&amp;entry.1313582257=0101401010 / 252610051&amp;entry.1578404635=Hadir</v>
      </c>
      <c r="Q281" s="23" t="s">
        <v>1630</v>
      </c>
      <c r="R281" s="12" t="s">
        <v>1631</v>
      </c>
      <c r="S281" s="24" t="s">
        <v>1632</v>
      </c>
      <c r="T281" s="23" t="str">
        <f>HYPERLINK("https://drive.google.com/file/d/1eMikJPs34UY0mvreaw_8BUAH9YPjMiO8/view?usp=drivesdk","33 - X7 - Alya Silvana Sarifah - P")</f>
        <v>33 - X7 - Alya Silvana Sarifah - P</v>
      </c>
      <c r="U281" s="12" t="s">
        <v>1623</v>
      </c>
      <c r="W281" s="25">
        <f>COUNTIFS('Form Presensi SCC'!$B:$B, IF($C281&lt;&gt;0, TEXT($C281, "0000000000"), $D281), 'Form Presensi SCC'!$C:$C, "Hadir")</f>
        <v>2</v>
      </c>
      <c r="Y281" s="26"/>
    </row>
    <row r="282" ht="22.5" customHeight="1">
      <c r="A282" s="18">
        <v>281.0</v>
      </c>
      <c r="B282" s="18">
        <v>6.0</v>
      </c>
      <c r="C282" s="18" t="s">
        <v>63</v>
      </c>
      <c r="D282" s="18" t="s">
        <v>1633</v>
      </c>
      <c r="E282" s="18" t="s">
        <v>227</v>
      </c>
      <c r="F282" s="12">
        <v>33.0</v>
      </c>
      <c r="G282" s="10" t="s">
        <v>1610</v>
      </c>
      <c r="H282" s="19"/>
      <c r="I282" s="20"/>
      <c r="J282" s="10" t="s">
        <v>1610</v>
      </c>
      <c r="K282" s="21"/>
      <c r="L282" s="10"/>
      <c r="M282" s="22"/>
      <c r="N282" s="10"/>
      <c r="O282" s="10"/>
      <c r="P282" s="12" t="str">
        <f t="shared" si="1"/>
        <v>https://docs.google.com/forms/d/e/1FAIpQLSeZ-R1GrWlAPkfaThGqxeTj0QTtrARw4rroxIIepf2kipn1nw/formResponse?usp=pp_url&amp;entry.1313582257=0106758481 / 252610064&amp;entry.1578404635=Hadir</v>
      </c>
      <c r="Q282" s="23" t="s">
        <v>1634</v>
      </c>
      <c r="R282" s="12" t="s">
        <v>1635</v>
      </c>
      <c r="S282" s="24" t="s">
        <v>1636</v>
      </c>
      <c r="T282" s="23" t="str">
        <f>HYPERLINK("https://drive.google.com/file/d/19I6GUzKtyFn9Y0LHB_rHcKAVV-7OBj7C/view?usp=drivesdk","33 - X7 - Anindya Estyana Damayanti - P")</f>
        <v>33 - X7 - Anindya Estyana Damayanti - P</v>
      </c>
      <c r="U282" s="12" t="s">
        <v>1623</v>
      </c>
      <c r="W282" s="25">
        <f>COUNTIFS('Form Presensi SCC'!$B:$B, IF($C282&lt;&gt;0, TEXT($C282, "0000000000"), $D282), 'Form Presensi SCC'!$C:$C, "Hadir")</f>
        <v>4</v>
      </c>
      <c r="Y282" s="26"/>
    </row>
    <row r="283" ht="22.5" customHeight="1">
      <c r="A283" s="10">
        <v>282.0</v>
      </c>
      <c r="B283" s="18">
        <v>7.0</v>
      </c>
      <c r="C283" s="18" t="s">
        <v>143</v>
      </c>
      <c r="D283" s="18" t="s">
        <v>1637</v>
      </c>
      <c r="E283" s="18" t="s">
        <v>220</v>
      </c>
      <c r="F283" s="12">
        <v>33.0</v>
      </c>
      <c r="G283" s="10" t="s">
        <v>1610</v>
      </c>
      <c r="H283" s="19"/>
      <c r="I283" s="20"/>
      <c r="J283" s="10" t="s">
        <v>1610</v>
      </c>
      <c r="K283" s="21"/>
      <c r="L283" s="10"/>
      <c r="M283" s="22"/>
      <c r="N283" s="10"/>
      <c r="O283" s="10"/>
      <c r="P283" s="12" t="str">
        <f t="shared" si="1"/>
        <v>https://docs.google.com/forms/d/e/1FAIpQLSeZ-R1GrWlAPkfaThGqxeTj0QTtrARw4rroxIIepf2kipn1nw/formResponse?usp=pp_url&amp;entry.1313582257=0092241333 / 252610113&amp;entry.1578404635=Hadir</v>
      </c>
      <c r="Q283" s="23" t="s">
        <v>1638</v>
      </c>
      <c r="R283" s="12" t="s">
        <v>1639</v>
      </c>
      <c r="S283" s="24" t="s">
        <v>1640</v>
      </c>
      <c r="T283" s="23" t="str">
        <f>HYPERLINK("https://drive.google.com/file/d/1n0Rqkx62oCPX8Hi5co4UWZk1y_y1dskD/view?usp=drivesdk","33 - X7 - Azri Aditya Amada - L")</f>
        <v>33 - X7 - Azri Aditya Amada - L</v>
      </c>
      <c r="U283" s="12" t="s">
        <v>1623</v>
      </c>
      <c r="W283" s="25">
        <f>COUNTIFS('Form Presensi SCC'!$B:$B, IF($C283&lt;&gt;0, TEXT($C283, "0000000000"), $D283), 'Form Presensi SCC'!$C:$C, "Hadir")</f>
        <v>1</v>
      </c>
      <c r="Y283" s="26"/>
    </row>
    <row r="284" ht="22.5" customHeight="1">
      <c r="A284" s="18">
        <v>283.0</v>
      </c>
      <c r="B284" s="18">
        <v>8.0</v>
      </c>
      <c r="C284" s="18" t="s">
        <v>197</v>
      </c>
      <c r="D284" s="18" t="s">
        <v>1641</v>
      </c>
      <c r="E284" s="18" t="s">
        <v>227</v>
      </c>
      <c r="F284" s="12">
        <v>33.0</v>
      </c>
      <c r="G284" s="10" t="s">
        <v>1610</v>
      </c>
      <c r="H284" s="19"/>
      <c r="I284" s="20"/>
      <c r="J284" s="10" t="s">
        <v>1610</v>
      </c>
      <c r="K284" s="21"/>
      <c r="L284" s="10"/>
      <c r="M284" s="22"/>
      <c r="N284" s="10"/>
      <c r="O284" s="10"/>
      <c r="P284" s="12" t="str">
        <f t="shared" si="1"/>
        <v>https://docs.google.com/forms/d/e/1FAIpQLSeZ-R1GrWlAPkfaThGqxeTj0QTtrARw4rroxIIepf2kipn1nw/formResponse?usp=pp_url&amp;entry.1313582257=0102239764 / 252610140&amp;entry.1578404635=Hadir</v>
      </c>
      <c r="Q284" s="23" t="s">
        <v>1642</v>
      </c>
      <c r="R284" s="12" t="s">
        <v>1643</v>
      </c>
      <c r="S284" s="24" t="s">
        <v>1644</v>
      </c>
      <c r="T284" s="23" t="str">
        <f>HYPERLINK("https://drive.google.com/file/d/1u9DR_1DJaxjTPtNCvrU_tJm47CuCIE-Q/view?usp=drivesdk","33 - X7 - Clara Dwi Cahya - P")</f>
        <v>33 - X7 - Clara Dwi Cahya - P</v>
      </c>
      <c r="U284" s="12" t="s">
        <v>1645</v>
      </c>
      <c r="W284" s="25">
        <f>COUNTIFS('Form Presensi SCC'!$B:$B, IF($C284&lt;&gt;0, TEXT($C284, "0000000000"), $D284), 'Form Presensi SCC'!$C:$C, "Hadir")</f>
        <v>1</v>
      </c>
      <c r="Y284" s="26"/>
    </row>
    <row r="285" ht="22.5" customHeight="1">
      <c r="A285" s="10">
        <v>284.0</v>
      </c>
      <c r="B285" s="18">
        <v>9.0</v>
      </c>
      <c r="C285" s="18" t="s">
        <v>196</v>
      </c>
      <c r="D285" s="18" t="s">
        <v>1646</v>
      </c>
      <c r="E285" s="18" t="s">
        <v>227</v>
      </c>
      <c r="F285" s="12">
        <v>33.0</v>
      </c>
      <c r="G285" s="10" t="s">
        <v>1610</v>
      </c>
      <c r="H285" s="19"/>
      <c r="I285" s="20"/>
      <c r="J285" s="10" t="s">
        <v>1610</v>
      </c>
      <c r="K285" s="21"/>
      <c r="L285" s="10"/>
      <c r="M285" s="22"/>
      <c r="N285" s="10"/>
      <c r="O285" s="10"/>
      <c r="P285" s="12" t="str">
        <f t="shared" si="1"/>
        <v>https://docs.google.com/forms/d/e/1FAIpQLSeZ-R1GrWlAPkfaThGqxeTj0QTtrARw4rroxIIepf2kipn1nw/formResponse?usp=pp_url&amp;entry.1313582257=0108763766 / 252610141&amp;entry.1578404635=Hadir</v>
      </c>
      <c r="Q285" s="23" t="s">
        <v>1647</v>
      </c>
      <c r="R285" s="12" t="s">
        <v>1648</v>
      </c>
      <c r="S285" s="24" t="s">
        <v>1649</v>
      </c>
      <c r="T285" s="23" t="str">
        <f>HYPERLINK("https://drive.google.com/file/d/1LXFiIppbtalcbpiDrnRgHNeEHovRD6N4/view?usp=drivesdk","33 - X7 - Clarisa Meidiana - P")</f>
        <v>33 - X7 - Clarisa Meidiana - P</v>
      </c>
      <c r="U285" s="12" t="s">
        <v>1645</v>
      </c>
      <c r="W285" s="25">
        <f>COUNTIFS('Form Presensi SCC'!$B:$B, IF($C285&lt;&gt;0, TEXT($C285, "0000000000"), $D285), 'Form Presensi SCC'!$C:$C, "Hadir")</f>
        <v>1</v>
      </c>
      <c r="Y285" s="26"/>
    </row>
    <row r="286" ht="22.5" customHeight="1">
      <c r="A286" s="18">
        <v>285.0</v>
      </c>
      <c r="B286" s="18">
        <v>10.0</v>
      </c>
      <c r="C286" s="18" t="s">
        <v>159</v>
      </c>
      <c r="D286" s="18" t="s">
        <v>1650</v>
      </c>
      <c r="E286" s="18" t="s">
        <v>220</v>
      </c>
      <c r="F286" s="12">
        <v>33.0</v>
      </c>
      <c r="G286" s="10" t="s">
        <v>1610</v>
      </c>
      <c r="H286" s="22" t="s">
        <v>371</v>
      </c>
      <c r="I286" s="20"/>
      <c r="J286" s="10" t="s">
        <v>1610</v>
      </c>
      <c r="K286" s="21"/>
      <c r="L286" s="10"/>
      <c r="M286" s="22"/>
      <c r="N286" s="10"/>
      <c r="O286" s="10"/>
      <c r="P286" s="12" t="str">
        <f t="shared" si="1"/>
        <v>https://docs.google.com/forms/d/e/1FAIpQLSeZ-R1GrWlAPkfaThGqxeTj0QTtrARw4rroxIIepf2kipn1nw/formResponse?usp=pp_url&amp;entry.1313582257=0103120702 / 252610144&amp;entry.1578404635=Hadir</v>
      </c>
      <c r="Q286" s="23" t="s">
        <v>1651</v>
      </c>
      <c r="R286" s="12" t="s">
        <v>1652</v>
      </c>
      <c r="S286" s="24" t="s">
        <v>1653</v>
      </c>
      <c r="T286" s="23" t="str">
        <f>HYPERLINK("https://drive.google.com/file/d/1BmDXEgwljdWNjU6wCrsYmM6yOVsA4vZP/view?usp=drivesdk","33 - X7 - Daffa Khoirul Fajri - L")</f>
        <v>33 - X7 - Daffa Khoirul Fajri - L</v>
      </c>
      <c r="U286" s="12" t="s">
        <v>1645</v>
      </c>
      <c r="W286" s="25">
        <f>COUNTIFS('Form Presensi SCC'!$B:$B, IF($C286&lt;&gt;0, TEXT($C286, "0000000000"), $D286), 'Form Presensi SCC'!$C:$C, "Hadir")</f>
        <v>2</v>
      </c>
      <c r="Y286" s="26"/>
    </row>
    <row r="287" ht="22.5" customHeight="1">
      <c r="A287" s="10">
        <v>286.0</v>
      </c>
      <c r="B287" s="18">
        <v>11.0</v>
      </c>
      <c r="C287" s="18" t="s">
        <v>67</v>
      </c>
      <c r="D287" s="18" t="s">
        <v>1654</v>
      </c>
      <c r="E287" s="18" t="s">
        <v>227</v>
      </c>
      <c r="F287" s="12">
        <v>33.0</v>
      </c>
      <c r="G287" s="10" t="s">
        <v>1610</v>
      </c>
      <c r="H287" s="19"/>
      <c r="I287" s="20"/>
      <c r="J287" s="10" t="s">
        <v>1610</v>
      </c>
      <c r="K287" s="21"/>
      <c r="L287" s="10"/>
      <c r="M287" s="22"/>
      <c r="N287" s="10"/>
      <c r="O287" s="10"/>
      <c r="P287" s="12" t="str">
        <f t="shared" si="1"/>
        <v>https://docs.google.com/forms/d/e/1FAIpQLSeZ-R1GrWlAPkfaThGqxeTj0QTtrARw4rroxIIepf2kipn1nw/formResponse?usp=pp_url&amp;entry.1313582257=0099164493 / 252610156&amp;entry.1578404635=Hadir</v>
      </c>
      <c r="Q287" s="23" t="s">
        <v>1655</v>
      </c>
      <c r="R287" s="12" t="s">
        <v>1656</v>
      </c>
      <c r="S287" s="24" t="s">
        <v>1657</v>
      </c>
      <c r="T287" s="23" t="str">
        <f>HYPERLINK("https://drive.google.com/file/d/1AceUVFIX4YCoqFouiOC55_DHOQg8FuFu/view?usp=drivesdk","33 - X7 - Dhia Devita Ramadhani - P")</f>
        <v>33 - X7 - Dhia Devita Ramadhani - P</v>
      </c>
      <c r="U287" s="12" t="s">
        <v>1645</v>
      </c>
      <c r="W287" s="25">
        <f>COUNTIFS('Form Presensi SCC'!$B:$B, IF($C287&lt;&gt;0, TEXT($C287, "0000000000"), $D287), 'Form Presensi SCC'!$C:$C, "Hadir")</f>
        <v>4</v>
      </c>
      <c r="Y287" s="26"/>
    </row>
    <row r="288" ht="22.5" customHeight="1">
      <c r="A288" s="18">
        <v>287.0</v>
      </c>
      <c r="B288" s="18">
        <v>12.0</v>
      </c>
      <c r="C288" s="18" t="s">
        <v>151</v>
      </c>
      <c r="D288" s="18" t="s">
        <v>1658</v>
      </c>
      <c r="E288" s="18" t="s">
        <v>227</v>
      </c>
      <c r="F288" s="12">
        <v>33.0</v>
      </c>
      <c r="G288" s="10" t="s">
        <v>1610</v>
      </c>
      <c r="H288" s="19"/>
      <c r="I288" s="20"/>
      <c r="J288" s="10" t="s">
        <v>1610</v>
      </c>
      <c r="K288" s="21"/>
      <c r="L288" s="10"/>
      <c r="M288" s="22"/>
      <c r="N288" s="10"/>
      <c r="O288" s="10"/>
      <c r="P288" s="12" t="str">
        <f t="shared" si="1"/>
        <v>https://docs.google.com/forms/d/e/1FAIpQLSeZ-R1GrWlAPkfaThGqxeTj0QTtrARw4rroxIIepf2kipn1nw/formResponse?usp=pp_url&amp;entry.1313582257=0093281671 / 252610159&amp;entry.1578404635=Hadir</v>
      </c>
      <c r="Q288" s="23" t="s">
        <v>1659</v>
      </c>
      <c r="R288" s="12" t="s">
        <v>1660</v>
      </c>
      <c r="S288" s="24" t="s">
        <v>1661</v>
      </c>
      <c r="T288" s="23" t="str">
        <f>HYPERLINK("https://drive.google.com/file/d/1eu-ALrI43IlGR5flc6eaeorPlKgmqobL/view?usp=drivesdk","33 - X7 - Diajeng Inggil Lintang Aulia - P")</f>
        <v>33 - X7 - Diajeng Inggil Lintang Aulia - P</v>
      </c>
      <c r="U288" s="12" t="s">
        <v>1645</v>
      </c>
      <c r="W288" s="25">
        <f>COUNTIFS('Form Presensi SCC'!$B:$B, IF($C288&lt;&gt;0, TEXT($C288, "0000000000"), $D288), 'Form Presensi SCC'!$C:$C, "Hadir")</f>
        <v>2</v>
      </c>
      <c r="Y288" s="26"/>
    </row>
    <row r="289" ht="22.5" customHeight="1">
      <c r="A289" s="10">
        <v>288.0</v>
      </c>
      <c r="B289" s="18">
        <v>13.0</v>
      </c>
      <c r="C289" s="18" t="s">
        <v>149</v>
      </c>
      <c r="D289" s="18" t="s">
        <v>1662</v>
      </c>
      <c r="E289" s="18" t="s">
        <v>227</v>
      </c>
      <c r="F289" s="12">
        <v>33.0</v>
      </c>
      <c r="G289" s="10" t="s">
        <v>1610</v>
      </c>
      <c r="H289" s="19"/>
      <c r="I289" s="20"/>
      <c r="J289" s="10" t="s">
        <v>1610</v>
      </c>
      <c r="K289" s="21"/>
      <c r="L289" s="10"/>
      <c r="M289" s="22"/>
      <c r="N289" s="10"/>
      <c r="O289" s="10"/>
      <c r="P289" s="12" t="str">
        <f t="shared" si="1"/>
        <v>https://docs.google.com/forms/d/e/1FAIpQLSeZ-R1GrWlAPkfaThGqxeTj0QTtrARw4rroxIIepf2kipn1nw/formResponse?usp=pp_url&amp;entry.1313582257=0091524155 / 252610179&amp;entry.1578404635=Hadir</v>
      </c>
      <c r="Q289" s="23" t="s">
        <v>1663</v>
      </c>
      <c r="R289" s="12" t="s">
        <v>1664</v>
      </c>
      <c r="S289" s="24" t="s">
        <v>1665</v>
      </c>
      <c r="T289" s="23" t="str">
        <f>HYPERLINK("https://drive.google.com/file/d/1lmlc61idtwi-hq7hhjEfAl9FxfqW-xMW/view?usp=drivesdk","33 - X7 - Elgiva Damara Sanchia - P")</f>
        <v>33 - X7 - Elgiva Damara Sanchia - P</v>
      </c>
      <c r="U289" s="12" t="s">
        <v>1645</v>
      </c>
      <c r="W289" s="25">
        <f>COUNTIFS('Form Presensi SCC'!$B:$B, IF($C289&lt;&gt;0, TEXT($C289, "0000000000"), $D289), 'Form Presensi SCC'!$C:$C, "Hadir")</f>
        <v>2</v>
      </c>
      <c r="Y289" s="26"/>
    </row>
    <row r="290" ht="22.5" customHeight="1">
      <c r="A290" s="18">
        <v>289.0</v>
      </c>
      <c r="B290" s="18">
        <v>14.0</v>
      </c>
      <c r="C290" s="18" t="s">
        <v>1666</v>
      </c>
      <c r="D290" s="18" t="s">
        <v>1667</v>
      </c>
      <c r="E290" s="18" t="s">
        <v>220</v>
      </c>
      <c r="F290" s="12">
        <v>33.0</v>
      </c>
      <c r="G290" s="10" t="s">
        <v>1610</v>
      </c>
      <c r="H290" s="19"/>
      <c r="I290" s="20"/>
      <c r="J290" s="10" t="s">
        <v>1610</v>
      </c>
      <c r="K290" s="21"/>
      <c r="L290" s="10"/>
      <c r="M290" s="22"/>
      <c r="N290" s="10"/>
      <c r="O290" s="10"/>
      <c r="P290" s="12" t="str">
        <f t="shared" si="1"/>
        <v>https://docs.google.com/forms/d/e/1FAIpQLSeZ-R1GrWlAPkfaThGqxeTj0QTtrARw4rroxIIepf2kipn1nw/formResponse?usp=pp_url&amp;entry.1313582257=0094004131 / 252610182&amp;entry.1578404635=Hadir</v>
      </c>
      <c r="Q290" s="23" t="s">
        <v>1668</v>
      </c>
      <c r="R290" s="12" t="s">
        <v>1669</v>
      </c>
      <c r="S290" s="24" t="s">
        <v>1670</v>
      </c>
      <c r="T290" s="23" t="str">
        <f>HYPERLINK("https://drive.google.com/file/d/1MBoWMyVFTczExKalmTZ2u03zOKDbGNOC/view?usp=drivesdk","33 - X7 - Enzo Asido Rama Raditya - L")</f>
        <v>33 - X7 - Enzo Asido Rama Raditya - L</v>
      </c>
      <c r="U290" s="12" t="s">
        <v>1671</v>
      </c>
      <c r="W290" s="25">
        <f>COUNTIFS('Form Presensi SCC'!$B:$B, IF($C290&lt;&gt;0, TEXT($C290, "0000000000"), $D290), 'Form Presensi SCC'!$C:$C, "Hadir")</f>
        <v>0</v>
      </c>
      <c r="Y290" s="26"/>
    </row>
    <row r="291" ht="22.5" customHeight="1">
      <c r="A291" s="10">
        <v>290.0</v>
      </c>
      <c r="B291" s="18">
        <v>15.0</v>
      </c>
      <c r="C291" s="18" t="s">
        <v>1672</v>
      </c>
      <c r="D291" s="18" t="s">
        <v>1673</v>
      </c>
      <c r="E291" s="18" t="s">
        <v>220</v>
      </c>
      <c r="F291" s="12">
        <v>33.0</v>
      </c>
      <c r="G291" s="10" t="s">
        <v>1610</v>
      </c>
      <c r="H291" s="22" t="s">
        <v>371</v>
      </c>
      <c r="I291" s="20"/>
      <c r="J291" s="10" t="s">
        <v>1610</v>
      </c>
      <c r="K291" s="21"/>
      <c r="L291" s="10"/>
      <c r="M291" s="22"/>
      <c r="N291" s="10"/>
      <c r="O291" s="10"/>
      <c r="P291" s="12" t="str">
        <f t="shared" si="1"/>
        <v>https://docs.google.com/forms/d/e/1FAIpQLSeZ-R1GrWlAPkfaThGqxeTj0QTtrARw4rroxIIepf2kipn1nw/formResponse?usp=pp_url&amp;entry.1313582257=0107042804 / 252610197&amp;entry.1578404635=Hadir</v>
      </c>
      <c r="Q291" s="23" t="s">
        <v>1674</v>
      </c>
      <c r="R291" s="12" t="s">
        <v>1675</v>
      </c>
      <c r="S291" s="24" t="s">
        <v>1676</v>
      </c>
      <c r="T291" s="23" t="str">
        <f>HYPERLINK("https://drive.google.com/file/d/1IzM4Mzfw4WSBZgv_949z-CWhkwBJXUZ3/view?usp=drivesdk","33 - X7 - Farhan Abdurrahman Yusuf - L")</f>
        <v>33 - X7 - Farhan Abdurrahman Yusuf - L</v>
      </c>
      <c r="U291" s="12" t="s">
        <v>1671</v>
      </c>
      <c r="W291" s="25">
        <f>COUNTIFS('Form Presensi SCC'!$B:$B, IF($C291&lt;&gt;0, TEXT($C291, "0000000000"), $D291), 'Form Presensi SCC'!$C:$C, "Hadir")</f>
        <v>0</v>
      </c>
      <c r="Y291" s="26"/>
    </row>
    <row r="292" ht="22.5" customHeight="1">
      <c r="A292" s="18">
        <v>291.0</v>
      </c>
      <c r="B292" s="18">
        <v>16.0</v>
      </c>
      <c r="C292" s="18" t="s">
        <v>146</v>
      </c>
      <c r="D292" s="18" t="s">
        <v>1677</v>
      </c>
      <c r="E292" s="18" t="s">
        <v>220</v>
      </c>
      <c r="F292" s="12">
        <v>33.0</v>
      </c>
      <c r="G292" s="10" t="s">
        <v>1610</v>
      </c>
      <c r="H292" s="19"/>
      <c r="I292" s="20"/>
      <c r="J292" s="10" t="s">
        <v>1610</v>
      </c>
      <c r="K292" s="21"/>
      <c r="L292" s="10"/>
      <c r="M292" s="22"/>
      <c r="N292" s="10"/>
      <c r="O292" s="10"/>
      <c r="P292" s="12" t="str">
        <f t="shared" si="1"/>
        <v>https://docs.google.com/forms/d/e/1FAIpQLSeZ-R1GrWlAPkfaThGqxeTj0QTtrARw4rroxIIepf2kipn1nw/formResponse?usp=pp_url&amp;entry.1313582257=0094782869 / 252610200&amp;entry.1578404635=Hadir</v>
      </c>
      <c r="Q292" s="23" t="s">
        <v>1678</v>
      </c>
      <c r="R292" s="12" t="s">
        <v>1679</v>
      </c>
      <c r="S292" s="24" t="s">
        <v>1680</v>
      </c>
      <c r="T292" s="23" t="str">
        <f>HYPERLINK("https://drive.google.com/file/d/10ok6w91GLXBs0uVyQ2eKltTz5fjeFMJh/view?usp=drivesdk","33 - X7 - Faris Razwa Sambega - L")</f>
        <v>33 - X7 - Faris Razwa Sambega - L</v>
      </c>
      <c r="U292" s="12" t="s">
        <v>1671</v>
      </c>
      <c r="W292" s="25">
        <f>COUNTIFS('Form Presensi SCC'!$B:$B, IF($C292&lt;&gt;0, TEXT($C292, "0000000000"), $D292), 'Form Presensi SCC'!$C:$C, "Hadir")</f>
        <v>2</v>
      </c>
      <c r="Y292" s="26"/>
    </row>
    <row r="293" ht="22.5" customHeight="1">
      <c r="A293" s="10">
        <v>292.0</v>
      </c>
      <c r="B293" s="18">
        <v>17.0</v>
      </c>
      <c r="C293" s="18" t="s">
        <v>195</v>
      </c>
      <c r="D293" s="18" t="s">
        <v>1681</v>
      </c>
      <c r="E293" s="18" t="s">
        <v>227</v>
      </c>
      <c r="F293" s="12">
        <v>33.0</v>
      </c>
      <c r="G293" s="10" t="s">
        <v>1610</v>
      </c>
      <c r="H293" s="19"/>
      <c r="I293" s="20"/>
      <c r="J293" s="10" t="s">
        <v>1610</v>
      </c>
      <c r="K293" s="21"/>
      <c r="L293" s="10"/>
      <c r="M293" s="22"/>
      <c r="N293" s="10"/>
      <c r="O293" s="10"/>
      <c r="P293" s="12" t="str">
        <f t="shared" si="1"/>
        <v>https://docs.google.com/forms/d/e/1FAIpQLSeZ-R1GrWlAPkfaThGqxeTj0QTtrARw4rroxIIepf2kipn1nw/formResponse?usp=pp_url&amp;entry.1313582257=0107335774 / 252610221&amp;entry.1578404635=Hadir</v>
      </c>
      <c r="Q293" s="23" t="s">
        <v>1682</v>
      </c>
      <c r="R293" s="12" t="s">
        <v>1683</v>
      </c>
      <c r="S293" s="24" t="s">
        <v>1684</v>
      </c>
      <c r="T293" s="23" t="str">
        <f>HYPERLINK("https://drive.google.com/file/d/13DvewKRpqiQFbG2yQhjp_FSN1ugaQ1yl/view?usp=drivesdk","33 - X7 - Ghaniyah Adelia - P")</f>
        <v>33 - X7 - Ghaniyah Adelia - P</v>
      </c>
      <c r="U293" s="12" t="s">
        <v>1671</v>
      </c>
      <c r="W293" s="25">
        <f>COUNTIFS('Form Presensi SCC'!$B:$B, IF($C293&lt;&gt;0, TEXT($C293, "0000000000"), $D293), 'Form Presensi SCC'!$C:$C, "Hadir")</f>
        <v>1</v>
      </c>
      <c r="Y293" s="26"/>
    </row>
    <row r="294" ht="22.5" customHeight="1">
      <c r="A294" s="18">
        <v>293.0</v>
      </c>
      <c r="B294" s="18">
        <v>18.0</v>
      </c>
      <c r="C294" s="18" t="s">
        <v>137</v>
      </c>
      <c r="D294" s="18" t="s">
        <v>1685</v>
      </c>
      <c r="E294" s="18" t="s">
        <v>220</v>
      </c>
      <c r="F294" s="12">
        <v>33.0</v>
      </c>
      <c r="G294" s="10" t="s">
        <v>1610</v>
      </c>
      <c r="H294" s="19"/>
      <c r="I294" s="20"/>
      <c r="J294" s="10" t="s">
        <v>1610</v>
      </c>
      <c r="K294" s="21"/>
      <c r="L294" s="10"/>
      <c r="M294" s="22"/>
      <c r="N294" s="10"/>
      <c r="O294" s="10"/>
      <c r="P294" s="12" t="str">
        <f t="shared" si="1"/>
        <v>https://docs.google.com/forms/d/e/1FAIpQLSeZ-R1GrWlAPkfaThGqxeTj0QTtrARw4rroxIIepf2kipn1nw/formResponse?usp=pp_url&amp;entry.1313582257=3103220251 / 252610225&amp;entry.1578404635=Hadir</v>
      </c>
      <c r="Q294" s="23" t="s">
        <v>1686</v>
      </c>
      <c r="R294" s="12" t="s">
        <v>1687</v>
      </c>
      <c r="S294" s="24" t="s">
        <v>1688</v>
      </c>
      <c r="T294" s="23" t="str">
        <f>HYPERLINK("https://drive.google.com/file/d/1ugNh5yH0ffDrsIzXKyPNgXh9przMk1Br/view?usp=drivesdk","33 - X7 - Hafizh Mumtaz - L")</f>
        <v>33 - X7 - Hafizh Mumtaz - L</v>
      </c>
      <c r="U294" s="12" t="s">
        <v>1671</v>
      </c>
      <c r="W294" s="25">
        <f>COUNTIFS('Form Presensi SCC'!$B:$B, IF($C294&lt;&gt;0, TEXT($C294, "0000000000"), $D294), 'Form Presensi SCC'!$C:$C, "Hadir")</f>
        <v>3</v>
      </c>
      <c r="Y294" s="26"/>
    </row>
    <row r="295" ht="22.5" customHeight="1">
      <c r="A295" s="10">
        <v>294.0</v>
      </c>
      <c r="B295" s="18">
        <v>19.0</v>
      </c>
      <c r="C295" s="18" t="s">
        <v>144</v>
      </c>
      <c r="D295" s="18" t="s">
        <v>1689</v>
      </c>
      <c r="E295" s="18" t="s">
        <v>220</v>
      </c>
      <c r="F295" s="12">
        <v>33.0</v>
      </c>
      <c r="G295" s="10" t="s">
        <v>1610</v>
      </c>
      <c r="H295" s="19"/>
      <c r="I295" s="20"/>
      <c r="J295" s="10" t="s">
        <v>1610</v>
      </c>
      <c r="K295" s="21"/>
      <c r="L295" s="10"/>
      <c r="M295" s="22"/>
      <c r="N295" s="10"/>
      <c r="O295" s="10"/>
      <c r="P295" s="12" t="str">
        <f t="shared" si="1"/>
        <v>https://docs.google.com/forms/d/e/1FAIpQLSeZ-R1GrWlAPkfaThGqxeTj0QTtrARw4rroxIIepf2kipn1nw/formResponse?usp=pp_url&amp;entry.1313582257=0093078917 / 252610252&amp;entry.1578404635=Hadir</v>
      </c>
      <c r="Q295" s="23" t="s">
        <v>1690</v>
      </c>
      <c r="R295" s="12" t="s">
        <v>1691</v>
      </c>
      <c r="S295" s="24" t="s">
        <v>1692</v>
      </c>
      <c r="T295" s="23" t="str">
        <f>HYPERLINK("https://drive.google.com/file/d/1EMyhj1TzY9KHsOrpCVSVE60DXNBKjwgm/view?usp=drivesdk","33 - X7 - Juan Pirlo Benzema - L")</f>
        <v>33 - X7 - Juan Pirlo Benzema - L</v>
      </c>
      <c r="U295" s="12" t="s">
        <v>1693</v>
      </c>
      <c r="W295" s="25">
        <f>COUNTIFS('Form Presensi SCC'!$B:$B, IF($C295&lt;&gt;0, TEXT($C295, "0000000000"), $D295), 'Form Presensi SCC'!$C:$C, "Hadir")</f>
        <v>2</v>
      </c>
      <c r="Y295" s="26"/>
    </row>
    <row r="296" ht="22.5" customHeight="1">
      <c r="A296" s="18">
        <v>295.0</v>
      </c>
      <c r="B296" s="18">
        <v>20.0</v>
      </c>
      <c r="C296" s="18" t="s">
        <v>68</v>
      </c>
      <c r="D296" s="18" t="s">
        <v>1694</v>
      </c>
      <c r="E296" s="18" t="s">
        <v>227</v>
      </c>
      <c r="F296" s="12">
        <v>33.0</v>
      </c>
      <c r="G296" s="10" t="s">
        <v>1610</v>
      </c>
      <c r="H296" s="19"/>
      <c r="I296" s="20"/>
      <c r="J296" s="10" t="s">
        <v>1610</v>
      </c>
      <c r="K296" s="21"/>
      <c r="L296" s="10"/>
      <c r="M296" s="22"/>
      <c r="N296" s="10"/>
      <c r="O296" s="10"/>
      <c r="P296" s="12" t="str">
        <f t="shared" si="1"/>
        <v>https://docs.google.com/forms/d/e/1FAIpQLSeZ-R1GrWlAPkfaThGqxeTj0QTtrARw4rroxIIepf2kipn1nw/formResponse?usp=pp_url&amp;entry.1313582257=0106222604 / 252610254&amp;entry.1578404635=Hadir</v>
      </c>
      <c r="Q296" s="23" t="s">
        <v>1695</v>
      </c>
      <c r="R296" s="12" t="s">
        <v>1696</v>
      </c>
      <c r="S296" s="24" t="s">
        <v>1697</v>
      </c>
      <c r="T296" s="23" t="str">
        <f>HYPERLINK("https://drive.google.com/file/d/1kHPRkitEcG8H0W-d76ANCPVHPOGN0F7k/view?usp=drivesdk","33 - X7 - Kania Putriana Yaswin - P")</f>
        <v>33 - X7 - Kania Putriana Yaswin - P</v>
      </c>
      <c r="U296" s="12" t="s">
        <v>1693</v>
      </c>
      <c r="W296" s="25">
        <f>COUNTIFS('Form Presensi SCC'!$B:$B, IF($C296&lt;&gt;0, TEXT($C296, "0000000000"), $D296), 'Form Presensi SCC'!$C:$C, "Hadir")</f>
        <v>4</v>
      </c>
      <c r="Y296" s="26"/>
    </row>
    <row r="297" ht="22.5" customHeight="1">
      <c r="A297" s="10">
        <v>296.0</v>
      </c>
      <c r="B297" s="18">
        <v>21.0</v>
      </c>
      <c r="C297" s="18" t="s">
        <v>152</v>
      </c>
      <c r="D297" s="18" t="s">
        <v>1698</v>
      </c>
      <c r="E297" s="18" t="s">
        <v>227</v>
      </c>
      <c r="F297" s="12">
        <v>33.0</v>
      </c>
      <c r="G297" s="10" t="s">
        <v>1610</v>
      </c>
      <c r="H297" s="19"/>
      <c r="I297" s="20"/>
      <c r="J297" s="10" t="s">
        <v>1610</v>
      </c>
      <c r="K297" s="21"/>
      <c r="L297" s="10"/>
      <c r="M297" s="22"/>
      <c r="N297" s="10"/>
      <c r="O297" s="10"/>
      <c r="P297" s="12" t="str">
        <f t="shared" si="1"/>
        <v>https://docs.google.com/forms/d/e/1FAIpQLSeZ-R1GrWlAPkfaThGqxeTj0QTtrARw4rroxIIepf2kipn1nw/formResponse?usp=pp_url&amp;entry.1313582257=0105055119 / 252610264&amp;entry.1578404635=Hadir</v>
      </c>
      <c r="Q297" s="23" t="s">
        <v>1699</v>
      </c>
      <c r="R297" s="12" t="s">
        <v>1700</v>
      </c>
      <c r="S297" s="24" t="s">
        <v>1701</v>
      </c>
      <c r="T297" s="23" t="str">
        <f>HYPERLINK("https://drive.google.com/file/d/1LhhtRuRhZQyUnLyE4-IEvZ-RggSRXnwK/view?usp=drivesdk","33 - X7 - Kaysa Maharani Sofyan - P")</f>
        <v>33 - X7 - Kaysa Maharani Sofyan - P</v>
      </c>
      <c r="U297" s="12" t="s">
        <v>1693</v>
      </c>
      <c r="W297" s="25">
        <f>COUNTIFS('Form Presensi SCC'!$B:$B, IF($C297&lt;&gt;0, TEXT($C297, "0000000000"), $D297), 'Form Presensi SCC'!$C:$C, "Hadir")</f>
        <v>2</v>
      </c>
      <c r="Y297" s="26"/>
    </row>
    <row r="298" ht="22.5" customHeight="1">
      <c r="A298" s="18">
        <v>297.0</v>
      </c>
      <c r="B298" s="18">
        <v>22.0</v>
      </c>
      <c r="C298" s="18" t="s">
        <v>66</v>
      </c>
      <c r="D298" s="18" t="s">
        <v>1702</v>
      </c>
      <c r="E298" s="18" t="s">
        <v>227</v>
      </c>
      <c r="F298" s="12">
        <v>33.0</v>
      </c>
      <c r="G298" s="10" t="s">
        <v>1610</v>
      </c>
      <c r="H298" s="19"/>
      <c r="I298" s="20"/>
      <c r="J298" s="10" t="s">
        <v>1610</v>
      </c>
      <c r="K298" s="21"/>
      <c r="L298" s="10"/>
      <c r="M298" s="22"/>
      <c r="N298" s="10"/>
      <c r="O298" s="10"/>
      <c r="P298" s="12" t="str">
        <f t="shared" si="1"/>
        <v>https://docs.google.com/forms/d/e/1FAIpQLSeZ-R1GrWlAPkfaThGqxeTj0QTtrARw4rroxIIepf2kipn1nw/formResponse?usp=pp_url&amp;entry.1313582257=0096544983 / 252610268&amp;entry.1578404635=Hadir</v>
      </c>
      <c r="Q298" s="23" t="s">
        <v>1703</v>
      </c>
      <c r="R298" s="12" t="s">
        <v>1704</v>
      </c>
      <c r="S298" s="24" t="s">
        <v>1705</v>
      </c>
      <c r="T298" s="23" t="str">
        <f>HYPERLINK("https://drive.google.com/file/d/1SIYILAU0e2-dUE47Cl6ITSe5m_haindr/view?usp=drivesdk","33 - X7 - Keisya Andhita Kirana Putri - P")</f>
        <v>33 - X7 - Keisya Andhita Kirana Putri - P</v>
      </c>
      <c r="U298" s="12" t="s">
        <v>1693</v>
      </c>
      <c r="W298" s="25">
        <f>COUNTIFS('Form Presensi SCC'!$B:$B, IF($C298&lt;&gt;0, TEXT($C298, "0000000000"), $D298), 'Form Presensi SCC'!$C:$C, "Hadir")</f>
        <v>1</v>
      </c>
      <c r="Y298" s="26"/>
    </row>
    <row r="299" ht="22.5" customHeight="1">
      <c r="A299" s="10">
        <v>298.0</v>
      </c>
      <c r="B299" s="18">
        <v>23.0</v>
      </c>
      <c r="C299" s="18" t="s">
        <v>1706</v>
      </c>
      <c r="D299" s="18" t="s">
        <v>1707</v>
      </c>
      <c r="E299" s="18" t="s">
        <v>227</v>
      </c>
      <c r="F299" s="12">
        <v>33.0</v>
      </c>
      <c r="G299" s="10" t="s">
        <v>1610</v>
      </c>
      <c r="H299" s="19"/>
      <c r="I299" s="20"/>
      <c r="J299" s="10" t="s">
        <v>1610</v>
      </c>
      <c r="K299" s="21"/>
      <c r="L299" s="10"/>
      <c r="M299" s="22"/>
      <c r="N299" s="10"/>
      <c r="O299" s="10"/>
      <c r="P299" s="12" t="str">
        <f t="shared" si="1"/>
        <v>https://docs.google.com/forms/d/e/1FAIpQLSeZ-R1GrWlAPkfaThGqxeTj0QTtrARw4rroxIIepf2kipn1nw/formResponse?usp=pp_url&amp;entry.1313582257=3093288409 / 252610291&amp;entry.1578404635=Hadir</v>
      </c>
      <c r="Q299" s="23" t="s">
        <v>1708</v>
      </c>
      <c r="R299" s="12" t="s">
        <v>1709</v>
      </c>
      <c r="S299" s="24" t="s">
        <v>1710</v>
      </c>
      <c r="T299" s="23" t="str">
        <f>HYPERLINK("https://drive.google.com/file/d/1O2WqY97qUmK31RjTKBZWhMSOqX6XSPD5/view?usp=drivesdk","33 - X7 - Livia Vidyadhara - P")</f>
        <v>33 - X7 - Livia Vidyadhara - P</v>
      </c>
      <c r="U299" s="12" t="s">
        <v>1711</v>
      </c>
      <c r="W299" s="25">
        <f>COUNTIFS('Form Presensi SCC'!$B:$B, IF($C299&lt;&gt;0, TEXT($C299, "0000000000"), $D299), 'Form Presensi SCC'!$C:$C, "Hadir")</f>
        <v>0</v>
      </c>
      <c r="Y299" s="26"/>
    </row>
    <row r="300" ht="22.5" customHeight="1">
      <c r="A300" s="18">
        <v>299.0</v>
      </c>
      <c r="B300" s="18">
        <v>24.0</v>
      </c>
      <c r="C300" s="18" t="s">
        <v>194</v>
      </c>
      <c r="D300" s="18" t="s">
        <v>1712</v>
      </c>
      <c r="E300" s="18" t="s">
        <v>227</v>
      </c>
      <c r="F300" s="12">
        <v>33.0</v>
      </c>
      <c r="G300" s="10" t="s">
        <v>1610</v>
      </c>
      <c r="H300" s="19"/>
      <c r="I300" s="20"/>
      <c r="J300" s="10" t="s">
        <v>1610</v>
      </c>
      <c r="K300" s="21"/>
      <c r="L300" s="10"/>
      <c r="M300" s="22"/>
      <c r="N300" s="10"/>
      <c r="O300" s="10"/>
      <c r="P300" s="12" t="str">
        <f t="shared" si="1"/>
        <v>https://docs.google.com/forms/d/e/1FAIpQLSeZ-R1GrWlAPkfaThGqxeTj0QTtrARw4rroxIIepf2kipn1nw/formResponse?usp=pp_url&amp;entry.1313582257=0103468589 / 252610300&amp;entry.1578404635=Hadir</v>
      </c>
      <c r="Q300" s="23" t="s">
        <v>1713</v>
      </c>
      <c r="R300" s="12" t="s">
        <v>1714</v>
      </c>
      <c r="S300" s="24" t="s">
        <v>1715</v>
      </c>
      <c r="T300" s="23" t="str">
        <f>HYPERLINK("https://drive.google.com/file/d/1spUSsBb4s2y7VAJhyPtYf6PQ4bvAxW4X/view?usp=drivesdk","33 - X7 - Manar Abbas Bawazir - P")</f>
        <v>33 - X7 - Manar Abbas Bawazir - P</v>
      </c>
      <c r="U300" s="12" t="s">
        <v>1711</v>
      </c>
      <c r="W300" s="25">
        <f>COUNTIFS('Form Presensi SCC'!$B:$B, IF($C300&lt;&gt;0, TEXT($C300, "0000000000"), $D300), 'Form Presensi SCC'!$C:$C, "Hadir")</f>
        <v>1</v>
      </c>
      <c r="Y300" s="26"/>
    </row>
    <row r="301" ht="22.5" customHeight="1">
      <c r="A301" s="10">
        <v>300.0</v>
      </c>
      <c r="B301" s="18">
        <v>25.0</v>
      </c>
      <c r="C301" s="18" t="s">
        <v>193</v>
      </c>
      <c r="D301" s="18" t="s">
        <v>1716</v>
      </c>
      <c r="E301" s="18" t="s">
        <v>220</v>
      </c>
      <c r="F301" s="12">
        <v>33.0</v>
      </c>
      <c r="G301" s="10" t="s">
        <v>1610</v>
      </c>
      <c r="H301" s="19"/>
      <c r="I301" s="20"/>
      <c r="J301" s="10" t="s">
        <v>1610</v>
      </c>
      <c r="K301" s="21"/>
      <c r="L301" s="10"/>
      <c r="M301" s="22"/>
      <c r="N301" s="10"/>
      <c r="O301" s="10"/>
      <c r="P301" s="12" t="str">
        <f t="shared" si="1"/>
        <v>https://docs.google.com/forms/d/e/1FAIpQLSeZ-R1GrWlAPkfaThGqxeTj0QTtrARw4rroxIIepf2kipn1nw/formResponse?usp=pp_url&amp;entry.1313582257=0104328116 / 252610318&amp;entry.1578404635=Hadir</v>
      </c>
      <c r="Q301" s="23" t="s">
        <v>1717</v>
      </c>
      <c r="R301" s="12" t="s">
        <v>1718</v>
      </c>
      <c r="S301" s="24" t="s">
        <v>1719</v>
      </c>
      <c r="T301" s="23" t="str">
        <f>HYPERLINK("https://drive.google.com/file/d/1KyIgbmdsU82RWgoWxZBEUIrVnryuVKJg/view?usp=drivesdk","33 - X7 - Mohammad Arsa Dafansyah - L")</f>
        <v>33 - X7 - Mohammad Arsa Dafansyah - L</v>
      </c>
      <c r="U301" s="12" t="s">
        <v>1711</v>
      </c>
      <c r="W301" s="25">
        <f>COUNTIFS('Form Presensi SCC'!$B:$B, IF($C301&lt;&gt;0, TEXT($C301, "0000000000"), $D301), 'Form Presensi SCC'!$C:$C, "Hadir")</f>
        <v>1</v>
      </c>
      <c r="Y301" s="26"/>
    </row>
    <row r="302" ht="22.5" customHeight="1">
      <c r="A302" s="18">
        <v>301.0</v>
      </c>
      <c r="B302" s="18">
        <v>26.0</v>
      </c>
      <c r="C302" s="18" t="s">
        <v>145</v>
      </c>
      <c r="D302" s="18" t="s">
        <v>1720</v>
      </c>
      <c r="E302" s="18" t="s">
        <v>220</v>
      </c>
      <c r="F302" s="12">
        <v>33.0</v>
      </c>
      <c r="G302" s="10" t="s">
        <v>1610</v>
      </c>
      <c r="H302" s="19"/>
      <c r="I302" s="20"/>
      <c r="J302" s="10" t="s">
        <v>1610</v>
      </c>
      <c r="K302" s="21"/>
      <c r="L302" s="10"/>
      <c r="M302" s="22"/>
      <c r="N302" s="10"/>
      <c r="O302" s="10"/>
      <c r="P302" s="12" t="str">
        <f t="shared" si="1"/>
        <v>https://docs.google.com/forms/d/e/1FAIpQLSeZ-R1GrWlAPkfaThGqxeTj0QTtrARw4rroxIIepf2kipn1nw/formResponse?usp=pp_url&amp;entry.1313582257=0093678218 / 252610333&amp;entry.1578404635=Hadir</v>
      </c>
      <c r="Q302" s="23" t="s">
        <v>1721</v>
      </c>
      <c r="R302" s="12" t="s">
        <v>1722</v>
      </c>
      <c r="S302" s="24" t="s">
        <v>1723</v>
      </c>
      <c r="T302" s="23" t="str">
        <f>HYPERLINK("https://drive.google.com/file/d/1SoTy2pMCzpK44_tDmNORl0VI1mcdAdLI/view?usp=drivesdk","33 - X7 - Muhamad Yusuf Zarkasi - L")</f>
        <v>33 - X7 - Muhamad Yusuf Zarkasi - L</v>
      </c>
      <c r="U302" s="12" t="s">
        <v>1711</v>
      </c>
      <c r="W302" s="25">
        <f>COUNTIFS('Form Presensi SCC'!$B:$B, IF($C302&lt;&gt;0, TEXT($C302, "0000000000"), $D302), 'Form Presensi SCC'!$C:$C, "Hadir")</f>
        <v>2</v>
      </c>
      <c r="Y302" s="26"/>
    </row>
    <row r="303" ht="22.5" customHeight="1">
      <c r="A303" s="10">
        <v>302.0</v>
      </c>
      <c r="B303" s="18">
        <v>27.0</v>
      </c>
      <c r="C303" s="18" t="s">
        <v>192</v>
      </c>
      <c r="D303" s="18" t="s">
        <v>1724</v>
      </c>
      <c r="E303" s="18" t="s">
        <v>220</v>
      </c>
      <c r="F303" s="12">
        <v>33.0</v>
      </c>
      <c r="G303" s="10" t="s">
        <v>1610</v>
      </c>
      <c r="H303" s="19"/>
      <c r="I303" s="20"/>
      <c r="J303" s="10" t="s">
        <v>1610</v>
      </c>
      <c r="K303" s="21"/>
      <c r="L303" s="10"/>
      <c r="M303" s="22"/>
      <c r="N303" s="10"/>
      <c r="O303" s="10"/>
      <c r="P303" s="12" t="str">
        <f t="shared" si="1"/>
        <v>https://docs.google.com/forms/d/e/1FAIpQLSeZ-R1GrWlAPkfaThGqxeTj0QTtrARw4rroxIIepf2kipn1nw/formResponse?usp=pp_url&amp;entry.1313582257=0093828028 / 252610340&amp;entry.1578404635=Hadir</v>
      </c>
      <c r="Q303" s="23" t="s">
        <v>1725</v>
      </c>
      <c r="R303" s="12" t="s">
        <v>1726</v>
      </c>
      <c r="S303" s="24" t="s">
        <v>1727</v>
      </c>
      <c r="T303" s="23" t="str">
        <f>HYPERLINK("https://drive.google.com/file/d/1j1WG4K78RYJ8C7MxC7_iIsIAzzZ59CES/view?usp=drivesdk","33 - X7 - Muhammad Arsyal Divo Firmansyah - L")</f>
        <v>33 - X7 - Muhammad Arsyal Divo Firmansyah - L</v>
      </c>
      <c r="U303" s="12" t="s">
        <v>1728</v>
      </c>
      <c r="W303" s="25">
        <f>COUNTIFS('Form Presensi SCC'!$B:$B, IF($C303&lt;&gt;0, TEXT($C303, "0000000000"), $D303), 'Form Presensi SCC'!$C:$C, "Hadir")</f>
        <v>1</v>
      </c>
      <c r="Y303" s="26"/>
    </row>
    <row r="304" ht="22.5" customHeight="1">
      <c r="A304" s="18">
        <v>303.0</v>
      </c>
      <c r="B304" s="18">
        <v>28.0</v>
      </c>
      <c r="C304" s="18" t="s">
        <v>1729</v>
      </c>
      <c r="D304" s="18" t="s">
        <v>1730</v>
      </c>
      <c r="E304" s="18" t="s">
        <v>220</v>
      </c>
      <c r="F304" s="12">
        <v>33.0</v>
      </c>
      <c r="G304" s="10" t="s">
        <v>1610</v>
      </c>
      <c r="H304" s="19"/>
      <c r="I304" s="20"/>
      <c r="J304" s="10" t="s">
        <v>1610</v>
      </c>
      <c r="K304" s="21"/>
      <c r="L304" s="10"/>
      <c r="M304" s="22"/>
      <c r="N304" s="10"/>
      <c r="O304" s="10"/>
      <c r="P304" s="12" t="str">
        <f t="shared" si="1"/>
        <v>https://docs.google.com/forms/d/e/1FAIpQLSeZ-R1GrWlAPkfaThGqxeTj0QTtrARw4rroxIIepf2kipn1nw/formResponse?usp=pp_url&amp;entry.1313582257=0109769349 / 252610345&amp;entry.1578404635=Hadir</v>
      </c>
      <c r="Q304" s="23" t="s">
        <v>1731</v>
      </c>
      <c r="R304" s="12" t="s">
        <v>1732</v>
      </c>
      <c r="S304" s="24" t="s">
        <v>1733</v>
      </c>
      <c r="T304" s="23" t="str">
        <f>HYPERLINK("https://drive.google.com/file/d/1IhgJfaUNEkSOAMQcDscX_VIM83mkW1gE/view?usp=drivesdk","33 - X7 - Muhammad Danish Fathul Ulum - L")</f>
        <v>33 - X7 - Muhammad Danish Fathul Ulum - L</v>
      </c>
      <c r="U304" s="12" t="s">
        <v>1728</v>
      </c>
      <c r="W304" s="25">
        <f>COUNTIFS('Form Presensi SCC'!$B:$B, IF($C304&lt;&gt;0, TEXT($C304, "0000000000"), $D304), 'Form Presensi SCC'!$C:$C, "Hadir")</f>
        <v>0</v>
      </c>
      <c r="Y304" s="26"/>
    </row>
    <row r="305" ht="22.5" customHeight="1">
      <c r="A305" s="10">
        <v>304.0</v>
      </c>
      <c r="B305" s="18">
        <v>29.0</v>
      </c>
      <c r="C305" s="18" t="s">
        <v>1734</v>
      </c>
      <c r="D305" s="18" t="s">
        <v>1735</v>
      </c>
      <c r="E305" s="18" t="s">
        <v>220</v>
      </c>
      <c r="F305" s="12">
        <v>33.0</v>
      </c>
      <c r="G305" s="10" t="s">
        <v>1610</v>
      </c>
      <c r="H305" s="19"/>
      <c r="I305" s="20"/>
      <c r="J305" s="10" t="s">
        <v>1610</v>
      </c>
      <c r="K305" s="21"/>
      <c r="L305" s="10"/>
      <c r="M305" s="22"/>
      <c r="N305" s="10"/>
      <c r="O305" s="10"/>
      <c r="P305" s="12" t="str">
        <f t="shared" si="1"/>
        <v>https://docs.google.com/forms/d/e/1FAIpQLSeZ-R1GrWlAPkfaThGqxeTj0QTtrARw4rroxIIepf2kipn1nw/formResponse?usp=pp_url&amp;entry.1313582257=0093629282 / 252610352&amp;entry.1578404635=Hadir</v>
      </c>
      <c r="Q305" s="23" t="s">
        <v>1736</v>
      </c>
      <c r="R305" s="12" t="s">
        <v>1737</v>
      </c>
      <c r="S305" s="24" t="s">
        <v>1738</v>
      </c>
      <c r="T305" s="23" t="str">
        <f>HYPERLINK("https://drive.google.com/file/d/1hiszoa4RnsQmxSixQXbpqp2I-NDkSrwA/view?usp=drivesdk","33 - X7 - Muhammad Fathandra Rizki - L")</f>
        <v>33 - X7 - Muhammad Fathandra Rizki - L</v>
      </c>
      <c r="U305" s="12" t="s">
        <v>1728</v>
      </c>
      <c r="W305" s="25">
        <f>COUNTIFS('Form Presensi SCC'!$B:$B, IF($C305&lt;&gt;0, TEXT($C305, "0000000000"), $D305), 'Form Presensi SCC'!$C:$C, "Hadir")</f>
        <v>0</v>
      </c>
      <c r="Y305" s="26"/>
    </row>
    <row r="306" ht="22.5" customHeight="1">
      <c r="A306" s="18">
        <v>305.0</v>
      </c>
      <c r="B306" s="18">
        <v>30.0</v>
      </c>
      <c r="C306" s="18" t="s">
        <v>140</v>
      </c>
      <c r="D306" s="18" t="s">
        <v>1739</v>
      </c>
      <c r="E306" s="18" t="s">
        <v>220</v>
      </c>
      <c r="F306" s="12">
        <v>33.0</v>
      </c>
      <c r="G306" s="10" t="s">
        <v>1610</v>
      </c>
      <c r="H306" s="19"/>
      <c r="I306" s="20"/>
      <c r="J306" s="10" t="s">
        <v>1610</v>
      </c>
      <c r="K306" s="21"/>
      <c r="L306" s="10"/>
      <c r="M306" s="22"/>
      <c r="N306" s="10"/>
      <c r="O306" s="10"/>
      <c r="P306" s="12" t="str">
        <f t="shared" si="1"/>
        <v>https://docs.google.com/forms/d/e/1FAIpQLSeZ-R1GrWlAPkfaThGqxeTj0QTtrARw4rroxIIepf2kipn1nw/formResponse?usp=pp_url&amp;entry.1313582257=0095243962 / 252610354&amp;entry.1578404635=Hadir</v>
      </c>
      <c r="Q306" s="23" t="s">
        <v>1740</v>
      </c>
      <c r="R306" s="12" t="s">
        <v>1741</v>
      </c>
      <c r="S306" s="24" t="s">
        <v>1742</v>
      </c>
      <c r="T306" s="23" t="str">
        <f>HYPERLINK("https://drive.google.com/file/d/1fe0qSa9lSWiB62ANVWW1FKOun0Gtuc1O/view?usp=drivesdk","33 - X7 - Muhammad Gabriel - L")</f>
        <v>33 - X7 - Muhammad Gabriel - L</v>
      </c>
      <c r="U306" s="12" t="s">
        <v>1728</v>
      </c>
      <c r="W306" s="25">
        <f>COUNTIFS('Form Presensi SCC'!$B:$B, IF($C306&lt;&gt;0, TEXT($C306, "0000000000"), $D306), 'Form Presensi SCC'!$C:$C, "Hadir")</f>
        <v>2</v>
      </c>
      <c r="Y306" s="26"/>
    </row>
    <row r="307" ht="22.5" customHeight="1">
      <c r="A307" s="10">
        <v>306.0</v>
      </c>
      <c r="B307" s="18">
        <v>31.0</v>
      </c>
      <c r="C307" s="18" t="s">
        <v>1743</v>
      </c>
      <c r="D307" s="18" t="s">
        <v>1744</v>
      </c>
      <c r="E307" s="18" t="s">
        <v>227</v>
      </c>
      <c r="F307" s="12">
        <v>33.0</v>
      </c>
      <c r="G307" s="10" t="s">
        <v>1610</v>
      </c>
      <c r="H307" s="19"/>
      <c r="I307" s="20"/>
      <c r="J307" s="10" t="s">
        <v>1610</v>
      </c>
      <c r="K307" s="21"/>
      <c r="L307" s="10"/>
      <c r="M307" s="22"/>
      <c r="N307" s="10"/>
      <c r="O307" s="10"/>
      <c r="P307" s="12" t="str">
        <f t="shared" si="1"/>
        <v>https://docs.google.com/forms/d/e/1FAIpQLSeZ-R1GrWlAPkfaThGqxeTj0QTtrARw4rroxIIepf2kipn1nw/formResponse?usp=pp_url&amp;entry.1313582257=0105755550 / 252610383&amp;entry.1578404635=Hadir</v>
      </c>
      <c r="Q307" s="23" t="s">
        <v>1745</v>
      </c>
      <c r="R307" s="12" t="s">
        <v>1746</v>
      </c>
      <c r="S307" s="24" t="s">
        <v>1747</v>
      </c>
      <c r="T307" s="23" t="str">
        <f>HYPERLINK("https://drive.google.com/file/d/1XG5JFbAyLiDfCSMHHyjBf2U89uHI-oD0/view?usp=drivesdk","33 - X7 - Myiesha Lunar Wisesa Putri - P")</f>
        <v>33 - X7 - Myiesha Lunar Wisesa Putri - P</v>
      </c>
      <c r="U307" s="12" t="s">
        <v>1748</v>
      </c>
      <c r="W307" s="25">
        <f>COUNTIFS('Form Presensi SCC'!$B:$B, IF($C307&lt;&gt;0, TEXT($C307, "0000000000"), $D307), 'Form Presensi SCC'!$C:$C, "Hadir")</f>
        <v>0</v>
      </c>
      <c r="Y307" s="26"/>
    </row>
    <row r="308" ht="22.5" customHeight="1">
      <c r="A308" s="18">
        <v>307.0</v>
      </c>
      <c r="B308" s="18">
        <v>32.0</v>
      </c>
      <c r="C308" s="18" t="s">
        <v>1749</v>
      </c>
      <c r="D308" s="18" t="s">
        <v>1750</v>
      </c>
      <c r="E308" s="18" t="s">
        <v>227</v>
      </c>
      <c r="F308" s="12">
        <v>33.0</v>
      </c>
      <c r="G308" s="10" t="s">
        <v>1610</v>
      </c>
      <c r="H308" s="19"/>
      <c r="I308" s="20"/>
      <c r="J308" s="10" t="s">
        <v>1610</v>
      </c>
      <c r="K308" s="21"/>
      <c r="L308" s="10"/>
      <c r="M308" s="22"/>
      <c r="N308" s="10"/>
      <c r="O308" s="10"/>
      <c r="P308" s="12" t="str">
        <f t="shared" si="1"/>
        <v>https://docs.google.com/forms/d/e/1FAIpQLSeZ-R1GrWlAPkfaThGqxeTj0QTtrARw4rroxIIepf2kipn1nw/formResponse?usp=pp_url&amp;entry.1313582257=0106828126 / 252610389&amp;entry.1578404635=Hadir</v>
      </c>
      <c r="Q308" s="23" t="s">
        <v>1751</v>
      </c>
      <c r="R308" s="12" t="s">
        <v>1752</v>
      </c>
      <c r="S308" s="24" t="s">
        <v>1753</v>
      </c>
      <c r="T308" s="23" t="str">
        <f>HYPERLINK("https://drive.google.com/file/d/1yXMQnhy4y9TkCgMdga-yrjoy6HpeRRdd/view?usp=drivesdk","33 - X7 - Nadila Safira - P")</f>
        <v>33 - X7 - Nadila Safira - P</v>
      </c>
      <c r="U308" s="12" t="s">
        <v>1748</v>
      </c>
      <c r="W308" s="25">
        <f>COUNTIFS('Form Presensi SCC'!$B:$B, IF($C308&lt;&gt;0, TEXT($C308, "0000000000"), $D308), 'Form Presensi SCC'!$C:$C, "Hadir")</f>
        <v>0</v>
      </c>
      <c r="Y308" s="26"/>
    </row>
    <row r="309" ht="22.5" customHeight="1">
      <c r="A309" s="10">
        <v>308.0</v>
      </c>
      <c r="B309" s="18">
        <v>33.0</v>
      </c>
      <c r="C309" s="18" t="s">
        <v>1754</v>
      </c>
      <c r="D309" s="18" t="s">
        <v>1755</v>
      </c>
      <c r="E309" s="18" t="s">
        <v>227</v>
      </c>
      <c r="F309" s="12">
        <v>33.0</v>
      </c>
      <c r="G309" s="10" t="s">
        <v>1610</v>
      </c>
      <c r="H309" s="19"/>
      <c r="I309" s="20"/>
      <c r="J309" s="10" t="s">
        <v>1610</v>
      </c>
      <c r="K309" s="21"/>
      <c r="L309" s="10"/>
      <c r="M309" s="22"/>
      <c r="N309" s="10"/>
      <c r="O309" s="10"/>
      <c r="P309" s="12" t="str">
        <f t="shared" si="1"/>
        <v>https://docs.google.com/forms/d/e/1FAIpQLSeZ-R1GrWlAPkfaThGqxeTj0QTtrARw4rroxIIepf2kipn1nw/formResponse?usp=pp_url&amp;entry.1313582257=0097673142 / 252610404&amp;entry.1578404635=Hadir</v>
      </c>
      <c r="Q309" s="23" t="s">
        <v>1756</v>
      </c>
      <c r="R309" s="12" t="s">
        <v>1757</v>
      </c>
      <c r="S309" s="24" t="s">
        <v>1758</v>
      </c>
      <c r="T309" s="23" t="str">
        <f>HYPERLINK("https://drive.google.com/file/d/1ggLjnRNRfT4WjyXehz1Rem5Ua_IJS181/view?usp=drivesdk","33 - X7 - Naurah Afifah Amaliyah - P")</f>
        <v>33 - X7 - Naurah Afifah Amaliyah - P</v>
      </c>
      <c r="U309" s="12" t="s">
        <v>1748</v>
      </c>
      <c r="W309" s="25">
        <f>COUNTIFS('Form Presensi SCC'!$B:$B, IF($C309&lt;&gt;0, TEXT($C309, "0000000000"), $D309), 'Form Presensi SCC'!$C:$C, "Hadir")</f>
        <v>0</v>
      </c>
      <c r="Y309" s="26"/>
    </row>
    <row r="310" ht="22.5" customHeight="1">
      <c r="A310" s="18">
        <v>309.0</v>
      </c>
      <c r="B310" s="18">
        <v>34.0</v>
      </c>
      <c r="C310" s="18" t="s">
        <v>1759</v>
      </c>
      <c r="D310" s="18" t="s">
        <v>1760</v>
      </c>
      <c r="E310" s="18" t="s">
        <v>227</v>
      </c>
      <c r="F310" s="12">
        <v>33.0</v>
      </c>
      <c r="G310" s="10" t="s">
        <v>1610</v>
      </c>
      <c r="H310" s="19"/>
      <c r="I310" s="20"/>
      <c r="J310" s="10" t="s">
        <v>1610</v>
      </c>
      <c r="K310" s="21"/>
      <c r="L310" s="10"/>
      <c r="M310" s="22"/>
      <c r="N310" s="10"/>
      <c r="O310" s="10"/>
      <c r="P310" s="12" t="str">
        <f t="shared" si="1"/>
        <v>https://docs.google.com/forms/d/e/1FAIpQLSeZ-R1GrWlAPkfaThGqxeTj0QTtrARw4rroxIIepf2kipn1nw/formResponse?usp=pp_url&amp;entry.1313582257=0107698921 / 252610409&amp;entry.1578404635=Hadir</v>
      </c>
      <c r="Q310" s="23" t="s">
        <v>1761</v>
      </c>
      <c r="R310" s="12" t="s">
        <v>1762</v>
      </c>
      <c r="S310" s="24" t="s">
        <v>1763</v>
      </c>
      <c r="T310" s="23" t="str">
        <f>HYPERLINK("https://drive.google.com/file/d/1KKgPhB3c-kn-0KGMqSHo4WAyVw_-Whfz/view?usp=drivesdk","33 - X7 - Nayla Widya Cakraprawartana - P")</f>
        <v>33 - X7 - Nayla Widya Cakraprawartana - P</v>
      </c>
      <c r="U310" s="12" t="s">
        <v>1748</v>
      </c>
      <c r="W310" s="25">
        <f>COUNTIFS('Form Presensi SCC'!$B:$B, IF($C310&lt;&gt;0, TEXT($C310, "0000000000"), $D310), 'Form Presensi SCC'!$C:$C, "Hadir")</f>
        <v>0</v>
      </c>
      <c r="Y310" s="26"/>
    </row>
    <row r="311" ht="22.5" customHeight="1">
      <c r="A311" s="10">
        <v>310.0</v>
      </c>
      <c r="B311" s="18">
        <v>35.0</v>
      </c>
      <c r="C311" s="18" t="s">
        <v>1764</v>
      </c>
      <c r="D311" s="18" t="s">
        <v>1765</v>
      </c>
      <c r="E311" s="18" t="s">
        <v>227</v>
      </c>
      <c r="F311" s="12">
        <v>33.0</v>
      </c>
      <c r="G311" s="10" t="s">
        <v>1610</v>
      </c>
      <c r="H311" s="19"/>
      <c r="I311" s="20"/>
      <c r="J311" s="10" t="s">
        <v>1610</v>
      </c>
      <c r="K311" s="21"/>
      <c r="L311" s="10"/>
      <c r="M311" s="22"/>
      <c r="N311" s="10"/>
      <c r="O311" s="10"/>
      <c r="P311" s="12" t="str">
        <f t="shared" si="1"/>
        <v>https://docs.google.com/forms/d/e/1FAIpQLSeZ-R1GrWlAPkfaThGqxeTj0QTtrARw4rroxIIepf2kipn1nw/formResponse?usp=pp_url&amp;entry.1313582257=0098514088 / 252610428&amp;entry.1578404635=Hadir</v>
      </c>
      <c r="Q311" s="23" t="s">
        <v>1766</v>
      </c>
      <c r="R311" s="12" t="s">
        <v>1767</v>
      </c>
      <c r="S311" s="24" t="s">
        <v>1768</v>
      </c>
      <c r="T311" s="23" t="str">
        <f>HYPERLINK("https://drive.google.com/file/d/1qL2v5YZcOkn8tb7OszCIr--Z-6jFSv1-/view?usp=drivesdk","33 - X7 - Nydia Aisyah Allifia - P")</f>
        <v>33 - X7 - Nydia Aisyah Allifia - P</v>
      </c>
      <c r="U311" s="12" t="s">
        <v>1748</v>
      </c>
      <c r="W311" s="25">
        <f>COUNTIFS('Form Presensi SCC'!$B:$B, IF($C311&lt;&gt;0, TEXT($C311, "0000000000"), $D311), 'Form Presensi SCC'!$C:$C, "Hadir")</f>
        <v>0</v>
      </c>
      <c r="Y311" s="26"/>
    </row>
    <row r="312" ht="22.5" customHeight="1">
      <c r="A312" s="18">
        <v>311.0</v>
      </c>
      <c r="B312" s="18">
        <v>36.0</v>
      </c>
      <c r="C312" s="18" t="s">
        <v>1769</v>
      </c>
      <c r="D312" s="18" t="s">
        <v>1770</v>
      </c>
      <c r="E312" s="18" t="s">
        <v>227</v>
      </c>
      <c r="F312" s="12">
        <v>33.0</v>
      </c>
      <c r="G312" s="10" t="s">
        <v>1610</v>
      </c>
      <c r="H312" s="19"/>
      <c r="I312" s="20"/>
      <c r="J312" s="10" t="s">
        <v>1610</v>
      </c>
      <c r="K312" s="21"/>
      <c r="L312" s="10"/>
      <c r="M312" s="22"/>
      <c r="N312" s="10"/>
      <c r="O312" s="10"/>
      <c r="P312" s="12" t="str">
        <f t="shared" si="1"/>
        <v>https://docs.google.com/forms/d/e/1FAIpQLSeZ-R1GrWlAPkfaThGqxeTj0QTtrARw4rroxIIepf2kipn1nw/formResponse?usp=pp_url&amp;entry.1313582257=0108129059 / 252610464&amp;entry.1578404635=Hadir</v>
      </c>
      <c r="Q312" s="23" t="s">
        <v>1771</v>
      </c>
      <c r="R312" s="12" t="s">
        <v>1772</v>
      </c>
      <c r="S312" s="24" t="s">
        <v>1773</v>
      </c>
      <c r="T312" s="23" t="str">
        <f>HYPERLINK("https://drive.google.com/file/d/1f7IDhZ7kOIFEAMSoY_fiwFFlCN3-GWpg/view?usp=drivesdk","33 - X7 - Raihana Humairah Budianto - P")</f>
        <v>33 - X7 - Raihana Humairah Budianto - P</v>
      </c>
      <c r="U312" s="12" t="s">
        <v>1774</v>
      </c>
      <c r="W312" s="25">
        <f>COUNTIFS('Form Presensi SCC'!$B:$B, IF($C312&lt;&gt;0, TEXT($C312, "0000000000"), $D312), 'Form Presensi SCC'!$C:$C, "Hadir")</f>
        <v>0</v>
      </c>
      <c r="Y312" s="26"/>
    </row>
    <row r="313" ht="22.5" customHeight="1">
      <c r="A313" s="10">
        <v>312.0</v>
      </c>
      <c r="B313" s="18">
        <v>37.0</v>
      </c>
      <c r="C313" s="18" t="s">
        <v>1775</v>
      </c>
      <c r="D313" s="18" t="s">
        <v>1776</v>
      </c>
      <c r="E313" s="18" t="s">
        <v>227</v>
      </c>
      <c r="F313" s="12">
        <v>33.0</v>
      </c>
      <c r="G313" s="10" t="s">
        <v>1610</v>
      </c>
      <c r="H313" s="19"/>
      <c r="I313" s="20"/>
      <c r="J313" s="10" t="s">
        <v>1610</v>
      </c>
      <c r="K313" s="21"/>
      <c r="L313" s="10"/>
      <c r="M313" s="22"/>
      <c r="N313" s="10"/>
      <c r="O313" s="10"/>
      <c r="P313" s="12" t="str">
        <f t="shared" si="1"/>
        <v>https://docs.google.com/forms/d/e/1FAIpQLSeZ-R1GrWlAPkfaThGqxeTj0QTtrARw4rroxIIepf2kipn1nw/formResponse?usp=pp_url&amp;entry.1313582257=0109551129 / 252610466&amp;entry.1578404635=Hadir</v>
      </c>
      <c r="Q313" s="23" t="s">
        <v>1777</v>
      </c>
      <c r="R313" s="12" t="s">
        <v>1778</v>
      </c>
      <c r="S313" s="24" t="s">
        <v>1779</v>
      </c>
      <c r="T313" s="23" t="str">
        <f>HYPERLINK("https://drive.google.com/file/d/1LR8tS-FHRR20TBqKEfAkjlfeg0N3BiC6/view?usp=drivesdk","33 - X7 - Raisa Putri Rahima - P")</f>
        <v>33 - X7 - Raisa Putri Rahima - P</v>
      </c>
      <c r="U313" s="12" t="s">
        <v>1774</v>
      </c>
      <c r="W313" s="25">
        <f>COUNTIFS('Form Presensi SCC'!$B:$B, IF($C313&lt;&gt;0, TEXT($C313, "0000000000"), $D313), 'Form Presensi SCC'!$C:$C, "Hadir")</f>
        <v>0</v>
      </c>
      <c r="Y313" s="26"/>
    </row>
    <row r="314" ht="22.5" customHeight="1">
      <c r="A314" s="18">
        <v>313.0</v>
      </c>
      <c r="B314" s="18">
        <v>38.0</v>
      </c>
      <c r="C314" s="18" t="s">
        <v>1780</v>
      </c>
      <c r="D314" s="18" t="s">
        <v>1781</v>
      </c>
      <c r="E314" s="18" t="s">
        <v>227</v>
      </c>
      <c r="F314" s="12">
        <v>33.0</v>
      </c>
      <c r="G314" s="10" t="s">
        <v>1610</v>
      </c>
      <c r="H314" s="19"/>
      <c r="I314" s="20"/>
      <c r="J314" s="10" t="s">
        <v>1610</v>
      </c>
      <c r="K314" s="21"/>
      <c r="L314" s="10"/>
      <c r="M314" s="22"/>
      <c r="N314" s="10"/>
      <c r="O314" s="10"/>
      <c r="P314" s="12" t="str">
        <f t="shared" si="1"/>
        <v>https://docs.google.com/forms/d/e/1FAIpQLSeZ-R1GrWlAPkfaThGqxeTj0QTtrARw4rroxIIepf2kipn1nw/formResponse?usp=pp_url&amp;entry.1313582257=0096444734 / 252610491&amp;entry.1578404635=Hadir</v>
      </c>
      <c r="Q314" s="23" t="s">
        <v>1782</v>
      </c>
      <c r="R314" s="12" t="s">
        <v>1783</v>
      </c>
      <c r="S314" s="24" t="s">
        <v>1784</v>
      </c>
      <c r="T314" s="23" t="str">
        <f>HYPERLINK("https://drive.google.com/file/d/1KY2sT4sz-HPsRP9vwx1yovXkcrK3VIJZ/view?usp=drivesdk","33 - X7 - Rindu Gatari Asmiladi - P")</f>
        <v>33 - X7 - Rindu Gatari Asmiladi - P</v>
      </c>
      <c r="U314" s="12" t="s">
        <v>1774</v>
      </c>
      <c r="W314" s="25">
        <f>COUNTIFS('Form Presensi SCC'!$B:$B, IF($C314&lt;&gt;0, TEXT($C314, "0000000000"), $D314), 'Form Presensi SCC'!$C:$C, "Hadir")</f>
        <v>0</v>
      </c>
      <c r="Y314" s="26"/>
    </row>
    <row r="315" ht="22.5" customHeight="1">
      <c r="A315" s="10">
        <v>314.0</v>
      </c>
      <c r="B315" s="18">
        <v>39.0</v>
      </c>
      <c r="C315" s="18" t="s">
        <v>138</v>
      </c>
      <c r="D315" s="18" t="s">
        <v>1785</v>
      </c>
      <c r="E315" s="18" t="s">
        <v>220</v>
      </c>
      <c r="F315" s="12">
        <v>33.0</v>
      </c>
      <c r="G315" s="10" t="s">
        <v>1610</v>
      </c>
      <c r="H315" s="19"/>
      <c r="I315" s="20"/>
      <c r="J315" s="10" t="s">
        <v>1610</v>
      </c>
      <c r="K315" s="21"/>
      <c r="L315" s="10"/>
      <c r="M315" s="22"/>
      <c r="N315" s="10"/>
      <c r="O315" s="10"/>
      <c r="P315" s="12" t="str">
        <f t="shared" si="1"/>
        <v>https://docs.google.com/forms/d/e/1FAIpQLSeZ-R1GrWlAPkfaThGqxeTj0QTtrARw4rroxIIepf2kipn1nw/formResponse?usp=pp_url&amp;entry.1313582257=0107487290 / 252610504&amp;entry.1578404635=Hadir</v>
      </c>
      <c r="Q315" s="23" t="s">
        <v>1786</v>
      </c>
      <c r="R315" s="12" t="s">
        <v>1787</v>
      </c>
      <c r="S315" s="24" t="s">
        <v>1788</v>
      </c>
      <c r="T315" s="23" t="str">
        <f>HYPERLINK("https://drive.google.com/file/d/1k_yrRkQBmJETffMLByJ4GyryPd9ergwI/view?usp=drivesdk","33 - X7 - Salman Latif Anshari - L")</f>
        <v>33 - X7 - Salman Latif Anshari - L</v>
      </c>
      <c r="U315" s="12" t="s">
        <v>1774</v>
      </c>
      <c r="W315" s="25">
        <f>COUNTIFS('Form Presensi SCC'!$B:$B, IF($C315&lt;&gt;0, TEXT($C315, "0000000000"), $D315), 'Form Presensi SCC'!$C:$C, "Hadir")</f>
        <v>3</v>
      </c>
      <c r="Y315" s="26"/>
    </row>
    <row r="316" ht="22.5" customHeight="1">
      <c r="A316" s="18">
        <v>315.0</v>
      </c>
      <c r="B316" s="18">
        <v>40.0</v>
      </c>
      <c r="C316" s="18" t="s">
        <v>1789</v>
      </c>
      <c r="D316" s="18" t="s">
        <v>1790</v>
      </c>
      <c r="E316" s="18" t="s">
        <v>227</v>
      </c>
      <c r="F316" s="12">
        <v>33.0</v>
      </c>
      <c r="G316" s="10" t="s">
        <v>1610</v>
      </c>
      <c r="H316" s="19"/>
      <c r="I316" s="20"/>
      <c r="J316" s="10" t="s">
        <v>1610</v>
      </c>
      <c r="K316" s="21"/>
      <c r="L316" s="10"/>
      <c r="M316" s="22"/>
      <c r="N316" s="10"/>
      <c r="O316" s="10"/>
      <c r="P316" s="12" t="str">
        <f t="shared" si="1"/>
        <v>https://docs.google.com/forms/d/e/1FAIpQLSeZ-R1GrWlAPkfaThGqxeTj0QTtrARw4rroxIIepf2kipn1nw/formResponse?usp=pp_url&amp;entry.1313582257=3102286552 / 252610523&amp;entry.1578404635=Hadir</v>
      </c>
      <c r="Q316" s="23" t="s">
        <v>1791</v>
      </c>
      <c r="R316" s="12" t="s">
        <v>1792</v>
      </c>
      <c r="S316" s="24" t="s">
        <v>1793</v>
      </c>
      <c r="T316" s="23" t="str">
        <f>HYPERLINK("https://drive.google.com/file/d/1zraI27SR9TF7qDueX8zMTRTTufAMFdJc/view?usp=drivesdk","33 - X7 - Siti Iklima Sakurani - P")</f>
        <v>33 - X7 - Siti Iklima Sakurani - P</v>
      </c>
      <c r="U316" s="12" t="s">
        <v>1794</v>
      </c>
      <c r="W316" s="25">
        <f>COUNTIFS('Form Presensi SCC'!$B:$B, IF($C316&lt;&gt;0, TEXT($C316, "0000000000"), $D316), 'Form Presensi SCC'!$C:$C, "Hadir")</f>
        <v>0</v>
      </c>
      <c r="Y316" s="26"/>
    </row>
    <row r="317" ht="22.5" customHeight="1">
      <c r="A317" s="10">
        <v>316.0</v>
      </c>
      <c r="B317" s="18">
        <v>41.0</v>
      </c>
      <c r="C317" s="18" t="s">
        <v>139</v>
      </c>
      <c r="D317" s="18" t="s">
        <v>1795</v>
      </c>
      <c r="E317" s="18" t="s">
        <v>220</v>
      </c>
      <c r="F317" s="12">
        <v>33.0</v>
      </c>
      <c r="G317" s="10" t="s">
        <v>1610</v>
      </c>
      <c r="H317" s="19"/>
      <c r="I317" s="20"/>
      <c r="J317" s="10" t="s">
        <v>1610</v>
      </c>
      <c r="K317" s="21"/>
      <c r="L317" s="10"/>
      <c r="M317" s="22"/>
      <c r="N317" s="10"/>
      <c r="O317" s="10"/>
      <c r="P317" s="12" t="str">
        <f t="shared" si="1"/>
        <v>https://docs.google.com/forms/d/e/1FAIpQLSeZ-R1GrWlAPkfaThGqxeTj0QTtrARw4rroxIIepf2kipn1nw/formResponse?usp=pp_url&amp;entry.1313582257=0107936085 / 252610525&amp;entry.1578404635=Hadir</v>
      </c>
      <c r="Q317" s="23" t="s">
        <v>1796</v>
      </c>
      <c r="R317" s="12" t="s">
        <v>1797</v>
      </c>
      <c r="S317" s="24" t="s">
        <v>1798</v>
      </c>
      <c r="T317" s="23" t="str">
        <f>HYPERLINK("https://drive.google.com/file/d/1qbErimgv20dfqaXEGj9ro17sZC8EXY06/view?usp=drivesdk","33 - X7 - Sultan Reynard Sabdadika - L")</f>
        <v>33 - X7 - Sultan Reynard Sabdadika - L</v>
      </c>
      <c r="U317" s="12" t="s">
        <v>1794</v>
      </c>
      <c r="W317" s="25">
        <f>COUNTIFS('Form Presensi SCC'!$B:$B, IF($C317&lt;&gt;0, TEXT($C317, "0000000000"), $D317), 'Form Presensi SCC'!$C:$C, "Hadir")</f>
        <v>3</v>
      </c>
      <c r="Y317" s="26"/>
    </row>
    <row r="318" ht="22.5" customHeight="1">
      <c r="A318" s="18">
        <v>317.0</v>
      </c>
      <c r="B318" s="18">
        <v>42.0</v>
      </c>
      <c r="C318" s="18" t="s">
        <v>1799</v>
      </c>
      <c r="D318" s="18" t="s">
        <v>1800</v>
      </c>
      <c r="E318" s="18" t="s">
        <v>227</v>
      </c>
      <c r="F318" s="12">
        <v>33.0</v>
      </c>
      <c r="G318" s="10" t="s">
        <v>1610</v>
      </c>
      <c r="H318" s="19"/>
      <c r="I318" s="20"/>
      <c r="J318" s="10" t="s">
        <v>1610</v>
      </c>
      <c r="K318" s="21"/>
      <c r="L318" s="10"/>
      <c r="M318" s="22"/>
      <c r="N318" s="10"/>
      <c r="O318" s="10"/>
      <c r="P318" s="12" t="str">
        <f t="shared" si="1"/>
        <v>https://docs.google.com/forms/d/e/1FAIpQLSeZ-R1GrWlAPkfaThGqxeTj0QTtrARw4rroxIIepf2kipn1nw/formResponse?usp=pp_url&amp;entry.1313582257=0106701592 / 252610527&amp;entry.1578404635=Hadir</v>
      </c>
      <c r="Q318" s="23" t="s">
        <v>1801</v>
      </c>
      <c r="R318" s="12" t="s">
        <v>1802</v>
      </c>
      <c r="S318" s="24" t="s">
        <v>1803</v>
      </c>
      <c r="T318" s="23" t="str">
        <f>HYPERLINK("https://drive.google.com/file/d/1bANOwAbRVsOLWwyU32jAP3LdRyLTAExS/view?usp=drivesdk","33 - X7 - Syafiqa Bariq Mahya - P")</f>
        <v>33 - X7 - Syafiqa Bariq Mahya - P</v>
      </c>
      <c r="U318" s="12" t="s">
        <v>1794</v>
      </c>
      <c r="W318" s="25">
        <f>COUNTIFS('Form Presensi SCC'!$B:$B, IF($C318&lt;&gt;0, TEXT($C318, "0000000000"), $D318), 'Form Presensi SCC'!$C:$C, "Hadir")</f>
        <v>0</v>
      </c>
      <c r="Y318" s="26"/>
    </row>
    <row r="319" ht="22.5" customHeight="1">
      <c r="A319" s="10">
        <v>318.0</v>
      </c>
      <c r="B319" s="18">
        <v>43.0</v>
      </c>
      <c r="C319" s="18" t="s">
        <v>1804</v>
      </c>
      <c r="D319" s="18" t="s">
        <v>1805</v>
      </c>
      <c r="E319" s="18" t="s">
        <v>227</v>
      </c>
      <c r="F319" s="12">
        <v>33.0</v>
      </c>
      <c r="G319" s="10" t="s">
        <v>1610</v>
      </c>
      <c r="H319" s="19"/>
      <c r="I319" s="20"/>
      <c r="J319" s="10" t="s">
        <v>1610</v>
      </c>
      <c r="K319" s="21"/>
      <c r="L319" s="10"/>
      <c r="M319" s="22"/>
      <c r="N319" s="10"/>
      <c r="O319" s="10"/>
      <c r="P319" s="12" t="str">
        <f t="shared" si="1"/>
        <v>https://docs.google.com/forms/d/e/1FAIpQLSeZ-R1GrWlAPkfaThGqxeTj0QTtrARw4rroxIIepf2kipn1nw/formResponse?usp=pp_url&amp;entry.1313582257=0104155224 / 252610532&amp;entry.1578404635=Hadir</v>
      </c>
      <c r="Q319" s="23" t="s">
        <v>1806</v>
      </c>
      <c r="R319" s="12" t="s">
        <v>1807</v>
      </c>
      <c r="S319" s="24" t="s">
        <v>1808</v>
      </c>
      <c r="T319" s="23" t="str">
        <f>HYPERLINK("https://drive.google.com/file/d/1Sxp7n3dNpDekBxhmR0j9d6ciEnQlEXpF/view?usp=drivesdk","33 - X7 - Syahluna Ananta Putri - P")</f>
        <v>33 - X7 - Syahluna Ananta Putri - P</v>
      </c>
      <c r="U319" s="12" t="s">
        <v>1809</v>
      </c>
      <c r="W319" s="25">
        <f>COUNTIFS('Form Presensi SCC'!$B:$B, IF($C319&lt;&gt;0, TEXT($C319, "0000000000"), $D319), 'Form Presensi SCC'!$C:$C, "Hadir")</f>
        <v>0</v>
      </c>
      <c r="Y319" s="26"/>
    </row>
    <row r="320" ht="22.5" customHeight="1">
      <c r="A320" s="18">
        <v>319.0</v>
      </c>
      <c r="B320" s="18">
        <v>44.0</v>
      </c>
      <c r="C320" s="18" t="s">
        <v>1810</v>
      </c>
      <c r="D320" s="18" t="s">
        <v>1811</v>
      </c>
      <c r="E320" s="18" t="s">
        <v>220</v>
      </c>
      <c r="F320" s="12">
        <v>33.0</v>
      </c>
      <c r="G320" s="10" t="s">
        <v>1610</v>
      </c>
      <c r="H320" s="19"/>
      <c r="I320" s="20"/>
      <c r="J320" s="10" t="s">
        <v>1610</v>
      </c>
      <c r="K320" s="21"/>
      <c r="L320" s="10"/>
      <c r="M320" s="22"/>
      <c r="N320" s="10"/>
      <c r="O320" s="10"/>
      <c r="P320" s="12" t="str">
        <f t="shared" si="1"/>
        <v>https://docs.google.com/forms/d/e/1FAIpQLSeZ-R1GrWlAPkfaThGqxeTj0QTtrARw4rroxIIepf2kipn1nw/formResponse?usp=pp_url&amp;entry.1313582257=0097446281 / 252610539&amp;entry.1578404635=Hadir</v>
      </c>
      <c r="Q320" s="23" t="s">
        <v>1812</v>
      </c>
      <c r="R320" s="12" t="s">
        <v>1813</v>
      </c>
      <c r="S320" s="24" t="s">
        <v>1814</v>
      </c>
      <c r="T320" s="23" t="str">
        <f>HYPERLINK("https://drive.google.com/file/d/1u6ib-4PTjt81Y6hFAiCaWGJAJlnHKFtT/view?usp=drivesdk","33 - X7 - Tabah Rafie Abdillah - L")</f>
        <v>33 - X7 - Tabah Rafie Abdillah - L</v>
      </c>
      <c r="U320" s="12" t="s">
        <v>1809</v>
      </c>
      <c r="W320" s="25">
        <f>COUNTIFS('Form Presensi SCC'!$B:$B, IF($C320&lt;&gt;0, TEXT($C320, "0000000000"), $D320), 'Form Presensi SCC'!$C:$C, "Hadir")</f>
        <v>0</v>
      </c>
      <c r="Y320" s="26"/>
    </row>
    <row r="321" ht="22.5" customHeight="1">
      <c r="A321" s="10">
        <v>320.0</v>
      </c>
      <c r="B321" s="18">
        <v>45.0</v>
      </c>
      <c r="C321" s="18" t="s">
        <v>142</v>
      </c>
      <c r="D321" s="18" t="s">
        <v>1815</v>
      </c>
      <c r="E321" s="18" t="s">
        <v>220</v>
      </c>
      <c r="F321" s="12">
        <v>33.0</v>
      </c>
      <c r="G321" s="10" t="s">
        <v>1610</v>
      </c>
      <c r="H321" s="19"/>
      <c r="I321" s="20"/>
      <c r="J321" s="10" t="s">
        <v>1610</v>
      </c>
      <c r="K321" s="21"/>
      <c r="L321" s="10"/>
      <c r="M321" s="22"/>
      <c r="N321" s="10"/>
      <c r="O321" s="10"/>
      <c r="P321" s="12" t="str">
        <f t="shared" si="1"/>
        <v>https://docs.google.com/forms/d/e/1FAIpQLSeZ-R1GrWlAPkfaThGqxeTj0QTtrARw4rroxIIepf2kipn1nw/formResponse?usp=pp_url&amp;entry.1313582257=0105614197 / 252610547&amp;entry.1578404635=Hadir</v>
      </c>
      <c r="Q321" s="23" t="s">
        <v>1816</v>
      </c>
      <c r="R321" s="12" t="s">
        <v>1817</v>
      </c>
      <c r="S321" s="24" t="s">
        <v>1818</v>
      </c>
      <c r="T321" s="23" t="str">
        <f>HYPERLINK("https://drive.google.com/file/d/11DxLmQ2-9NcVgvAHP7nGkXQGxdpkb2bD/view?usp=drivesdk","33 - X7 - Tristan Lovriano Aryasatya - L")</f>
        <v>33 - X7 - Tristan Lovriano Aryasatya - L</v>
      </c>
      <c r="U321" s="12" t="s">
        <v>1809</v>
      </c>
      <c r="W321" s="25">
        <f>COUNTIFS('Form Presensi SCC'!$B:$B, IF($C321&lt;&gt;0, TEXT($C321, "0000000000"), $D321), 'Form Presensi SCC'!$C:$C, "Hadir")</f>
        <v>2</v>
      </c>
      <c r="Y321" s="26"/>
    </row>
    <row r="322" ht="22.5" customHeight="1">
      <c r="A322" s="18">
        <v>321.0</v>
      </c>
      <c r="B322" s="18">
        <v>46.0</v>
      </c>
      <c r="C322" s="18" t="s">
        <v>1819</v>
      </c>
      <c r="D322" s="18" t="s">
        <v>1820</v>
      </c>
      <c r="E322" s="18" t="s">
        <v>227</v>
      </c>
      <c r="F322" s="12">
        <v>33.0</v>
      </c>
      <c r="G322" s="10" t="s">
        <v>1610</v>
      </c>
      <c r="H322" s="19"/>
      <c r="I322" s="20"/>
      <c r="J322" s="10" t="s">
        <v>1610</v>
      </c>
      <c r="K322" s="21"/>
      <c r="L322" s="10"/>
      <c r="M322" s="22"/>
      <c r="N322" s="10"/>
      <c r="O322" s="10"/>
      <c r="P322" s="12" t="str">
        <f t="shared" si="1"/>
        <v>https://docs.google.com/forms/d/e/1FAIpQLSeZ-R1GrWlAPkfaThGqxeTj0QTtrARw4rroxIIepf2kipn1nw/formResponse?usp=pp_url&amp;entry.1313582257=0109499801 / 252610559&amp;entry.1578404635=Hadir</v>
      </c>
      <c r="Q322" s="23" t="s">
        <v>1821</v>
      </c>
      <c r="R322" s="12" t="s">
        <v>1822</v>
      </c>
      <c r="S322" s="24" t="s">
        <v>1823</v>
      </c>
      <c r="T322" s="23" t="str">
        <f>HYPERLINK("https://drive.google.com/file/d/1sTNfv3bFxfEBUl7yQxZ_apRJI-_VXYHG/view?usp=drivesdk","33 - X7 - Zafira Salsa Haniah - P")</f>
        <v>33 - X7 - Zafira Salsa Haniah - P</v>
      </c>
      <c r="U322" s="12" t="s">
        <v>1809</v>
      </c>
      <c r="W322" s="25">
        <f>COUNTIFS('Form Presensi SCC'!$B:$B, IF($C322&lt;&gt;0, TEXT($C322, "0000000000"), $D322), 'Form Presensi SCC'!$C:$C, "Hadir")</f>
        <v>0</v>
      </c>
      <c r="Y322" s="26"/>
    </row>
    <row r="323" ht="22.5" customHeight="1">
      <c r="A323" s="10">
        <v>322.0</v>
      </c>
      <c r="B323" s="18">
        <v>1.0</v>
      </c>
      <c r="C323" s="18" t="s">
        <v>1824</v>
      </c>
      <c r="D323" s="18" t="s">
        <v>1825</v>
      </c>
      <c r="E323" s="18" t="s">
        <v>227</v>
      </c>
      <c r="F323" s="12">
        <v>33.0</v>
      </c>
      <c r="G323" s="10" t="s">
        <v>1826</v>
      </c>
      <c r="H323" s="19"/>
      <c r="I323" s="20"/>
      <c r="J323" s="10" t="s">
        <v>1826</v>
      </c>
      <c r="K323" s="21"/>
      <c r="L323" s="10"/>
      <c r="M323" s="22"/>
      <c r="N323" s="10"/>
      <c r="O323" s="10"/>
      <c r="P323" s="12" t="str">
        <f t="shared" si="1"/>
        <v>https://docs.google.com/forms/d/e/1FAIpQLSeZ-R1GrWlAPkfaThGqxeTj0QTtrARw4rroxIIepf2kipn1nw/formResponse?usp=pp_url&amp;entry.1313582257=0093560012 / 252610007&amp;entry.1578404635=Hadir</v>
      </c>
      <c r="Q323" s="23" t="s">
        <v>1827</v>
      </c>
      <c r="R323" s="12" t="s">
        <v>1828</v>
      </c>
      <c r="S323" s="24" t="s">
        <v>1829</v>
      </c>
      <c r="T323" s="23" t="str">
        <f>HYPERLINK("https://drive.google.com/file/d/1qZ1kLHrnAdCVvI-pBDVubEPs3g77goAf/view?usp=drivesdk","33 - X8 - Adelia Niken - P")</f>
        <v>33 - X8 - Adelia Niken - P</v>
      </c>
      <c r="U323" s="12" t="s">
        <v>1809</v>
      </c>
      <c r="W323" s="25">
        <f>COUNTIFS('Form Presensi SCC'!$B:$B, IF($C323&lt;&gt;0, TEXT($C323, "0000000000"), $D323), 'Form Presensi SCC'!$C:$C, "Hadir")</f>
        <v>0</v>
      </c>
      <c r="Y323" s="26"/>
    </row>
    <row r="324" ht="22.5" customHeight="1">
      <c r="A324" s="18">
        <v>323.0</v>
      </c>
      <c r="B324" s="18">
        <v>2.0</v>
      </c>
      <c r="C324" s="18" t="s">
        <v>1830</v>
      </c>
      <c r="D324" s="18" t="s">
        <v>1831</v>
      </c>
      <c r="E324" s="18" t="s">
        <v>227</v>
      </c>
      <c r="F324" s="12">
        <v>33.0</v>
      </c>
      <c r="G324" s="10" t="s">
        <v>1826</v>
      </c>
      <c r="H324" s="19"/>
      <c r="I324" s="20"/>
      <c r="J324" s="10" t="s">
        <v>1826</v>
      </c>
      <c r="K324" s="21"/>
      <c r="L324" s="10"/>
      <c r="M324" s="22"/>
      <c r="N324" s="10"/>
      <c r="O324" s="10"/>
      <c r="P324" s="12" t="str">
        <f t="shared" si="1"/>
        <v>https://docs.google.com/forms/d/e/1FAIpQLSeZ-R1GrWlAPkfaThGqxeTj0QTtrARw4rroxIIepf2kipn1nw/formResponse?usp=pp_url&amp;entry.1313582257=0092017710 / 252610028&amp;entry.1578404635=Hadir</v>
      </c>
      <c r="Q324" s="23" t="s">
        <v>1832</v>
      </c>
      <c r="R324" s="12" t="s">
        <v>1833</v>
      </c>
      <c r="S324" s="24" t="s">
        <v>1834</v>
      </c>
      <c r="T324" s="23" t="str">
        <f>HYPERLINK("https://drive.google.com/file/d/1xepw31JpQb7oB9wtf9417oq4spDKm5J5/view?usp=drivesdk","33 - X8 - Aisyah Agustiani - P")</f>
        <v>33 - X8 - Aisyah Agustiani - P</v>
      </c>
      <c r="U324" s="12" t="s">
        <v>1809</v>
      </c>
      <c r="W324" s="25">
        <f>COUNTIFS('Form Presensi SCC'!$B:$B, IF($C324&lt;&gt;0, TEXT($C324, "0000000000"), $D324), 'Form Presensi SCC'!$C:$C, "Hadir")</f>
        <v>0</v>
      </c>
      <c r="Y324" s="26"/>
    </row>
    <row r="325" ht="22.5" customHeight="1">
      <c r="A325" s="10">
        <v>324.0</v>
      </c>
      <c r="B325" s="18">
        <v>3.0</v>
      </c>
      <c r="C325" s="18" t="s">
        <v>1835</v>
      </c>
      <c r="D325" s="18" t="s">
        <v>1836</v>
      </c>
      <c r="E325" s="18" t="s">
        <v>227</v>
      </c>
      <c r="F325" s="12">
        <v>33.0</v>
      </c>
      <c r="G325" s="10" t="s">
        <v>1826</v>
      </c>
      <c r="H325" s="19"/>
      <c r="I325" s="20"/>
      <c r="J325" s="10" t="s">
        <v>1826</v>
      </c>
      <c r="K325" s="21"/>
      <c r="L325" s="10"/>
      <c r="M325" s="22"/>
      <c r="N325" s="10"/>
      <c r="O325" s="10"/>
      <c r="P325" s="12" t="str">
        <f t="shared" si="1"/>
        <v>https://docs.google.com/forms/d/e/1FAIpQLSeZ-R1GrWlAPkfaThGqxeTj0QTtrARw4rroxIIepf2kipn1nw/formResponse?usp=pp_url&amp;entry.1313582257=0098009248 / 252610035&amp;entry.1578404635=Hadir</v>
      </c>
      <c r="Q325" s="23" t="s">
        <v>1837</v>
      </c>
      <c r="R325" s="12" t="s">
        <v>1838</v>
      </c>
      <c r="S325" s="24" t="s">
        <v>1839</v>
      </c>
      <c r="T325" s="23" t="str">
        <f>HYPERLINK("https://drive.google.com/file/d/1pqaEdN8FvNzvP17l9ZLAqXT42S5rpYks/view?usp=drivesdk","33 - X8 - Alenka Meisyarofa - P")</f>
        <v>33 - X8 - Alenka Meisyarofa - P</v>
      </c>
      <c r="U325" s="12" t="s">
        <v>1840</v>
      </c>
      <c r="W325" s="25">
        <f>COUNTIFS('Form Presensi SCC'!$B:$B, IF($C325&lt;&gt;0, TEXT($C325, "0000000000"), $D325), 'Form Presensi SCC'!$C:$C, "Hadir")</f>
        <v>0</v>
      </c>
      <c r="Y325" s="26"/>
    </row>
    <row r="326" ht="22.5" customHeight="1">
      <c r="A326" s="18">
        <v>325.0</v>
      </c>
      <c r="B326" s="18">
        <v>4.0</v>
      </c>
      <c r="C326" s="18" t="s">
        <v>1841</v>
      </c>
      <c r="D326" s="18" t="s">
        <v>1842</v>
      </c>
      <c r="E326" s="18" t="s">
        <v>227</v>
      </c>
      <c r="F326" s="12">
        <v>33.0</v>
      </c>
      <c r="G326" s="10" t="s">
        <v>1826</v>
      </c>
      <c r="H326" s="19"/>
      <c r="I326" s="20"/>
      <c r="J326" s="10" t="s">
        <v>1826</v>
      </c>
      <c r="K326" s="21"/>
      <c r="L326" s="10"/>
      <c r="M326" s="22"/>
      <c r="N326" s="10"/>
      <c r="O326" s="10"/>
      <c r="P326" s="12" t="str">
        <f t="shared" si="1"/>
        <v>https://docs.google.com/forms/d/e/1FAIpQLSeZ-R1GrWlAPkfaThGqxeTj0QTtrARw4rroxIIepf2kipn1nw/formResponse?usp=pp_url&amp;entry.1313582257=3105167232 / 252610040&amp;entry.1578404635=Hadir</v>
      </c>
      <c r="Q326" s="23" t="s">
        <v>1843</v>
      </c>
      <c r="R326" s="12" t="s">
        <v>1844</v>
      </c>
      <c r="S326" s="24" t="s">
        <v>1845</v>
      </c>
      <c r="T326" s="23" t="str">
        <f>HYPERLINK("https://drive.google.com/file/d/1QNub72plsmWNf8OWRx0hPiorBIy7lDyU/view?usp=drivesdk","33 - X8 - Alifa Taqqiya Zahwa - P")</f>
        <v>33 - X8 - Alifa Taqqiya Zahwa - P</v>
      </c>
      <c r="U326" s="12" t="s">
        <v>1840</v>
      </c>
      <c r="W326" s="25">
        <f>COUNTIFS('Form Presensi SCC'!$B:$B, IF($C326&lt;&gt;0, TEXT($C326, "0000000000"), $D326), 'Form Presensi SCC'!$C:$C, "Hadir")</f>
        <v>0</v>
      </c>
      <c r="Y326" s="26"/>
    </row>
    <row r="327" ht="22.5" customHeight="1">
      <c r="A327" s="10">
        <v>326.0</v>
      </c>
      <c r="B327" s="18">
        <v>5.0</v>
      </c>
      <c r="C327" s="18" t="s">
        <v>1846</v>
      </c>
      <c r="D327" s="18" t="s">
        <v>1847</v>
      </c>
      <c r="E327" s="18" t="s">
        <v>227</v>
      </c>
      <c r="F327" s="12">
        <v>33.0</v>
      </c>
      <c r="G327" s="10" t="s">
        <v>1826</v>
      </c>
      <c r="H327" s="19"/>
      <c r="I327" s="20"/>
      <c r="J327" s="10" t="s">
        <v>1826</v>
      </c>
      <c r="K327" s="21"/>
      <c r="L327" s="10"/>
      <c r="M327" s="22"/>
      <c r="N327" s="10"/>
      <c r="O327" s="10"/>
      <c r="P327" s="12" t="str">
        <f t="shared" si="1"/>
        <v>https://docs.google.com/forms/d/e/1FAIpQLSeZ-R1GrWlAPkfaThGqxeTj0QTtrARw4rroxIIepf2kipn1nw/formResponse?usp=pp_url&amp;entry.1313582257=0107122505 / 252610041&amp;entry.1578404635=Hadir</v>
      </c>
      <c r="Q327" s="23" t="s">
        <v>1848</v>
      </c>
      <c r="R327" s="12" t="s">
        <v>1849</v>
      </c>
      <c r="S327" s="24" t="s">
        <v>1850</v>
      </c>
      <c r="T327" s="23" t="str">
        <f>HYPERLINK("https://drive.google.com/file/d/1rOpBcto7npbLSOm41qMQdLdJlnEJu797/view?usp=drivesdk","33 - X8 - Alifah Hasannah - P")</f>
        <v>33 - X8 - Alifah Hasannah - P</v>
      </c>
      <c r="U327" s="12" t="s">
        <v>1840</v>
      </c>
      <c r="W327" s="25">
        <f>COUNTIFS('Form Presensi SCC'!$B:$B, IF($C327&lt;&gt;0, TEXT($C327, "0000000000"), $D327), 'Form Presensi SCC'!$C:$C, "Hadir")</f>
        <v>0</v>
      </c>
      <c r="Y327" s="26"/>
    </row>
    <row r="328" ht="22.5" customHeight="1">
      <c r="A328" s="18">
        <v>327.0</v>
      </c>
      <c r="B328" s="18">
        <v>6.0</v>
      </c>
      <c r="C328" s="18" t="s">
        <v>1851</v>
      </c>
      <c r="D328" s="18" t="s">
        <v>1852</v>
      </c>
      <c r="E328" s="18" t="s">
        <v>227</v>
      </c>
      <c r="F328" s="12">
        <v>33.0</v>
      </c>
      <c r="G328" s="10" t="s">
        <v>1826</v>
      </c>
      <c r="H328" s="19"/>
      <c r="I328" s="20"/>
      <c r="J328" s="10" t="s">
        <v>1826</v>
      </c>
      <c r="K328" s="21"/>
      <c r="L328" s="10"/>
      <c r="M328" s="22"/>
      <c r="N328" s="10"/>
      <c r="O328" s="10"/>
      <c r="P328" s="12" t="str">
        <f t="shared" si="1"/>
        <v>https://docs.google.com/forms/d/e/1FAIpQLSeZ-R1GrWlAPkfaThGqxeTj0QTtrARw4rroxIIepf2kipn1nw/formResponse?usp=pp_url&amp;entry.1313582257=0104668456 / 252610061&amp;entry.1578404635=Hadir</v>
      </c>
      <c r="Q328" s="23" t="s">
        <v>1853</v>
      </c>
      <c r="R328" s="12" t="s">
        <v>1854</v>
      </c>
      <c r="S328" s="24" t="s">
        <v>1855</v>
      </c>
      <c r="T328" s="23" t="str">
        <f>HYPERLINK("https://drive.google.com/file/d/1xv-LoEl3sHdx3HuYbBT18bkSxn_mcz7R/view?usp=drivesdk","33 - X8 - Andagita Vilnaria Atha - P")</f>
        <v>33 - X8 - Andagita Vilnaria Atha - P</v>
      </c>
      <c r="U328" s="12" t="s">
        <v>1840</v>
      </c>
      <c r="W328" s="25">
        <f>COUNTIFS('Form Presensi SCC'!$B:$B, IF($C328&lt;&gt;0, TEXT($C328, "0000000000"), $D328), 'Form Presensi SCC'!$C:$C, "Hadir")</f>
        <v>0</v>
      </c>
      <c r="Y328" s="26"/>
    </row>
    <row r="329" ht="22.5" customHeight="1">
      <c r="A329" s="10">
        <v>328.0</v>
      </c>
      <c r="B329" s="18">
        <v>7.0</v>
      </c>
      <c r="C329" s="18" t="s">
        <v>1856</v>
      </c>
      <c r="D329" s="18" t="s">
        <v>1857</v>
      </c>
      <c r="E329" s="18" t="s">
        <v>227</v>
      </c>
      <c r="F329" s="12">
        <v>33.0</v>
      </c>
      <c r="G329" s="10" t="s">
        <v>1826</v>
      </c>
      <c r="H329" s="19"/>
      <c r="I329" s="20"/>
      <c r="J329" s="10" t="s">
        <v>1826</v>
      </c>
      <c r="K329" s="21"/>
      <c r="L329" s="10"/>
      <c r="M329" s="22"/>
      <c r="N329" s="10"/>
      <c r="O329" s="10"/>
      <c r="P329" s="12" t="str">
        <f t="shared" si="1"/>
        <v>https://docs.google.com/forms/d/e/1FAIpQLSeZ-R1GrWlAPkfaThGqxeTj0QTtrARw4rroxIIepf2kipn1nw/formResponse?usp=pp_url&amp;entry.1313582257=0102036572 / 252610077&amp;entry.1578404635=Hadir</v>
      </c>
      <c r="Q329" s="23" t="s">
        <v>1858</v>
      </c>
      <c r="R329" s="12" t="s">
        <v>1859</v>
      </c>
      <c r="S329" s="24" t="s">
        <v>1860</v>
      </c>
      <c r="T329" s="23" t="str">
        <f>HYPERLINK("https://drive.google.com/file/d/1mJZNxbYnEN8lnyPt_y_RzExXEJU47iTf/view?usp=drivesdk","33 - X8 - Ariqah Putri Nasution - P")</f>
        <v>33 - X8 - Ariqah Putri Nasution - P</v>
      </c>
      <c r="U329" s="12" t="s">
        <v>1840</v>
      </c>
      <c r="W329" s="25">
        <f>COUNTIFS('Form Presensi SCC'!$B:$B, IF($C329&lt;&gt;0, TEXT($C329, "0000000000"), $D329), 'Form Presensi SCC'!$C:$C, "Hadir")</f>
        <v>0</v>
      </c>
      <c r="Y329" s="26"/>
    </row>
    <row r="330" ht="22.5" customHeight="1">
      <c r="A330" s="18">
        <v>329.0</v>
      </c>
      <c r="B330" s="18">
        <v>8.0</v>
      </c>
      <c r="C330" s="18" t="s">
        <v>1861</v>
      </c>
      <c r="D330" s="18" t="s">
        <v>1862</v>
      </c>
      <c r="E330" s="18" t="s">
        <v>227</v>
      </c>
      <c r="F330" s="12">
        <v>33.0</v>
      </c>
      <c r="G330" s="10" t="s">
        <v>1826</v>
      </c>
      <c r="H330" s="19"/>
      <c r="I330" s="20"/>
      <c r="J330" s="10" t="s">
        <v>1826</v>
      </c>
      <c r="K330" s="21"/>
      <c r="L330" s="10"/>
      <c r="M330" s="22"/>
      <c r="N330" s="10"/>
      <c r="O330" s="10"/>
      <c r="P330" s="12" t="str">
        <f t="shared" si="1"/>
        <v>https://docs.google.com/forms/d/e/1FAIpQLSeZ-R1GrWlAPkfaThGqxeTj0QTtrARw4rroxIIepf2kipn1nw/formResponse?usp=pp_url&amp;entry.1313582257=0102307654 / 252610097&amp;entry.1578404635=Hadir</v>
      </c>
      <c r="Q330" s="23" t="s">
        <v>1863</v>
      </c>
      <c r="R330" s="12" t="s">
        <v>1864</v>
      </c>
      <c r="S330" s="24" t="s">
        <v>1865</v>
      </c>
      <c r="T330" s="23" t="str">
        <f>HYPERLINK("https://drive.google.com/file/d/1wPRE9bGD9zzkC4SIsu6-Dv8PPlUdgDmU/view?usp=drivesdk","33 - X8 - Aulia Cinta Divia - P")</f>
        <v>33 - X8 - Aulia Cinta Divia - P</v>
      </c>
      <c r="U330" s="12" t="s">
        <v>1866</v>
      </c>
      <c r="W330" s="25">
        <f>COUNTIFS('Form Presensi SCC'!$B:$B, IF($C330&lt;&gt;0, TEXT($C330, "0000000000"), $D330), 'Form Presensi SCC'!$C:$C, "Hadir")</f>
        <v>0</v>
      </c>
      <c r="Y330" s="26"/>
    </row>
    <row r="331" ht="22.5" customHeight="1">
      <c r="A331" s="10">
        <v>330.0</v>
      </c>
      <c r="B331" s="18">
        <v>9.0</v>
      </c>
      <c r="C331" s="18" t="s">
        <v>1867</v>
      </c>
      <c r="D331" s="18" t="s">
        <v>1868</v>
      </c>
      <c r="E331" s="18" t="s">
        <v>227</v>
      </c>
      <c r="F331" s="12">
        <v>33.0</v>
      </c>
      <c r="G331" s="10" t="s">
        <v>1826</v>
      </c>
      <c r="H331" s="19"/>
      <c r="I331" s="20"/>
      <c r="J331" s="10" t="s">
        <v>1826</v>
      </c>
      <c r="K331" s="21"/>
      <c r="L331" s="10"/>
      <c r="M331" s="22"/>
      <c r="N331" s="10"/>
      <c r="O331" s="10"/>
      <c r="P331" s="12" t="str">
        <f t="shared" si="1"/>
        <v>https://docs.google.com/forms/d/e/1FAIpQLSeZ-R1GrWlAPkfaThGqxeTj0QTtrARw4rroxIIepf2kipn1nw/formResponse?usp=pp_url&amp;entry.1313582257=0105089607 / 252610108&amp;entry.1578404635=Hadir</v>
      </c>
      <c r="Q331" s="23" t="s">
        <v>1869</v>
      </c>
      <c r="R331" s="12" t="s">
        <v>1870</v>
      </c>
      <c r="S331" s="24" t="s">
        <v>1871</v>
      </c>
      <c r="T331" s="23" t="str">
        <f>HYPERLINK("https://drive.google.com/file/d/1iDWeLrwZEg2B8fyHCXssKZOYEZkMGQr2/view?usp=drivesdk","33 - X8 - Aysha Mahira Dewi Tryana - P")</f>
        <v>33 - X8 - Aysha Mahira Dewi Tryana - P</v>
      </c>
      <c r="U331" s="12" t="s">
        <v>1866</v>
      </c>
      <c r="W331" s="25">
        <f>COUNTIFS('Form Presensi SCC'!$B:$B, IF($C331&lt;&gt;0, TEXT($C331, "0000000000"), $D331), 'Form Presensi SCC'!$C:$C, "Hadir")</f>
        <v>0</v>
      </c>
      <c r="Y331" s="26"/>
    </row>
    <row r="332" ht="22.5" customHeight="1">
      <c r="A332" s="18">
        <v>331.0</v>
      </c>
      <c r="B332" s="18">
        <v>10.0</v>
      </c>
      <c r="C332" s="18" t="s">
        <v>1872</v>
      </c>
      <c r="D332" s="18" t="s">
        <v>1873</v>
      </c>
      <c r="E332" s="18" t="s">
        <v>227</v>
      </c>
      <c r="F332" s="12">
        <v>33.0</v>
      </c>
      <c r="G332" s="10" t="s">
        <v>1826</v>
      </c>
      <c r="H332" s="19"/>
      <c r="I332" s="20"/>
      <c r="J332" s="10" t="s">
        <v>1826</v>
      </c>
      <c r="K332" s="21"/>
      <c r="L332" s="10"/>
      <c r="M332" s="22"/>
      <c r="N332" s="10"/>
      <c r="O332" s="10"/>
      <c r="P332" s="12" t="str">
        <f t="shared" si="1"/>
        <v>https://docs.google.com/forms/d/e/1FAIpQLSeZ-R1GrWlAPkfaThGqxeTj0QTtrARw4rroxIIepf2kipn1nw/formResponse?usp=pp_url&amp;entry.1313582257=0096174502 / 252610118&amp;entry.1578404635=Hadir</v>
      </c>
      <c r="Q332" s="23" t="s">
        <v>1874</v>
      </c>
      <c r="R332" s="12" t="s">
        <v>1875</v>
      </c>
      <c r="S332" s="24" t="s">
        <v>1876</v>
      </c>
      <c r="T332" s="23" t="str">
        <f>HYPERLINK("https://drive.google.com/file/d/16PsUa2GapK5GBDTZe7Wpw6NZS5bA6Ui5/view?usp=drivesdk","33 - X8 - Belinda Angelica  - P")</f>
        <v>33 - X8 - Belinda Angelica  - P</v>
      </c>
      <c r="U332" s="12" t="s">
        <v>1866</v>
      </c>
      <c r="W332" s="25">
        <f>COUNTIFS('Form Presensi SCC'!$B:$B, IF($C332&lt;&gt;0, TEXT($C332, "0000000000"), $D332), 'Form Presensi SCC'!$C:$C, "Hadir")</f>
        <v>0</v>
      </c>
      <c r="Y332" s="26"/>
    </row>
    <row r="333" ht="22.5" customHeight="1">
      <c r="A333" s="10">
        <v>332.0</v>
      </c>
      <c r="B333" s="18">
        <v>11.0</v>
      </c>
      <c r="C333" s="18" t="s">
        <v>1877</v>
      </c>
      <c r="D333" s="18" t="s">
        <v>1878</v>
      </c>
      <c r="E333" s="18" t="s">
        <v>220</v>
      </c>
      <c r="F333" s="12">
        <v>33.0</v>
      </c>
      <c r="G333" s="10" t="s">
        <v>1826</v>
      </c>
      <c r="H333" s="19"/>
      <c r="I333" s="20"/>
      <c r="J333" s="10" t="s">
        <v>1826</v>
      </c>
      <c r="K333" s="21"/>
      <c r="L333" s="10"/>
      <c r="M333" s="22"/>
      <c r="N333" s="10"/>
      <c r="O333" s="10"/>
      <c r="P333" s="12" t="str">
        <f t="shared" si="1"/>
        <v>https://docs.google.com/forms/d/e/1FAIpQLSeZ-R1GrWlAPkfaThGqxeTj0QTtrARw4rroxIIepf2kipn1nw/formResponse?usp=pp_url&amp;entry.1313582257=0092180086 / 252610125&amp;entry.1578404635=Hadir</v>
      </c>
      <c r="Q333" s="23" t="s">
        <v>1879</v>
      </c>
      <c r="R333" s="12" t="s">
        <v>1880</v>
      </c>
      <c r="S333" s="24" t="s">
        <v>1881</v>
      </c>
      <c r="T333" s="23" t="str">
        <f>HYPERLINK("https://drive.google.com/file/d/1EVx5iQgji81YUkPPJcW8vAzP0aOjkAFD/view?usp=drivesdk","33 - X8 - Bima Anggareksa Yusiansyah - L")</f>
        <v>33 - X8 - Bima Anggareksa Yusiansyah - L</v>
      </c>
      <c r="U333" s="12" t="s">
        <v>1866</v>
      </c>
      <c r="W333" s="25">
        <f>COUNTIFS('Form Presensi SCC'!$B:$B, IF($C333&lt;&gt;0, TEXT($C333, "0000000000"), $D333), 'Form Presensi SCC'!$C:$C, "Hadir")</f>
        <v>0</v>
      </c>
      <c r="Y333" s="26"/>
    </row>
    <row r="334" ht="22.5" customHeight="1">
      <c r="A334" s="18">
        <v>333.0</v>
      </c>
      <c r="B334" s="18">
        <v>12.0</v>
      </c>
      <c r="C334" s="18" t="s">
        <v>1882</v>
      </c>
      <c r="D334" s="18" t="s">
        <v>1883</v>
      </c>
      <c r="E334" s="18" t="s">
        <v>227</v>
      </c>
      <c r="F334" s="12">
        <v>33.0</v>
      </c>
      <c r="G334" s="10" t="s">
        <v>1826</v>
      </c>
      <c r="H334" s="19"/>
      <c r="I334" s="20"/>
      <c r="J334" s="10" t="s">
        <v>1826</v>
      </c>
      <c r="K334" s="21"/>
      <c r="L334" s="10"/>
      <c r="M334" s="22"/>
      <c r="N334" s="10"/>
      <c r="O334" s="10"/>
      <c r="P334" s="12" t="str">
        <f t="shared" si="1"/>
        <v>https://docs.google.com/forms/d/e/1FAIpQLSeZ-R1GrWlAPkfaThGqxeTj0QTtrARw4rroxIIepf2kipn1nw/formResponse?usp=pp_url&amp;entry.1313582257=3094942931 / 252610151&amp;entry.1578404635=Hadir</v>
      </c>
      <c r="Q334" s="23" t="s">
        <v>1884</v>
      </c>
      <c r="R334" s="12" t="s">
        <v>1885</v>
      </c>
      <c r="S334" s="24" t="s">
        <v>1886</v>
      </c>
      <c r="T334" s="23" t="str">
        <f>HYPERLINK("https://drive.google.com/file/d/1Cc5ePLefoBmBg9zDtDgiTNvbmMTw2_nX/view?usp=drivesdk","33 - X8 - Dela Ananda Putri  - P")</f>
        <v>33 - X8 - Dela Ananda Putri  - P</v>
      </c>
      <c r="U334" s="12" t="s">
        <v>1887</v>
      </c>
      <c r="W334" s="25">
        <f>COUNTIFS('Form Presensi SCC'!$B:$B, IF($C334&lt;&gt;0, TEXT($C334, "0000000000"), $D334), 'Form Presensi SCC'!$C:$C, "Hadir")</f>
        <v>0</v>
      </c>
      <c r="Y334" s="26"/>
    </row>
    <row r="335" ht="22.5" customHeight="1">
      <c r="A335" s="10">
        <v>334.0</v>
      </c>
      <c r="B335" s="18">
        <v>13.0</v>
      </c>
      <c r="C335" s="18" t="s">
        <v>1888</v>
      </c>
      <c r="D335" s="18" t="s">
        <v>1889</v>
      </c>
      <c r="E335" s="18" t="s">
        <v>227</v>
      </c>
      <c r="F335" s="12">
        <v>33.0</v>
      </c>
      <c r="G335" s="10" t="s">
        <v>1826</v>
      </c>
      <c r="H335" s="19"/>
      <c r="I335" s="20"/>
      <c r="J335" s="10" t="s">
        <v>1826</v>
      </c>
      <c r="K335" s="21"/>
      <c r="L335" s="10"/>
      <c r="M335" s="22"/>
      <c r="N335" s="10"/>
      <c r="O335" s="10"/>
      <c r="P335" s="12" t="str">
        <f t="shared" si="1"/>
        <v>https://docs.google.com/forms/d/e/1FAIpQLSeZ-R1GrWlAPkfaThGqxeTj0QTtrARw4rroxIIepf2kipn1nw/formResponse?usp=pp_url&amp;entry.1313582257=0103091510 / 252610160&amp;entry.1578404635=Hadir</v>
      </c>
      <c r="Q335" s="23" t="s">
        <v>1890</v>
      </c>
      <c r="R335" s="12" t="s">
        <v>1891</v>
      </c>
      <c r="S335" s="24" t="s">
        <v>1892</v>
      </c>
      <c r="T335" s="23" t="str">
        <f>HYPERLINK("https://drive.google.com/file/d/1LoYuL9o7tC1DdH8wvstzSCbzbywnp7h9/view?usp=drivesdk","33 - X8 - Dian Noer Savitri  - P")</f>
        <v>33 - X8 - Dian Noer Savitri  - P</v>
      </c>
      <c r="U335" s="12" t="s">
        <v>1887</v>
      </c>
      <c r="W335" s="25">
        <f>COUNTIFS('Form Presensi SCC'!$B:$B, IF($C335&lt;&gt;0, TEXT($C335, "0000000000"), $D335), 'Form Presensi SCC'!$C:$C, "Hadir")</f>
        <v>0</v>
      </c>
      <c r="Y335" s="26"/>
    </row>
    <row r="336" ht="22.5" customHeight="1">
      <c r="A336" s="18">
        <v>335.0</v>
      </c>
      <c r="B336" s="18">
        <v>14.0</v>
      </c>
      <c r="C336" s="18" t="s">
        <v>1893</v>
      </c>
      <c r="D336" s="18" t="s">
        <v>1894</v>
      </c>
      <c r="E336" s="18" t="s">
        <v>227</v>
      </c>
      <c r="F336" s="12">
        <v>33.0</v>
      </c>
      <c r="G336" s="10" t="s">
        <v>1826</v>
      </c>
      <c r="H336" s="19"/>
      <c r="I336" s="20"/>
      <c r="J336" s="10" t="s">
        <v>1826</v>
      </c>
      <c r="K336" s="21"/>
      <c r="L336" s="10"/>
      <c r="M336" s="22"/>
      <c r="N336" s="10"/>
      <c r="O336" s="10"/>
      <c r="P336" s="12" t="str">
        <f t="shared" si="1"/>
        <v>https://docs.google.com/forms/d/e/1FAIpQLSeZ-R1GrWlAPkfaThGqxeTj0QTtrARw4rroxIIepf2kipn1nw/formResponse?usp=pp_url&amp;entry.1313582257=0093558313 / 252610161&amp;entry.1578404635=Hadir</v>
      </c>
      <c r="Q336" s="23" t="s">
        <v>1895</v>
      </c>
      <c r="R336" s="12" t="s">
        <v>1896</v>
      </c>
      <c r="S336" s="24" t="s">
        <v>1897</v>
      </c>
      <c r="T336" s="23" t="str">
        <f>HYPERLINK("https://drive.google.com/file/d/16exbhPU0N7cT--SNs9xcMQi5Rv-7Oj32/view?usp=drivesdk","33 - X8 - Diandra Mentari Fazri  - P")</f>
        <v>33 - X8 - Diandra Mentari Fazri  - P</v>
      </c>
      <c r="U336" s="12" t="s">
        <v>1887</v>
      </c>
      <c r="W336" s="25">
        <f>COUNTIFS('Form Presensi SCC'!$B:$B, IF($C336&lt;&gt;0, TEXT($C336, "0000000000"), $D336), 'Form Presensi SCC'!$C:$C, "Hadir")</f>
        <v>0</v>
      </c>
      <c r="Y336" s="26"/>
    </row>
    <row r="337" ht="22.5" customHeight="1">
      <c r="A337" s="10">
        <v>336.0</v>
      </c>
      <c r="B337" s="18">
        <v>15.0</v>
      </c>
      <c r="C337" s="18" t="s">
        <v>1898</v>
      </c>
      <c r="D337" s="18" t="s">
        <v>1899</v>
      </c>
      <c r="E337" s="18" t="s">
        <v>227</v>
      </c>
      <c r="F337" s="12">
        <v>33.0</v>
      </c>
      <c r="G337" s="10" t="s">
        <v>1826</v>
      </c>
      <c r="H337" s="19"/>
      <c r="I337" s="20"/>
      <c r="J337" s="10" t="s">
        <v>1826</v>
      </c>
      <c r="K337" s="21"/>
      <c r="L337" s="10"/>
      <c r="M337" s="22"/>
      <c r="N337" s="10"/>
      <c r="O337" s="10"/>
      <c r="P337" s="12" t="str">
        <f t="shared" si="1"/>
        <v>https://docs.google.com/forms/d/e/1FAIpQLSeZ-R1GrWlAPkfaThGqxeTj0QTtrARw4rroxIIepf2kipn1nw/formResponse?usp=pp_url&amp;entry.1313582257=0093242338 / 252610170&amp;entry.1578404635=Hadir</v>
      </c>
      <c r="Q337" s="23" t="s">
        <v>1900</v>
      </c>
      <c r="R337" s="12" t="s">
        <v>1901</v>
      </c>
      <c r="S337" s="24" t="s">
        <v>1902</v>
      </c>
      <c r="T337" s="23" t="str">
        <f>HYPERLINK("https://drive.google.com/file/d/1tJG01XXCT8STANnlTCkdvQzA7wtHzLry/view?usp=drivesdk","33 - X8 - Divania Kayla Windu Sabrina - P")</f>
        <v>33 - X8 - Divania Kayla Windu Sabrina - P</v>
      </c>
      <c r="U337" s="12" t="s">
        <v>1887</v>
      </c>
      <c r="W337" s="25">
        <f>COUNTIFS('Form Presensi SCC'!$B:$B, IF($C337&lt;&gt;0, TEXT($C337, "0000000000"), $D337), 'Form Presensi SCC'!$C:$C, "Hadir")</f>
        <v>0</v>
      </c>
      <c r="Y337" s="26"/>
    </row>
    <row r="338" ht="22.5" customHeight="1">
      <c r="A338" s="18">
        <v>337.0</v>
      </c>
      <c r="B338" s="18">
        <v>16.0</v>
      </c>
      <c r="C338" s="18" t="s">
        <v>1903</v>
      </c>
      <c r="D338" s="18" t="s">
        <v>1904</v>
      </c>
      <c r="E338" s="18" t="s">
        <v>227</v>
      </c>
      <c r="F338" s="12">
        <v>33.0</v>
      </c>
      <c r="G338" s="10" t="s">
        <v>1826</v>
      </c>
      <c r="H338" s="19"/>
      <c r="I338" s="20"/>
      <c r="J338" s="10" t="s">
        <v>1826</v>
      </c>
      <c r="K338" s="21"/>
      <c r="L338" s="10"/>
      <c r="M338" s="22"/>
      <c r="N338" s="10"/>
      <c r="O338" s="10"/>
      <c r="P338" s="12" t="str">
        <f t="shared" si="1"/>
        <v>https://docs.google.com/forms/d/e/1FAIpQLSeZ-R1GrWlAPkfaThGqxeTj0QTtrARw4rroxIIepf2kipn1nw/formResponse?usp=pp_url&amp;entry.1313582257=0095632017 / 252610174&amp;entry.1578404635=Hadir</v>
      </c>
      <c r="Q338" s="23" t="s">
        <v>1905</v>
      </c>
      <c r="R338" s="12" t="s">
        <v>1906</v>
      </c>
      <c r="S338" s="24" t="s">
        <v>1907</v>
      </c>
      <c r="T338" s="23" t="str">
        <f>HYPERLINK("https://drive.google.com/file/d/1ulNB2IDV_5QDJ8DHekQWC-jW70BWdGTA/view?usp=drivesdk","33 - X8 - Dyshan Attaya Haq Triatno - P")</f>
        <v>33 - X8 - Dyshan Attaya Haq Triatno - P</v>
      </c>
      <c r="U338" s="12" t="s">
        <v>1887</v>
      </c>
      <c r="W338" s="25">
        <f>COUNTIFS('Form Presensi SCC'!$B:$B, IF($C338&lt;&gt;0, TEXT($C338, "0000000000"), $D338), 'Form Presensi SCC'!$C:$C, "Hadir")</f>
        <v>0</v>
      </c>
      <c r="Y338" s="26"/>
    </row>
    <row r="339" ht="22.5" customHeight="1">
      <c r="A339" s="10">
        <v>338.0</v>
      </c>
      <c r="B339" s="18">
        <v>17.0</v>
      </c>
      <c r="C339" s="18" t="s">
        <v>1908</v>
      </c>
      <c r="D339" s="18" t="s">
        <v>1909</v>
      </c>
      <c r="E339" s="18" t="s">
        <v>220</v>
      </c>
      <c r="F339" s="12">
        <v>33.0</v>
      </c>
      <c r="G339" s="10" t="s">
        <v>1826</v>
      </c>
      <c r="H339" s="19"/>
      <c r="I339" s="20"/>
      <c r="J339" s="10" t="s">
        <v>1826</v>
      </c>
      <c r="K339" s="21"/>
      <c r="L339" s="10"/>
      <c r="M339" s="22"/>
      <c r="N339" s="10"/>
      <c r="O339" s="10"/>
      <c r="P339" s="12" t="str">
        <f t="shared" si="1"/>
        <v>https://docs.google.com/forms/d/e/1FAIpQLSeZ-R1GrWlAPkfaThGqxeTj0QTtrARw4rroxIIepf2kipn1nw/formResponse?usp=pp_url&amp;entry.1313582257=0099446424 / 252610199&amp;entry.1578404635=Hadir</v>
      </c>
      <c r="Q339" s="23" t="s">
        <v>1910</v>
      </c>
      <c r="R339" s="12" t="s">
        <v>1911</v>
      </c>
      <c r="S339" s="24" t="s">
        <v>1912</v>
      </c>
      <c r="T339" s="23" t="str">
        <f>HYPERLINK("https://drive.google.com/file/d/1VHvOOI5NL4zQX8sHbcBu17f4y7G2c3LT/view?usp=drivesdk","33 - X8 - Farid Pradana - L")</f>
        <v>33 - X8 - Farid Pradana - L</v>
      </c>
      <c r="U339" s="12" t="s">
        <v>1887</v>
      </c>
      <c r="W339" s="25">
        <f>COUNTIFS('Form Presensi SCC'!$B:$B, IF($C339&lt;&gt;0, TEXT($C339, "0000000000"), $D339), 'Form Presensi SCC'!$C:$C, "Hadir")</f>
        <v>0</v>
      </c>
      <c r="Y339" s="26"/>
    </row>
    <row r="340" ht="22.5" customHeight="1">
      <c r="A340" s="18">
        <v>339.0</v>
      </c>
      <c r="B340" s="18">
        <v>18.0</v>
      </c>
      <c r="C340" s="18" t="s">
        <v>1913</v>
      </c>
      <c r="D340" s="18" t="s">
        <v>1914</v>
      </c>
      <c r="E340" s="18" t="s">
        <v>227</v>
      </c>
      <c r="F340" s="12">
        <v>33.0</v>
      </c>
      <c r="G340" s="10" t="s">
        <v>1826</v>
      </c>
      <c r="H340" s="19"/>
      <c r="I340" s="20"/>
      <c r="J340" s="10" t="s">
        <v>1826</v>
      </c>
      <c r="K340" s="21"/>
      <c r="L340" s="10"/>
      <c r="M340" s="22"/>
      <c r="N340" s="10"/>
      <c r="O340" s="10"/>
      <c r="P340" s="12" t="str">
        <f t="shared" si="1"/>
        <v>https://docs.google.com/forms/d/e/1FAIpQLSeZ-R1GrWlAPkfaThGqxeTj0QTtrARw4rroxIIepf2kipn1nw/formResponse?usp=pp_url&amp;entry.1313582257=0103174946 / 252610203&amp;entry.1578404635=Hadir</v>
      </c>
      <c r="Q340" s="23" t="s">
        <v>1915</v>
      </c>
      <c r="R340" s="12" t="s">
        <v>1916</v>
      </c>
      <c r="S340" s="24" t="s">
        <v>1917</v>
      </c>
      <c r="T340" s="23" t="str">
        <f>HYPERLINK("https://drive.google.com/file/d/1dzb7_XVTDsb3qcH7ApqAjH0xW9kmPKAH/view?usp=drivesdk","33 - X8 - Fathia Adilla Ramsha - P")</f>
        <v>33 - X8 - Fathia Adilla Ramsha - P</v>
      </c>
      <c r="U340" s="12" t="s">
        <v>1918</v>
      </c>
      <c r="W340" s="25">
        <f>COUNTIFS('Form Presensi SCC'!$B:$B, IF($C340&lt;&gt;0, TEXT($C340, "0000000000"), $D340), 'Form Presensi SCC'!$C:$C, "Hadir")</f>
        <v>0</v>
      </c>
      <c r="Y340" s="26"/>
    </row>
    <row r="341" ht="22.5" customHeight="1">
      <c r="A341" s="10">
        <v>340.0</v>
      </c>
      <c r="B341" s="18">
        <v>19.0</v>
      </c>
      <c r="C341" s="18" t="s">
        <v>1919</v>
      </c>
      <c r="D341" s="18" t="s">
        <v>1920</v>
      </c>
      <c r="E341" s="18" t="s">
        <v>227</v>
      </c>
      <c r="F341" s="12">
        <v>33.0</v>
      </c>
      <c r="G341" s="10" t="s">
        <v>1826</v>
      </c>
      <c r="H341" s="19"/>
      <c r="I341" s="20"/>
      <c r="J341" s="10" t="s">
        <v>1826</v>
      </c>
      <c r="K341" s="21"/>
      <c r="L341" s="10"/>
      <c r="M341" s="22"/>
      <c r="N341" s="10"/>
      <c r="O341" s="10"/>
      <c r="P341" s="12" t="str">
        <f t="shared" si="1"/>
        <v>https://docs.google.com/forms/d/e/1FAIpQLSeZ-R1GrWlAPkfaThGqxeTj0QTtrARw4rroxIIepf2kipn1nw/formResponse?usp=pp_url&amp;entry.1313582257=0101801767 / 252610223&amp;entry.1578404635=Hadir</v>
      </c>
      <c r="Q341" s="23" t="s">
        <v>1921</v>
      </c>
      <c r="R341" s="12" t="s">
        <v>1922</v>
      </c>
      <c r="S341" s="24" t="s">
        <v>1923</v>
      </c>
      <c r="T341" s="23" t="str">
        <f>HYPERLINK("https://drive.google.com/file/d/1-lugdhTK_aPYuXkd2awTSeYUG11X3RiR/view?usp=drivesdk","33 - X8 - Gracia Valen Manik - P")</f>
        <v>33 - X8 - Gracia Valen Manik - P</v>
      </c>
      <c r="U341" s="12" t="s">
        <v>1918</v>
      </c>
      <c r="W341" s="25">
        <f>COUNTIFS('Form Presensi SCC'!$B:$B, IF($C341&lt;&gt;0, TEXT($C341, "0000000000"), $D341), 'Form Presensi SCC'!$C:$C, "Hadir")</f>
        <v>0</v>
      </c>
      <c r="Y341" s="26"/>
    </row>
    <row r="342" ht="22.5" customHeight="1">
      <c r="A342" s="18">
        <v>341.0</v>
      </c>
      <c r="B342" s="18">
        <v>20.0</v>
      </c>
      <c r="C342" s="18" t="s">
        <v>72</v>
      </c>
      <c r="D342" s="18" t="s">
        <v>1924</v>
      </c>
      <c r="E342" s="18" t="s">
        <v>227</v>
      </c>
      <c r="F342" s="12">
        <v>33.0</v>
      </c>
      <c r="G342" s="10" t="s">
        <v>1826</v>
      </c>
      <c r="H342" s="19"/>
      <c r="I342" s="20"/>
      <c r="J342" s="10" t="s">
        <v>1826</v>
      </c>
      <c r="K342" s="21"/>
      <c r="L342" s="10"/>
      <c r="M342" s="22"/>
      <c r="N342" s="10"/>
      <c r="O342" s="10"/>
      <c r="P342" s="12" t="str">
        <f t="shared" si="1"/>
        <v>https://docs.google.com/forms/d/e/1FAIpQLSeZ-R1GrWlAPkfaThGqxeTj0QTtrARw4rroxIIepf2kipn1nw/formResponse?usp=pp_url&amp;entry.1313582257=0107691976 / 252610255&amp;entry.1578404635=Hadir</v>
      </c>
      <c r="Q342" s="23" t="s">
        <v>1925</v>
      </c>
      <c r="R342" s="12" t="s">
        <v>1926</v>
      </c>
      <c r="S342" s="24" t="s">
        <v>1927</v>
      </c>
      <c r="T342" s="23" t="str">
        <f>HYPERLINK("https://drive.google.com/file/d/1boX__7aSpP7lWOh16Ac6qU4davKWKr4x/view?usp=drivesdk","33 - X8 - Kania Wismar Adnyana  - P")</f>
        <v>33 - X8 - Kania Wismar Adnyana  - P</v>
      </c>
      <c r="U342" s="12" t="s">
        <v>1918</v>
      </c>
      <c r="W342" s="25">
        <f>COUNTIFS('Form Presensi SCC'!$B:$B, IF($C342&lt;&gt;0, TEXT($C342, "0000000000"), $D342), 'Form Presensi SCC'!$C:$C, "Hadir")</f>
        <v>1</v>
      </c>
      <c r="Y342" s="26"/>
    </row>
    <row r="343" ht="22.5" customHeight="1">
      <c r="A343" s="10">
        <v>342.0</v>
      </c>
      <c r="B343" s="18">
        <v>21.0</v>
      </c>
      <c r="C343" s="18" t="s">
        <v>1928</v>
      </c>
      <c r="D343" s="18" t="s">
        <v>1929</v>
      </c>
      <c r="E343" s="18" t="s">
        <v>220</v>
      </c>
      <c r="F343" s="12">
        <v>33.0</v>
      </c>
      <c r="G343" s="10" t="s">
        <v>1826</v>
      </c>
      <c r="H343" s="19"/>
      <c r="I343" s="20"/>
      <c r="J343" s="10" t="s">
        <v>1826</v>
      </c>
      <c r="K343" s="21"/>
      <c r="L343" s="10"/>
      <c r="M343" s="22"/>
      <c r="N343" s="10"/>
      <c r="O343" s="10"/>
      <c r="P343" s="12" t="str">
        <f t="shared" si="1"/>
        <v>https://docs.google.com/forms/d/e/1FAIpQLSeZ-R1GrWlAPkfaThGqxeTj0QTtrARw4rroxIIepf2kipn1nw/formResponse?usp=pp_url&amp;entry.1313582257=0101976221 / 252610265&amp;entry.1578404635=Hadir</v>
      </c>
      <c r="Q343" s="23" t="s">
        <v>1930</v>
      </c>
      <c r="R343" s="12" t="s">
        <v>1931</v>
      </c>
      <c r="S343" s="24" t="s">
        <v>1932</v>
      </c>
      <c r="T343" s="23" t="str">
        <f>HYPERLINK("https://drive.google.com/file/d/1fvPxb9jayW8472g1UYvdKNcMi5jUnf14/view?usp=drivesdk","33 - X8 - Kaysan Umar Azka Setiawan - L")</f>
        <v>33 - X8 - Kaysan Umar Azka Setiawan - L</v>
      </c>
      <c r="U343" s="12" t="s">
        <v>1918</v>
      </c>
      <c r="W343" s="25">
        <f>COUNTIFS('Form Presensi SCC'!$B:$B, IF($C343&lt;&gt;0, TEXT($C343, "0000000000"), $D343), 'Form Presensi SCC'!$C:$C, "Hadir")</f>
        <v>0</v>
      </c>
      <c r="Y343" s="26"/>
    </row>
    <row r="344" ht="22.5" customHeight="1">
      <c r="A344" s="18">
        <v>343.0</v>
      </c>
      <c r="B344" s="18">
        <v>22.0</v>
      </c>
      <c r="C344" s="18" t="s">
        <v>1933</v>
      </c>
      <c r="D344" s="18" t="s">
        <v>1934</v>
      </c>
      <c r="E344" s="18" t="s">
        <v>220</v>
      </c>
      <c r="F344" s="12">
        <v>33.0</v>
      </c>
      <c r="G344" s="10" t="s">
        <v>1826</v>
      </c>
      <c r="H344" s="19"/>
      <c r="I344" s="20"/>
      <c r="J344" s="10" t="s">
        <v>1826</v>
      </c>
      <c r="K344" s="21"/>
      <c r="L344" s="10"/>
      <c r="M344" s="22"/>
      <c r="N344" s="10"/>
      <c r="O344" s="10"/>
      <c r="P344" s="12" t="str">
        <f t="shared" si="1"/>
        <v>https://docs.google.com/forms/d/e/1FAIpQLSeZ-R1GrWlAPkfaThGqxeTj0QTtrARw4rroxIIepf2kipn1nw/formResponse?usp=pp_url&amp;entry.1313582257=0092212305 / 252610293&amp;entry.1578404635=Hadir</v>
      </c>
      <c r="Q344" s="23" t="s">
        <v>1935</v>
      </c>
      <c r="R344" s="12" t="s">
        <v>1936</v>
      </c>
      <c r="S344" s="24" t="s">
        <v>1937</v>
      </c>
      <c r="T344" s="23" t="str">
        <f>HYPERLINK("https://drive.google.com/file/d/1AXQr7lTwXTnA5voDtkNE_br7mcWcMEyz/view?usp=drivesdk","33 - X8 - Luqman Aziz Saputro - L")</f>
        <v>33 - X8 - Luqman Aziz Saputro - L</v>
      </c>
      <c r="U344" s="12" t="s">
        <v>1918</v>
      </c>
      <c r="W344" s="25">
        <f>COUNTIFS('Form Presensi SCC'!$B:$B, IF($C344&lt;&gt;0, TEXT($C344, "0000000000"), $D344), 'Form Presensi SCC'!$C:$C, "Hadir")</f>
        <v>0</v>
      </c>
      <c r="Y344" s="26"/>
    </row>
    <row r="345" ht="22.5" customHeight="1">
      <c r="A345" s="10">
        <v>344.0</v>
      </c>
      <c r="B345" s="18">
        <v>23.0</v>
      </c>
      <c r="C345" s="18" t="s">
        <v>1938</v>
      </c>
      <c r="D345" s="18" t="s">
        <v>1939</v>
      </c>
      <c r="E345" s="18" t="s">
        <v>220</v>
      </c>
      <c r="F345" s="12">
        <v>33.0</v>
      </c>
      <c r="G345" s="10" t="s">
        <v>1826</v>
      </c>
      <c r="H345" s="19"/>
      <c r="I345" s="20"/>
      <c r="J345" s="10" t="s">
        <v>1826</v>
      </c>
      <c r="K345" s="21"/>
      <c r="L345" s="10"/>
      <c r="M345" s="22"/>
      <c r="N345" s="10"/>
      <c r="O345" s="10"/>
      <c r="P345" s="12" t="str">
        <f t="shared" si="1"/>
        <v>https://docs.google.com/forms/d/e/1FAIpQLSeZ-R1GrWlAPkfaThGqxeTj0QTtrARw4rroxIIepf2kipn1nw/formResponse?usp=pp_url&amp;entry.1313582257=0102160006 / 252610314&amp;entry.1578404635=Hadir</v>
      </c>
      <c r="Q345" s="23" t="s">
        <v>1940</v>
      </c>
      <c r="R345" s="12" t="s">
        <v>1941</v>
      </c>
      <c r="S345" s="24" t="s">
        <v>1942</v>
      </c>
      <c r="T345" s="23" t="str">
        <f>HYPERLINK("https://drive.google.com/file/d/1CGgJB6t8MW3birUXGPttjL2udJponf2g/view?usp=drivesdk","33 - X8 - Mirza Maulana Altamis - L")</f>
        <v>33 - X8 - Mirza Maulana Altamis - L</v>
      </c>
      <c r="U345" s="12" t="s">
        <v>1943</v>
      </c>
      <c r="W345" s="25">
        <f>COUNTIFS('Form Presensi SCC'!$B:$B, IF($C345&lt;&gt;0, TEXT($C345, "0000000000"), $D345), 'Form Presensi SCC'!$C:$C, "Hadir")</f>
        <v>0</v>
      </c>
      <c r="Y345" s="26"/>
    </row>
    <row r="346" ht="22.5" customHeight="1">
      <c r="A346" s="18">
        <v>345.0</v>
      </c>
      <c r="B346" s="18">
        <v>24.0</v>
      </c>
      <c r="C346" s="18" t="s">
        <v>75</v>
      </c>
      <c r="D346" s="18" t="s">
        <v>1944</v>
      </c>
      <c r="E346" s="18" t="s">
        <v>227</v>
      </c>
      <c r="F346" s="12">
        <v>33.0</v>
      </c>
      <c r="G346" s="10" t="s">
        <v>1826</v>
      </c>
      <c r="H346" s="19"/>
      <c r="I346" s="20"/>
      <c r="J346" s="10" t="s">
        <v>1826</v>
      </c>
      <c r="K346" s="21"/>
      <c r="L346" s="10"/>
      <c r="M346" s="22"/>
      <c r="N346" s="10"/>
      <c r="O346" s="10"/>
      <c r="P346" s="12" t="str">
        <f t="shared" si="1"/>
        <v>https://docs.google.com/forms/d/e/1FAIpQLSeZ-R1GrWlAPkfaThGqxeTj0QTtrARw4rroxIIepf2kipn1nw/formResponse?usp=pp_url&amp;entry.1313582257=0105918833 / 252610321&amp;entry.1578404635=Hadir</v>
      </c>
      <c r="Q346" s="23" t="s">
        <v>1945</v>
      </c>
      <c r="R346" s="12" t="s">
        <v>1946</v>
      </c>
      <c r="S346" s="24" t="s">
        <v>1947</v>
      </c>
      <c r="T346" s="23" t="str">
        <f>HYPERLINK("https://drive.google.com/file/d/1wOtr4HvBtyyLEPxBthvB5AjTBUOTFeAv/view?usp=drivesdk","33 - X8 - Mouris Marcha Adisty - P")</f>
        <v>33 - X8 - Mouris Marcha Adisty - P</v>
      </c>
      <c r="U346" s="12" t="s">
        <v>1943</v>
      </c>
      <c r="W346" s="25">
        <f>COUNTIFS('Form Presensi SCC'!$B:$B, IF($C346&lt;&gt;0, TEXT($C346, "0000000000"), $D346), 'Form Presensi SCC'!$C:$C, "Hadir")</f>
        <v>1</v>
      </c>
      <c r="Y346" s="26"/>
    </row>
    <row r="347" ht="22.5" customHeight="1">
      <c r="A347" s="10">
        <v>346.0</v>
      </c>
      <c r="B347" s="18">
        <v>25.0</v>
      </c>
      <c r="C347" s="18" t="s">
        <v>153</v>
      </c>
      <c r="D347" s="18" t="s">
        <v>1948</v>
      </c>
      <c r="E347" s="18" t="s">
        <v>220</v>
      </c>
      <c r="F347" s="12">
        <v>33.0</v>
      </c>
      <c r="G347" s="10" t="s">
        <v>1826</v>
      </c>
      <c r="H347" s="22" t="s">
        <v>371</v>
      </c>
      <c r="I347" s="20"/>
      <c r="J347" s="10" t="s">
        <v>1826</v>
      </c>
      <c r="K347" s="21"/>
      <c r="L347" s="10"/>
      <c r="M347" s="22"/>
      <c r="N347" s="10"/>
      <c r="O347" s="10"/>
      <c r="P347" s="12" t="str">
        <f t="shared" si="1"/>
        <v>https://docs.google.com/forms/d/e/1FAIpQLSeZ-R1GrWlAPkfaThGqxeTj0QTtrARw4rroxIIepf2kipn1nw/formResponse?usp=pp_url&amp;entry.1313582257=0099772945 / 252610324&amp;entry.1578404635=Hadir</v>
      </c>
      <c r="Q347" s="23" t="s">
        <v>1949</v>
      </c>
      <c r="R347" s="12" t="s">
        <v>1950</v>
      </c>
      <c r="S347" s="24" t="s">
        <v>1951</v>
      </c>
      <c r="T347" s="23" t="str">
        <f>HYPERLINK("https://drive.google.com/file/d/1cQm8ba6Z6I8sAr2uhRSDScd8E9yOxp2m/view?usp=drivesdk","33 - X8 - Muhamad Ilham Akbar - L")</f>
        <v>33 - X8 - Muhamad Ilham Akbar - L</v>
      </c>
      <c r="U347" s="12" t="s">
        <v>1943</v>
      </c>
      <c r="W347" s="25">
        <f>COUNTIFS('Form Presensi SCC'!$B:$B, IF($C347&lt;&gt;0, TEXT($C347, "0000000000"), $D347), 'Form Presensi SCC'!$C:$C, "Hadir")</f>
        <v>3</v>
      </c>
      <c r="Y347" s="26"/>
    </row>
    <row r="348" ht="22.5" customHeight="1">
      <c r="A348" s="18">
        <v>347.0</v>
      </c>
      <c r="B348" s="18">
        <v>26.0</v>
      </c>
      <c r="C348" s="18" t="s">
        <v>1952</v>
      </c>
      <c r="D348" s="18" t="s">
        <v>1953</v>
      </c>
      <c r="E348" s="18" t="s">
        <v>220</v>
      </c>
      <c r="F348" s="12">
        <v>33.0</v>
      </c>
      <c r="G348" s="10" t="s">
        <v>1826</v>
      </c>
      <c r="H348" s="19"/>
      <c r="I348" s="20"/>
      <c r="J348" s="10" t="s">
        <v>1826</v>
      </c>
      <c r="K348" s="21"/>
      <c r="L348" s="10"/>
      <c r="M348" s="22"/>
      <c r="N348" s="10"/>
      <c r="O348" s="10"/>
      <c r="P348" s="12" t="str">
        <f t="shared" si="1"/>
        <v>https://docs.google.com/forms/d/e/1FAIpQLSeZ-R1GrWlAPkfaThGqxeTj0QTtrARw4rroxIIepf2kipn1nw/formResponse?usp=pp_url&amp;entry.1313582257=0094259451 / 252610326&amp;entry.1578404635=Hadir</v>
      </c>
      <c r="Q348" s="23" t="s">
        <v>1954</v>
      </c>
      <c r="R348" s="12" t="s">
        <v>1955</v>
      </c>
      <c r="S348" s="24" t="s">
        <v>1956</v>
      </c>
      <c r="T348" s="23" t="str">
        <f>HYPERLINK("https://drive.google.com/file/d/1_0UtRXvgAgQftL4v4X0Qqr_WpAaPOI_p/view?usp=drivesdk","33 - X8 - Muhamad Mustakim - L")</f>
        <v>33 - X8 - Muhamad Mustakim - L</v>
      </c>
      <c r="U348" s="12" t="s">
        <v>1943</v>
      </c>
      <c r="W348" s="25">
        <f>COUNTIFS('Form Presensi SCC'!$B:$B, IF($C348&lt;&gt;0, TEXT($C348, "0000000000"), $D348), 'Form Presensi SCC'!$C:$C, "Hadir")</f>
        <v>0</v>
      </c>
      <c r="Y348" s="26"/>
    </row>
    <row r="349" ht="22.5" customHeight="1">
      <c r="A349" s="10">
        <v>348.0</v>
      </c>
      <c r="B349" s="18">
        <v>27.0</v>
      </c>
      <c r="C349" s="18" t="s">
        <v>1957</v>
      </c>
      <c r="D349" s="18" t="s">
        <v>1958</v>
      </c>
      <c r="E349" s="18" t="s">
        <v>220</v>
      </c>
      <c r="F349" s="12">
        <v>33.0</v>
      </c>
      <c r="G349" s="10" t="s">
        <v>1826</v>
      </c>
      <c r="H349" s="19"/>
      <c r="I349" s="20"/>
      <c r="J349" s="10" t="s">
        <v>1826</v>
      </c>
      <c r="K349" s="21"/>
      <c r="L349" s="10"/>
      <c r="M349" s="22"/>
      <c r="N349" s="10"/>
      <c r="O349" s="10"/>
      <c r="P349" s="12" t="str">
        <f t="shared" si="1"/>
        <v>https://docs.google.com/forms/d/e/1FAIpQLSeZ-R1GrWlAPkfaThGqxeTj0QTtrARw4rroxIIepf2kipn1nw/formResponse?usp=pp_url&amp;entry.1313582257=0107525738 / 252610349&amp;entry.1578404635=Hadir</v>
      </c>
      <c r="Q349" s="23" t="s">
        <v>1959</v>
      </c>
      <c r="R349" s="12" t="s">
        <v>1960</v>
      </c>
      <c r="S349" s="24" t="s">
        <v>1961</v>
      </c>
      <c r="T349" s="23" t="str">
        <f>HYPERLINK("https://drive.google.com/file/d/1p4BepxkMk1yisQXnBvMPh6vFEm2V_71M/view?usp=drivesdk","33 - X8 - Muhammad Faiz Fathian - L")</f>
        <v>33 - X8 - Muhammad Faiz Fathian - L</v>
      </c>
      <c r="U349" s="12" t="s">
        <v>1943</v>
      </c>
      <c r="W349" s="25">
        <f>COUNTIFS('Form Presensi SCC'!$B:$B, IF($C349&lt;&gt;0, TEXT($C349, "0000000000"), $D349), 'Form Presensi SCC'!$C:$C, "Hadir")</f>
        <v>0</v>
      </c>
      <c r="Y349" s="26"/>
    </row>
    <row r="350" ht="22.5" customHeight="1">
      <c r="A350" s="18">
        <v>349.0</v>
      </c>
      <c r="B350" s="18">
        <v>28.0</v>
      </c>
      <c r="C350" s="18" t="s">
        <v>1962</v>
      </c>
      <c r="D350" s="18" t="s">
        <v>1963</v>
      </c>
      <c r="E350" s="18" t="s">
        <v>220</v>
      </c>
      <c r="F350" s="12">
        <v>33.0</v>
      </c>
      <c r="G350" s="10" t="s">
        <v>1826</v>
      </c>
      <c r="H350" s="19"/>
      <c r="I350" s="20"/>
      <c r="J350" s="10" t="s">
        <v>1826</v>
      </c>
      <c r="K350" s="21"/>
      <c r="L350" s="10"/>
      <c r="M350" s="22"/>
      <c r="N350" s="10"/>
      <c r="O350" s="10"/>
      <c r="P350" s="12" t="str">
        <f t="shared" si="1"/>
        <v>https://docs.google.com/forms/d/e/1FAIpQLSeZ-R1GrWlAPkfaThGqxeTj0QTtrARw4rroxIIepf2kipn1nw/formResponse?usp=pp_url&amp;entry.1313582257=3107499493 / 252610350&amp;entry.1578404635=Hadir</v>
      </c>
      <c r="Q350" s="23" t="s">
        <v>1964</v>
      </c>
      <c r="R350" s="12" t="s">
        <v>1965</v>
      </c>
      <c r="S350" s="24" t="s">
        <v>1966</v>
      </c>
      <c r="T350" s="23" t="str">
        <f>HYPERLINK("https://drive.google.com/file/d/1a9hj72A11WnR8qdLLj3syAyBCflC9OqU/view?usp=drivesdk","33 - X8 - Muhammad Fariz Nuh - L")</f>
        <v>33 - X8 - Muhammad Fariz Nuh - L</v>
      </c>
      <c r="U350" s="12" t="s">
        <v>1943</v>
      </c>
      <c r="W350" s="25">
        <f>COUNTIFS('Form Presensi SCC'!$B:$B, IF($C350&lt;&gt;0, TEXT($C350, "0000000000"), $D350), 'Form Presensi SCC'!$C:$C, "Hadir")</f>
        <v>0</v>
      </c>
      <c r="Y350" s="26"/>
    </row>
    <row r="351" ht="22.5" customHeight="1">
      <c r="A351" s="10">
        <v>350.0</v>
      </c>
      <c r="B351" s="18">
        <v>29.0</v>
      </c>
      <c r="C351" s="18" t="s">
        <v>1967</v>
      </c>
      <c r="D351" s="18" t="s">
        <v>1968</v>
      </c>
      <c r="E351" s="18" t="s">
        <v>220</v>
      </c>
      <c r="F351" s="12">
        <v>33.0</v>
      </c>
      <c r="G351" s="10" t="s">
        <v>1826</v>
      </c>
      <c r="H351" s="22" t="s">
        <v>371</v>
      </c>
      <c r="I351" s="20"/>
      <c r="J351" s="10" t="s">
        <v>1826</v>
      </c>
      <c r="K351" s="21"/>
      <c r="L351" s="10"/>
      <c r="M351" s="22"/>
      <c r="N351" s="10"/>
      <c r="O351" s="10"/>
      <c r="P351" s="12" t="str">
        <f t="shared" si="1"/>
        <v>https://docs.google.com/forms/d/e/1FAIpQLSeZ-R1GrWlAPkfaThGqxeTj0QTtrARw4rroxIIepf2kipn1nw/formResponse?usp=pp_url&amp;entry.1313582257=3108018555 / 252610353&amp;entry.1578404635=Hadir</v>
      </c>
      <c r="Q351" s="23" t="s">
        <v>1969</v>
      </c>
      <c r="R351" s="12" t="s">
        <v>1970</v>
      </c>
      <c r="S351" s="24" t="s">
        <v>1971</v>
      </c>
      <c r="T351" s="23" t="str">
        <f>HYPERLINK("https://drive.google.com/file/d/1tYUCsjBxN9h-e4oFEv3SGCdfCmHbKnCU/view?usp=drivesdk","33 - X8 - Muhammad Fawaz Ali - L")</f>
        <v>33 - X8 - Muhammad Fawaz Ali - L</v>
      </c>
      <c r="U351" s="12" t="s">
        <v>1972</v>
      </c>
      <c r="W351" s="25">
        <f>COUNTIFS('Form Presensi SCC'!$B:$B, IF($C351&lt;&gt;0, TEXT($C351, "0000000000"), $D351), 'Form Presensi SCC'!$C:$C, "Hadir")</f>
        <v>0</v>
      </c>
      <c r="Y351" s="26"/>
    </row>
    <row r="352" ht="22.5" customHeight="1">
      <c r="A352" s="18">
        <v>351.0</v>
      </c>
      <c r="B352" s="18">
        <v>30.0</v>
      </c>
      <c r="C352" s="18" t="s">
        <v>1973</v>
      </c>
      <c r="D352" s="18" t="s">
        <v>1974</v>
      </c>
      <c r="E352" s="18" t="s">
        <v>220</v>
      </c>
      <c r="F352" s="12">
        <v>33.0</v>
      </c>
      <c r="G352" s="10" t="s">
        <v>1826</v>
      </c>
      <c r="H352" s="19"/>
      <c r="I352" s="20"/>
      <c r="J352" s="10" t="s">
        <v>1826</v>
      </c>
      <c r="K352" s="21"/>
      <c r="L352" s="10"/>
      <c r="M352" s="22"/>
      <c r="N352" s="10"/>
      <c r="O352" s="10"/>
      <c r="P352" s="12" t="str">
        <f t="shared" si="1"/>
        <v>https://docs.google.com/forms/d/e/1FAIpQLSeZ-R1GrWlAPkfaThGqxeTj0QTtrARw4rroxIIepf2kipn1nw/formResponse?usp=pp_url&amp;entry.1313582257=0091031385 / 252610364&amp;entry.1578404635=Hadir</v>
      </c>
      <c r="Q352" s="23" t="s">
        <v>1975</v>
      </c>
      <c r="R352" s="12" t="s">
        <v>1976</v>
      </c>
      <c r="S352" s="24" t="s">
        <v>1977</v>
      </c>
      <c r="T352" s="23" t="str">
        <f>HYPERLINK("https://drive.google.com/file/d/1YGojwgli3PbdcwzRUHY1KAPqWj4opfpI/view?usp=drivesdk","33 - X8 - Muhammad Rafli Ramsha - L")</f>
        <v>33 - X8 - Muhammad Rafli Ramsha - L</v>
      </c>
      <c r="U352" s="12" t="s">
        <v>1972</v>
      </c>
      <c r="W352" s="25">
        <f>COUNTIFS('Form Presensi SCC'!$B:$B, IF($C352&lt;&gt;0, TEXT($C352, "0000000000"), $D352), 'Form Presensi SCC'!$C:$C, "Hadir")</f>
        <v>0</v>
      </c>
      <c r="Y352" s="26"/>
    </row>
    <row r="353" ht="22.5" customHeight="1">
      <c r="A353" s="10">
        <v>352.0</v>
      </c>
      <c r="B353" s="18">
        <v>31.0</v>
      </c>
      <c r="C353" s="18" t="s">
        <v>1978</v>
      </c>
      <c r="D353" s="18" t="s">
        <v>1979</v>
      </c>
      <c r="E353" s="18" t="s">
        <v>220</v>
      </c>
      <c r="F353" s="12">
        <v>33.0</v>
      </c>
      <c r="G353" s="10" t="s">
        <v>1826</v>
      </c>
      <c r="H353" s="19"/>
      <c r="I353" s="20"/>
      <c r="J353" s="10" t="s">
        <v>1826</v>
      </c>
      <c r="K353" s="21"/>
      <c r="L353" s="10"/>
      <c r="M353" s="22"/>
      <c r="N353" s="10"/>
      <c r="O353" s="10"/>
      <c r="P353" s="12" t="str">
        <f t="shared" si="1"/>
        <v>https://docs.google.com/forms/d/e/1FAIpQLSeZ-R1GrWlAPkfaThGqxeTj0QTtrARw4rroxIIepf2kipn1nw/formResponse?usp=pp_url&amp;entry.1313582257=0111220217 / 252610376&amp;entry.1578404635=Hadir</v>
      </c>
      <c r="Q353" s="23" t="s">
        <v>1980</v>
      </c>
      <c r="R353" s="12" t="s">
        <v>1981</v>
      </c>
      <c r="S353" s="24" t="s">
        <v>1982</v>
      </c>
      <c r="T353" s="23" t="str">
        <f>HYPERLINK("https://drive.google.com/file/d/15DOjJAAI_WTVaUSbDeSpWyP4x8Pc_07Q/view?usp=drivesdk","33 - X8 - Muhammad Yafiargi Simbangando - L")</f>
        <v>33 - X8 - Muhammad Yafiargi Simbangando - L</v>
      </c>
      <c r="U353" s="12" t="s">
        <v>1972</v>
      </c>
      <c r="W353" s="25">
        <f>COUNTIFS('Form Presensi SCC'!$B:$B, IF($C353&lt;&gt;0, TEXT($C353, "0000000000"), $D353), 'Form Presensi SCC'!$C:$C, "Hadir")</f>
        <v>0</v>
      </c>
      <c r="Y353" s="26"/>
    </row>
    <row r="354" ht="22.5" customHeight="1">
      <c r="A354" s="18">
        <v>353.0</v>
      </c>
      <c r="B354" s="18">
        <v>32.0</v>
      </c>
      <c r="C354" s="18" t="s">
        <v>74</v>
      </c>
      <c r="D354" s="18" t="s">
        <v>1983</v>
      </c>
      <c r="E354" s="18" t="s">
        <v>227</v>
      </c>
      <c r="F354" s="12">
        <v>33.0</v>
      </c>
      <c r="G354" s="10" t="s">
        <v>1826</v>
      </c>
      <c r="H354" s="19"/>
      <c r="I354" s="20"/>
      <c r="J354" s="10" t="s">
        <v>1826</v>
      </c>
      <c r="K354" s="21"/>
      <c r="L354" s="10"/>
      <c r="M354" s="22"/>
      <c r="N354" s="10"/>
      <c r="O354" s="10"/>
      <c r="P354" s="12" t="str">
        <f t="shared" si="1"/>
        <v>https://docs.google.com/forms/d/e/1FAIpQLSeZ-R1GrWlAPkfaThGqxeTj0QTtrARw4rroxIIepf2kipn1nw/formResponse?usp=pp_url&amp;entry.1313582257=0098938532 / 252610392&amp;entry.1578404635=Hadir</v>
      </c>
      <c r="Q354" s="23" t="s">
        <v>1984</v>
      </c>
      <c r="R354" s="12" t="s">
        <v>1985</v>
      </c>
      <c r="S354" s="24" t="s">
        <v>1986</v>
      </c>
      <c r="T354" s="23" t="str">
        <f>HYPERLINK("https://drive.google.com/file/d/1M4mjV0HRr116PMe1kVwrKa0iNu76Usny/view?usp=drivesdk","33 - X8 - Naila Khansa Rahmawati - P")</f>
        <v>33 - X8 - Naila Khansa Rahmawati - P</v>
      </c>
      <c r="U354" s="12" t="s">
        <v>1972</v>
      </c>
      <c r="W354" s="25">
        <f>COUNTIFS('Form Presensi SCC'!$B:$B, IF($C354&lt;&gt;0, TEXT($C354, "0000000000"), $D354), 'Form Presensi SCC'!$C:$C, "Hadir")</f>
        <v>1</v>
      </c>
      <c r="Y354" s="26"/>
    </row>
    <row r="355" ht="22.5" customHeight="1">
      <c r="A355" s="10">
        <v>354.0</v>
      </c>
      <c r="B355" s="18">
        <v>33.0</v>
      </c>
      <c r="C355" s="18" t="s">
        <v>80</v>
      </c>
      <c r="D355" s="18" t="s">
        <v>1987</v>
      </c>
      <c r="E355" s="18" t="s">
        <v>227</v>
      </c>
      <c r="F355" s="12">
        <v>33.0</v>
      </c>
      <c r="G355" s="10" t="s">
        <v>1826</v>
      </c>
      <c r="H355" s="19"/>
      <c r="I355" s="20"/>
      <c r="J355" s="10" t="s">
        <v>1826</v>
      </c>
      <c r="K355" s="21"/>
      <c r="L355" s="10"/>
      <c r="M355" s="22"/>
      <c r="N355" s="10"/>
      <c r="O355" s="10"/>
      <c r="P355" s="12" t="str">
        <f t="shared" si="1"/>
        <v>https://docs.google.com/forms/d/e/1FAIpQLSeZ-R1GrWlAPkfaThGqxeTj0QTtrARw4rroxIIepf2kipn1nw/formResponse?usp=pp_url&amp;entry.1313582257=3109348901 / 252610395&amp;entry.1578404635=Hadir</v>
      </c>
      <c r="Q355" s="23" t="s">
        <v>1988</v>
      </c>
      <c r="R355" s="12" t="s">
        <v>1989</v>
      </c>
      <c r="S355" s="24" t="s">
        <v>1990</v>
      </c>
      <c r="T355" s="23" t="str">
        <f>HYPERLINK("https://drive.google.com/file/d/1bdfxmOIeQEMgdKnVmgRoOFPfTlu3JJPm/view?usp=drivesdk","33 - X8 - Namira Nur Azkia - P")</f>
        <v>33 - X8 - Namira Nur Azkia - P</v>
      </c>
      <c r="U355" s="12" t="s">
        <v>1972</v>
      </c>
      <c r="W355" s="25">
        <f>COUNTIFS('Form Presensi SCC'!$B:$B, IF($C355&lt;&gt;0, TEXT($C355, "0000000000"), $D355), 'Form Presensi SCC'!$C:$C, "Hadir")</f>
        <v>1</v>
      </c>
      <c r="Y355" s="26"/>
    </row>
    <row r="356" ht="22.5" customHeight="1">
      <c r="A356" s="18">
        <v>355.0</v>
      </c>
      <c r="B356" s="18">
        <v>34.0</v>
      </c>
      <c r="C356" s="18" t="s">
        <v>1991</v>
      </c>
      <c r="D356" s="18" t="s">
        <v>1992</v>
      </c>
      <c r="E356" s="18" t="s">
        <v>227</v>
      </c>
      <c r="F356" s="12">
        <v>33.0</v>
      </c>
      <c r="G356" s="10" t="s">
        <v>1826</v>
      </c>
      <c r="H356" s="19"/>
      <c r="I356" s="20"/>
      <c r="J356" s="10" t="s">
        <v>1826</v>
      </c>
      <c r="K356" s="21"/>
      <c r="L356" s="10"/>
      <c r="M356" s="22"/>
      <c r="N356" s="10"/>
      <c r="O356" s="10"/>
      <c r="P356" s="12" t="str">
        <f t="shared" si="1"/>
        <v>https://docs.google.com/forms/d/e/1FAIpQLSeZ-R1GrWlAPkfaThGqxeTj0QTtrARw4rroxIIepf2kipn1nw/formResponse?usp=pp_url&amp;entry.1313582257=0091281050 / 252610399&amp;entry.1578404635=Hadir</v>
      </c>
      <c r="Q356" s="23" t="s">
        <v>1993</v>
      </c>
      <c r="R356" s="12" t="s">
        <v>1994</v>
      </c>
      <c r="S356" s="24" t="s">
        <v>1995</v>
      </c>
      <c r="T356" s="23" t="str">
        <f>HYPERLINK("https://drive.google.com/file/d/1fqbxmKjqlPlA8kK_tH7RUkmWAUqJ7fpL/view?usp=drivesdk","33 - X8 - Naswa Ramadhani - P")</f>
        <v>33 - X8 - Naswa Ramadhani - P</v>
      </c>
      <c r="U356" s="12" t="s">
        <v>1972</v>
      </c>
      <c r="W356" s="25">
        <f>COUNTIFS('Form Presensi SCC'!$B:$B, IF($C356&lt;&gt;0, TEXT($C356, "0000000000"), $D356), 'Form Presensi SCC'!$C:$C, "Hadir")</f>
        <v>0</v>
      </c>
      <c r="Y356" s="26"/>
    </row>
    <row r="357" ht="22.5" customHeight="1">
      <c r="A357" s="10">
        <v>356.0</v>
      </c>
      <c r="B357" s="18">
        <v>35.0</v>
      </c>
      <c r="C357" s="18" t="s">
        <v>1996</v>
      </c>
      <c r="D357" s="18" t="s">
        <v>1997</v>
      </c>
      <c r="E357" s="18" t="s">
        <v>227</v>
      </c>
      <c r="F357" s="12">
        <v>33.0</v>
      </c>
      <c r="G357" s="10" t="s">
        <v>1826</v>
      </c>
      <c r="H357" s="19"/>
      <c r="I357" s="20"/>
      <c r="J357" s="10" t="s">
        <v>1826</v>
      </c>
      <c r="K357" s="21"/>
      <c r="L357" s="10"/>
      <c r="M357" s="22"/>
      <c r="N357" s="10"/>
      <c r="O357" s="10"/>
      <c r="P357" s="12" t="str">
        <f t="shared" si="1"/>
        <v>https://docs.google.com/forms/d/e/1FAIpQLSeZ-R1GrWlAPkfaThGqxeTj0QTtrARw4rroxIIepf2kipn1nw/formResponse?usp=pp_url&amp;entry.1313582257=0107347265 / 252610408&amp;entry.1578404635=Hadir</v>
      </c>
      <c r="Q357" s="23" t="s">
        <v>1998</v>
      </c>
      <c r="R357" s="12" t="s">
        <v>1999</v>
      </c>
      <c r="S357" s="24" t="s">
        <v>2000</v>
      </c>
      <c r="T357" s="23" t="str">
        <f>HYPERLINK("https://drive.google.com/file/d/1kAXs0fABYDv3D3Y_ZkQ1zOeJcy75uwCW/view?usp=drivesdk","33 - X8 - Nayla Ulya Taqiyya - P")</f>
        <v>33 - X8 - Nayla Ulya Taqiyya - P</v>
      </c>
      <c r="U357" s="12" t="s">
        <v>2001</v>
      </c>
      <c r="W357" s="25">
        <f>COUNTIFS('Form Presensi SCC'!$B:$B, IF($C357&lt;&gt;0, TEXT($C357, "0000000000"), $D357), 'Form Presensi SCC'!$C:$C, "Hadir")</f>
        <v>0</v>
      </c>
      <c r="Y357" s="26"/>
    </row>
    <row r="358" ht="22.5" customHeight="1">
      <c r="A358" s="18">
        <v>357.0</v>
      </c>
      <c r="B358" s="18">
        <v>36.0</v>
      </c>
      <c r="C358" s="18" t="s">
        <v>79</v>
      </c>
      <c r="D358" s="18" t="s">
        <v>2002</v>
      </c>
      <c r="E358" s="18" t="s">
        <v>227</v>
      </c>
      <c r="F358" s="12">
        <v>33.0</v>
      </c>
      <c r="G358" s="10" t="s">
        <v>1826</v>
      </c>
      <c r="H358" s="19"/>
      <c r="I358" s="20"/>
      <c r="J358" s="10" t="s">
        <v>1826</v>
      </c>
      <c r="K358" s="21"/>
      <c r="L358" s="10"/>
      <c r="M358" s="22"/>
      <c r="N358" s="10"/>
      <c r="O358" s="10"/>
      <c r="P358" s="12" t="str">
        <f t="shared" si="1"/>
        <v>https://docs.google.com/forms/d/e/1FAIpQLSeZ-R1GrWlAPkfaThGqxeTj0QTtrARw4rroxIIepf2kipn1nw/formResponse?usp=pp_url&amp;entry.1313582257=0105961239 / 252610413&amp;entry.1578404635=Hadir</v>
      </c>
      <c r="Q358" s="23" t="s">
        <v>2003</v>
      </c>
      <c r="R358" s="12" t="s">
        <v>2004</v>
      </c>
      <c r="S358" s="24" t="s">
        <v>2005</v>
      </c>
      <c r="T358" s="23" t="str">
        <f>HYPERLINK("https://drive.google.com/file/d/1tkLsQp-jYHbbnA1Dn9yqZkyGSpzmn67Q/view?usp=drivesdk","33 - X8 - Nazwa Malika Asral - P")</f>
        <v>33 - X8 - Nazwa Malika Asral - P</v>
      </c>
      <c r="U358" s="12" t="s">
        <v>2001</v>
      </c>
      <c r="W358" s="25">
        <f>COUNTIFS('Form Presensi SCC'!$B:$B, IF($C358&lt;&gt;0, TEXT($C358, "0000000000"), $D358), 'Form Presensi SCC'!$C:$C, "Hadir")</f>
        <v>1</v>
      </c>
      <c r="Y358" s="26"/>
    </row>
    <row r="359" ht="22.5" customHeight="1">
      <c r="A359" s="10">
        <v>358.0</v>
      </c>
      <c r="B359" s="18">
        <v>37.0</v>
      </c>
      <c r="C359" s="18" t="s">
        <v>2006</v>
      </c>
      <c r="D359" s="18" t="s">
        <v>2007</v>
      </c>
      <c r="E359" s="18" t="s">
        <v>227</v>
      </c>
      <c r="F359" s="12">
        <v>33.0</v>
      </c>
      <c r="G359" s="10" t="s">
        <v>1826</v>
      </c>
      <c r="H359" s="19"/>
      <c r="I359" s="20"/>
      <c r="J359" s="10" t="s">
        <v>1826</v>
      </c>
      <c r="K359" s="21"/>
      <c r="L359" s="10"/>
      <c r="M359" s="22"/>
      <c r="N359" s="10"/>
      <c r="O359" s="10"/>
      <c r="P359" s="12" t="str">
        <f t="shared" si="1"/>
        <v>https://docs.google.com/forms/d/e/1FAIpQLSeZ-R1GrWlAPkfaThGqxeTj0QTtrARw4rroxIIepf2kipn1nw/formResponse?usp=pp_url&amp;entry.1313582257=0095193509 / 252610421&amp;entry.1578404635=Hadir</v>
      </c>
      <c r="Q359" s="23" t="s">
        <v>2008</v>
      </c>
      <c r="R359" s="12" t="s">
        <v>2009</v>
      </c>
      <c r="S359" s="24" t="s">
        <v>2010</v>
      </c>
      <c r="T359" s="23" t="str">
        <f>HYPERLINK("https://drive.google.com/file/d/1GP19s3JDtBIHSEFKp4NWHhoTzeSpaLia/view?usp=drivesdk","33 - X8 - Ni'Matul Aulia Ningtias - P")</f>
        <v>33 - X8 - Ni'Matul Aulia Ningtias - P</v>
      </c>
      <c r="U359" s="12" t="s">
        <v>2001</v>
      </c>
      <c r="W359" s="25">
        <f>COUNTIFS('Form Presensi SCC'!$B:$B, IF($C359&lt;&gt;0, TEXT($C359, "0000000000"), $D359), 'Form Presensi SCC'!$C:$C, "Hadir")</f>
        <v>0</v>
      </c>
      <c r="Y359" s="26"/>
    </row>
    <row r="360" ht="22.5" customHeight="1">
      <c r="A360" s="18">
        <v>359.0</v>
      </c>
      <c r="B360" s="18">
        <v>38.0</v>
      </c>
      <c r="C360" s="18" t="s">
        <v>77</v>
      </c>
      <c r="D360" s="18" t="s">
        <v>2011</v>
      </c>
      <c r="E360" s="18" t="s">
        <v>227</v>
      </c>
      <c r="F360" s="12">
        <v>33.0</v>
      </c>
      <c r="G360" s="10" t="s">
        <v>1826</v>
      </c>
      <c r="H360" s="19"/>
      <c r="I360" s="20"/>
      <c r="J360" s="10" t="s">
        <v>1826</v>
      </c>
      <c r="K360" s="21"/>
      <c r="L360" s="10"/>
      <c r="M360" s="22"/>
      <c r="N360" s="10"/>
      <c r="O360" s="10"/>
      <c r="P360" s="12" t="str">
        <f t="shared" si="1"/>
        <v>https://docs.google.com/forms/d/e/1FAIpQLSeZ-R1GrWlAPkfaThGqxeTj0QTtrARw4rroxIIepf2kipn1nw/formResponse?usp=pp_url&amp;entry.1313582257=0105803552 / 252610420&amp;entry.1578404635=Hadir</v>
      </c>
      <c r="Q360" s="23" t="s">
        <v>2012</v>
      </c>
      <c r="R360" s="12" t="s">
        <v>2013</v>
      </c>
      <c r="S360" s="24" t="s">
        <v>2014</v>
      </c>
      <c r="T360" s="23" t="str">
        <f>HYPERLINK("https://drive.google.com/file/d/1YPtRJefNo6OO6EHI1PFxOprpECrtxt6u/view?usp=drivesdk","33 - X8 - Nikesha Nashwa Damara - P")</f>
        <v>33 - X8 - Nikesha Nashwa Damara - P</v>
      </c>
      <c r="U360" s="12" t="s">
        <v>2001</v>
      </c>
      <c r="W360" s="25">
        <f>COUNTIFS('Form Presensi SCC'!$B:$B, IF($C360&lt;&gt;0, TEXT($C360, "0000000000"), $D360), 'Form Presensi SCC'!$C:$C, "Hadir")</f>
        <v>1</v>
      </c>
      <c r="Y360" s="26"/>
    </row>
    <row r="361" ht="22.5" customHeight="1">
      <c r="A361" s="10">
        <v>360.0</v>
      </c>
      <c r="B361" s="18">
        <v>39.0</v>
      </c>
      <c r="C361" s="18" t="s">
        <v>76</v>
      </c>
      <c r="D361" s="18" t="s">
        <v>2015</v>
      </c>
      <c r="E361" s="18" t="s">
        <v>227</v>
      </c>
      <c r="F361" s="12">
        <v>33.0</v>
      </c>
      <c r="G361" s="10" t="s">
        <v>1826</v>
      </c>
      <c r="H361" s="19"/>
      <c r="I361" s="20"/>
      <c r="J361" s="10" t="s">
        <v>1826</v>
      </c>
      <c r="K361" s="21"/>
      <c r="L361" s="10"/>
      <c r="M361" s="22"/>
      <c r="N361" s="10"/>
      <c r="O361" s="10"/>
      <c r="P361" s="12" t="str">
        <f t="shared" si="1"/>
        <v>https://docs.google.com/forms/d/e/1FAIpQLSeZ-R1GrWlAPkfaThGqxeTj0QTtrARw4rroxIIepf2kipn1nw/formResponse?usp=pp_url&amp;entry.1313582257=0109599363 / 252610444&amp;entry.1578404635=Hadir</v>
      </c>
      <c r="Q361" s="23" t="s">
        <v>2016</v>
      </c>
      <c r="R361" s="12" t="s">
        <v>2017</v>
      </c>
      <c r="S361" s="24" t="s">
        <v>2018</v>
      </c>
      <c r="T361" s="23" t="str">
        <f>HYPERLINK("https://drive.google.com/file/d/1SnMbLyN8iEZiPwdQN8ayRPLOaqn0UYP8/view?usp=drivesdk","33 - X8 - Quensha Rahayu Kusuma Agora - P")</f>
        <v>33 - X8 - Quensha Rahayu Kusuma Agora - P</v>
      </c>
      <c r="U361" s="12" t="s">
        <v>2019</v>
      </c>
      <c r="W361" s="25">
        <f>COUNTIFS('Form Presensi SCC'!$B:$B, IF($C361&lt;&gt;0, TEXT($C361, "0000000000"), $D361), 'Form Presensi SCC'!$C:$C, "Hadir")</f>
        <v>1</v>
      </c>
      <c r="Y361" s="26"/>
    </row>
    <row r="362" ht="22.5" customHeight="1">
      <c r="A362" s="18">
        <v>361.0</v>
      </c>
      <c r="B362" s="18">
        <v>40.0</v>
      </c>
      <c r="C362" s="18" t="s">
        <v>2020</v>
      </c>
      <c r="D362" s="18" t="s">
        <v>2021</v>
      </c>
      <c r="E362" s="18" t="s">
        <v>227</v>
      </c>
      <c r="F362" s="12">
        <v>33.0</v>
      </c>
      <c r="G362" s="10" t="s">
        <v>1826</v>
      </c>
      <c r="H362" s="19"/>
      <c r="I362" s="20"/>
      <c r="J362" s="10" t="s">
        <v>1826</v>
      </c>
      <c r="K362" s="21"/>
      <c r="L362" s="10"/>
      <c r="M362" s="22"/>
      <c r="N362" s="10"/>
      <c r="O362" s="10"/>
      <c r="P362" s="12" t="str">
        <f t="shared" si="1"/>
        <v>https://docs.google.com/forms/d/e/1FAIpQLSeZ-R1GrWlAPkfaThGqxeTj0QTtrARw4rroxIIepf2kipn1nw/formResponse?usp=pp_url&amp;entry.1313582257=0105462734 / 252610445&amp;entry.1578404635=Hadir</v>
      </c>
      <c r="Q362" s="23" t="s">
        <v>2022</v>
      </c>
      <c r="R362" s="12" t="s">
        <v>2023</v>
      </c>
      <c r="S362" s="24" t="s">
        <v>2024</v>
      </c>
      <c r="T362" s="23" t="str">
        <f>HYPERLINK("https://drive.google.com/file/d/1GeFuSDghN-VYipUTH8I7Bim-IEZOCJ5S/view?usp=drivesdk","33 - X8 - Quincha Aura Brilliani - P")</f>
        <v>33 - X8 - Quincha Aura Brilliani - P</v>
      </c>
      <c r="U362" s="12" t="s">
        <v>2019</v>
      </c>
      <c r="W362" s="25">
        <f>COUNTIFS('Form Presensi SCC'!$B:$B, IF($C362&lt;&gt;0, TEXT($C362, "0000000000"), $D362), 'Form Presensi SCC'!$C:$C, "Hadir")</f>
        <v>0</v>
      </c>
      <c r="Y362" s="26"/>
    </row>
    <row r="363" ht="22.5" customHeight="1">
      <c r="A363" s="10">
        <v>362.0</v>
      </c>
      <c r="B363" s="18">
        <v>41.0</v>
      </c>
      <c r="C363" s="18" t="s">
        <v>2025</v>
      </c>
      <c r="D363" s="18" t="s">
        <v>2026</v>
      </c>
      <c r="E363" s="18" t="s">
        <v>220</v>
      </c>
      <c r="F363" s="12">
        <v>33.0</v>
      </c>
      <c r="G363" s="10" t="s">
        <v>1826</v>
      </c>
      <c r="H363" s="19"/>
      <c r="I363" s="20"/>
      <c r="J363" s="10" t="s">
        <v>1826</v>
      </c>
      <c r="K363" s="21"/>
      <c r="L363" s="10"/>
      <c r="M363" s="22"/>
      <c r="N363" s="10"/>
      <c r="O363" s="10"/>
      <c r="P363" s="12" t="str">
        <f t="shared" si="1"/>
        <v>https://docs.google.com/forms/d/e/1FAIpQLSeZ-R1GrWlAPkfaThGqxeTj0QTtrARw4rroxIIepf2kipn1nw/formResponse?usp=pp_url&amp;entry.1313582257=0097882314 / 252610463&amp;entry.1578404635=Hadir</v>
      </c>
      <c r="Q363" s="23" t="s">
        <v>2027</v>
      </c>
      <c r="R363" s="12" t="s">
        <v>2028</v>
      </c>
      <c r="S363" s="24" t="s">
        <v>2029</v>
      </c>
      <c r="T363" s="23" t="str">
        <f>HYPERLINK("https://drive.google.com/file/d/16wCZP1nOnfBymXchbUkKREYFjzjAbhPD/view?usp=drivesdk","33 - X8 - Raihan Farras Sutisna - L")</f>
        <v>33 - X8 - Raihan Farras Sutisna - L</v>
      </c>
      <c r="U363" s="12" t="s">
        <v>2019</v>
      </c>
      <c r="W363" s="25">
        <f>COUNTIFS('Form Presensi SCC'!$B:$B, IF($C363&lt;&gt;0, TEXT($C363, "0000000000"), $D363), 'Form Presensi SCC'!$C:$C, "Hadir")</f>
        <v>0</v>
      </c>
      <c r="Y363" s="26"/>
    </row>
    <row r="364" ht="22.5" customHeight="1">
      <c r="A364" s="18">
        <v>363.0</v>
      </c>
      <c r="B364" s="18">
        <v>42.0</v>
      </c>
      <c r="C364" s="18" t="s">
        <v>2030</v>
      </c>
      <c r="D364" s="18" t="s">
        <v>2031</v>
      </c>
      <c r="E364" s="18" t="s">
        <v>220</v>
      </c>
      <c r="F364" s="12">
        <v>33.0</v>
      </c>
      <c r="G364" s="10" t="s">
        <v>1826</v>
      </c>
      <c r="H364" s="22" t="s">
        <v>371</v>
      </c>
      <c r="I364" s="20"/>
      <c r="J364" s="10" t="s">
        <v>1826</v>
      </c>
      <c r="K364" s="21"/>
      <c r="L364" s="10"/>
      <c r="M364" s="22"/>
      <c r="N364" s="10"/>
      <c r="O364" s="10"/>
      <c r="P364" s="12" t="str">
        <f t="shared" si="1"/>
        <v>https://docs.google.com/forms/d/e/1FAIpQLSeZ-R1GrWlAPkfaThGqxeTj0QTtrARw4rroxIIepf2kipn1nw/formResponse?usp=pp_url&amp;entry.1313582257=0099739465 / 252610470&amp;entry.1578404635=Hadir</v>
      </c>
      <c r="Q364" s="23" t="s">
        <v>2032</v>
      </c>
      <c r="R364" s="12" t="s">
        <v>2033</v>
      </c>
      <c r="S364" s="24" t="s">
        <v>2034</v>
      </c>
      <c r="T364" s="23" t="str">
        <f>HYPERLINK("https://drive.google.com/file/d/1avXJj_8naw2JSewx7AtP8TOqNb9P8K__/view?usp=drivesdk","33 - X8 - Raka Syabany Amsyah - L")</f>
        <v>33 - X8 - Raka Syabany Amsyah - L</v>
      </c>
      <c r="U364" s="12" t="s">
        <v>2019</v>
      </c>
      <c r="W364" s="25">
        <f>COUNTIFS('Form Presensi SCC'!$B:$B, IF($C364&lt;&gt;0, TEXT($C364, "0000000000"), $D364), 'Form Presensi SCC'!$C:$C, "Hadir")</f>
        <v>0</v>
      </c>
      <c r="Y364" s="26"/>
    </row>
    <row r="365" ht="22.5" customHeight="1">
      <c r="A365" s="10">
        <v>364.0</v>
      </c>
      <c r="B365" s="18">
        <v>43.0</v>
      </c>
      <c r="C365" s="18" t="s">
        <v>2035</v>
      </c>
      <c r="D365" s="18" t="s">
        <v>2036</v>
      </c>
      <c r="E365" s="18" t="s">
        <v>220</v>
      </c>
      <c r="F365" s="12">
        <v>33.0</v>
      </c>
      <c r="G365" s="10" t="s">
        <v>1826</v>
      </c>
      <c r="H365" s="19"/>
      <c r="I365" s="20"/>
      <c r="J365" s="10" t="s">
        <v>1826</v>
      </c>
      <c r="K365" s="21"/>
      <c r="L365" s="10"/>
      <c r="M365" s="22"/>
      <c r="N365" s="10"/>
      <c r="O365" s="10"/>
      <c r="P365" s="12" t="str">
        <f t="shared" si="1"/>
        <v>https://docs.google.com/forms/d/e/1FAIpQLSeZ-R1GrWlAPkfaThGqxeTj0QTtrARw4rroxIIepf2kipn1nw/formResponse?usp=pp_url&amp;entry.1313582257=0102838068 / 252610500&amp;entry.1578404635=Hadir</v>
      </c>
      <c r="Q365" s="23" t="s">
        <v>2037</v>
      </c>
      <c r="R365" s="12" t="s">
        <v>2038</v>
      </c>
      <c r="S365" s="24" t="s">
        <v>2039</v>
      </c>
      <c r="T365" s="23" t="str">
        <f>HYPERLINK("https://drive.google.com/file/d/1SoqWy3FOYMBhih2lVV-h6VPIf7sWjsX3/view?usp=drivesdk","33 - X8 - Ryzen Gevandra Wirapratama - L")</f>
        <v>33 - X8 - Ryzen Gevandra Wirapratama - L</v>
      </c>
      <c r="U365" s="12" t="s">
        <v>2040</v>
      </c>
      <c r="W365" s="25">
        <f>COUNTIFS('Form Presensi SCC'!$B:$B, IF($C365&lt;&gt;0, TEXT($C365, "0000000000"), $D365), 'Form Presensi SCC'!$C:$C, "Hadir")</f>
        <v>0</v>
      </c>
      <c r="Y365" s="26"/>
    </row>
    <row r="366" ht="22.5" customHeight="1">
      <c r="A366" s="18">
        <v>365.0</v>
      </c>
      <c r="B366" s="18">
        <v>44.0</v>
      </c>
      <c r="C366" s="18" t="s">
        <v>78</v>
      </c>
      <c r="D366" s="18" t="s">
        <v>2041</v>
      </c>
      <c r="E366" s="18" t="s">
        <v>227</v>
      </c>
      <c r="F366" s="12">
        <v>33.0</v>
      </c>
      <c r="G366" s="10" t="s">
        <v>1826</v>
      </c>
      <c r="H366" s="19"/>
      <c r="I366" s="20"/>
      <c r="J366" s="10" t="s">
        <v>1826</v>
      </c>
      <c r="K366" s="21"/>
      <c r="L366" s="10"/>
      <c r="M366" s="22"/>
      <c r="N366" s="10"/>
      <c r="O366" s="10"/>
      <c r="P366" s="12" t="str">
        <f t="shared" si="1"/>
        <v>https://docs.google.com/forms/d/e/1FAIpQLSeZ-R1GrWlAPkfaThGqxeTj0QTtrARw4rroxIIepf2kipn1nw/formResponse?usp=pp_url&amp;entry.1313582257=0107357472 / 252610522&amp;entry.1578404635=Hadir</v>
      </c>
      <c r="Q366" s="23" t="s">
        <v>2042</v>
      </c>
      <c r="R366" s="12" t="s">
        <v>2043</v>
      </c>
      <c r="S366" s="24" t="s">
        <v>2044</v>
      </c>
      <c r="T366" s="23" t="str">
        <f>HYPERLINK("https://drive.google.com/file/d/1UqtgMAjKDcdedizEM0wVIG_qLs6e9ufV/view?usp=drivesdk","33 - X8 - Sinta Dwi Nuri Widodo - P")</f>
        <v>33 - X8 - Sinta Dwi Nuri Widodo - P</v>
      </c>
      <c r="U366" s="12" t="s">
        <v>2040</v>
      </c>
      <c r="W366" s="25">
        <f>COUNTIFS('Form Presensi SCC'!$B:$B, IF($C366&lt;&gt;0, TEXT($C366, "0000000000"), $D366), 'Form Presensi SCC'!$C:$C, "Hadir")</f>
        <v>1</v>
      </c>
      <c r="Y366" s="26"/>
    </row>
    <row r="367" ht="22.5" customHeight="1">
      <c r="A367" s="10">
        <v>366.0</v>
      </c>
      <c r="B367" s="18">
        <v>45.0</v>
      </c>
      <c r="C367" s="18" t="s">
        <v>103</v>
      </c>
      <c r="D367" s="18" t="s">
        <v>2045</v>
      </c>
      <c r="E367" s="18" t="s">
        <v>227</v>
      </c>
      <c r="F367" s="12">
        <v>33.0</v>
      </c>
      <c r="G367" s="10" t="s">
        <v>1826</v>
      </c>
      <c r="H367" s="19"/>
      <c r="I367" s="20"/>
      <c r="J367" s="10" t="s">
        <v>1826</v>
      </c>
      <c r="K367" s="21"/>
      <c r="L367" s="10"/>
      <c r="M367" s="22"/>
      <c r="N367" s="10"/>
      <c r="O367" s="10"/>
      <c r="P367" s="12" t="str">
        <f t="shared" si="1"/>
        <v>https://docs.google.com/forms/d/e/1FAIpQLSeZ-R1GrWlAPkfaThGqxeTj0QTtrARw4rroxIIepf2kipn1nw/formResponse?usp=pp_url&amp;entry.1313582257=0093433461 / 252610536&amp;entry.1578404635=Hadir</v>
      </c>
      <c r="Q367" s="23" t="s">
        <v>2046</v>
      </c>
      <c r="R367" s="12" t="s">
        <v>2047</v>
      </c>
      <c r="S367" s="24" t="s">
        <v>2048</v>
      </c>
      <c r="T367" s="23" t="str">
        <f>HYPERLINK("https://drive.google.com/file/d/1pQB9M6v0-jO29FdyEoWWC5qXFo-0ytGa/view?usp=drivesdk","33 - X8 - Syarifah Nur Salsabila - P")</f>
        <v>33 - X8 - Syarifah Nur Salsabila - P</v>
      </c>
      <c r="U367" s="12" t="s">
        <v>2040</v>
      </c>
      <c r="W367" s="25">
        <f>COUNTIFS('Form Presensi SCC'!$B:$B, IF($C367&lt;&gt;0, TEXT($C367, "0000000000"), $D367), 'Form Presensi SCC'!$C:$C, "Hadir")</f>
        <v>1</v>
      </c>
      <c r="Y367" s="26"/>
    </row>
    <row r="368" ht="22.5" customHeight="1">
      <c r="A368" s="18">
        <v>367.0</v>
      </c>
      <c r="B368" s="18">
        <v>46.0</v>
      </c>
      <c r="C368" s="18" t="s">
        <v>2049</v>
      </c>
      <c r="D368" s="18" t="s">
        <v>2050</v>
      </c>
      <c r="E368" s="18" t="s">
        <v>227</v>
      </c>
      <c r="F368" s="12">
        <v>33.0</v>
      </c>
      <c r="G368" s="10" t="s">
        <v>1826</v>
      </c>
      <c r="H368" s="19"/>
      <c r="I368" s="20"/>
      <c r="J368" s="10" t="s">
        <v>1826</v>
      </c>
      <c r="K368" s="21"/>
      <c r="L368" s="10"/>
      <c r="M368" s="22"/>
      <c r="N368" s="10"/>
      <c r="O368" s="10"/>
      <c r="P368" s="12" t="str">
        <f t="shared" si="1"/>
        <v>https://docs.google.com/forms/d/e/1FAIpQLSeZ-R1GrWlAPkfaThGqxeTj0QTtrARw4rroxIIepf2kipn1nw/formResponse?usp=pp_url&amp;entry.1313582257=0108340159 / 252610548&amp;entry.1578404635=Hadir</v>
      </c>
      <c r="Q368" s="23" t="s">
        <v>2051</v>
      </c>
      <c r="R368" s="12" t="s">
        <v>2052</v>
      </c>
      <c r="S368" s="24" t="s">
        <v>2053</v>
      </c>
      <c r="T368" s="23" t="str">
        <f>HYPERLINK("https://drive.google.com/file/d/1NzaWcxaQy_N8_CdwIVE1urjpXjgwAckE/view?usp=drivesdk","33 - X8 - Tsamara Privita Sya'Ban Syahdu - P")</f>
        <v>33 - X8 - Tsamara Privita Sya'Ban Syahdu - P</v>
      </c>
      <c r="U368" s="12" t="s">
        <v>2040</v>
      </c>
      <c r="W368" s="25">
        <f>COUNTIFS('Form Presensi SCC'!$B:$B, IF($C368&lt;&gt;0, TEXT($C368, "0000000000"), $D368), 'Form Presensi SCC'!$C:$C, "Hadir")</f>
        <v>0</v>
      </c>
      <c r="Y368" s="26"/>
    </row>
    <row r="369" ht="22.5" customHeight="1">
      <c r="A369" s="10">
        <v>368.0</v>
      </c>
      <c r="B369" s="18">
        <v>47.0</v>
      </c>
      <c r="C369" s="18" t="s">
        <v>2054</v>
      </c>
      <c r="D369" s="18" t="s">
        <v>2055</v>
      </c>
      <c r="E369" s="18" t="s">
        <v>220</v>
      </c>
      <c r="F369" s="12">
        <v>33.0</v>
      </c>
      <c r="G369" s="10" t="s">
        <v>1826</v>
      </c>
      <c r="H369" s="19"/>
      <c r="I369" s="20"/>
      <c r="J369" s="10" t="s">
        <v>1826</v>
      </c>
      <c r="K369" s="21"/>
      <c r="L369" s="10"/>
      <c r="M369" s="22"/>
      <c r="N369" s="10"/>
      <c r="O369" s="10"/>
      <c r="P369" s="12" t="str">
        <f t="shared" si="1"/>
        <v>https://docs.google.com/forms/d/e/1FAIpQLSeZ-R1GrWlAPkfaThGqxeTj0QTtrARw4rroxIIepf2kipn1nw/formResponse?usp=pp_url&amp;entry.1313582257=0094438921 / 252610558&amp;entry.1578404635=Hadir</v>
      </c>
      <c r="Q369" s="23" t="s">
        <v>2056</v>
      </c>
      <c r="R369" s="12" t="s">
        <v>2057</v>
      </c>
      <c r="S369" s="24" t="s">
        <v>2058</v>
      </c>
      <c r="T369" s="23" t="str">
        <f>HYPERLINK("https://drive.google.com/file/d/1btAHPECatGgvh-CKWDVVOQVVLsYv1jGi/view?usp=drivesdk","33 - X8 - Yuzusie Aida Nenat - L")</f>
        <v>33 - X8 - Yuzusie Aida Nenat - L</v>
      </c>
      <c r="U369" s="12" t="s">
        <v>2040</v>
      </c>
      <c r="W369" s="25">
        <f>COUNTIFS('Form Presensi SCC'!$B:$B, IF($C369&lt;&gt;0, TEXT($C369, "0000000000"), $D369), 'Form Presensi SCC'!$C:$C, "Hadir")</f>
        <v>0</v>
      </c>
      <c r="Y369" s="26"/>
    </row>
    <row r="370" ht="22.5" customHeight="1">
      <c r="A370" s="18">
        <v>369.0</v>
      </c>
      <c r="B370" s="18">
        <v>1.0</v>
      </c>
      <c r="C370" s="18" t="s">
        <v>2059</v>
      </c>
      <c r="D370" s="18" t="s">
        <v>2060</v>
      </c>
      <c r="E370" s="18" t="s">
        <v>220</v>
      </c>
      <c r="F370" s="12">
        <v>33.0</v>
      </c>
      <c r="G370" s="10" t="s">
        <v>2061</v>
      </c>
      <c r="H370" s="22" t="s">
        <v>371</v>
      </c>
      <c r="I370" s="20"/>
      <c r="J370" s="10" t="s">
        <v>2061</v>
      </c>
      <c r="K370" s="21"/>
      <c r="L370" s="10"/>
      <c r="M370" s="22"/>
      <c r="N370" s="10"/>
      <c r="O370" s="10"/>
      <c r="P370" s="12" t="str">
        <f t="shared" si="1"/>
        <v>https://docs.google.com/forms/d/e/1FAIpQLSeZ-R1GrWlAPkfaThGqxeTj0QTtrARw4rroxIIepf2kipn1nw/formResponse?usp=pp_url&amp;entry.1313582257=0106681838 / 252610003&amp;entry.1578404635=Hadir</v>
      </c>
      <c r="Q370" s="23" t="s">
        <v>2062</v>
      </c>
      <c r="R370" s="12" t="s">
        <v>2063</v>
      </c>
      <c r="S370" s="24" t="s">
        <v>2064</v>
      </c>
      <c r="T370" s="23" t="str">
        <f>HYPERLINK("https://drive.google.com/file/d/1oAZVOO7paNfWLOOgWDYZbyKS86clKSmL/view?usp=drivesdk","33 - X9 - Abyan Zuka Ibrahim Nasution - L")</f>
        <v>33 - X9 - Abyan Zuka Ibrahim Nasution - L</v>
      </c>
      <c r="U370" s="12" t="s">
        <v>2040</v>
      </c>
      <c r="W370" s="25">
        <f>COUNTIFS('Form Presensi SCC'!$B:$B, IF($C370&lt;&gt;0, TEXT($C370, "0000000000"), $D370), 'Form Presensi SCC'!$C:$C, "Hadir")</f>
        <v>0</v>
      </c>
      <c r="Y370" s="26"/>
    </row>
    <row r="371" ht="22.5" customHeight="1">
      <c r="A371" s="10">
        <v>370.0</v>
      </c>
      <c r="B371" s="18">
        <v>2.0</v>
      </c>
      <c r="C371" s="18" t="s">
        <v>2065</v>
      </c>
      <c r="D371" s="18" t="s">
        <v>2066</v>
      </c>
      <c r="E371" s="18" t="s">
        <v>220</v>
      </c>
      <c r="F371" s="12">
        <v>33.0</v>
      </c>
      <c r="G371" s="10" t="s">
        <v>2061</v>
      </c>
      <c r="H371" s="22" t="s">
        <v>371</v>
      </c>
      <c r="I371" s="20"/>
      <c r="J371" s="10" t="s">
        <v>2061</v>
      </c>
      <c r="K371" s="21"/>
      <c r="L371" s="10"/>
      <c r="M371" s="22"/>
      <c r="N371" s="10"/>
      <c r="O371" s="10"/>
      <c r="P371" s="12" t="str">
        <f t="shared" si="1"/>
        <v>https://docs.google.com/forms/d/e/1FAIpQLSeZ-R1GrWlAPkfaThGqxeTj0QTtrARw4rroxIIepf2kipn1nw/formResponse?usp=pp_url&amp;entry.1313582257=0108974704 / 252610019&amp;entry.1578404635=Hadir</v>
      </c>
      <c r="Q371" s="23" t="s">
        <v>2067</v>
      </c>
      <c r="R371" s="12" t="s">
        <v>2068</v>
      </c>
      <c r="S371" s="24" t="s">
        <v>2069</v>
      </c>
      <c r="T371" s="23" t="str">
        <f>HYPERLINK("https://drive.google.com/file/d/1Y8iiO9EePoMj_IrHjG70vAHyi8T3trnx/view?usp=drivesdk","33 - X9 - Ahmad Hafidz Anwar - L")</f>
        <v>33 - X9 - Ahmad Hafidz Anwar - L</v>
      </c>
      <c r="U371" s="12" t="s">
        <v>2070</v>
      </c>
      <c r="W371" s="25">
        <f>COUNTIFS('Form Presensi SCC'!$B:$B, IF($C371&lt;&gt;0, TEXT($C371, "0000000000"), $D371), 'Form Presensi SCC'!$C:$C, "Hadir")</f>
        <v>0</v>
      </c>
      <c r="Y371" s="26"/>
    </row>
    <row r="372" ht="22.5" customHeight="1">
      <c r="A372" s="18">
        <v>371.0</v>
      </c>
      <c r="B372" s="18">
        <v>3.0</v>
      </c>
      <c r="C372" s="18" t="s">
        <v>116</v>
      </c>
      <c r="D372" s="18" t="s">
        <v>2071</v>
      </c>
      <c r="E372" s="18" t="s">
        <v>227</v>
      </c>
      <c r="F372" s="12">
        <v>33.0</v>
      </c>
      <c r="G372" s="10" t="s">
        <v>2061</v>
      </c>
      <c r="H372" s="19"/>
      <c r="I372" s="20"/>
      <c r="J372" s="10" t="s">
        <v>2061</v>
      </c>
      <c r="K372" s="21"/>
      <c r="L372" s="10"/>
      <c r="M372" s="22"/>
      <c r="N372" s="10"/>
      <c r="O372" s="10"/>
      <c r="P372" s="12" t="str">
        <f t="shared" si="1"/>
        <v>https://docs.google.com/forms/d/e/1FAIpQLSeZ-R1GrWlAPkfaThGqxeTj0QTtrARw4rroxIIepf2kipn1nw/formResponse?usp=pp_url&amp;entry.1313582257=0105339420 / 252610027&amp;entry.1578404635=Hadir</v>
      </c>
      <c r="Q372" s="23" t="s">
        <v>2072</v>
      </c>
      <c r="R372" s="12" t="s">
        <v>2073</v>
      </c>
      <c r="S372" s="24" t="s">
        <v>2074</v>
      </c>
      <c r="T372" s="23" t="str">
        <f>HYPERLINK("https://drive.google.com/file/d/1taw6m-k3cF-q68BiOqDwq6DpGqUG_ACs/view?usp=drivesdk","33 - X9 - Aishanna Latifa Harjono - P")</f>
        <v>33 - X9 - Aishanna Latifa Harjono - P</v>
      </c>
      <c r="U372" s="12" t="s">
        <v>2070</v>
      </c>
      <c r="W372" s="25">
        <f>COUNTIFS('Form Presensi SCC'!$B:$B, IF($C372&lt;&gt;0, TEXT($C372, "0000000000"), $D372), 'Form Presensi SCC'!$C:$C, "Hadir")</f>
        <v>4</v>
      </c>
      <c r="Y372" s="26"/>
    </row>
    <row r="373" ht="22.5" customHeight="1">
      <c r="A373" s="10">
        <v>372.0</v>
      </c>
      <c r="B373" s="18">
        <v>4.0</v>
      </c>
      <c r="C373" s="18" t="s">
        <v>118</v>
      </c>
      <c r="D373" s="18" t="s">
        <v>2075</v>
      </c>
      <c r="E373" s="18" t="s">
        <v>227</v>
      </c>
      <c r="F373" s="12">
        <v>33.0</v>
      </c>
      <c r="G373" s="10" t="s">
        <v>2061</v>
      </c>
      <c r="H373" s="19"/>
      <c r="I373" s="20"/>
      <c r="J373" s="10" t="s">
        <v>2061</v>
      </c>
      <c r="K373" s="21"/>
      <c r="L373" s="10"/>
      <c r="M373" s="22"/>
      <c r="N373" s="10"/>
      <c r="O373" s="10"/>
      <c r="P373" s="12" t="str">
        <f t="shared" si="1"/>
        <v>https://docs.google.com/forms/d/e/1FAIpQLSeZ-R1GrWlAPkfaThGqxeTj0QTtrARw4rroxIIepf2kipn1nw/formResponse?usp=pp_url&amp;entry.1313582257=0093799489 / 252610071&amp;entry.1578404635=Hadir</v>
      </c>
      <c r="Q373" s="23" t="s">
        <v>2076</v>
      </c>
      <c r="R373" s="12" t="s">
        <v>2077</v>
      </c>
      <c r="S373" s="24" t="s">
        <v>2078</v>
      </c>
      <c r="T373" s="23" t="str">
        <f>HYPERLINK("https://drive.google.com/file/d/1sRI7clE8Ov-jESP9D5wjmO63sB4hghRn/view?usp=drivesdk","33 - X9 - Aqila Elmohri - P")</f>
        <v>33 - X9 - Aqila Elmohri - P</v>
      </c>
      <c r="U373" s="12" t="s">
        <v>2070</v>
      </c>
      <c r="W373" s="25">
        <f>COUNTIFS('Form Presensi SCC'!$B:$B, IF($C373&lt;&gt;0, TEXT($C373, "0000000000"), $D373), 'Form Presensi SCC'!$C:$C, "Hadir")</f>
        <v>4</v>
      </c>
      <c r="Y373" s="26"/>
    </row>
    <row r="374" ht="22.5" customHeight="1">
      <c r="A374" s="18">
        <v>373.0</v>
      </c>
      <c r="B374" s="18">
        <v>5.0</v>
      </c>
      <c r="C374" s="18" t="s">
        <v>2079</v>
      </c>
      <c r="D374" s="18" t="s">
        <v>2080</v>
      </c>
      <c r="E374" s="18" t="s">
        <v>227</v>
      </c>
      <c r="F374" s="12">
        <v>33.0</v>
      </c>
      <c r="G374" s="10" t="s">
        <v>2061</v>
      </c>
      <c r="H374" s="19"/>
      <c r="I374" s="20"/>
      <c r="J374" s="10" t="s">
        <v>2061</v>
      </c>
      <c r="K374" s="21"/>
      <c r="L374" s="10"/>
      <c r="M374" s="22"/>
      <c r="N374" s="10"/>
      <c r="O374" s="10"/>
      <c r="P374" s="12" t="str">
        <f t="shared" si="1"/>
        <v>https://docs.google.com/forms/d/e/1FAIpQLSeZ-R1GrWlAPkfaThGqxeTj0QTtrARw4rroxIIepf2kipn1nw/formResponse?usp=pp_url&amp;entry.1313582257=3111697965 / 252610073&amp;entry.1578404635=Hadir</v>
      </c>
      <c r="Q374" s="23" t="s">
        <v>2081</v>
      </c>
      <c r="R374" s="12" t="s">
        <v>2082</v>
      </c>
      <c r="S374" s="24" t="s">
        <v>2083</v>
      </c>
      <c r="T374" s="23" t="str">
        <f>HYPERLINK("https://drive.google.com/file/d/1qaRQfRwnDD-aNQ5nq_E-OtM7qewROZMO/view?usp=drivesdk","33 - X9 - Aqilla Al-Farabi - P")</f>
        <v>33 - X9 - Aqilla Al-Farabi - P</v>
      </c>
      <c r="U374" s="12" t="s">
        <v>2084</v>
      </c>
      <c r="W374" s="25">
        <f>COUNTIFS('Form Presensi SCC'!$B:$B, IF($C374&lt;&gt;0, TEXT($C374, "0000000000"), $D374), 'Form Presensi SCC'!$C:$C, "Hadir")</f>
        <v>0</v>
      </c>
      <c r="Y374" s="26"/>
    </row>
    <row r="375" ht="22.5" customHeight="1">
      <c r="A375" s="10">
        <v>374.0</v>
      </c>
      <c r="B375" s="18">
        <v>6.0</v>
      </c>
      <c r="C375" s="18" t="s">
        <v>2085</v>
      </c>
      <c r="D375" s="18" t="s">
        <v>2086</v>
      </c>
      <c r="E375" s="18" t="s">
        <v>220</v>
      </c>
      <c r="F375" s="12">
        <v>33.0</v>
      </c>
      <c r="G375" s="10" t="s">
        <v>2061</v>
      </c>
      <c r="H375" s="19"/>
      <c r="I375" s="20"/>
      <c r="J375" s="10" t="s">
        <v>2061</v>
      </c>
      <c r="K375" s="21"/>
      <c r="L375" s="10"/>
      <c r="M375" s="22"/>
      <c r="N375" s="10"/>
      <c r="O375" s="10"/>
      <c r="P375" s="12" t="str">
        <f t="shared" si="1"/>
        <v>https://docs.google.com/forms/d/e/1FAIpQLSeZ-R1GrWlAPkfaThGqxeTj0QTtrARw4rroxIIepf2kipn1nw/formResponse?usp=pp_url&amp;entry.1313582257=0102592413 / 252610078&amp;entry.1578404635=Hadir</v>
      </c>
      <c r="Q375" s="23" t="s">
        <v>2087</v>
      </c>
      <c r="R375" s="12" t="s">
        <v>2088</v>
      </c>
      <c r="S375" s="24" t="s">
        <v>2089</v>
      </c>
      <c r="T375" s="23" t="str">
        <f>HYPERLINK("https://drive.google.com/file/d/1-ii8k60hcKBrcI_SaCntR1HN58UBQrbC/view?usp=drivesdk","33 - X9 - Ariyo Raditya Putra - L")</f>
        <v>33 - X9 - Ariyo Raditya Putra - L</v>
      </c>
      <c r="U375" s="12" t="s">
        <v>2084</v>
      </c>
      <c r="W375" s="25">
        <f>COUNTIFS('Form Presensi SCC'!$B:$B, IF($C375&lt;&gt;0, TEXT($C375, "0000000000"), $D375), 'Form Presensi SCC'!$C:$C, "Hadir")</f>
        <v>0</v>
      </c>
      <c r="Y375" s="26"/>
    </row>
    <row r="376" ht="22.5" customHeight="1">
      <c r="A376" s="18">
        <v>375.0</v>
      </c>
      <c r="B376" s="18">
        <v>7.0</v>
      </c>
      <c r="C376" s="18" t="s">
        <v>119</v>
      </c>
      <c r="D376" s="18" t="s">
        <v>2090</v>
      </c>
      <c r="E376" s="18" t="s">
        <v>227</v>
      </c>
      <c r="F376" s="12">
        <v>33.0</v>
      </c>
      <c r="G376" s="10" t="s">
        <v>2061</v>
      </c>
      <c r="H376" s="19"/>
      <c r="I376" s="20"/>
      <c r="J376" s="10" t="s">
        <v>2061</v>
      </c>
      <c r="K376" s="21"/>
      <c r="L376" s="10"/>
      <c r="M376" s="22"/>
      <c r="N376" s="10"/>
      <c r="O376" s="10"/>
      <c r="P376" s="12" t="str">
        <f t="shared" si="1"/>
        <v>https://docs.google.com/forms/d/e/1FAIpQLSeZ-R1GrWlAPkfaThGqxeTj0QTtrARw4rroxIIepf2kipn1nw/formResponse?usp=pp_url&amp;entry.1313582257=0099452000 / 252610086&amp;entry.1578404635=Hadir</v>
      </c>
      <c r="Q376" s="23" t="s">
        <v>2091</v>
      </c>
      <c r="R376" s="12" t="s">
        <v>2092</v>
      </c>
      <c r="S376" s="24" t="s">
        <v>2093</v>
      </c>
      <c r="T376" s="23" t="str">
        <f>HYPERLINK("https://drive.google.com/file/d/1NJBzI7pihsm7DAdteAsM3pO72QnpeDKz/view?usp=drivesdk","33 - X9 - Asshafa Nur Intan - P")</f>
        <v>33 - X9 - Asshafa Nur Intan - P</v>
      </c>
      <c r="U376" s="12" t="s">
        <v>2084</v>
      </c>
      <c r="W376" s="25">
        <f>COUNTIFS('Form Presensi SCC'!$B:$B, IF($C376&lt;&gt;0, TEXT($C376, "0000000000"), $D376), 'Form Presensi SCC'!$C:$C, "Hadir")</f>
        <v>4</v>
      </c>
      <c r="Y376" s="26"/>
    </row>
    <row r="377" ht="22.5" customHeight="1">
      <c r="A377" s="10">
        <v>376.0</v>
      </c>
      <c r="B377" s="18">
        <v>8.0</v>
      </c>
      <c r="C377" s="18" t="s">
        <v>2094</v>
      </c>
      <c r="D377" s="18" t="s">
        <v>2095</v>
      </c>
      <c r="E377" s="18" t="s">
        <v>227</v>
      </c>
      <c r="F377" s="12">
        <v>33.0</v>
      </c>
      <c r="G377" s="10" t="s">
        <v>2061</v>
      </c>
      <c r="H377" s="19"/>
      <c r="I377" s="20"/>
      <c r="J377" s="10" t="s">
        <v>2061</v>
      </c>
      <c r="K377" s="21"/>
      <c r="L377" s="10"/>
      <c r="M377" s="22"/>
      <c r="N377" s="10"/>
      <c r="O377" s="10"/>
      <c r="P377" s="12" t="str">
        <f t="shared" si="1"/>
        <v>https://docs.google.com/forms/d/e/1FAIpQLSeZ-R1GrWlAPkfaThGqxeTj0QTtrARw4rroxIIepf2kipn1nw/formResponse?usp=pp_url&amp;entry.1313582257=0093343311 / 252610092&amp;entry.1578404635=Hadir</v>
      </c>
      <c r="Q377" s="23" t="s">
        <v>2096</v>
      </c>
      <c r="R377" s="12" t="s">
        <v>2097</v>
      </c>
      <c r="S377" s="24" t="s">
        <v>2098</v>
      </c>
      <c r="T377" s="23" t="str">
        <f>HYPERLINK("https://drive.google.com/file/d/1v6rT5CvNhcnK-f3d6yTDQ6OAoWhRmayl/view?usp=drivesdk","33 - X9 - Attar Palestine Taha - P")</f>
        <v>33 - X9 - Attar Palestine Taha - P</v>
      </c>
      <c r="U377" s="12" t="s">
        <v>2084</v>
      </c>
      <c r="W377" s="25">
        <f>COUNTIFS('Form Presensi SCC'!$B:$B, IF($C377&lt;&gt;0, TEXT($C377, "0000000000"), $D377), 'Form Presensi SCC'!$C:$C, "Hadir")</f>
        <v>0</v>
      </c>
      <c r="Y377" s="26"/>
    </row>
    <row r="378" ht="22.5" customHeight="1">
      <c r="A378" s="18">
        <v>377.0</v>
      </c>
      <c r="B378" s="18">
        <v>9.0</v>
      </c>
      <c r="C378" s="18" t="s">
        <v>120</v>
      </c>
      <c r="D378" s="18" t="s">
        <v>2099</v>
      </c>
      <c r="E378" s="18" t="s">
        <v>227</v>
      </c>
      <c r="F378" s="12">
        <v>33.0</v>
      </c>
      <c r="G378" s="10" t="s">
        <v>2061</v>
      </c>
      <c r="H378" s="19"/>
      <c r="I378" s="20"/>
      <c r="J378" s="10" t="s">
        <v>2061</v>
      </c>
      <c r="K378" s="21"/>
      <c r="L378" s="10"/>
      <c r="M378" s="22"/>
      <c r="N378" s="10"/>
      <c r="O378" s="10"/>
      <c r="P378" s="12" t="str">
        <f t="shared" si="1"/>
        <v>https://docs.google.com/forms/d/e/1FAIpQLSeZ-R1GrWlAPkfaThGqxeTj0QTtrARw4rroxIIepf2kipn1nw/formResponse?usp=pp_url&amp;entry.1313582257=0102924778 / 252610095&amp;entry.1578404635=Hadir</v>
      </c>
      <c r="Q378" s="23" t="s">
        <v>2100</v>
      </c>
      <c r="R378" s="12" t="s">
        <v>2101</v>
      </c>
      <c r="S378" s="24" t="s">
        <v>2102</v>
      </c>
      <c r="T378" s="23" t="str">
        <f>HYPERLINK("https://drive.google.com/file/d/1BPHZmO4oXoh2t6ooeG5Yrcj2mVls6rL5/view?usp=drivesdk","33 - X9 - Aufa Khairunnisa - P")</f>
        <v>33 - X9 - Aufa Khairunnisa - P</v>
      </c>
      <c r="U378" s="12" t="s">
        <v>2103</v>
      </c>
      <c r="W378" s="25">
        <f>COUNTIFS('Form Presensi SCC'!$B:$B, IF($C378&lt;&gt;0, TEXT($C378, "0000000000"), $D378), 'Form Presensi SCC'!$C:$C, "Hadir")</f>
        <v>4</v>
      </c>
      <c r="Y378" s="26"/>
    </row>
    <row r="379" ht="22.5" customHeight="1">
      <c r="A379" s="10">
        <v>378.0</v>
      </c>
      <c r="B379" s="18">
        <v>10.0</v>
      </c>
      <c r="C379" s="18" t="s">
        <v>121</v>
      </c>
      <c r="D379" s="18" t="s">
        <v>2104</v>
      </c>
      <c r="E379" s="18" t="s">
        <v>227</v>
      </c>
      <c r="F379" s="12">
        <v>33.0</v>
      </c>
      <c r="G379" s="10" t="s">
        <v>2061</v>
      </c>
      <c r="H379" s="19"/>
      <c r="I379" s="20"/>
      <c r="J379" s="10" t="s">
        <v>2061</v>
      </c>
      <c r="K379" s="21"/>
      <c r="L379" s="10"/>
      <c r="M379" s="22"/>
      <c r="N379" s="10"/>
      <c r="O379" s="10"/>
      <c r="P379" s="12" t="str">
        <f t="shared" si="1"/>
        <v>https://docs.google.com/forms/d/e/1FAIpQLSeZ-R1GrWlAPkfaThGqxeTj0QTtrARw4rroxIIepf2kipn1nw/formResponse?usp=pp_url&amp;entry.1313582257=0108974038 / 252610117&amp;entry.1578404635=Hadir</v>
      </c>
      <c r="Q379" s="23" t="s">
        <v>2105</v>
      </c>
      <c r="R379" s="12" t="s">
        <v>2106</v>
      </c>
      <c r="S379" s="24" t="s">
        <v>2107</v>
      </c>
      <c r="T379" s="23" t="str">
        <f>HYPERLINK("https://drive.google.com/file/d/1H1Pyf_FgOrqUJk1Lc9ZMH0kwkCuKWLxm/view?usp=drivesdk","33 - X9 - Balqis Luthfiyah Zahra - P")</f>
        <v>33 - X9 - Balqis Luthfiyah Zahra - P</v>
      </c>
      <c r="U379" s="12" t="s">
        <v>2103</v>
      </c>
      <c r="W379" s="25">
        <f>COUNTIFS('Form Presensi SCC'!$B:$B, IF($C379&lt;&gt;0, TEXT($C379, "0000000000"), $D379), 'Form Presensi SCC'!$C:$C, "Hadir")</f>
        <v>2</v>
      </c>
      <c r="Y379" s="26"/>
    </row>
    <row r="380" ht="22.5" customHeight="1">
      <c r="A380" s="18">
        <v>379.0</v>
      </c>
      <c r="B380" s="18">
        <v>11.0</v>
      </c>
      <c r="C380" s="18" t="s">
        <v>161</v>
      </c>
      <c r="D380" s="18" t="s">
        <v>2108</v>
      </c>
      <c r="E380" s="18" t="s">
        <v>227</v>
      </c>
      <c r="F380" s="12">
        <v>33.0</v>
      </c>
      <c r="G380" s="10" t="s">
        <v>2061</v>
      </c>
      <c r="H380" s="19"/>
      <c r="I380" s="20"/>
      <c r="J380" s="10" t="s">
        <v>2061</v>
      </c>
      <c r="K380" s="21"/>
      <c r="L380" s="10"/>
      <c r="M380" s="22"/>
      <c r="N380" s="10"/>
      <c r="O380" s="10"/>
      <c r="P380" s="12" t="str">
        <f t="shared" si="1"/>
        <v>https://docs.google.com/forms/d/e/1FAIpQLSeZ-R1GrWlAPkfaThGqxeTj0QTtrARw4rroxIIepf2kipn1nw/formResponse?usp=pp_url&amp;entry.1313582257=0104378571 / 252610133&amp;entry.1578404635=Hadir</v>
      </c>
      <c r="Q380" s="23" t="s">
        <v>2109</v>
      </c>
      <c r="R380" s="12" t="s">
        <v>2110</v>
      </c>
      <c r="S380" s="24" t="s">
        <v>2111</v>
      </c>
      <c r="T380" s="23" t="str">
        <f>HYPERLINK("https://drive.google.com/file/d/1n9T1k_I0OxO7JRtGgrvkVXBNwf4nSclS/view?usp=drivesdk","33 - X9 - Chayra Putri Dwinata - P")</f>
        <v>33 - X9 - Chayra Putri Dwinata - P</v>
      </c>
      <c r="U380" s="12" t="s">
        <v>2103</v>
      </c>
      <c r="W380" s="25">
        <f>COUNTIFS('Form Presensi SCC'!$B:$B, IF($C380&lt;&gt;0, TEXT($C380, "0000000000"), $D380), 'Form Presensi SCC'!$C:$C, "Hadir")</f>
        <v>2</v>
      </c>
      <c r="Y380" s="26"/>
    </row>
    <row r="381" ht="22.5" customHeight="1">
      <c r="A381" s="10">
        <v>380.0</v>
      </c>
      <c r="B381" s="18">
        <v>12.0</v>
      </c>
      <c r="C381" s="18" t="s">
        <v>122</v>
      </c>
      <c r="D381" s="18" t="s">
        <v>2112</v>
      </c>
      <c r="E381" s="18" t="s">
        <v>220</v>
      </c>
      <c r="F381" s="12">
        <v>33.0</v>
      </c>
      <c r="G381" s="10" t="s">
        <v>2061</v>
      </c>
      <c r="H381" s="19"/>
      <c r="I381" s="20"/>
      <c r="J381" s="10" t="s">
        <v>2061</v>
      </c>
      <c r="K381" s="21"/>
      <c r="L381" s="10"/>
      <c r="M381" s="22"/>
      <c r="N381" s="10"/>
      <c r="O381" s="10"/>
      <c r="P381" s="12" t="str">
        <f t="shared" si="1"/>
        <v>https://docs.google.com/forms/d/e/1FAIpQLSeZ-R1GrWlAPkfaThGqxeTj0QTtrARw4rroxIIepf2kipn1nw/formResponse?usp=pp_url&amp;entry.1313582257=0107900663 / 252610135&amp;entry.1578404635=Hadir</v>
      </c>
      <c r="Q381" s="23" t="s">
        <v>2113</v>
      </c>
      <c r="R381" s="12" t="s">
        <v>2114</v>
      </c>
      <c r="S381" s="24" t="s">
        <v>2115</v>
      </c>
      <c r="T381" s="23" t="str">
        <f>HYPERLINK("https://drive.google.com/file/d/1Ce3gEQxuGFYrNiLHhwFXOj0IbbwaDBm8/view?usp=drivesdk","33 - X9 - Cheryl Anandiora - L")</f>
        <v>33 - X9 - Cheryl Anandiora - L</v>
      </c>
      <c r="U381" s="12" t="s">
        <v>2103</v>
      </c>
      <c r="W381" s="25">
        <f>COUNTIFS('Form Presensi SCC'!$B:$B, IF($C381&lt;&gt;0, TEXT($C381, "0000000000"), $D381), 'Form Presensi SCC'!$C:$C, "Hadir")</f>
        <v>3</v>
      </c>
      <c r="Y381" s="26"/>
    </row>
    <row r="382" ht="22.5" customHeight="1">
      <c r="A382" s="18">
        <v>381.0</v>
      </c>
      <c r="B382" s="18">
        <v>13.0</v>
      </c>
      <c r="C382" s="18" t="s">
        <v>123</v>
      </c>
      <c r="D382" s="18" t="s">
        <v>2116</v>
      </c>
      <c r="E382" s="18" t="s">
        <v>227</v>
      </c>
      <c r="F382" s="12">
        <v>33.0</v>
      </c>
      <c r="G382" s="10" t="s">
        <v>2061</v>
      </c>
      <c r="H382" s="19"/>
      <c r="I382" s="20"/>
      <c r="J382" s="10" t="s">
        <v>2061</v>
      </c>
      <c r="K382" s="21"/>
      <c r="L382" s="10"/>
      <c r="M382" s="22"/>
      <c r="N382" s="10"/>
      <c r="O382" s="10"/>
      <c r="P382" s="12" t="str">
        <f t="shared" si="1"/>
        <v>https://docs.google.com/forms/d/e/1FAIpQLSeZ-R1GrWlAPkfaThGqxeTj0QTtrARw4rroxIIepf2kipn1nw/formResponse?usp=pp_url&amp;entry.1313582257=0091254694 / 252610146&amp;entry.1578404635=Hadir</v>
      </c>
      <c r="Q382" s="23" t="s">
        <v>2117</v>
      </c>
      <c r="R382" s="12" t="s">
        <v>2118</v>
      </c>
      <c r="S382" s="24" t="s">
        <v>2119</v>
      </c>
      <c r="T382" s="23" t="str">
        <f>HYPERLINK("https://drive.google.com/file/d/10_IKFjUjMchCzwTlNDI4M0yjcDo6okEh/view?usp=drivesdk","33 - X9 - Dahayu Nadhilah Syafa - P")</f>
        <v>33 - X9 - Dahayu Nadhilah Syafa - P</v>
      </c>
      <c r="U382" s="12" t="s">
        <v>2103</v>
      </c>
      <c r="W382" s="25">
        <f>COUNTIFS('Form Presensi SCC'!$B:$B, IF($C382&lt;&gt;0, TEXT($C382, "0000000000"), $D382), 'Form Presensi SCC'!$C:$C, "Hadir")</f>
        <v>5</v>
      </c>
      <c r="Y382" s="26"/>
    </row>
    <row r="383" ht="22.5" customHeight="1">
      <c r="A383" s="10">
        <v>382.0</v>
      </c>
      <c r="B383" s="18">
        <v>14.0</v>
      </c>
      <c r="C383" s="18" t="s">
        <v>124</v>
      </c>
      <c r="D383" s="18" t="s">
        <v>2120</v>
      </c>
      <c r="E383" s="18" t="s">
        <v>227</v>
      </c>
      <c r="F383" s="12">
        <v>33.0</v>
      </c>
      <c r="G383" s="10" t="s">
        <v>2061</v>
      </c>
      <c r="H383" s="19"/>
      <c r="I383" s="20"/>
      <c r="J383" s="10" t="s">
        <v>2061</v>
      </c>
      <c r="K383" s="21"/>
      <c r="L383" s="10"/>
      <c r="M383" s="22"/>
      <c r="N383" s="10"/>
      <c r="O383" s="10"/>
      <c r="P383" s="12" t="str">
        <f t="shared" si="1"/>
        <v>https://docs.google.com/forms/d/e/1FAIpQLSeZ-R1GrWlAPkfaThGqxeTj0QTtrARw4rroxIIepf2kipn1nw/formResponse?usp=pp_url&amp;entry.1313582257=0108673369 / 252610178&amp;entry.1578404635=Hadir</v>
      </c>
      <c r="Q383" s="23" t="s">
        <v>2121</v>
      </c>
      <c r="R383" s="12" t="s">
        <v>2122</v>
      </c>
      <c r="S383" s="24" t="s">
        <v>2123</v>
      </c>
      <c r="T383" s="23" t="str">
        <f>HYPERLINK("https://drive.google.com/file/d/1M--UR7nMOBDn3QNZY27CpLLl9LR5HkPl/view?usp=drivesdk","33 - X9 - Elen Vanesyah Wahyudi - P")</f>
        <v>33 - X9 - Elen Vanesyah Wahyudi - P</v>
      </c>
      <c r="U383" s="12" t="s">
        <v>2103</v>
      </c>
      <c r="W383" s="25">
        <f>COUNTIFS('Form Presensi SCC'!$B:$B, IF($C383&lt;&gt;0, TEXT($C383, "0000000000"), $D383), 'Form Presensi SCC'!$C:$C, "Hadir")</f>
        <v>5</v>
      </c>
      <c r="Y383" s="26"/>
    </row>
    <row r="384" ht="22.5" customHeight="1">
      <c r="A384" s="18">
        <v>383.0</v>
      </c>
      <c r="B384" s="18">
        <v>15.0</v>
      </c>
      <c r="C384" s="18" t="s">
        <v>2124</v>
      </c>
      <c r="D384" s="18" t="s">
        <v>2125</v>
      </c>
      <c r="E384" s="18" t="s">
        <v>220</v>
      </c>
      <c r="F384" s="12">
        <v>33.0</v>
      </c>
      <c r="G384" s="10" t="s">
        <v>2061</v>
      </c>
      <c r="H384" s="22" t="s">
        <v>371</v>
      </c>
      <c r="I384" s="20"/>
      <c r="J384" s="10" t="s">
        <v>2061</v>
      </c>
      <c r="K384" s="21"/>
      <c r="L384" s="10"/>
      <c r="M384" s="22"/>
      <c r="N384" s="10"/>
      <c r="O384" s="10"/>
      <c r="P384" s="12" t="str">
        <f t="shared" si="1"/>
        <v>https://docs.google.com/forms/d/e/1FAIpQLSeZ-R1GrWlAPkfaThGqxeTj0QTtrARw4rroxIIepf2kipn1nw/formResponse?usp=pp_url&amp;entry.1313582257=0097946386 / 252610211&amp;entry.1578404635=Hadir</v>
      </c>
      <c r="Q384" s="23" t="s">
        <v>2126</v>
      </c>
      <c r="R384" s="12" t="s">
        <v>2127</v>
      </c>
      <c r="S384" s="24" t="s">
        <v>2128</v>
      </c>
      <c r="T384" s="23" t="str">
        <f>HYPERLINK("https://drive.google.com/file/d/1PwDmhAx1dBR9tZk2sVJsj9NwJSnl6mY_/view?usp=drivesdk","33 - X9 - Fitrah Thirafi - L")</f>
        <v>33 - X9 - Fitrah Thirafi - L</v>
      </c>
      <c r="U384" s="12" t="s">
        <v>2129</v>
      </c>
      <c r="W384" s="25">
        <f>COUNTIFS('Form Presensi SCC'!$B:$B, IF($C384&lt;&gt;0, TEXT($C384, "0000000000"), $D384), 'Form Presensi SCC'!$C:$C, "Hadir")</f>
        <v>0</v>
      </c>
      <c r="Y384" s="26"/>
    </row>
    <row r="385" ht="22.5" customHeight="1">
      <c r="A385" s="10">
        <v>384.0</v>
      </c>
      <c r="B385" s="18">
        <v>16.0</v>
      </c>
      <c r="C385" s="18" t="s">
        <v>162</v>
      </c>
      <c r="D385" s="18" t="s">
        <v>2130</v>
      </c>
      <c r="E385" s="18" t="s">
        <v>227</v>
      </c>
      <c r="F385" s="12">
        <v>33.0</v>
      </c>
      <c r="G385" s="10" t="s">
        <v>2061</v>
      </c>
      <c r="H385" s="19"/>
      <c r="I385" s="20"/>
      <c r="J385" s="10" t="s">
        <v>2061</v>
      </c>
      <c r="K385" s="21"/>
      <c r="L385" s="10"/>
      <c r="M385" s="22"/>
      <c r="N385" s="10"/>
      <c r="O385" s="10"/>
      <c r="P385" s="12" t="str">
        <f t="shared" si="1"/>
        <v>https://docs.google.com/forms/d/e/1FAIpQLSeZ-R1GrWlAPkfaThGqxeTj0QTtrARw4rroxIIepf2kipn1nw/formResponse?usp=pp_url&amp;entry.1313582257=0099535255 / 252610212&amp;entry.1578404635=Hadir</v>
      </c>
      <c r="Q385" s="23" t="s">
        <v>2131</v>
      </c>
      <c r="R385" s="12" t="s">
        <v>2132</v>
      </c>
      <c r="S385" s="24" t="s">
        <v>2133</v>
      </c>
      <c r="T385" s="23" t="str">
        <f>HYPERLINK("https://drive.google.com/file/d/1W5Wk145cGHRbGE9ZOR_NsqOK2PjYlL5L/view?usp=drivesdk","33 - X9 - Fitri Rahmawati - P")</f>
        <v>33 - X9 - Fitri Rahmawati - P</v>
      </c>
      <c r="U385" s="12" t="s">
        <v>2129</v>
      </c>
      <c r="W385" s="25">
        <f>COUNTIFS('Form Presensi SCC'!$B:$B, IF($C385&lt;&gt;0, TEXT($C385, "0000000000"), $D385), 'Form Presensi SCC'!$C:$C, "Hadir")</f>
        <v>1</v>
      </c>
      <c r="Y385" s="26"/>
    </row>
    <row r="386" ht="22.5" customHeight="1">
      <c r="A386" s="18">
        <v>385.0</v>
      </c>
      <c r="B386" s="18">
        <v>17.0</v>
      </c>
      <c r="C386" s="18" t="s">
        <v>163</v>
      </c>
      <c r="D386" s="18" t="s">
        <v>2134</v>
      </c>
      <c r="E386" s="18" t="s">
        <v>227</v>
      </c>
      <c r="F386" s="12">
        <v>33.0</v>
      </c>
      <c r="G386" s="10" t="s">
        <v>2061</v>
      </c>
      <c r="H386" s="19"/>
      <c r="I386" s="20"/>
      <c r="J386" s="10" t="s">
        <v>2061</v>
      </c>
      <c r="K386" s="21"/>
      <c r="L386" s="10"/>
      <c r="M386" s="22"/>
      <c r="N386" s="10"/>
      <c r="O386" s="10"/>
      <c r="P386" s="12" t="str">
        <f t="shared" si="1"/>
        <v>https://docs.google.com/forms/d/e/1FAIpQLSeZ-R1GrWlAPkfaThGqxeTj0QTtrARw4rroxIIepf2kipn1nw/formResponse?usp=pp_url&amp;entry.1313582257=0094573200 / 252610220&amp;entry.1578404635=Hadir</v>
      </c>
      <c r="Q386" s="23" t="s">
        <v>2135</v>
      </c>
      <c r="R386" s="12" t="s">
        <v>2136</v>
      </c>
      <c r="S386" s="24" t="s">
        <v>2137</v>
      </c>
      <c r="T386" s="23" t="str">
        <f>HYPERLINK("https://drive.google.com/file/d/1srWhqPtQwnZRFo0c4SA0x_klS-1rKk7a/view?usp=drivesdk","33 - X9 - Ghaniah Aqilah - P")</f>
        <v>33 - X9 - Ghaniah Aqilah - P</v>
      </c>
      <c r="U386" s="12" t="s">
        <v>2129</v>
      </c>
      <c r="W386" s="25">
        <f>COUNTIFS('Form Presensi SCC'!$B:$B, IF($C386&lt;&gt;0, TEXT($C386, "0000000000"), $D386), 'Form Presensi SCC'!$C:$C, "Hadir")</f>
        <v>3</v>
      </c>
      <c r="Y386" s="26"/>
    </row>
    <row r="387" ht="22.5" customHeight="1">
      <c r="A387" s="10">
        <v>386.0</v>
      </c>
      <c r="B387" s="18">
        <v>18.0</v>
      </c>
      <c r="C387" s="18" t="s">
        <v>2138</v>
      </c>
      <c r="D387" s="18" t="s">
        <v>2139</v>
      </c>
      <c r="E387" s="18" t="s">
        <v>220</v>
      </c>
      <c r="F387" s="12">
        <v>33.0</v>
      </c>
      <c r="G387" s="10" t="s">
        <v>2061</v>
      </c>
      <c r="H387" s="19"/>
      <c r="I387" s="20"/>
      <c r="J387" s="10" t="s">
        <v>2061</v>
      </c>
      <c r="K387" s="21"/>
      <c r="L387" s="10"/>
      <c r="M387" s="22"/>
      <c r="N387" s="10"/>
      <c r="O387" s="10"/>
      <c r="P387" s="12" t="str">
        <f t="shared" si="1"/>
        <v>https://docs.google.com/forms/d/e/1FAIpQLSeZ-R1GrWlAPkfaThGqxeTj0QTtrARw4rroxIIepf2kipn1nw/formResponse?usp=pp_url&amp;entry.1313582257=0114593936 / 252610231&amp;entry.1578404635=Hadir</v>
      </c>
      <c r="Q387" s="23" t="s">
        <v>2140</v>
      </c>
      <c r="R387" s="12" t="s">
        <v>2141</v>
      </c>
      <c r="S387" s="24" t="s">
        <v>2142</v>
      </c>
      <c r="T387" s="23" t="str">
        <f>HYPERLINK("https://drive.google.com/file/d/1WQiFti8Z2Z3wL2dsxW97_s1Q0wdw2d5j/view?usp=drivesdk","33 - X9 - Hizam Kynan Putra Purwanto - L")</f>
        <v>33 - X9 - Hizam Kynan Putra Purwanto - L</v>
      </c>
      <c r="U387" s="12" t="s">
        <v>2129</v>
      </c>
      <c r="W387" s="25">
        <f>COUNTIFS('Form Presensi SCC'!$B:$B, IF($C387&lt;&gt;0, TEXT($C387, "0000000000"), $D387), 'Form Presensi SCC'!$C:$C, "Hadir")</f>
        <v>0</v>
      </c>
      <c r="Y387" s="26"/>
    </row>
    <row r="388" ht="22.5" customHeight="1">
      <c r="A388" s="18">
        <v>387.0</v>
      </c>
      <c r="B388" s="18">
        <v>19.0</v>
      </c>
      <c r="C388" s="18" t="s">
        <v>2143</v>
      </c>
      <c r="D388" s="18" t="s">
        <v>2144</v>
      </c>
      <c r="E388" s="18" t="s">
        <v>220</v>
      </c>
      <c r="F388" s="12">
        <v>33.0</v>
      </c>
      <c r="G388" s="10" t="s">
        <v>2061</v>
      </c>
      <c r="H388" s="19"/>
      <c r="I388" s="20"/>
      <c r="J388" s="10" t="s">
        <v>2061</v>
      </c>
      <c r="K388" s="21"/>
      <c r="L388" s="10"/>
      <c r="M388" s="22"/>
      <c r="N388" s="10"/>
      <c r="O388" s="10"/>
      <c r="P388" s="12" t="str">
        <f t="shared" si="1"/>
        <v>https://docs.google.com/forms/d/e/1FAIpQLSeZ-R1GrWlAPkfaThGqxeTj0QTtrARw4rroxIIepf2kipn1nw/formResponse?usp=pp_url&amp;entry.1313582257=0109669821 / 252610232&amp;entry.1578404635=Hadir</v>
      </c>
      <c r="Q388" s="23" t="s">
        <v>2145</v>
      </c>
      <c r="R388" s="12" t="s">
        <v>2146</v>
      </c>
      <c r="S388" s="24" t="s">
        <v>2147</v>
      </c>
      <c r="T388" s="23" t="str">
        <f>HYPERLINK("https://drive.google.com/file/d/1wji7YvC71m4v2sjFHj_SoVHs6ShtANWM/view?usp=drivesdk","33 - X9 - Ilham Rizki Pratama - L")</f>
        <v>33 - X9 - Ilham Rizki Pratama - L</v>
      </c>
      <c r="U388" s="12" t="s">
        <v>2129</v>
      </c>
      <c r="W388" s="25">
        <f>COUNTIFS('Form Presensi SCC'!$B:$B, IF($C388&lt;&gt;0, TEXT($C388, "0000000000"), $D388), 'Form Presensi SCC'!$C:$C, "Hadir")</f>
        <v>0</v>
      </c>
      <c r="Y388" s="26"/>
    </row>
    <row r="389" ht="22.5" customHeight="1">
      <c r="A389" s="10">
        <v>388.0</v>
      </c>
      <c r="B389" s="18">
        <v>20.0</v>
      </c>
      <c r="C389" s="18" t="s">
        <v>2148</v>
      </c>
      <c r="D389" s="18" t="s">
        <v>2149</v>
      </c>
      <c r="E389" s="18" t="s">
        <v>227</v>
      </c>
      <c r="F389" s="12">
        <v>33.0</v>
      </c>
      <c r="G389" s="10" t="s">
        <v>2061</v>
      </c>
      <c r="H389" s="19"/>
      <c r="I389" s="20"/>
      <c r="J389" s="10" t="s">
        <v>2061</v>
      </c>
      <c r="K389" s="21"/>
      <c r="L389" s="10"/>
      <c r="M389" s="22"/>
      <c r="N389" s="10"/>
      <c r="O389" s="10"/>
      <c r="P389" s="12" t="str">
        <f t="shared" si="1"/>
        <v>https://docs.google.com/forms/d/e/1FAIpQLSeZ-R1GrWlAPkfaThGqxeTj0QTtrARw4rroxIIepf2kipn1nw/formResponse?usp=pp_url&amp;entry.1313582257=0103695549 / 252610236&amp;entry.1578404635=Hadir</v>
      </c>
      <c r="Q389" s="23" t="s">
        <v>2150</v>
      </c>
      <c r="R389" s="12" t="s">
        <v>2151</v>
      </c>
      <c r="S389" s="24" t="s">
        <v>2152</v>
      </c>
      <c r="T389" s="23" t="str">
        <f>HYPERLINK("https://drive.google.com/file/d/1ZH_hl7sg2oWnjYxRlN7R3NyYGx_QRbeY/view?usp=drivesdk","33 - X9 - Izaz Izzatul Islam - P")</f>
        <v>33 - X9 - Izaz Izzatul Islam - P</v>
      </c>
      <c r="U389" s="12" t="s">
        <v>2153</v>
      </c>
      <c r="W389" s="25">
        <f>COUNTIFS('Form Presensi SCC'!$B:$B, IF($C389&lt;&gt;0, TEXT($C389, "0000000000"), $D389), 'Form Presensi SCC'!$C:$C, "Hadir")</f>
        <v>0</v>
      </c>
      <c r="Y389" s="26"/>
    </row>
    <row r="390" ht="22.5" customHeight="1">
      <c r="A390" s="18">
        <v>389.0</v>
      </c>
      <c r="B390" s="18">
        <v>21.0</v>
      </c>
      <c r="C390" s="18" t="s">
        <v>2154</v>
      </c>
      <c r="D390" s="18" t="s">
        <v>2155</v>
      </c>
      <c r="E390" s="18" t="s">
        <v>220</v>
      </c>
      <c r="F390" s="12">
        <v>33.0</v>
      </c>
      <c r="G390" s="10" t="s">
        <v>2061</v>
      </c>
      <c r="H390" s="19"/>
      <c r="I390" s="20"/>
      <c r="J390" s="10" t="s">
        <v>2061</v>
      </c>
      <c r="K390" s="21"/>
      <c r="L390" s="10"/>
      <c r="M390" s="22"/>
      <c r="N390" s="10"/>
      <c r="O390" s="10"/>
      <c r="P390" s="12" t="str">
        <f t="shared" si="1"/>
        <v>https://docs.google.com/forms/d/e/1FAIpQLSeZ-R1GrWlAPkfaThGqxeTj0QTtrARw4rroxIIepf2kipn1nw/formResponse?usp=pp_url&amp;entry.1313582257=0095770160 / 252610240&amp;entry.1578404635=Hadir</v>
      </c>
      <c r="Q390" s="23" t="s">
        <v>2156</v>
      </c>
      <c r="R390" s="12" t="s">
        <v>2157</v>
      </c>
      <c r="S390" s="24" t="s">
        <v>2158</v>
      </c>
      <c r="T390" s="23" t="str">
        <f>HYPERLINK("https://drive.google.com/file/d/1ccFFOuMzKZCQoqOzJ31mPZNq-OzZ0b86/view?usp=drivesdk","33 - X9 - Jazila Abid Niyaz Chan Lase - L")</f>
        <v>33 - X9 - Jazila Abid Niyaz Chan Lase - L</v>
      </c>
      <c r="U390" s="12" t="s">
        <v>2153</v>
      </c>
      <c r="W390" s="25">
        <f>COUNTIFS('Form Presensi SCC'!$B:$B, IF($C390&lt;&gt;0, TEXT($C390, "0000000000"), $D390), 'Form Presensi SCC'!$C:$C, "Hadir")</f>
        <v>0</v>
      </c>
      <c r="Y390" s="26"/>
    </row>
    <row r="391" ht="22.5" customHeight="1">
      <c r="A391" s="10">
        <v>390.0</v>
      </c>
      <c r="B391" s="18">
        <v>22.0</v>
      </c>
      <c r="C391" s="18" t="s">
        <v>164</v>
      </c>
      <c r="D391" s="18" t="s">
        <v>2159</v>
      </c>
      <c r="E391" s="18" t="s">
        <v>227</v>
      </c>
      <c r="F391" s="12">
        <v>33.0</v>
      </c>
      <c r="G391" s="10" t="s">
        <v>2061</v>
      </c>
      <c r="H391" s="19"/>
      <c r="I391" s="20"/>
      <c r="J391" s="10" t="s">
        <v>2061</v>
      </c>
      <c r="K391" s="21"/>
      <c r="L391" s="10"/>
      <c r="M391" s="22"/>
      <c r="N391" s="10"/>
      <c r="O391" s="10"/>
      <c r="P391" s="12" t="str">
        <f t="shared" si="1"/>
        <v>https://docs.google.com/forms/d/e/1FAIpQLSeZ-R1GrWlAPkfaThGqxeTj0QTtrARw4rroxIIepf2kipn1nw/formResponse?usp=pp_url&amp;entry.1313582257=0106852675 / 252610248&amp;entry.1578404635=Hadir</v>
      </c>
      <c r="Q391" s="23" t="s">
        <v>2160</v>
      </c>
      <c r="R391" s="12" t="s">
        <v>2161</v>
      </c>
      <c r="S391" s="24" t="s">
        <v>2162</v>
      </c>
      <c r="T391" s="23" t="str">
        <f>HYPERLINK("https://drive.google.com/file/d/1646bajL3jWHkC85b7ZhwjCfKxuDxP424/view?usp=drivesdk","33 - X9 - Jihan Nailatusy Syarafah - P")</f>
        <v>33 - X9 - Jihan Nailatusy Syarafah - P</v>
      </c>
      <c r="U391" s="12" t="s">
        <v>2153</v>
      </c>
      <c r="W391" s="25">
        <f>COUNTIFS('Form Presensi SCC'!$B:$B, IF($C391&lt;&gt;0, TEXT($C391, "0000000000"), $D391), 'Form Presensi SCC'!$C:$C, "Hadir")</f>
        <v>3</v>
      </c>
      <c r="Y391" s="26"/>
    </row>
    <row r="392" ht="22.5" customHeight="1">
      <c r="A392" s="18">
        <v>391.0</v>
      </c>
      <c r="B392" s="18">
        <v>23.0</v>
      </c>
      <c r="C392" s="18" t="s">
        <v>2163</v>
      </c>
      <c r="D392" s="18" t="s">
        <v>2164</v>
      </c>
      <c r="E392" s="18" t="s">
        <v>227</v>
      </c>
      <c r="F392" s="12">
        <v>33.0</v>
      </c>
      <c r="G392" s="10" t="s">
        <v>2061</v>
      </c>
      <c r="H392" s="19"/>
      <c r="I392" s="20"/>
      <c r="J392" s="10" t="s">
        <v>2061</v>
      </c>
      <c r="K392" s="21"/>
      <c r="L392" s="10"/>
      <c r="M392" s="22"/>
      <c r="N392" s="10"/>
      <c r="O392" s="10"/>
      <c r="P392" s="12" t="str">
        <f t="shared" si="1"/>
        <v>https://docs.google.com/forms/d/e/1FAIpQLSeZ-R1GrWlAPkfaThGqxeTj0QTtrARw4rroxIIepf2kipn1nw/formResponse?usp=pp_url&amp;entry.1313582257=0094047198 / 252610256&amp;entry.1578404635=Hadir</v>
      </c>
      <c r="Q392" s="23" t="s">
        <v>2165</v>
      </c>
      <c r="R392" s="12" t="s">
        <v>2166</v>
      </c>
      <c r="S392" s="24" t="s">
        <v>2167</v>
      </c>
      <c r="T392" s="23" t="str">
        <f>HYPERLINK("https://drive.google.com/file/d/1QgrCJZ1zfSSAdKuBRspDXYreWMODunm9/view?usp=drivesdk","33 - X9 - Kanza Olivia Ramadhani - P")</f>
        <v>33 - X9 - Kanza Olivia Ramadhani - P</v>
      </c>
      <c r="U392" s="12" t="s">
        <v>2153</v>
      </c>
      <c r="W392" s="25">
        <f>COUNTIFS('Form Presensi SCC'!$B:$B, IF($C392&lt;&gt;0, TEXT($C392, "0000000000"), $D392), 'Form Presensi SCC'!$C:$C, "Hadir")</f>
        <v>0</v>
      </c>
      <c r="Y392" s="26"/>
    </row>
    <row r="393" ht="22.5" customHeight="1">
      <c r="A393" s="10">
        <v>392.0</v>
      </c>
      <c r="B393" s="18">
        <v>24.0</v>
      </c>
      <c r="C393" s="18" t="s">
        <v>114</v>
      </c>
      <c r="D393" s="18" t="s">
        <v>2168</v>
      </c>
      <c r="E393" s="18" t="s">
        <v>227</v>
      </c>
      <c r="F393" s="12">
        <v>33.0</v>
      </c>
      <c r="G393" s="10" t="s">
        <v>2061</v>
      </c>
      <c r="H393" s="19"/>
      <c r="I393" s="20"/>
      <c r="J393" s="10" t="s">
        <v>2061</v>
      </c>
      <c r="K393" s="21"/>
      <c r="L393" s="10"/>
      <c r="M393" s="22"/>
      <c r="N393" s="10"/>
      <c r="O393" s="10"/>
      <c r="P393" s="12" t="str">
        <f t="shared" si="1"/>
        <v>https://docs.google.com/forms/d/e/1FAIpQLSeZ-R1GrWlAPkfaThGqxeTj0QTtrARw4rroxIIepf2kipn1nw/formResponse?usp=pp_url&amp;entry.1313582257=0102372511 / 252610263&amp;entry.1578404635=Hadir</v>
      </c>
      <c r="Q393" s="23" t="s">
        <v>2169</v>
      </c>
      <c r="R393" s="12" t="s">
        <v>2170</v>
      </c>
      <c r="S393" s="24" t="s">
        <v>2171</v>
      </c>
      <c r="T393" s="23" t="str">
        <f>HYPERLINK("https://drive.google.com/file/d/1mT800thkCc4dnBeQx9tfOPK4hS8k1lhp/view?usp=drivesdk","33 - X9 - Kayla Tria Fatarani - P")</f>
        <v>33 - X9 - Kayla Tria Fatarani - P</v>
      </c>
      <c r="U393" s="12" t="s">
        <v>2172</v>
      </c>
      <c r="W393" s="25">
        <f>COUNTIFS('Form Presensi SCC'!$B:$B, IF($C393&lt;&gt;0, TEXT($C393, "0000000000"), $D393), 'Form Presensi SCC'!$C:$C, "Hadir")</f>
        <v>1</v>
      </c>
      <c r="Y393" s="26"/>
    </row>
    <row r="394" ht="22.5" customHeight="1">
      <c r="A394" s="18">
        <v>393.0</v>
      </c>
      <c r="B394" s="18">
        <v>25.0</v>
      </c>
      <c r="C394" s="18" t="s">
        <v>112</v>
      </c>
      <c r="D394" s="18" t="s">
        <v>2173</v>
      </c>
      <c r="E394" s="18" t="s">
        <v>227</v>
      </c>
      <c r="F394" s="12">
        <v>33.0</v>
      </c>
      <c r="G394" s="10" t="s">
        <v>2061</v>
      </c>
      <c r="H394" s="19"/>
      <c r="I394" s="20"/>
      <c r="J394" s="10" t="s">
        <v>2061</v>
      </c>
      <c r="K394" s="21"/>
      <c r="L394" s="10"/>
      <c r="M394" s="22"/>
      <c r="N394" s="10"/>
      <c r="O394" s="10"/>
      <c r="P394" s="12" t="str">
        <f t="shared" si="1"/>
        <v>https://docs.google.com/forms/d/e/1FAIpQLSeZ-R1GrWlAPkfaThGqxeTj0QTtrARw4rroxIIepf2kipn1nw/formResponse?usp=pp_url&amp;entry.1313582257=0098113225 / 252610297&amp;entry.1578404635=Hadir</v>
      </c>
      <c r="Q394" s="23" t="s">
        <v>2174</v>
      </c>
      <c r="R394" s="12" t="s">
        <v>2175</v>
      </c>
      <c r="S394" s="24" t="s">
        <v>2176</v>
      </c>
      <c r="T394" s="23" t="str">
        <f>HYPERLINK("https://drive.google.com/file/d/1-LFlmmphRhlrCgDt44ld8Q2OmaCk0Acy/view?usp=drivesdk","33 - X9 - Mahera Raisha Davanita Faizal - P")</f>
        <v>33 - X9 - Mahera Raisha Davanita Faizal - P</v>
      </c>
      <c r="U394" s="12" t="s">
        <v>2172</v>
      </c>
      <c r="W394" s="25">
        <f>COUNTIFS('Form Presensi SCC'!$B:$B, IF($C394&lt;&gt;0, TEXT($C394, "0000000000"), $D394), 'Form Presensi SCC'!$C:$C, "Hadir")</f>
        <v>1</v>
      </c>
      <c r="Y394" s="26"/>
    </row>
    <row r="395" ht="22.5" customHeight="1">
      <c r="A395" s="10">
        <v>394.0</v>
      </c>
      <c r="B395" s="18">
        <v>26.0</v>
      </c>
      <c r="C395" s="18" t="s">
        <v>2177</v>
      </c>
      <c r="D395" s="18" t="s">
        <v>2178</v>
      </c>
      <c r="E395" s="18" t="s">
        <v>220</v>
      </c>
      <c r="F395" s="12">
        <v>33.0</v>
      </c>
      <c r="G395" s="10" t="s">
        <v>2061</v>
      </c>
      <c r="H395" s="19"/>
      <c r="I395" s="20"/>
      <c r="J395" s="10" t="s">
        <v>2061</v>
      </c>
      <c r="K395" s="21"/>
      <c r="L395" s="10"/>
      <c r="M395" s="22"/>
      <c r="N395" s="10"/>
      <c r="O395" s="10"/>
      <c r="P395" s="12" t="str">
        <f t="shared" si="1"/>
        <v>https://docs.google.com/forms/d/e/1FAIpQLSeZ-R1GrWlAPkfaThGqxeTj0QTtrARw4rroxIIepf2kipn1nw/formResponse?usp=pp_url&amp;entry.1313582257=0103979225 / 252610325&amp;entry.1578404635=Hadir</v>
      </c>
      <c r="Q395" s="23" t="s">
        <v>2179</v>
      </c>
      <c r="R395" s="12" t="s">
        <v>2180</v>
      </c>
      <c r="S395" s="24" t="s">
        <v>2181</v>
      </c>
      <c r="T395" s="23" t="str">
        <f>HYPERLINK("https://drive.google.com/file/d/1ASb8XVjDf3qyAfZRQyrNr1BTOMZc5EOR/view?usp=drivesdk","33 - X9 - Muhamad Juan Arkhan - L")</f>
        <v>33 - X9 - Muhamad Juan Arkhan - L</v>
      </c>
      <c r="U395" s="12" t="s">
        <v>2172</v>
      </c>
      <c r="W395" s="25">
        <f>COUNTIFS('Form Presensi SCC'!$B:$B, IF($C395&lt;&gt;0, TEXT($C395, "0000000000"), $D395), 'Form Presensi SCC'!$C:$C, "Hadir")</f>
        <v>0</v>
      </c>
      <c r="Y395" s="26"/>
    </row>
    <row r="396" ht="22.5" customHeight="1">
      <c r="A396" s="18">
        <v>395.0</v>
      </c>
      <c r="B396" s="18">
        <v>27.0</v>
      </c>
      <c r="C396" s="18" t="s">
        <v>2182</v>
      </c>
      <c r="D396" s="18" t="s">
        <v>2183</v>
      </c>
      <c r="E396" s="18" t="s">
        <v>220</v>
      </c>
      <c r="F396" s="12">
        <v>33.0</v>
      </c>
      <c r="G396" s="10" t="s">
        <v>2061</v>
      </c>
      <c r="H396" s="19"/>
      <c r="I396" s="20"/>
      <c r="J396" s="10" t="s">
        <v>2061</v>
      </c>
      <c r="K396" s="21"/>
      <c r="L396" s="10"/>
      <c r="M396" s="22"/>
      <c r="N396" s="10"/>
      <c r="O396" s="10"/>
      <c r="P396" s="12" t="str">
        <f t="shared" si="1"/>
        <v>https://docs.google.com/forms/d/e/1FAIpQLSeZ-R1GrWlAPkfaThGqxeTj0QTtrARw4rroxIIepf2kipn1nw/formResponse?usp=pp_url&amp;entry.1313582257=0095022365 / 252610337&amp;entry.1578404635=Hadir</v>
      </c>
      <c r="Q396" s="23" t="s">
        <v>2184</v>
      </c>
      <c r="R396" s="12" t="s">
        <v>2185</v>
      </c>
      <c r="S396" s="24" t="s">
        <v>2186</v>
      </c>
      <c r="T396" s="23" t="str">
        <f>HYPERLINK("https://drive.google.com/file/d/1Q0dr7XX_BT63odide2pPUjAObYbPHgDP/view?usp=drivesdk","33 - X9 - Muhammad Ariel Setiawan - L")</f>
        <v>33 - X9 - Muhammad Ariel Setiawan - L</v>
      </c>
      <c r="U396" s="12" t="s">
        <v>2172</v>
      </c>
      <c r="W396" s="25">
        <f>COUNTIFS('Form Presensi SCC'!$B:$B, IF($C396&lt;&gt;0, TEXT($C396, "0000000000"), $D396), 'Form Presensi SCC'!$C:$C, "Hadir")</f>
        <v>0</v>
      </c>
      <c r="Y396" s="26"/>
    </row>
    <row r="397" ht="22.5" customHeight="1">
      <c r="A397" s="10">
        <v>396.0</v>
      </c>
      <c r="B397" s="18">
        <v>28.0</v>
      </c>
      <c r="C397" s="18" t="s">
        <v>2187</v>
      </c>
      <c r="D397" s="18" t="s">
        <v>2188</v>
      </c>
      <c r="E397" s="18" t="s">
        <v>220</v>
      </c>
      <c r="F397" s="12">
        <v>33.0</v>
      </c>
      <c r="G397" s="10" t="s">
        <v>2061</v>
      </c>
      <c r="H397" s="19"/>
      <c r="I397" s="20"/>
      <c r="J397" s="10" t="s">
        <v>2061</v>
      </c>
      <c r="K397" s="21"/>
      <c r="L397" s="10"/>
      <c r="M397" s="22"/>
      <c r="N397" s="10"/>
      <c r="O397" s="10"/>
      <c r="P397" s="12" t="str">
        <f t="shared" si="1"/>
        <v>https://docs.google.com/forms/d/e/1FAIpQLSeZ-R1GrWlAPkfaThGqxeTj0QTtrARw4rroxIIepf2kipn1nw/formResponse?usp=pp_url&amp;entry.1313582257=0104557332 / 252610341&amp;entry.1578404635=Hadir</v>
      </c>
      <c r="Q397" s="23" t="s">
        <v>2189</v>
      </c>
      <c r="R397" s="12" t="s">
        <v>2190</v>
      </c>
      <c r="S397" s="24" t="s">
        <v>2191</v>
      </c>
      <c r="T397" s="23" t="str">
        <f>HYPERLINK("https://drive.google.com/file/d/1fJKtK7iFTe5XhnSyddqz0AmPyFCdPVLd/view?usp=drivesdk","33 - X9 - Muhammad Azka Shahizinda - L")</f>
        <v>33 - X9 - Muhammad Azka Shahizinda - L</v>
      </c>
      <c r="U397" s="12" t="s">
        <v>2192</v>
      </c>
      <c r="W397" s="25">
        <f>COUNTIFS('Form Presensi SCC'!$B:$B, IF($C397&lt;&gt;0, TEXT($C397, "0000000000"), $D397), 'Form Presensi SCC'!$C:$C, "Hadir")</f>
        <v>0</v>
      </c>
      <c r="Y397" s="26"/>
    </row>
    <row r="398" ht="22.5" customHeight="1">
      <c r="A398" s="18">
        <v>397.0</v>
      </c>
      <c r="B398" s="18">
        <v>29.0</v>
      </c>
      <c r="C398" s="18" t="s">
        <v>2193</v>
      </c>
      <c r="D398" s="18" t="s">
        <v>2194</v>
      </c>
      <c r="E398" s="18" t="s">
        <v>220</v>
      </c>
      <c r="F398" s="12">
        <v>33.0</v>
      </c>
      <c r="G398" s="10" t="s">
        <v>2061</v>
      </c>
      <c r="H398" s="19"/>
      <c r="I398" s="20"/>
      <c r="J398" s="10" t="s">
        <v>2061</v>
      </c>
      <c r="K398" s="21"/>
      <c r="L398" s="10"/>
      <c r="M398" s="22"/>
      <c r="N398" s="10"/>
      <c r="O398" s="10"/>
      <c r="P398" s="12" t="str">
        <f t="shared" si="1"/>
        <v>https://docs.google.com/forms/d/e/1FAIpQLSeZ-R1GrWlAPkfaThGqxeTj0QTtrARw4rroxIIepf2kipn1nw/formResponse?usp=pp_url&amp;entry.1313582257=0092772943 / 252610344&amp;entry.1578404635=Hadir</v>
      </c>
      <c r="Q398" s="23" t="s">
        <v>2195</v>
      </c>
      <c r="R398" s="12" t="s">
        <v>2196</v>
      </c>
      <c r="S398" s="24" t="s">
        <v>2197</v>
      </c>
      <c r="T398" s="23" t="str">
        <f>HYPERLINK("https://drive.google.com/file/d/1fzVffhaCpBwlCBCDcm2onK1vWpIZ3xeR/view?usp=drivesdk","33 - X9 - Muhammad Daffa Alfarizki - L")</f>
        <v>33 - X9 - Muhammad Daffa Alfarizki - L</v>
      </c>
      <c r="U398" s="12" t="s">
        <v>2192</v>
      </c>
      <c r="W398" s="25">
        <f>COUNTIFS('Form Presensi SCC'!$B:$B, IF($C398&lt;&gt;0, TEXT($C398, "0000000000"), $D398), 'Form Presensi SCC'!$C:$C, "Hadir")</f>
        <v>0</v>
      </c>
      <c r="Y398" s="26"/>
    </row>
    <row r="399" ht="22.5" customHeight="1">
      <c r="A399" s="10">
        <v>398.0</v>
      </c>
      <c r="B399" s="18">
        <v>30.0</v>
      </c>
      <c r="C399" s="18" t="s">
        <v>2198</v>
      </c>
      <c r="D399" s="18" t="s">
        <v>2199</v>
      </c>
      <c r="E399" s="18" t="s">
        <v>220</v>
      </c>
      <c r="F399" s="12">
        <v>33.0</v>
      </c>
      <c r="G399" s="10" t="s">
        <v>2061</v>
      </c>
      <c r="H399" s="19"/>
      <c r="I399" s="20"/>
      <c r="J399" s="10" t="s">
        <v>2061</v>
      </c>
      <c r="K399" s="21"/>
      <c r="L399" s="10"/>
      <c r="M399" s="22"/>
      <c r="N399" s="10"/>
      <c r="O399" s="10"/>
      <c r="P399" s="12" t="str">
        <f t="shared" si="1"/>
        <v>https://docs.google.com/forms/d/e/1FAIpQLSeZ-R1GrWlAPkfaThGqxeTj0QTtrARw4rroxIIepf2kipn1nw/formResponse?usp=pp_url&amp;entry.1313582257=0098897790 / 252610347&amp;entry.1578404635=Hadir</v>
      </c>
      <c r="Q399" s="23" t="s">
        <v>2200</v>
      </c>
      <c r="R399" s="12" t="s">
        <v>2201</v>
      </c>
      <c r="S399" s="24" t="s">
        <v>2202</v>
      </c>
      <c r="T399" s="23" t="str">
        <f>HYPERLINK("https://drive.google.com/file/d/1_H_aDS3OGuW9Wr729dq8dgjM2uNVuZ3E/view?usp=drivesdk","33 - X9 - Muhammad Fadil Ranoval - L")</f>
        <v>33 - X9 - Muhammad Fadil Ranoval - L</v>
      </c>
      <c r="U399" s="12" t="s">
        <v>2192</v>
      </c>
      <c r="W399" s="25">
        <f>COUNTIFS('Form Presensi SCC'!$B:$B, IF($C399&lt;&gt;0, TEXT($C399, "0000000000"), $D399), 'Form Presensi SCC'!$C:$C, "Hadir")</f>
        <v>0</v>
      </c>
      <c r="Y399" s="26"/>
    </row>
    <row r="400" ht="22.5" customHeight="1">
      <c r="A400" s="18">
        <v>399.0</v>
      </c>
      <c r="B400" s="18">
        <v>31.0</v>
      </c>
      <c r="C400" s="18" t="s">
        <v>2203</v>
      </c>
      <c r="D400" s="18" t="s">
        <v>2204</v>
      </c>
      <c r="E400" s="18" t="s">
        <v>220</v>
      </c>
      <c r="F400" s="12">
        <v>33.0</v>
      </c>
      <c r="G400" s="10" t="s">
        <v>2061</v>
      </c>
      <c r="H400" s="19"/>
      <c r="I400" s="20"/>
      <c r="J400" s="10" t="s">
        <v>2061</v>
      </c>
      <c r="K400" s="21"/>
      <c r="L400" s="10"/>
      <c r="M400" s="22"/>
      <c r="N400" s="10"/>
      <c r="O400" s="10"/>
      <c r="P400" s="12" t="str">
        <f t="shared" si="1"/>
        <v>https://docs.google.com/forms/d/e/1FAIpQLSeZ-R1GrWlAPkfaThGqxeTj0QTtrARw4rroxIIepf2kipn1nw/formResponse?usp=pp_url&amp;entry.1313582257=0101059940 / 252610358&amp;entry.1578404635=Hadir</v>
      </c>
      <c r="Q400" s="23" t="s">
        <v>2205</v>
      </c>
      <c r="R400" s="12" t="s">
        <v>2206</v>
      </c>
      <c r="S400" s="24" t="s">
        <v>2207</v>
      </c>
      <c r="T400" s="23" t="str">
        <f>HYPERLINK("https://drive.google.com/file/d/1SZanjG_TDY3MQ--2SuLL2_i1LsyngS9R/view?usp=drivesdk","33 - X9 - Muhammad In'Amul Aufa - L")</f>
        <v>33 - X9 - Muhammad In'Amul Aufa - L</v>
      </c>
      <c r="U400" s="12" t="s">
        <v>2192</v>
      </c>
      <c r="W400" s="25">
        <f>COUNTIFS('Form Presensi SCC'!$B:$B, IF($C400&lt;&gt;0, TEXT($C400, "0000000000"), $D400), 'Form Presensi SCC'!$C:$C, "Hadir")</f>
        <v>0</v>
      </c>
      <c r="Y400" s="26"/>
    </row>
    <row r="401" ht="22.5" customHeight="1">
      <c r="A401" s="10">
        <v>400.0</v>
      </c>
      <c r="B401" s="18">
        <v>32.0</v>
      </c>
      <c r="C401" s="18" t="s">
        <v>2208</v>
      </c>
      <c r="D401" s="18" t="s">
        <v>2209</v>
      </c>
      <c r="E401" s="18" t="s">
        <v>220</v>
      </c>
      <c r="F401" s="12">
        <v>33.0</v>
      </c>
      <c r="G401" s="10" t="s">
        <v>2061</v>
      </c>
      <c r="H401" s="19"/>
      <c r="I401" s="20"/>
      <c r="J401" s="10" t="s">
        <v>2061</v>
      </c>
      <c r="K401" s="21"/>
      <c r="L401" s="10"/>
      <c r="M401" s="22"/>
      <c r="N401" s="10"/>
      <c r="O401" s="10"/>
      <c r="P401" s="12" t="str">
        <f t="shared" si="1"/>
        <v>https://docs.google.com/forms/d/e/1FAIpQLSeZ-R1GrWlAPkfaThGqxeTj0QTtrARw4rroxIIepf2kipn1nw/formResponse?usp=pp_url&amp;entry.1313582257=0094119764 / 252610368&amp;entry.1578404635=Hadir</v>
      </c>
      <c r="Q401" s="23" t="s">
        <v>2210</v>
      </c>
      <c r="R401" s="12" t="s">
        <v>2211</v>
      </c>
      <c r="S401" s="24" t="s">
        <v>2212</v>
      </c>
      <c r="T401" s="23" t="str">
        <f>HYPERLINK("https://drive.google.com/file/d/1bG-bQX3qiJ3lZ9qiaX9iRZzBwbTniBc1/view?usp=drivesdk","33 - X9 - Muhammad Reyhan Alfariky - L")</f>
        <v>33 - X9 - Muhammad Reyhan Alfariky - L</v>
      </c>
      <c r="U401" s="12" t="s">
        <v>2192</v>
      </c>
      <c r="W401" s="25">
        <f>COUNTIFS('Form Presensi SCC'!$B:$B, IF($C401&lt;&gt;0, TEXT($C401, "0000000000"), $D401), 'Form Presensi SCC'!$C:$C, "Hadir")</f>
        <v>0</v>
      </c>
      <c r="Y401" s="26"/>
    </row>
    <row r="402" ht="22.5" customHeight="1">
      <c r="A402" s="18">
        <v>401.0</v>
      </c>
      <c r="B402" s="18">
        <v>33.0</v>
      </c>
      <c r="C402" s="18" t="s">
        <v>2213</v>
      </c>
      <c r="D402" s="18" t="s">
        <v>2214</v>
      </c>
      <c r="E402" s="18" t="s">
        <v>220</v>
      </c>
      <c r="F402" s="12">
        <v>33.0</v>
      </c>
      <c r="G402" s="10" t="s">
        <v>2061</v>
      </c>
      <c r="H402" s="19"/>
      <c r="I402" s="20"/>
      <c r="J402" s="10" t="s">
        <v>2061</v>
      </c>
      <c r="K402" s="21"/>
      <c r="L402" s="10"/>
      <c r="M402" s="22"/>
      <c r="N402" s="10"/>
      <c r="O402" s="10"/>
      <c r="P402" s="12" t="str">
        <f t="shared" si="1"/>
        <v>https://docs.google.com/forms/d/e/1FAIpQLSeZ-R1GrWlAPkfaThGqxeTj0QTtrARw4rroxIIepf2kipn1nw/formResponse?usp=pp_url&amp;entry.1313582257=0096882416 / 252610372&amp;entry.1578404635=Hadir</v>
      </c>
      <c r="Q402" s="23" t="s">
        <v>2215</v>
      </c>
      <c r="R402" s="12" t="s">
        <v>2216</v>
      </c>
      <c r="S402" s="24" t="s">
        <v>2217</v>
      </c>
      <c r="T402" s="23" t="str">
        <f>HYPERLINK("https://drive.google.com/file/d/1x31mvtUKznWytCHe7btCQ_q4hZuHtFM2/view?usp=drivesdk","33 - X9 - Muhammad Sayyid Amjad - L")</f>
        <v>33 - X9 - Muhammad Sayyid Amjad - L</v>
      </c>
      <c r="U402" s="12" t="s">
        <v>2218</v>
      </c>
      <c r="W402" s="25">
        <f>COUNTIFS('Form Presensi SCC'!$B:$B, IF($C402&lt;&gt;0, TEXT($C402, "0000000000"), $D402), 'Form Presensi SCC'!$C:$C, "Hadir")</f>
        <v>0</v>
      </c>
      <c r="Y402" s="26"/>
    </row>
    <row r="403" ht="22.5" customHeight="1">
      <c r="A403" s="10">
        <v>402.0</v>
      </c>
      <c r="B403" s="18">
        <v>34.0</v>
      </c>
      <c r="C403" s="18" t="s">
        <v>2219</v>
      </c>
      <c r="D403" s="18" t="s">
        <v>2220</v>
      </c>
      <c r="E403" s="18" t="s">
        <v>227</v>
      </c>
      <c r="F403" s="12">
        <v>33.0</v>
      </c>
      <c r="G403" s="10" t="s">
        <v>2061</v>
      </c>
      <c r="H403" s="19"/>
      <c r="I403" s="20"/>
      <c r="J403" s="10" t="s">
        <v>2061</v>
      </c>
      <c r="K403" s="21"/>
      <c r="L403" s="10"/>
      <c r="M403" s="22"/>
      <c r="N403" s="10"/>
      <c r="O403" s="10"/>
      <c r="P403" s="12" t="str">
        <f t="shared" si="1"/>
        <v>https://docs.google.com/forms/d/e/1FAIpQLSeZ-R1GrWlAPkfaThGqxeTj0QTtrARw4rroxIIepf2kipn1nw/formResponse?usp=pp_url&amp;entry.1313582257=0093640113 / 252610397&amp;entry.1578404635=Hadir</v>
      </c>
      <c r="Q403" s="23" t="s">
        <v>2221</v>
      </c>
      <c r="R403" s="12" t="s">
        <v>2222</v>
      </c>
      <c r="S403" s="24" t="s">
        <v>2223</v>
      </c>
      <c r="T403" s="23" t="str">
        <f>HYPERLINK("https://drive.google.com/file/d/1OGVICJsQP16V-rzwdRnW9UKpMn4YGv39/view?usp=drivesdk","33 - X9 - Nararya Hylmi Kenzie - P")</f>
        <v>33 - X9 - Nararya Hylmi Kenzie - P</v>
      </c>
      <c r="U403" s="12" t="s">
        <v>2218</v>
      </c>
      <c r="W403" s="25">
        <f>COUNTIFS('Form Presensi SCC'!$B:$B, IF($C403&lt;&gt;0, TEXT($C403, "0000000000"), $D403), 'Form Presensi SCC'!$C:$C, "Hadir")</f>
        <v>0</v>
      </c>
      <c r="Y403" s="26"/>
    </row>
    <row r="404" ht="22.5" customHeight="1">
      <c r="A404" s="18">
        <v>403.0</v>
      </c>
      <c r="B404" s="18">
        <v>35.0</v>
      </c>
      <c r="C404" s="18" t="s">
        <v>113</v>
      </c>
      <c r="D404" s="18" t="s">
        <v>2224</v>
      </c>
      <c r="E404" s="18" t="s">
        <v>227</v>
      </c>
      <c r="F404" s="12">
        <v>33.0</v>
      </c>
      <c r="G404" s="10" t="s">
        <v>2061</v>
      </c>
      <c r="H404" s="19"/>
      <c r="I404" s="20"/>
      <c r="J404" s="10" t="s">
        <v>2061</v>
      </c>
      <c r="K404" s="21"/>
      <c r="L404" s="10"/>
      <c r="M404" s="22"/>
      <c r="N404" s="10"/>
      <c r="O404" s="10"/>
      <c r="P404" s="12" t="str">
        <f t="shared" si="1"/>
        <v>https://docs.google.com/forms/d/e/1FAIpQLSeZ-R1GrWlAPkfaThGqxeTj0QTtrARw4rroxIIepf2kipn1nw/formResponse?usp=pp_url&amp;entry.1313582257=0097910400 / 252610425&amp;entry.1578404635=Hadir</v>
      </c>
      <c r="Q404" s="23" t="s">
        <v>2225</v>
      </c>
      <c r="R404" s="12" t="s">
        <v>2226</v>
      </c>
      <c r="S404" s="24" t="s">
        <v>2227</v>
      </c>
      <c r="T404" s="23" t="str">
        <f>HYPERLINK("https://drive.google.com/file/d/1FjHY3KyiP0GPComHVmbW72AX871bfXmF/view?usp=drivesdk","33 - X9 - Nur Azizah - P")</f>
        <v>33 - X9 - Nur Azizah - P</v>
      </c>
      <c r="U404" s="12" t="s">
        <v>2218</v>
      </c>
      <c r="W404" s="25">
        <f>COUNTIFS('Form Presensi SCC'!$B:$B, IF($C404&lt;&gt;0, TEXT($C404, "0000000000"), $D404), 'Form Presensi SCC'!$C:$C, "Hadir")</f>
        <v>1</v>
      </c>
      <c r="Y404" s="26"/>
    </row>
    <row r="405" ht="22.5" customHeight="1">
      <c r="A405" s="10">
        <v>404.0</v>
      </c>
      <c r="B405" s="18">
        <v>36.0</v>
      </c>
      <c r="C405" s="18" t="s">
        <v>2228</v>
      </c>
      <c r="D405" s="18" t="s">
        <v>2229</v>
      </c>
      <c r="E405" s="18" t="s">
        <v>227</v>
      </c>
      <c r="F405" s="12">
        <v>33.0</v>
      </c>
      <c r="G405" s="10" t="s">
        <v>2061</v>
      </c>
      <c r="H405" s="19"/>
      <c r="I405" s="20"/>
      <c r="J405" s="10" t="s">
        <v>2061</v>
      </c>
      <c r="K405" s="21"/>
      <c r="L405" s="10"/>
      <c r="M405" s="22"/>
      <c r="N405" s="10"/>
      <c r="O405" s="10"/>
      <c r="P405" s="12" t="str">
        <f t="shared" si="1"/>
        <v>https://docs.google.com/forms/d/e/1FAIpQLSeZ-R1GrWlAPkfaThGqxeTj0QTtrARw4rroxIIepf2kipn1nw/formResponse?usp=pp_url&amp;entry.1313582257=0091134035 / 252610441&amp;entry.1578404635=Hadir</v>
      </c>
      <c r="Q405" s="23" t="s">
        <v>2230</v>
      </c>
      <c r="R405" s="12" t="s">
        <v>2231</v>
      </c>
      <c r="S405" s="24" t="s">
        <v>2232</v>
      </c>
      <c r="T405" s="23" t="str">
        <f>HYPERLINK("https://drive.google.com/file/d/1smeZuWDuoSwzTsT-xwWPLiF-Vm3jqtf-/view?usp=drivesdk","33 - X9 - Qitrie Anisa Khaeri - P")</f>
        <v>33 - X9 - Qitrie Anisa Khaeri - P</v>
      </c>
      <c r="U405" s="12" t="s">
        <v>2218</v>
      </c>
      <c r="W405" s="25">
        <f>COUNTIFS('Form Presensi SCC'!$B:$B, IF($C405&lt;&gt;0, TEXT($C405, "0000000000"), $D405), 'Form Presensi SCC'!$C:$C, "Hadir")</f>
        <v>0</v>
      </c>
      <c r="Y405" s="26"/>
    </row>
    <row r="406" ht="22.5" customHeight="1">
      <c r="A406" s="18">
        <v>405.0</v>
      </c>
      <c r="B406" s="18">
        <v>37.0</v>
      </c>
      <c r="C406" s="18" t="s">
        <v>2233</v>
      </c>
      <c r="D406" s="18" t="s">
        <v>2234</v>
      </c>
      <c r="E406" s="18" t="s">
        <v>227</v>
      </c>
      <c r="F406" s="12">
        <v>33.0</v>
      </c>
      <c r="G406" s="10" t="s">
        <v>2061</v>
      </c>
      <c r="H406" s="19"/>
      <c r="I406" s="20"/>
      <c r="J406" s="10" t="s">
        <v>2061</v>
      </c>
      <c r="K406" s="21"/>
      <c r="L406" s="10"/>
      <c r="M406" s="22"/>
      <c r="N406" s="10"/>
      <c r="O406" s="10"/>
      <c r="P406" s="12" t="str">
        <f t="shared" si="1"/>
        <v>https://docs.google.com/forms/d/e/1FAIpQLSeZ-R1GrWlAPkfaThGqxeTj0QTtrARw4rroxIIepf2kipn1nw/formResponse?usp=pp_url&amp;entry.1313582257=0106245820 / 252610457&amp;entry.1578404635=Hadir</v>
      </c>
      <c r="Q406" s="23" t="s">
        <v>2235</v>
      </c>
      <c r="R406" s="12" t="s">
        <v>2236</v>
      </c>
      <c r="S406" s="24" t="s">
        <v>2237</v>
      </c>
      <c r="T406" s="23" t="str">
        <f>HYPERLINK("https://drive.google.com/file/d/1KtSwTqzFrCRW4OJXDjQM_8ogpipWCd3C/view?usp=drivesdk","33 - X9 - Radya Camilla Arinda - P")</f>
        <v>33 - X9 - Radya Camilla Arinda - P</v>
      </c>
      <c r="U406" s="12" t="s">
        <v>2238</v>
      </c>
      <c r="W406" s="25">
        <f>COUNTIFS('Form Presensi SCC'!$B:$B, IF($C406&lt;&gt;0, TEXT($C406, "0000000000"), $D406), 'Form Presensi SCC'!$C:$C, "Hadir")</f>
        <v>0</v>
      </c>
      <c r="Y406" s="26"/>
    </row>
    <row r="407" ht="22.5" customHeight="1">
      <c r="A407" s="10">
        <v>406.0</v>
      </c>
      <c r="B407" s="18">
        <v>38.0</v>
      </c>
      <c r="C407" s="18" t="s">
        <v>2239</v>
      </c>
      <c r="D407" s="18" t="s">
        <v>2240</v>
      </c>
      <c r="E407" s="18" t="s">
        <v>220</v>
      </c>
      <c r="F407" s="12">
        <v>33.0</v>
      </c>
      <c r="G407" s="10" t="s">
        <v>2061</v>
      </c>
      <c r="H407" s="19"/>
      <c r="I407" s="20"/>
      <c r="J407" s="10" t="s">
        <v>2061</v>
      </c>
      <c r="K407" s="21"/>
      <c r="L407" s="10"/>
      <c r="M407" s="22"/>
      <c r="N407" s="10"/>
      <c r="O407" s="10"/>
      <c r="P407" s="12" t="str">
        <f t="shared" si="1"/>
        <v>https://docs.google.com/forms/d/e/1FAIpQLSeZ-R1GrWlAPkfaThGqxeTj0QTtrARw4rroxIIepf2kipn1nw/formResponse?usp=pp_url&amp;entry.1313582257=0101902217 / 252610460&amp;entry.1578404635=Hadir</v>
      </c>
      <c r="Q407" s="23" t="s">
        <v>2241</v>
      </c>
      <c r="R407" s="12" t="s">
        <v>2242</v>
      </c>
      <c r="S407" s="24" t="s">
        <v>2243</v>
      </c>
      <c r="T407" s="23" t="str">
        <f>HYPERLINK("https://drive.google.com/file/d/1JR6j_3fS6a1EQNPCEhGrj-Sx0llmN6kD/view?usp=drivesdk","33 - X9 - Rahardian Muhamad Abisiena Koeswara - L")</f>
        <v>33 - X9 - Rahardian Muhamad Abisiena Koeswara - L</v>
      </c>
      <c r="U407" s="12" t="s">
        <v>2238</v>
      </c>
      <c r="W407" s="25">
        <f>COUNTIFS('Form Presensi SCC'!$B:$B, IF($C407&lt;&gt;0, TEXT($C407, "0000000000"), $D407), 'Form Presensi SCC'!$C:$C, "Hadir")</f>
        <v>0</v>
      </c>
      <c r="Y407" s="26"/>
    </row>
    <row r="408" ht="22.5" customHeight="1">
      <c r="A408" s="18">
        <v>407.0</v>
      </c>
      <c r="B408" s="18">
        <v>39.0</v>
      </c>
      <c r="C408" s="18" t="s">
        <v>2244</v>
      </c>
      <c r="D408" s="18" t="s">
        <v>2245</v>
      </c>
      <c r="E408" s="18" t="s">
        <v>227</v>
      </c>
      <c r="F408" s="12">
        <v>33.0</v>
      </c>
      <c r="G408" s="10" t="s">
        <v>2061</v>
      </c>
      <c r="H408" s="19"/>
      <c r="I408" s="20"/>
      <c r="J408" s="10" t="s">
        <v>2061</v>
      </c>
      <c r="K408" s="21"/>
      <c r="L408" s="10"/>
      <c r="M408" s="22"/>
      <c r="N408" s="10"/>
      <c r="O408" s="10"/>
      <c r="P408" s="12" t="str">
        <f t="shared" si="1"/>
        <v>https://docs.google.com/forms/d/e/1FAIpQLSeZ-R1GrWlAPkfaThGqxeTj0QTtrARw4rroxIIepf2kipn1nw/formResponse?usp=pp_url&amp;entry.1313582257=0094238472 / 252610465&amp;entry.1578404635=Hadir</v>
      </c>
      <c r="Q408" s="23" t="s">
        <v>2246</v>
      </c>
      <c r="R408" s="12" t="s">
        <v>2247</v>
      </c>
      <c r="S408" s="24" t="s">
        <v>2248</v>
      </c>
      <c r="T408" s="23" t="str">
        <f>HYPERLINK("https://drive.google.com/file/d/1LHZl9J2LoRDJfgS2iW7IxS1AwPiRo-ej/view?usp=drivesdk","33 - X9 - Raihana Syafiqah Andyni - P")</f>
        <v>33 - X9 - Raihana Syafiqah Andyni - P</v>
      </c>
      <c r="U408" s="12" t="s">
        <v>2238</v>
      </c>
      <c r="W408" s="25">
        <f>COUNTIFS('Form Presensi SCC'!$B:$B, IF($C408&lt;&gt;0, TEXT($C408, "0000000000"), $D408), 'Form Presensi SCC'!$C:$C, "Hadir")</f>
        <v>0</v>
      </c>
      <c r="Y408" s="26"/>
    </row>
    <row r="409" ht="22.5" customHeight="1">
      <c r="A409" s="10">
        <v>408.0</v>
      </c>
      <c r="B409" s="18">
        <v>40.0</v>
      </c>
      <c r="C409" s="18" t="s">
        <v>2249</v>
      </c>
      <c r="D409" s="18" t="s">
        <v>2250</v>
      </c>
      <c r="E409" s="18" t="s">
        <v>227</v>
      </c>
      <c r="F409" s="12">
        <v>33.0</v>
      </c>
      <c r="G409" s="10" t="s">
        <v>2061</v>
      </c>
      <c r="H409" s="19"/>
      <c r="I409" s="20"/>
      <c r="J409" s="10" t="s">
        <v>2061</v>
      </c>
      <c r="K409" s="21"/>
      <c r="L409" s="10"/>
      <c r="M409" s="22"/>
      <c r="N409" s="10"/>
      <c r="O409" s="10"/>
      <c r="P409" s="12" t="str">
        <f t="shared" si="1"/>
        <v>https://docs.google.com/forms/d/e/1FAIpQLSeZ-R1GrWlAPkfaThGqxeTj0QTtrARw4rroxIIepf2kipn1nw/formResponse?usp=pp_url&amp;entry.1313582257=3096149866 / 252610473&amp;entry.1578404635=Hadir</v>
      </c>
      <c r="Q409" s="23" t="s">
        <v>2251</v>
      </c>
      <c r="R409" s="12" t="s">
        <v>2252</v>
      </c>
      <c r="S409" s="24" t="s">
        <v>2253</v>
      </c>
      <c r="T409" s="23" t="str">
        <f>HYPERLINK("https://drive.google.com/file/d/1gF1p6TjGMY2qISJxK6UQZ5nS3RDxxwAl/view?usp=drivesdk","33 - X9 - Rassya Faiq Hibatullah - P")</f>
        <v>33 - X9 - Rassya Faiq Hibatullah - P</v>
      </c>
      <c r="U409" s="12" t="s">
        <v>2238</v>
      </c>
      <c r="W409" s="25">
        <f>COUNTIFS('Form Presensi SCC'!$B:$B, IF($C409&lt;&gt;0, TEXT($C409, "0000000000"), $D409), 'Form Presensi SCC'!$C:$C, "Hadir")</f>
        <v>0</v>
      </c>
      <c r="Y409" s="26"/>
    </row>
    <row r="410" ht="22.5" customHeight="1">
      <c r="A410" s="18">
        <v>409.0</v>
      </c>
      <c r="B410" s="18">
        <v>41.0</v>
      </c>
      <c r="C410" s="18" t="s">
        <v>2254</v>
      </c>
      <c r="D410" s="18" t="s">
        <v>2255</v>
      </c>
      <c r="E410" s="18" t="s">
        <v>220</v>
      </c>
      <c r="F410" s="12">
        <v>33.0</v>
      </c>
      <c r="G410" s="10" t="s">
        <v>2061</v>
      </c>
      <c r="H410" s="19"/>
      <c r="I410" s="20"/>
      <c r="J410" s="10" t="s">
        <v>2061</v>
      </c>
      <c r="K410" s="21"/>
      <c r="L410" s="10"/>
      <c r="M410" s="22"/>
      <c r="N410" s="10"/>
      <c r="O410" s="10"/>
      <c r="P410" s="12" t="str">
        <f t="shared" si="1"/>
        <v>https://docs.google.com/forms/d/e/1FAIpQLSeZ-R1GrWlAPkfaThGqxeTj0QTtrARw4rroxIIepf2kipn1nw/formResponse?usp=pp_url&amp;entry.1313582257=0106183087 / 252610487&amp;entry.1578404635=Hadir</v>
      </c>
      <c r="Q410" s="23" t="s">
        <v>2256</v>
      </c>
      <c r="R410" s="12" t="s">
        <v>2257</v>
      </c>
      <c r="S410" s="24" t="s">
        <v>2258</v>
      </c>
      <c r="T410" s="23" t="str">
        <f>HYPERLINK("https://drive.google.com/file/d/1A54QyLTQmQfyaHIHY_JqO_Li_SZs0yww/view?usp=drivesdk","33 - X9 - Reynaldi - L")</f>
        <v>33 - X9 - Reynaldi - L</v>
      </c>
      <c r="U410" s="12" t="s">
        <v>2238</v>
      </c>
      <c r="W410" s="25">
        <f>COUNTIFS('Form Presensi SCC'!$B:$B, IF($C410&lt;&gt;0, TEXT($C410, "0000000000"), $D410), 'Form Presensi SCC'!$C:$C, "Hadir")</f>
        <v>0</v>
      </c>
      <c r="Y410" s="26"/>
    </row>
    <row r="411" ht="22.5" customHeight="1">
      <c r="A411" s="10">
        <v>410.0</v>
      </c>
      <c r="B411" s="18">
        <v>42.0</v>
      </c>
      <c r="C411" s="18" t="s">
        <v>111</v>
      </c>
      <c r="D411" s="18" t="s">
        <v>2259</v>
      </c>
      <c r="E411" s="18" t="s">
        <v>227</v>
      </c>
      <c r="F411" s="12">
        <v>33.0</v>
      </c>
      <c r="G411" s="10" t="s">
        <v>2061</v>
      </c>
      <c r="H411" s="19"/>
      <c r="I411" s="20"/>
      <c r="J411" s="10" t="s">
        <v>2061</v>
      </c>
      <c r="K411" s="21"/>
      <c r="L411" s="10"/>
      <c r="M411" s="22"/>
      <c r="N411" s="10"/>
      <c r="O411" s="10"/>
      <c r="P411" s="12" t="str">
        <f t="shared" si="1"/>
        <v>https://docs.google.com/forms/d/e/1FAIpQLSeZ-R1GrWlAPkfaThGqxeTj0QTtrARw4rroxIIepf2kipn1nw/formResponse?usp=pp_url&amp;entry.1313582257=0107182326 / 252610511&amp;entry.1578404635=Hadir</v>
      </c>
      <c r="Q411" s="23" t="s">
        <v>2260</v>
      </c>
      <c r="R411" s="12" t="s">
        <v>2261</v>
      </c>
      <c r="S411" s="24" t="s">
        <v>2262</v>
      </c>
      <c r="T411" s="23" t="str">
        <f>HYPERLINK("https://drive.google.com/file/d/1906f_v0pP5AH4xJsJsNL4EwFf8l3niNR/view?usp=drivesdk","33 - X9 - Sekar Raynaningrum - P")</f>
        <v>33 - X9 - Sekar Raynaningrum - P</v>
      </c>
      <c r="U411" s="12" t="s">
        <v>2263</v>
      </c>
      <c r="W411" s="25">
        <f>COUNTIFS('Form Presensi SCC'!$B:$B, IF($C411&lt;&gt;0, TEXT($C411, "0000000000"), $D411), 'Form Presensi SCC'!$C:$C, "Hadir")</f>
        <v>1</v>
      </c>
      <c r="Y411" s="26"/>
    </row>
    <row r="412" ht="22.5" customHeight="1">
      <c r="A412" s="18">
        <v>411.0</v>
      </c>
      <c r="B412" s="18">
        <v>43.0</v>
      </c>
      <c r="C412" s="18" t="s">
        <v>2264</v>
      </c>
      <c r="D412" s="18" t="s">
        <v>2265</v>
      </c>
      <c r="E412" s="18" t="s">
        <v>227</v>
      </c>
      <c r="F412" s="12">
        <v>33.0</v>
      </c>
      <c r="G412" s="10" t="s">
        <v>2061</v>
      </c>
      <c r="H412" s="19"/>
      <c r="I412" s="20"/>
      <c r="J412" s="10" t="s">
        <v>2061</v>
      </c>
      <c r="K412" s="21"/>
      <c r="L412" s="10"/>
      <c r="M412" s="22"/>
      <c r="N412" s="10"/>
      <c r="O412" s="10"/>
      <c r="P412" s="12" t="str">
        <f t="shared" si="1"/>
        <v>https://docs.google.com/forms/d/e/1FAIpQLSeZ-R1GrWlAPkfaThGqxeTj0QTtrARw4rroxIIepf2kipn1nw/formResponse?usp=pp_url&amp;entry.1313582257=0099107315 / 252610530&amp;entry.1578404635=Hadir</v>
      </c>
      <c r="Q412" s="23" t="s">
        <v>2266</v>
      </c>
      <c r="R412" s="12" t="s">
        <v>2267</v>
      </c>
      <c r="S412" s="24" t="s">
        <v>2268</v>
      </c>
      <c r="T412" s="23" t="str">
        <f>HYPERLINK("https://drive.google.com/file/d/1uzXYV45RXbLevz0fKWoRTghKQnTpGLC2/view?usp=drivesdk","33 - X9 - Syahla Nurul Arisma - P")</f>
        <v>33 - X9 - Syahla Nurul Arisma - P</v>
      </c>
      <c r="U412" s="12" t="s">
        <v>2263</v>
      </c>
      <c r="W412" s="25">
        <f>COUNTIFS('Form Presensi SCC'!$B:$B, IF($C412&lt;&gt;0, TEXT($C412, "0000000000"), $D412), 'Form Presensi SCC'!$C:$C, "Hadir")</f>
        <v>0</v>
      </c>
      <c r="Y412" s="26"/>
    </row>
    <row r="413" ht="22.5" customHeight="1">
      <c r="A413" s="10">
        <v>412.0</v>
      </c>
      <c r="B413" s="18">
        <v>44.0</v>
      </c>
      <c r="C413" s="18" t="s">
        <v>109</v>
      </c>
      <c r="D413" s="18" t="s">
        <v>2269</v>
      </c>
      <c r="E413" s="18" t="s">
        <v>220</v>
      </c>
      <c r="F413" s="12">
        <v>33.0</v>
      </c>
      <c r="G413" s="10" t="s">
        <v>2061</v>
      </c>
      <c r="H413" s="19"/>
      <c r="I413" s="20"/>
      <c r="J413" s="10" t="s">
        <v>2061</v>
      </c>
      <c r="K413" s="21"/>
      <c r="L413" s="10"/>
      <c r="M413" s="22"/>
      <c r="N413" s="10"/>
      <c r="O413" s="10"/>
      <c r="P413" s="12" t="str">
        <f t="shared" si="1"/>
        <v>https://docs.google.com/forms/d/e/1FAIpQLSeZ-R1GrWlAPkfaThGqxeTj0QTtrARw4rroxIIepf2kipn1nw/formResponse?usp=pp_url&amp;entry.1313582257=0094680852 / 252610537&amp;entry.1578404635=Hadir</v>
      </c>
      <c r="Q413" s="23" t="s">
        <v>2270</v>
      </c>
      <c r="R413" s="12" t="s">
        <v>2271</v>
      </c>
      <c r="S413" s="24" t="s">
        <v>2272</v>
      </c>
      <c r="T413" s="23" t="str">
        <f>HYPERLINK("https://drive.google.com/file/d/1T3pcPnYfbSEJUkbX8K2Ug5rl2aePxpRN/view?usp=drivesdk","33 - X9 - Syauqi Anandya Putri - L")</f>
        <v>33 - X9 - Syauqi Anandya Putri - L</v>
      </c>
      <c r="U413" s="12" t="s">
        <v>2263</v>
      </c>
      <c r="W413" s="25">
        <f>COUNTIFS('Form Presensi SCC'!$B:$B, IF($C413&lt;&gt;0, TEXT($C413, "0000000000"), $D413), 'Form Presensi SCC'!$C:$C, "Hadir")</f>
        <v>1</v>
      </c>
      <c r="Y413" s="26"/>
    </row>
    <row r="414" ht="22.5" customHeight="1">
      <c r="A414" s="18">
        <v>413.0</v>
      </c>
      <c r="B414" s="18">
        <v>45.0</v>
      </c>
      <c r="C414" s="18" t="s">
        <v>115</v>
      </c>
      <c r="D414" s="18" t="s">
        <v>2273</v>
      </c>
      <c r="E414" s="18" t="s">
        <v>227</v>
      </c>
      <c r="F414" s="12">
        <v>33.0</v>
      </c>
      <c r="G414" s="10" t="s">
        <v>2061</v>
      </c>
      <c r="H414" s="19"/>
      <c r="I414" s="20"/>
      <c r="J414" s="10" t="s">
        <v>2061</v>
      </c>
      <c r="K414" s="21"/>
      <c r="L414" s="10"/>
      <c r="M414" s="22"/>
      <c r="N414" s="10"/>
      <c r="O414" s="10"/>
      <c r="P414" s="12" t="str">
        <f t="shared" si="1"/>
        <v>https://docs.google.com/forms/d/e/1FAIpQLSeZ-R1GrWlAPkfaThGqxeTj0QTtrARw4rroxIIepf2kipn1nw/formResponse?usp=pp_url&amp;entry.1313582257=0098348385 / 252610542&amp;entry.1578404635=Hadir</v>
      </c>
      <c r="Q414" s="23" t="s">
        <v>2274</v>
      </c>
      <c r="R414" s="12" t="s">
        <v>2275</v>
      </c>
      <c r="S414" s="24" t="s">
        <v>2276</v>
      </c>
      <c r="T414" s="23" t="str">
        <f>HYPERLINK("https://drive.google.com/file/d/1Q3XJt-z3JbZDBzqvSjEuZqCQsw2U8Y6G/view?usp=drivesdk","33 - X9 - Tayya Dzulhijjah Mokodompit - P")</f>
        <v>33 - X9 - Tayya Dzulhijjah Mokodompit - P</v>
      </c>
      <c r="U414" s="12" t="s">
        <v>2263</v>
      </c>
      <c r="W414" s="25">
        <f>COUNTIFS('Form Presensi SCC'!$B:$B, IF($C414&lt;&gt;0, TEXT($C414, "0000000000"), $D414), 'Form Presensi SCC'!$C:$C, "Hadir")</f>
        <v>1</v>
      </c>
      <c r="Y414" s="26"/>
    </row>
    <row r="415" ht="22.5" customHeight="1">
      <c r="A415" s="10">
        <v>414.0</v>
      </c>
      <c r="B415" s="18">
        <v>1.0</v>
      </c>
      <c r="C415" s="18" t="s">
        <v>158</v>
      </c>
      <c r="D415" s="18" t="s">
        <v>2277</v>
      </c>
      <c r="E415" s="18" t="s">
        <v>220</v>
      </c>
      <c r="F415" s="12">
        <v>33.0</v>
      </c>
      <c r="G415" s="10" t="s">
        <v>2278</v>
      </c>
      <c r="H415" s="22" t="s">
        <v>371</v>
      </c>
      <c r="I415" s="20"/>
      <c r="J415" s="10" t="s">
        <v>2278</v>
      </c>
      <c r="K415" s="21"/>
      <c r="L415" s="10"/>
      <c r="M415" s="22"/>
      <c r="N415" s="10"/>
      <c r="O415" s="10"/>
      <c r="P415" s="12" t="str">
        <f t="shared" si="1"/>
        <v>https://docs.google.com/forms/d/e/1FAIpQLSeZ-R1GrWlAPkfaThGqxeTj0QTtrARw4rroxIIepf2kipn1nw/formResponse?usp=pp_url&amp;entry.1313582257=0096033014 / 252610001&amp;entry.1578404635=Hadir</v>
      </c>
      <c r="Q415" s="23" t="s">
        <v>2279</v>
      </c>
      <c r="R415" s="12" t="s">
        <v>2280</v>
      </c>
      <c r="S415" s="24" t="s">
        <v>2281</v>
      </c>
      <c r="T415" s="23" t="str">
        <f>HYPERLINK("https://drive.google.com/file/d/1uENI4xfrK1ExKVLJUjiRv1ZpmZCnr6w9/view?usp=drivesdk","33 - X10 - Abdul Ghofar - L")</f>
        <v>33 - X10 - Abdul Ghofar - L</v>
      </c>
      <c r="U415" s="12" t="s">
        <v>2263</v>
      </c>
      <c r="W415" s="25">
        <f>COUNTIFS('Form Presensi SCC'!$B:$B, IF($C415&lt;&gt;0, TEXT($C415, "0000000000"), $D415), 'Form Presensi SCC'!$C:$C, "Hadir")</f>
        <v>3</v>
      </c>
      <c r="Y415" s="26"/>
    </row>
    <row r="416" ht="22.5" customHeight="1">
      <c r="A416" s="18">
        <v>415.0</v>
      </c>
      <c r="B416" s="18">
        <v>2.0</v>
      </c>
      <c r="C416" s="18" t="s">
        <v>2282</v>
      </c>
      <c r="D416" s="18" t="s">
        <v>2283</v>
      </c>
      <c r="E416" s="18" t="s">
        <v>220</v>
      </c>
      <c r="F416" s="12">
        <v>33.0</v>
      </c>
      <c r="G416" s="10" t="s">
        <v>2278</v>
      </c>
      <c r="H416" s="19"/>
      <c r="I416" s="20"/>
      <c r="J416" s="10" t="s">
        <v>2278</v>
      </c>
      <c r="K416" s="21"/>
      <c r="L416" s="10"/>
      <c r="M416" s="22"/>
      <c r="N416" s="10"/>
      <c r="O416" s="10"/>
      <c r="P416" s="12" t="str">
        <f t="shared" si="1"/>
        <v>https://docs.google.com/forms/d/e/1FAIpQLSeZ-R1GrWlAPkfaThGqxeTj0QTtrARw4rroxIIepf2kipn1nw/formResponse?usp=pp_url&amp;entry.1313582257=0104072965 / 252610012&amp;entry.1578404635=Hadir</v>
      </c>
      <c r="Q416" s="23" t="s">
        <v>2284</v>
      </c>
      <c r="R416" s="12" t="s">
        <v>2285</v>
      </c>
      <c r="S416" s="24" t="s">
        <v>2286</v>
      </c>
      <c r="T416" s="23" t="str">
        <f>HYPERLINK("https://drive.google.com/file/d/1kSBm6IyIqzfd4b3VBfGw71zeAeieDgeF/view?usp=drivesdk","33 - X10 - Aditya Bayu Sutanto - L")</f>
        <v>33 - X10 - Aditya Bayu Sutanto - L</v>
      </c>
      <c r="U416" s="12" t="s">
        <v>2287</v>
      </c>
      <c r="W416" s="25">
        <f>COUNTIFS('Form Presensi SCC'!$B:$B, IF($C416&lt;&gt;0, TEXT($C416, "0000000000"), $D416), 'Form Presensi SCC'!$C:$C, "Hadir")</f>
        <v>0</v>
      </c>
      <c r="Y416" s="26"/>
    </row>
    <row r="417" ht="22.5" customHeight="1">
      <c r="A417" s="10">
        <v>416.0</v>
      </c>
      <c r="B417" s="18">
        <v>3.0</v>
      </c>
      <c r="C417" s="18" t="s">
        <v>2288</v>
      </c>
      <c r="D417" s="18" t="s">
        <v>2289</v>
      </c>
      <c r="E417" s="18" t="s">
        <v>227</v>
      </c>
      <c r="F417" s="12">
        <v>33.0</v>
      </c>
      <c r="G417" s="10" t="s">
        <v>2278</v>
      </c>
      <c r="H417" s="19"/>
      <c r="I417" s="20"/>
      <c r="J417" s="10" t="s">
        <v>2278</v>
      </c>
      <c r="K417" s="21"/>
      <c r="L417" s="10"/>
      <c r="M417" s="22"/>
      <c r="N417" s="10"/>
      <c r="O417" s="10"/>
      <c r="P417" s="12" t="str">
        <f t="shared" si="1"/>
        <v>https://docs.google.com/forms/d/e/1FAIpQLSeZ-R1GrWlAPkfaThGqxeTj0QTtrARw4rroxIIepf2kipn1nw/formResponse?usp=pp_url&amp;entry.1313582257=2107246447 / 252610014&amp;entry.1578404635=Hadir</v>
      </c>
      <c r="Q417" s="23" t="s">
        <v>2290</v>
      </c>
      <c r="R417" s="12" t="s">
        <v>2291</v>
      </c>
      <c r="S417" s="24" t="s">
        <v>2292</v>
      </c>
      <c r="T417" s="23" t="str">
        <f>HYPERLINK("https://drive.google.com/file/d/12SAYlR-y51OOJWjua-s1-_V-N3JytqmG/view?usp=drivesdk","33 - X10 - Affy Kaew Ni'Mitr Alhanafi - P")</f>
        <v>33 - X10 - Affy Kaew Ni'Mitr Alhanafi - P</v>
      </c>
      <c r="U417" s="12" t="s">
        <v>2287</v>
      </c>
      <c r="W417" s="25">
        <f>COUNTIFS('Form Presensi SCC'!$B:$B, IF($C417&lt;&gt;0, TEXT($C417, "0000000000"), $D417), 'Form Presensi SCC'!$C:$C, "Hadir")</f>
        <v>0</v>
      </c>
      <c r="Y417" s="26"/>
    </row>
    <row r="418" ht="22.5" customHeight="1">
      <c r="A418" s="18">
        <v>417.0</v>
      </c>
      <c r="B418" s="18">
        <v>4.0</v>
      </c>
      <c r="C418" s="18" t="s">
        <v>2293</v>
      </c>
      <c r="D418" s="18" t="s">
        <v>2294</v>
      </c>
      <c r="E418" s="18" t="s">
        <v>220</v>
      </c>
      <c r="F418" s="12">
        <v>33.0</v>
      </c>
      <c r="G418" s="10" t="s">
        <v>2278</v>
      </c>
      <c r="H418" s="19"/>
      <c r="I418" s="20"/>
      <c r="J418" s="10" t="s">
        <v>2278</v>
      </c>
      <c r="K418" s="21"/>
      <c r="L418" s="10"/>
      <c r="M418" s="22"/>
      <c r="N418" s="10"/>
      <c r="O418" s="10"/>
      <c r="P418" s="12" t="str">
        <f t="shared" si="1"/>
        <v>https://docs.google.com/forms/d/e/1FAIpQLSeZ-R1GrWlAPkfaThGqxeTj0QTtrARw4rroxIIepf2kipn1nw/formResponse?usp=pp_url&amp;entry.1313582257=0096128036 / 252610020&amp;entry.1578404635=Hadir</v>
      </c>
      <c r="Q418" s="23" t="s">
        <v>2295</v>
      </c>
      <c r="R418" s="12" t="s">
        <v>2296</v>
      </c>
      <c r="S418" s="24" t="s">
        <v>2297</v>
      </c>
      <c r="T418" s="23" t="str">
        <f>HYPERLINK("https://drive.google.com/file/d/1pEwBdU-KniYGWZsHFB3AER3ez3q1TyPe/view?usp=drivesdk","33 - X10 - Ahmad Husein Al Latief - L")</f>
        <v>33 - X10 - Ahmad Husein Al Latief - L</v>
      </c>
      <c r="U418" s="12" t="s">
        <v>2287</v>
      </c>
      <c r="W418" s="25">
        <f>COUNTIFS('Form Presensi SCC'!$B:$B, IF($C418&lt;&gt;0, TEXT($C418, "0000000000"), $D418), 'Form Presensi SCC'!$C:$C, "Hadir")</f>
        <v>0</v>
      </c>
      <c r="Y418" s="26"/>
    </row>
    <row r="419" ht="22.5" customHeight="1">
      <c r="A419" s="10">
        <v>418.0</v>
      </c>
      <c r="B419" s="18">
        <v>5.0</v>
      </c>
      <c r="C419" s="18" t="s">
        <v>2298</v>
      </c>
      <c r="D419" s="18" t="s">
        <v>2299</v>
      </c>
      <c r="E419" s="18" t="s">
        <v>220</v>
      </c>
      <c r="F419" s="12">
        <v>33.0</v>
      </c>
      <c r="G419" s="10" t="s">
        <v>2278</v>
      </c>
      <c r="H419" s="19"/>
      <c r="I419" s="20"/>
      <c r="J419" s="10" t="s">
        <v>2278</v>
      </c>
      <c r="K419" s="21"/>
      <c r="L419" s="10"/>
      <c r="M419" s="22"/>
      <c r="N419" s="10"/>
      <c r="O419" s="10"/>
      <c r="P419" s="12" t="str">
        <f t="shared" si="1"/>
        <v>https://docs.google.com/forms/d/e/1FAIpQLSeZ-R1GrWlAPkfaThGqxeTj0QTtrARw4rroxIIepf2kipn1nw/formResponse?usp=pp_url&amp;entry.1313582257=0107055406 / 252610032&amp;entry.1578404635=Hadir</v>
      </c>
      <c r="Q419" s="23" t="s">
        <v>2300</v>
      </c>
      <c r="R419" s="12" t="s">
        <v>2301</v>
      </c>
      <c r="S419" s="24" t="s">
        <v>2302</v>
      </c>
      <c r="T419" s="23" t="str">
        <f>HYPERLINK("https://drive.google.com/file/d/1oMSeiX52SMriRYPe7C63UcjyeER0aWkM/view?usp=drivesdk","33 - X10 - Akram Mubarak - L")</f>
        <v>33 - X10 - Akram Mubarak - L</v>
      </c>
      <c r="U419" s="12" t="s">
        <v>2287</v>
      </c>
      <c r="W419" s="25">
        <f>COUNTIFS('Form Presensi SCC'!$B:$B, IF($C419&lt;&gt;0, TEXT($C419, "0000000000"), $D419), 'Form Presensi SCC'!$C:$C, "Hadir")</f>
        <v>0</v>
      </c>
      <c r="Y419" s="26"/>
    </row>
    <row r="420" ht="22.5" customHeight="1">
      <c r="A420" s="18">
        <v>419.0</v>
      </c>
      <c r="B420" s="18">
        <v>6.0</v>
      </c>
      <c r="C420" s="18" t="s">
        <v>87</v>
      </c>
      <c r="D420" s="18" t="s">
        <v>2303</v>
      </c>
      <c r="E420" s="18" t="s">
        <v>227</v>
      </c>
      <c r="F420" s="12">
        <v>33.0</v>
      </c>
      <c r="G420" s="10" t="s">
        <v>2278</v>
      </c>
      <c r="H420" s="19"/>
      <c r="I420" s="20"/>
      <c r="J420" s="10" t="s">
        <v>2278</v>
      </c>
      <c r="K420" s="21"/>
      <c r="L420" s="10"/>
      <c r="M420" s="22"/>
      <c r="N420" s="10"/>
      <c r="O420" s="10"/>
      <c r="P420" s="12" t="str">
        <f t="shared" si="1"/>
        <v>https://docs.google.com/forms/d/e/1FAIpQLSeZ-R1GrWlAPkfaThGqxeTj0QTtrARw4rroxIIepf2kipn1nw/formResponse?usp=pp_url&amp;entry.1313582257=0108389311 / 252610037&amp;entry.1578404635=Hadir</v>
      </c>
      <c r="Q420" s="23" t="s">
        <v>2304</v>
      </c>
      <c r="R420" s="12" t="s">
        <v>2305</v>
      </c>
      <c r="S420" s="24" t="s">
        <v>2306</v>
      </c>
      <c r="T420" s="23" t="str">
        <f>HYPERLINK("https://drive.google.com/file/d/1MyeTXKFxsF093--UrF5stTZuF5LlBgp9/view?usp=drivesdk","33 - X10 - Alfi Amalia - P")</f>
        <v>33 - X10 - Alfi Amalia - P</v>
      </c>
      <c r="U420" s="12" t="s">
        <v>2287</v>
      </c>
      <c r="W420" s="25">
        <f>COUNTIFS('Form Presensi SCC'!$B:$B, IF($C420&lt;&gt;0, TEXT($C420, "0000000000"), $D420), 'Form Presensi SCC'!$C:$C, "Hadir")</f>
        <v>3</v>
      </c>
      <c r="Y420" s="26"/>
    </row>
    <row r="421" ht="22.5" customHeight="1">
      <c r="A421" s="10">
        <v>420.0</v>
      </c>
      <c r="B421" s="18">
        <v>7.0</v>
      </c>
      <c r="C421" s="18" t="s">
        <v>88</v>
      </c>
      <c r="D421" s="18" t="s">
        <v>2307</v>
      </c>
      <c r="E421" s="18" t="s">
        <v>227</v>
      </c>
      <c r="F421" s="12">
        <v>33.0</v>
      </c>
      <c r="G421" s="10" t="s">
        <v>2278</v>
      </c>
      <c r="H421" s="19"/>
      <c r="I421" s="20"/>
      <c r="J421" s="10" t="s">
        <v>2278</v>
      </c>
      <c r="K421" s="21"/>
      <c r="L421" s="10"/>
      <c r="M421" s="22"/>
      <c r="N421" s="10"/>
      <c r="O421" s="10"/>
      <c r="P421" s="12" t="str">
        <f t="shared" si="1"/>
        <v>https://docs.google.com/forms/d/e/1FAIpQLSeZ-R1GrWlAPkfaThGqxeTj0QTtrARw4rroxIIepf2kipn1nw/formResponse?usp=pp_url&amp;entry.1313582257=0097357764 / 252610054&amp;entry.1578404635=Hadir</v>
      </c>
      <c r="Q421" s="23" t="s">
        <v>2308</v>
      </c>
      <c r="R421" s="12" t="s">
        <v>2309</v>
      </c>
      <c r="S421" s="24" t="s">
        <v>2310</v>
      </c>
      <c r="T421" s="23" t="str">
        <f>HYPERLINK("https://drive.google.com/file/d/1TdZqpL1B49vdAbNfzmwQa4e53f_CjSXn/view?usp=drivesdk","33 - X10 - Amelia Nur Zahra - P")</f>
        <v>33 - X10 - Amelia Nur Zahra - P</v>
      </c>
      <c r="U421" s="12" t="s">
        <v>2311</v>
      </c>
      <c r="W421" s="25">
        <f>COUNTIFS('Form Presensi SCC'!$B:$B, IF($C421&lt;&gt;0, TEXT($C421, "0000000000"), $D421), 'Form Presensi SCC'!$C:$C, "Hadir")</f>
        <v>1</v>
      </c>
      <c r="Y421" s="26"/>
    </row>
    <row r="422" ht="22.5" customHeight="1">
      <c r="A422" s="18">
        <v>421.0</v>
      </c>
      <c r="B422" s="18">
        <v>8.0</v>
      </c>
      <c r="C422" s="18" t="s">
        <v>2312</v>
      </c>
      <c r="D422" s="18" t="s">
        <v>2313</v>
      </c>
      <c r="E422" s="18" t="s">
        <v>220</v>
      </c>
      <c r="F422" s="12">
        <v>33.0</v>
      </c>
      <c r="G422" s="10" t="s">
        <v>2278</v>
      </c>
      <c r="H422" s="19"/>
      <c r="I422" s="20"/>
      <c r="J422" s="10" t="s">
        <v>2278</v>
      </c>
      <c r="K422" s="21"/>
      <c r="L422" s="10"/>
      <c r="M422" s="22"/>
      <c r="N422" s="10"/>
      <c r="O422" s="10"/>
      <c r="P422" s="12" t="str">
        <f t="shared" si="1"/>
        <v>https://docs.google.com/forms/d/e/1FAIpQLSeZ-R1GrWlAPkfaThGqxeTj0QTtrARw4rroxIIepf2kipn1nw/formResponse?usp=pp_url&amp;entry.1313582257=0102387971 / 252610059&amp;entry.1578404635=Hadir</v>
      </c>
      <c r="Q422" s="23" t="s">
        <v>2314</v>
      </c>
      <c r="R422" s="12" t="s">
        <v>2315</v>
      </c>
      <c r="S422" s="24" t="s">
        <v>2316</v>
      </c>
      <c r="T422" s="23" t="str">
        <f>HYPERLINK("https://drive.google.com/file/d/1H2XHA7whVQdCMigAfZ445zluSCl5G9PM/view?usp=drivesdk","33 - X10 - Ananda Bari Al Kausar - L")</f>
        <v>33 - X10 - Ananda Bari Al Kausar - L</v>
      </c>
      <c r="U422" s="12" t="s">
        <v>2311</v>
      </c>
      <c r="W422" s="25">
        <f>COUNTIFS('Form Presensi SCC'!$B:$B, IF($C422&lt;&gt;0, TEXT($C422, "0000000000"), $D422), 'Form Presensi SCC'!$C:$C, "Hadir")</f>
        <v>0</v>
      </c>
      <c r="Y422" s="26"/>
    </row>
    <row r="423" ht="22.5" customHeight="1">
      <c r="A423" s="10">
        <v>422.0</v>
      </c>
      <c r="B423" s="18">
        <v>9.0</v>
      </c>
      <c r="C423" s="18" t="s">
        <v>2317</v>
      </c>
      <c r="D423" s="18" t="s">
        <v>2318</v>
      </c>
      <c r="E423" s="18" t="s">
        <v>227</v>
      </c>
      <c r="F423" s="12">
        <v>33.0</v>
      </c>
      <c r="G423" s="10" t="s">
        <v>2278</v>
      </c>
      <c r="H423" s="19"/>
      <c r="I423" s="20"/>
      <c r="J423" s="10" t="s">
        <v>2278</v>
      </c>
      <c r="K423" s="21"/>
      <c r="L423" s="10"/>
      <c r="M423" s="22"/>
      <c r="N423" s="10"/>
      <c r="O423" s="10"/>
      <c r="P423" s="12" t="str">
        <f t="shared" si="1"/>
        <v>https://docs.google.com/forms/d/e/1FAIpQLSeZ-R1GrWlAPkfaThGqxeTj0QTtrARw4rroxIIepf2kipn1nw/formResponse?usp=pp_url&amp;entry.1313582257=0092171774 / 252610089&amp;entry.1578404635=Hadir</v>
      </c>
      <c r="Q423" s="23" t="s">
        <v>2319</v>
      </c>
      <c r="R423" s="12" t="s">
        <v>2320</v>
      </c>
      <c r="S423" s="24" t="s">
        <v>2321</v>
      </c>
      <c r="T423" s="23" t="str">
        <f>HYPERLINK("https://drive.google.com/file/d/1xwWTmUvDRhtLoZM9IQU_KcP0Xg_MuKRQ/view?usp=drivesdk","33 - X10 - Ataya Arkan Ramadhan - P")</f>
        <v>33 - X10 - Ataya Arkan Ramadhan - P</v>
      </c>
      <c r="U423" s="12" t="s">
        <v>2311</v>
      </c>
      <c r="W423" s="25">
        <f>COUNTIFS('Form Presensi SCC'!$B:$B, IF($C423&lt;&gt;0, TEXT($C423, "0000000000"), $D423), 'Form Presensi SCC'!$C:$C, "Hadir")</f>
        <v>0</v>
      </c>
      <c r="Y423" s="26"/>
    </row>
    <row r="424" ht="22.5" customHeight="1">
      <c r="A424" s="18">
        <v>423.0</v>
      </c>
      <c r="B424" s="18">
        <v>10.0</v>
      </c>
      <c r="C424" s="18" t="s">
        <v>2322</v>
      </c>
      <c r="D424" s="18" t="s">
        <v>2323</v>
      </c>
      <c r="E424" s="18" t="s">
        <v>227</v>
      </c>
      <c r="F424" s="12">
        <v>33.0</v>
      </c>
      <c r="G424" s="10" t="s">
        <v>2278</v>
      </c>
      <c r="H424" s="19"/>
      <c r="I424" s="20"/>
      <c r="J424" s="10" t="s">
        <v>2278</v>
      </c>
      <c r="K424" s="21"/>
      <c r="L424" s="10"/>
      <c r="M424" s="22"/>
      <c r="N424" s="10"/>
      <c r="O424" s="10"/>
      <c r="P424" s="12" t="str">
        <f t="shared" si="1"/>
        <v>https://docs.google.com/forms/d/e/1FAIpQLSeZ-R1GrWlAPkfaThGqxeTj0QTtrARw4rroxIIepf2kipn1nw/formResponse?usp=pp_url&amp;entry.1313582257=0103134538 / 252610091&amp;entry.1578404635=Hadir</v>
      </c>
      <c r="Q424" s="23" t="s">
        <v>2324</v>
      </c>
      <c r="R424" s="12" t="s">
        <v>2325</v>
      </c>
      <c r="S424" s="24" t="s">
        <v>2326</v>
      </c>
      <c r="T424" s="23" t="str">
        <f>HYPERLINK("https://drive.google.com/file/d/1sIM86_jXFN0MemXnsfyi_itswaOvLt5k/view?usp=drivesdk","33 - X10 - Athaya Muhammad Daffa - P")</f>
        <v>33 - X10 - Athaya Muhammad Daffa - P</v>
      </c>
      <c r="U424" s="12" t="s">
        <v>2311</v>
      </c>
      <c r="W424" s="25">
        <f>COUNTIFS('Form Presensi SCC'!$B:$B, IF($C424&lt;&gt;0, TEXT($C424, "0000000000"), $D424), 'Form Presensi SCC'!$C:$C, "Hadir")</f>
        <v>0</v>
      </c>
      <c r="Y424" s="26"/>
    </row>
    <row r="425" ht="22.5" customHeight="1">
      <c r="A425" s="10">
        <v>424.0</v>
      </c>
      <c r="B425" s="18">
        <v>11.0</v>
      </c>
      <c r="C425" s="18" t="s">
        <v>89</v>
      </c>
      <c r="D425" s="18" t="s">
        <v>2327</v>
      </c>
      <c r="E425" s="18" t="s">
        <v>227</v>
      </c>
      <c r="F425" s="12">
        <v>33.0</v>
      </c>
      <c r="G425" s="10" t="s">
        <v>2278</v>
      </c>
      <c r="H425" s="19"/>
      <c r="I425" s="20"/>
      <c r="J425" s="10" t="s">
        <v>2278</v>
      </c>
      <c r="K425" s="21"/>
      <c r="L425" s="10"/>
      <c r="M425" s="22"/>
      <c r="N425" s="10"/>
      <c r="O425" s="10"/>
      <c r="P425" s="12" t="str">
        <f t="shared" si="1"/>
        <v>https://docs.google.com/forms/d/e/1FAIpQLSeZ-R1GrWlAPkfaThGqxeTj0QTtrARw4rroxIIepf2kipn1nw/formResponse?usp=pp_url&amp;entry.1313582257=0104895570 / 252610099&amp;entry.1578404635=Hadir</v>
      </c>
      <c r="Q425" s="23" t="s">
        <v>2328</v>
      </c>
      <c r="R425" s="12" t="s">
        <v>2329</v>
      </c>
      <c r="S425" s="24" t="s">
        <v>2330</v>
      </c>
      <c r="T425" s="23" t="str">
        <f>HYPERLINK("https://drive.google.com/file/d/10KFoxBEtRV__suDiWCvI9dbMOnmGbsrI/view?usp=drivesdk","33 - X10 - Aura Nabilah Zahirah - P")</f>
        <v>33 - X10 - Aura Nabilah Zahirah - P</v>
      </c>
      <c r="U425" s="12" t="s">
        <v>2311</v>
      </c>
      <c r="W425" s="25">
        <f>COUNTIFS('Form Presensi SCC'!$B:$B, IF($C425&lt;&gt;0, TEXT($C425, "0000000000"), $D425), 'Form Presensi SCC'!$C:$C, "Hadir")</f>
        <v>3</v>
      </c>
      <c r="Y425" s="26"/>
    </row>
    <row r="426" ht="22.5" customHeight="1">
      <c r="A426" s="18">
        <v>425.0</v>
      </c>
      <c r="B426" s="18">
        <v>12.0</v>
      </c>
      <c r="C426" s="18" t="s">
        <v>90</v>
      </c>
      <c r="D426" s="18" t="s">
        <v>2331</v>
      </c>
      <c r="E426" s="18" t="s">
        <v>227</v>
      </c>
      <c r="F426" s="12">
        <v>33.0</v>
      </c>
      <c r="G426" s="10" t="s">
        <v>2278</v>
      </c>
      <c r="H426" s="19"/>
      <c r="I426" s="20"/>
      <c r="J426" s="10" t="s">
        <v>2278</v>
      </c>
      <c r="K426" s="21"/>
      <c r="L426" s="10"/>
      <c r="M426" s="22"/>
      <c r="N426" s="10"/>
      <c r="O426" s="10"/>
      <c r="P426" s="12" t="str">
        <f t="shared" si="1"/>
        <v>https://docs.google.com/forms/d/e/1FAIpQLSeZ-R1GrWlAPkfaThGqxeTj0QTtrARw4rroxIIepf2kipn1nw/formResponse?usp=pp_url&amp;entry.1313582257=0099138854 / 252610103&amp;entry.1578404635=Hadir</v>
      </c>
      <c r="Q426" s="23" t="s">
        <v>2332</v>
      </c>
      <c r="R426" s="12" t="s">
        <v>2333</v>
      </c>
      <c r="S426" s="24" t="s">
        <v>2334</v>
      </c>
      <c r="T426" s="23" t="str">
        <f>HYPERLINK("https://drive.google.com/file/d/1qH8d0SKifWVqC-pmO2WbRoiWVfOmFZXG/view?usp=drivesdk","33 - X10 - Aurora Putri Samudra Dwiko - P")</f>
        <v>33 - X10 - Aurora Putri Samudra Dwiko - P</v>
      </c>
      <c r="U426" s="12" t="s">
        <v>2335</v>
      </c>
      <c r="W426" s="25">
        <f>COUNTIFS('Form Presensi SCC'!$B:$B, IF($C426&lt;&gt;0, TEXT($C426, "0000000000"), $D426), 'Form Presensi SCC'!$C:$C, "Hadir")</f>
        <v>2</v>
      </c>
      <c r="Y426" s="26"/>
    </row>
    <row r="427" ht="22.5" customHeight="1">
      <c r="A427" s="10">
        <v>426.0</v>
      </c>
      <c r="B427" s="18">
        <v>13.0</v>
      </c>
      <c r="C427" s="18" t="s">
        <v>91</v>
      </c>
      <c r="D427" s="18" t="s">
        <v>2336</v>
      </c>
      <c r="E427" s="18" t="s">
        <v>227</v>
      </c>
      <c r="F427" s="12">
        <v>33.0</v>
      </c>
      <c r="G427" s="10" t="s">
        <v>2278</v>
      </c>
      <c r="H427" s="19"/>
      <c r="I427" s="20"/>
      <c r="J427" s="10" t="s">
        <v>2278</v>
      </c>
      <c r="K427" s="21"/>
      <c r="L427" s="10"/>
      <c r="M427" s="22"/>
      <c r="N427" s="10"/>
      <c r="O427" s="10"/>
      <c r="P427" s="12" t="str">
        <f t="shared" si="1"/>
        <v>https://docs.google.com/forms/d/e/1FAIpQLSeZ-R1GrWlAPkfaThGqxeTj0QTtrARw4rroxIIepf2kipn1nw/formResponse?usp=pp_url&amp;entry.1313582257=0105133490 / 252610119&amp;entry.1578404635=Hadir</v>
      </c>
      <c r="Q427" s="23" t="s">
        <v>2337</v>
      </c>
      <c r="R427" s="12" t="s">
        <v>2338</v>
      </c>
      <c r="S427" s="24" t="s">
        <v>2339</v>
      </c>
      <c r="T427" s="23" t="str">
        <f>HYPERLINK("https://drive.google.com/file/d/1jZEXvIxTbtBA-9FgGjOoC5E2YEF_fhGq/view?usp=drivesdk","33 - X10 - Belva Thalita Ramadhena - P")</f>
        <v>33 - X10 - Belva Thalita Ramadhena - P</v>
      </c>
      <c r="U427" s="12" t="s">
        <v>2335</v>
      </c>
      <c r="W427" s="25">
        <f>COUNTIFS('Form Presensi SCC'!$B:$B, IF($C427&lt;&gt;0, TEXT($C427, "0000000000"), $D427), 'Form Presensi SCC'!$C:$C, "Hadir")</f>
        <v>2</v>
      </c>
      <c r="Y427" s="26"/>
    </row>
    <row r="428" ht="22.5" customHeight="1">
      <c r="A428" s="18">
        <v>427.0</v>
      </c>
      <c r="B428" s="18">
        <v>14.0</v>
      </c>
      <c r="C428" s="18" t="s">
        <v>2340</v>
      </c>
      <c r="D428" s="18" t="s">
        <v>2341</v>
      </c>
      <c r="E428" s="18" t="s">
        <v>220</v>
      </c>
      <c r="F428" s="12">
        <v>33.0</v>
      </c>
      <c r="G428" s="10" t="s">
        <v>2278</v>
      </c>
      <c r="H428" s="19"/>
      <c r="I428" s="20"/>
      <c r="J428" s="10" t="s">
        <v>2278</v>
      </c>
      <c r="K428" s="21"/>
      <c r="L428" s="10"/>
      <c r="M428" s="22"/>
      <c r="N428" s="10"/>
      <c r="O428" s="10"/>
      <c r="P428" s="12" t="str">
        <f t="shared" si="1"/>
        <v>https://docs.google.com/forms/d/e/1FAIpQLSeZ-R1GrWlAPkfaThGqxeTj0QTtrARw4rroxIIepf2kipn1nw/formResponse?usp=pp_url&amp;entry.1313582257=0099153455 / 252610128&amp;entry.1578404635=Hadir</v>
      </c>
      <c r="Q428" s="23" t="s">
        <v>2342</v>
      </c>
      <c r="R428" s="12" t="s">
        <v>2343</v>
      </c>
      <c r="S428" s="24" t="s">
        <v>2344</v>
      </c>
      <c r="T428" s="23" t="str">
        <f>HYPERLINK("https://drive.google.com/file/d/1ohcOeJRDt0K164RFLDrIA8kLRRyqfLFo/view?usp=drivesdk","33 - X10 - Bintang Mahardika Abhyoso Ardy - L")</f>
        <v>33 - X10 - Bintang Mahardika Abhyoso Ardy - L</v>
      </c>
      <c r="U428" s="12" t="s">
        <v>2335</v>
      </c>
      <c r="W428" s="25">
        <f>COUNTIFS('Form Presensi SCC'!$B:$B, IF($C428&lt;&gt;0, TEXT($C428, "0000000000"), $D428), 'Form Presensi SCC'!$C:$C, "Hadir")</f>
        <v>0</v>
      </c>
      <c r="Y428" s="26"/>
    </row>
    <row r="429" ht="22.5" customHeight="1">
      <c r="A429" s="10">
        <v>428.0</v>
      </c>
      <c r="B429" s="18">
        <v>15.0</v>
      </c>
      <c r="C429" s="18" t="s">
        <v>2345</v>
      </c>
      <c r="D429" s="18" t="s">
        <v>2346</v>
      </c>
      <c r="E429" s="18" t="s">
        <v>227</v>
      </c>
      <c r="F429" s="12">
        <v>33.0</v>
      </c>
      <c r="G429" s="10" t="s">
        <v>2278</v>
      </c>
      <c r="H429" s="19"/>
      <c r="I429" s="20"/>
      <c r="J429" s="10" t="s">
        <v>2278</v>
      </c>
      <c r="K429" s="21"/>
      <c r="L429" s="10"/>
      <c r="M429" s="22"/>
      <c r="N429" s="10"/>
      <c r="O429" s="10"/>
      <c r="P429" s="12" t="str">
        <f t="shared" si="1"/>
        <v>https://docs.google.com/forms/d/e/1FAIpQLSeZ-R1GrWlAPkfaThGqxeTj0QTtrARw4rroxIIepf2kipn1nw/formResponse?usp=pp_url&amp;entry.1313582257=0094286208 / 252610142&amp;entry.1578404635=Hadir</v>
      </c>
      <c r="Q429" s="23" t="s">
        <v>2347</v>
      </c>
      <c r="R429" s="12" t="s">
        <v>2348</v>
      </c>
      <c r="S429" s="24" t="s">
        <v>2349</v>
      </c>
      <c r="T429" s="23" t="str">
        <f>HYPERLINK("https://drive.google.com/file/d/1dud0cPY7je1-1SQK8drQxojhM4vP1Zq8/view?usp=drivesdk","33 - X10 - Claudia Dominique Gabriella Torus - P")</f>
        <v>33 - X10 - Claudia Dominique Gabriella Torus - P</v>
      </c>
      <c r="U429" s="12" t="s">
        <v>2335</v>
      </c>
      <c r="W429" s="25">
        <f>COUNTIFS('Form Presensi SCC'!$B:$B, IF($C429&lt;&gt;0, TEXT($C429, "0000000000"), $D429), 'Form Presensi SCC'!$C:$C, "Hadir")</f>
        <v>0</v>
      </c>
      <c r="Y429" s="26"/>
    </row>
    <row r="430" ht="22.5" customHeight="1">
      <c r="A430" s="18">
        <v>429.0</v>
      </c>
      <c r="B430" s="18">
        <v>16.0</v>
      </c>
      <c r="C430" s="18" t="s">
        <v>2350</v>
      </c>
      <c r="D430" s="18" t="s">
        <v>2351</v>
      </c>
      <c r="E430" s="18" t="s">
        <v>227</v>
      </c>
      <c r="F430" s="12">
        <v>33.0</v>
      </c>
      <c r="G430" s="10" t="s">
        <v>2278</v>
      </c>
      <c r="H430" s="19"/>
      <c r="I430" s="20"/>
      <c r="J430" s="10" t="s">
        <v>2278</v>
      </c>
      <c r="K430" s="21"/>
      <c r="L430" s="10"/>
      <c r="M430" s="22"/>
      <c r="N430" s="10"/>
      <c r="O430" s="10"/>
      <c r="P430" s="12" t="str">
        <f t="shared" si="1"/>
        <v>https://docs.google.com/forms/d/e/1FAIpQLSeZ-R1GrWlAPkfaThGqxeTj0QTtrARw4rroxIIepf2kipn1nw/formResponse?usp=pp_url&amp;entry.1313582257=0103526904 / 252610165&amp;entry.1578404635=Hadir</v>
      </c>
      <c r="Q430" s="23" t="s">
        <v>2352</v>
      </c>
      <c r="R430" s="12" t="s">
        <v>2353</v>
      </c>
      <c r="S430" s="24" t="s">
        <v>2354</v>
      </c>
      <c r="T430" s="23" t="str">
        <f>HYPERLINK("https://drive.google.com/file/d/13xhLGMxggeIVStz4AxQR6y8S5WnCjRZo/view?usp=drivesdk","33 - X10 - Dinara Savina - P")</f>
        <v>33 - X10 - Dinara Savina - P</v>
      </c>
      <c r="U430" s="12" t="s">
        <v>2335</v>
      </c>
      <c r="W430" s="25">
        <f>COUNTIFS('Form Presensi SCC'!$B:$B, IF($C430&lt;&gt;0, TEXT($C430, "0000000000"), $D430), 'Form Presensi SCC'!$C:$C, "Hadir")</f>
        <v>0</v>
      </c>
      <c r="Y430" s="26"/>
    </row>
    <row r="431" ht="22.5" customHeight="1">
      <c r="A431" s="10">
        <v>430.0</v>
      </c>
      <c r="B431" s="18">
        <v>17.0</v>
      </c>
      <c r="C431" s="18" t="s">
        <v>81</v>
      </c>
      <c r="D431" s="18" t="s">
        <v>2355</v>
      </c>
      <c r="E431" s="18" t="s">
        <v>227</v>
      </c>
      <c r="F431" s="12">
        <v>33.0</v>
      </c>
      <c r="G431" s="10" t="s">
        <v>2278</v>
      </c>
      <c r="H431" s="19"/>
      <c r="I431" s="20"/>
      <c r="J431" s="10" t="s">
        <v>2278</v>
      </c>
      <c r="K431" s="21"/>
      <c r="L431" s="10"/>
      <c r="M431" s="22"/>
      <c r="N431" s="10"/>
      <c r="O431" s="10"/>
      <c r="P431" s="12" t="str">
        <f t="shared" si="1"/>
        <v>https://docs.google.com/forms/d/e/1FAIpQLSeZ-R1GrWlAPkfaThGqxeTj0QTtrARw4rroxIIepf2kipn1nw/formResponse?usp=pp_url&amp;entry.1313582257=0098248691 / 252610168&amp;entry.1578404635=Hadir</v>
      </c>
      <c r="Q431" s="23" t="s">
        <v>2356</v>
      </c>
      <c r="R431" s="12" t="s">
        <v>2357</v>
      </c>
      <c r="S431" s="24" t="s">
        <v>2358</v>
      </c>
      <c r="T431" s="23" t="str">
        <f>HYPERLINK("https://drive.google.com/file/d/1TgWyJ76cIOdVabWhz1RGO8h4TpZLqpsT/view?usp=drivesdk","33 - X10 - Dinda Syifa Rahmayanti - P")</f>
        <v>33 - X10 - Dinda Syifa Rahmayanti - P</v>
      </c>
      <c r="U431" s="12" t="s">
        <v>2335</v>
      </c>
      <c r="W431" s="25">
        <f>COUNTIFS('Form Presensi SCC'!$B:$B, IF($C431&lt;&gt;0, TEXT($C431, "0000000000"), $D431), 'Form Presensi SCC'!$C:$C, "Hadir")</f>
        <v>4</v>
      </c>
      <c r="Y431" s="26"/>
    </row>
    <row r="432" ht="22.5" customHeight="1">
      <c r="A432" s="18">
        <v>431.0</v>
      </c>
      <c r="B432" s="18">
        <v>18.0</v>
      </c>
      <c r="C432" s="18" t="s">
        <v>83</v>
      </c>
      <c r="D432" s="18" t="s">
        <v>2359</v>
      </c>
      <c r="E432" s="18" t="s">
        <v>220</v>
      </c>
      <c r="F432" s="12">
        <v>33.0</v>
      </c>
      <c r="G432" s="10" t="s">
        <v>2278</v>
      </c>
      <c r="H432" s="19"/>
      <c r="I432" s="20"/>
      <c r="J432" s="10" t="s">
        <v>2278</v>
      </c>
      <c r="K432" s="21"/>
      <c r="L432" s="10"/>
      <c r="M432" s="22"/>
      <c r="N432" s="10"/>
      <c r="O432" s="10"/>
      <c r="P432" s="12" t="str">
        <f t="shared" si="1"/>
        <v>https://docs.google.com/forms/d/e/1FAIpQLSeZ-R1GrWlAPkfaThGqxeTj0QTtrARw4rroxIIepf2kipn1nw/formResponse?usp=pp_url&amp;entry.1313582257=0105616025 / 252610169&amp;entry.1578404635=Hadir</v>
      </c>
      <c r="Q432" s="23" t="s">
        <v>2360</v>
      </c>
      <c r="R432" s="12" t="s">
        <v>2361</v>
      </c>
      <c r="S432" s="24" t="s">
        <v>2362</v>
      </c>
      <c r="T432" s="23" t="str">
        <f>HYPERLINK("https://drive.google.com/file/d/1LefcLcLIjcSmLwvO_0S9l8CSLcaNvRrW/view?usp=drivesdk","33 - X10 - Dindin Andini Suryaman - L")</f>
        <v>33 - X10 - Dindin Andini Suryaman - L</v>
      </c>
      <c r="U432" s="12" t="s">
        <v>2363</v>
      </c>
      <c r="W432" s="25">
        <f>COUNTIFS('Form Presensi SCC'!$B:$B, IF($C432&lt;&gt;0, TEXT($C432, "0000000000"), $D432), 'Form Presensi SCC'!$C:$C, "Hadir")</f>
        <v>2</v>
      </c>
      <c r="Y432" s="26"/>
    </row>
    <row r="433" ht="22.5" customHeight="1">
      <c r="A433" s="10">
        <v>432.0</v>
      </c>
      <c r="B433" s="18">
        <v>19.0</v>
      </c>
      <c r="C433" s="18" t="s">
        <v>84</v>
      </c>
      <c r="D433" s="18" t="s">
        <v>2364</v>
      </c>
      <c r="E433" s="18" t="s">
        <v>227</v>
      </c>
      <c r="F433" s="12">
        <v>33.0</v>
      </c>
      <c r="G433" s="10" t="s">
        <v>2278</v>
      </c>
      <c r="H433" s="19"/>
      <c r="I433" s="20"/>
      <c r="J433" s="10" t="s">
        <v>2278</v>
      </c>
      <c r="K433" s="21"/>
      <c r="L433" s="10"/>
      <c r="M433" s="22"/>
      <c r="N433" s="10"/>
      <c r="O433" s="10"/>
      <c r="P433" s="12" t="str">
        <f t="shared" si="1"/>
        <v>https://docs.google.com/forms/d/e/1FAIpQLSeZ-R1GrWlAPkfaThGqxeTj0QTtrARw4rroxIIepf2kipn1nw/formResponse?usp=pp_url&amp;entry.1313582257=0102329313 / 252610222&amp;entry.1578404635=Hadir</v>
      </c>
      <c r="Q433" s="23" t="s">
        <v>2365</v>
      </c>
      <c r="R433" s="12" t="s">
        <v>2366</v>
      </c>
      <c r="S433" s="24" t="s">
        <v>2367</v>
      </c>
      <c r="T433" s="23" t="str">
        <f>HYPERLINK("https://drive.google.com/file/d/1Y1yMv0Ekfz4iXfF4t0mG0g1ntWTmTcYk/view?usp=drivesdk","33 - X10 - Gita Tazkiyatunnisa - P")</f>
        <v>33 - X10 - Gita Tazkiyatunnisa - P</v>
      </c>
      <c r="U433" s="12" t="s">
        <v>2363</v>
      </c>
      <c r="W433" s="25">
        <f>COUNTIFS('Form Presensi SCC'!$B:$B, IF($C433&lt;&gt;0, TEXT($C433, "0000000000"), $D433), 'Form Presensi SCC'!$C:$C, "Hadir")</f>
        <v>4</v>
      </c>
      <c r="Y433" s="26"/>
    </row>
    <row r="434" ht="22.5" customHeight="1">
      <c r="A434" s="18">
        <v>433.0</v>
      </c>
      <c r="B434" s="18">
        <v>20.0</v>
      </c>
      <c r="C434" s="18" t="s">
        <v>2368</v>
      </c>
      <c r="D434" s="18" t="s">
        <v>2369</v>
      </c>
      <c r="E434" s="18" t="s">
        <v>227</v>
      </c>
      <c r="F434" s="12">
        <v>33.0</v>
      </c>
      <c r="G434" s="10" t="s">
        <v>2278</v>
      </c>
      <c r="H434" s="19"/>
      <c r="I434" s="20"/>
      <c r="J434" s="10" t="s">
        <v>2278</v>
      </c>
      <c r="K434" s="21"/>
      <c r="L434" s="10"/>
      <c r="M434" s="22"/>
      <c r="N434" s="10"/>
      <c r="O434" s="10"/>
      <c r="P434" s="12" t="str">
        <f t="shared" si="1"/>
        <v>https://docs.google.com/forms/d/e/1FAIpQLSeZ-R1GrWlAPkfaThGqxeTj0QTtrARw4rroxIIepf2kipn1nw/formResponse?usp=pp_url&amp;entry.1313582257=0094626978 / 252610226&amp;entry.1578404635=Hadir</v>
      </c>
      <c r="Q434" s="23" t="s">
        <v>2370</v>
      </c>
      <c r="R434" s="12" t="s">
        <v>2371</v>
      </c>
      <c r="S434" s="24" t="s">
        <v>2372</v>
      </c>
      <c r="T434" s="23" t="str">
        <f>HYPERLINK("https://drive.google.com/file/d/1ePfFGENiYelrCFVJNcnGFf8OyhVWdAe8/view?usp=drivesdk","33 - X10 - Haifa Aysha Zahira - P")</f>
        <v>33 - X10 - Haifa Aysha Zahira - P</v>
      </c>
      <c r="U434" s="12" t="s">
        <v>2363</v>
      </c>
      <c r="W434" s="25">
        <f>COUNTIFS('Form Presensi SCC'!$B:$B, IF($C434&lt;&gt;0, TEXT($C434, "0000000000"), $D434), 'Form Presensi SCC'!$C:$C, "Hadir")</f>
        <v>0</v>
      </c>
      <c r="Y434" s="26"/>
    </row>
    <row r="435" ht="22.5" customHeight="1">
      <c r="A435" s="10">
        <v>434.0</v>
      </c>
      <c r="B435" s="18">
        <v>21.0</v>
      </c>
      <c r="C435" s="18" t="s">
        <v>85</v>
      </c>
      <c r="D435" s="18" t="s">
        <v>2373</v>
      </c>
      <c r="E435" s="18" t="s">
        <v>227</v>
      </c>
      <c r="F435" s="12">
        <v>33.0</v>
      </c>
      <c r="G435" s="10" t="s">
        <v>2278</v>
      </c>
      <c r="H435" s="19"/>
      <c r="I435" s="20"/>
      <c r="J435" s="10" t="s">
        <v>2278</v>
      </c>
      <c r="K435" s="21"/>
      <c r="L435" s="10"/>
      <c r="M435" s="22"/>
      <c r="N435" s="10"/>
      <c r="O435" s="10"/>
      <c r="P435" s="12" t="str">
        <f t="shared" si="1"/>
        <v>https://docs.google.com/forms/d/e/1FAIpQLSeZ-R1GrWlAPkfaThGqxeTj0QTtrARw4rroxIIepf2kipn1nw/formResponse?usp=pp_url&amp;entry.1313582257=0093849649 / 252610234&amp;entry.1578404635=Hadir</v>
      </c>
      <c r="Q435" s="23" t="s">
        <v>2374</v>
      </c>
      <c r="R435" s="12" t="s">
        <v>2375</v>
      </c>
      <c r="S435" s="24" t="s">
        <v>2376</v>
      </c>
      <c r="T435" s="23" t="str">
        <f>HYPERLINK("https://drive.google.com/file/d/1NDChGA_tvaIAx5EsZjbXfwCkkCbffj1W/view?usp=drivesdk","33 - X10 - Intan Dwi Novianingrum - P")</f>
        <v>33 - X10 - Intan Dwi Novianingrum - P</v>
      </c>
      <c r="U435" s="12" t="s">
        <v>2363</v>
      </c>
      <c r="W435" s="25">
        <f>COUNTIFS('Form Presensi SCC'!$B:$B, IF($C435&lt;&gt;0, TEXT($C435, "0000000000"), $D435), 'Form Presensi SCC'!$C:$C, "Hadir")</f>
        <v>3</v>
      </c>
      <c r="Y435" s="26"/>
    </row>
    <row r="436" ht="22.5" customHeight="1">
      <c r="A436" s="18">
        <v>435.0</v>
      </c>
      <c r="B436" s="18">
        <v>22.0</v>
      </c>
      <c r="C436" s="18" t="s">
        <v>136</v>
      </c>
      <c r="D436" s="18" t="s">
        <v>2377</v>
      </c>
      <c r="E436" s="18" t="s">
        <v>227</v>
      </c>
      <c r="F436" s="12">
        <v>33.0</v>
      </c>
      <c r="G436" s="10" t="s">
        <v>2278</v>
      </c>
      <c r="H436" s="19"/>
      <c r="I436" s="20"/>
      <c r="J436" s="10" t="s">
        <v>2278</v>
      </c>
      <c r="K436" s="21"/>
      <c r="L436" s="10"/>
      <c r="M436" s="22"/>
      <c r="N436" s="10"/>
      <c r="O436" s="10"/>
      <c r="P436" s="12" t="str">
        <f t="shared" si="1"/>
        <v>https://docs.google.com/forms/d/e/1FAIpQLSeZ-R1GrWlAPkfaThGqxeTj0QTtrARw4rroxIIepf2kipn1nw/formResponse?usp=pp_url&amp;entry.1313582257=0102890859 / 252610235&amp;entry.1578404635=Hadir</v>
      </c>
      <c r="Q436" s="23" t="s">
        <v>2378</v>
      </c>
      <c r="R436" s="12" t="s">
        <v>2379</v>
      </c>
      <c r="S436" s="24" t="s">
        <v>2380</v>
      </c>
      <c r="T436" s="23" t="str">
        <f>HYPERLINK("https://drive.google.com/file/d/1GhASE87FUGfWDOXNhzq4VuAOI3VxbAAf/view?usp=drivesdk","33 - X10 - Isnaini Fauziyah Utomo - P")</f>
        <v>33 - X10 - Isnaini Fauziyah Utomo - P</v>
      </c>
      <c r="U436" s="12" t="s">
        <v>2381</v>
      </c>
      <c r="W436" s="25">
        <f>COUNTIFS('Form Presensi SCC'!$B:$B, IF($C436&lt;&gt;0, TEXT($C436, "0000000000"), $D436), 'Form Presensi SCC'!$C:$C, "Hadir")</f>
        <v>1</v>
      </c>
      <c r="Y436" s="26"/>
    </row>
    <row r="437" ht="22.5" customHeight="1">
      <c r="A437" s="10">
        <v>436.0</v>
      </c>
      <c r="B437" s="18">
        <v>23.0</v>
      </c>
      <c r="C437" s="18" t="s">
        <v>2382</v>
      </c>
      <c r="D437" s="18" t="s">
        <v>2383</v>
      </c>
      <c r="E437" s="18" t="s">
        <v>220</v>
      </c>
      <c r="F437" s="12">
        <v>33.0</v>
      </c>
      <c r="G437" s="10" t="s">
        <v>2278</v>
      </c>
      <c r="H437" s="19"/>
      <c r="I437" s="20"/>
      <c r="J437" s="10" t="s">
        <v>2278</v>
      </c>
      <c r="K437" s="21"/>
      <c r="L437" s="10"/>
      <c r="M437" s="22"/>
      <c r="N437" s="10"/>
      <c r="O437" s="10"/>
      <c r="P437" s="12" t="str">
        <f t="shared" si="1"/>
        <v>https://docs.google.com/forms/d/e/1FAIpQLSeZ-R1GrWlAPkfaThGqxeTj0QTtrARw4rroxIIepf2kipn1nw/formResponse?usp=pp_url&amp;entry.1313582257=0107943430 / 252610242&amp;entry.1578404635=Hadir</v>
      </c>
      <c r="Q437" s="23" t="s">
        <v>2384</v>
      </c>
      <c r="R437" s="12" t="s">
        <v>2385</v>
      </c>
      <c r="S437" s="24" t="s">
        <v>2386</v>
      </c>
      <c r="T437" s="23" t="str">
        <f>HYPERLINK("https://drive.google.com/file/d/1V3sriQRM_lOQ-olxyvziZ55lp8KKOsQG/view?usp=drivesdk","33 - X10 - Jeremia Geraldo Siregar - L")</f>
        <v>33 - X10 - Jeremia Geraldo Siregar - L</v>
      </c>
      <c r="U437" s="12" t="s">
        <v>2381</v>
      </c>
      <c r="W437" s="25">
        <f>COUNTIFS('Form Presensi SCC'!$B:$B, IF($C437&lt;&gt;0, TEXT($C437, "0000000000"), $D437), 'Form Presensi SCC'!$C:$C, "Hadir")</f>
        <v>0</v>
      </c>
      <c r="Y437" s="26"/>
    </row>
    <row r="438" ht="22.5" customHeight="1">
      <c r="A438" s="18">
        <v>437.0</v>
      </c>
      <c r="B438" s="18">
        <v>24.0</v>
      </c>
      <c r="C438" s="18" t="s">
        <v>107</v>
      </c>
      <c r="D438" s="18" t="s">
        <v>2387</v>
      </c>
      <c r="E438" s="18" t="s">
        <v>220</v>
      </c>
      <c r="F438" s="12">
        <v>33.0</v>
      </c>
      <c r="G438" s="10" t="s">
        <v>2278</v>
      </c>
      <c r="H438" s="19"/>
      <c r="I438" s="20"/>
      <c r="J438" s="10" t="s">
        <v>2278</v>
      </c>
      <c r="K438" s="21"/>
      <c r="L438" s="10"/>
      <c r="M438" s="22"/>
      <c r="N438" s="10"/>
      <c r="O438" s="10"/>
      <c r="P438" s="12" t="str">
        <f t="shared" si="1"/>
        <v>https://docs.google.com/forms/d/e/1FAIpQLSeZ-R1GrWlAPkfaThGqxeTj0QTtrARw4rroxIIepf2kipn1nw/formResponse?usp=pp_url&amp;entry.1313582257=0102210036 / 252610243&amp;entry.1578404635=Hadir</v>
      </c>
      <c r="Q438" s="23" t="s">
        <v>2388</v>
      </c>
      <c r="R438" s="12" t="s">
        <v>2389</v>
      </c>
      <c r="S438" s="24" t="s">
        <v>2390</v>
      </c>
      <c r="T438" s="23" t="str">
        <f>HYPERLINK("https://drive.google.com/file/d/1pm-nrhBv75yxwgE_4ugeu4zIilbtc-6b/view?usp=drivesdk","33 - X10 - Jerry Dwi Cahyono Putro - L")</f>
        <v>33 - X10 - Jerry Dwi Cahyono Putro - L</v>
      </c>
      <c r="U438" s="12" t="s">
        <v>2381</v>
      </c>
      <c r="W438" s="25">
        <f>COUNTIFS('Form Presensi SCC'!$B:$B, IF($C438&lt;&gt;0, TEXT($C438, "0000000000"), $D438), 'Form Presensi SCC'!$C:$C, "Hadir")</f>
        <v>2</v>
      </c>
      <c r="Y438" s="26"/>
    </row>
    <row r="439" ht="22.5" customHeight="1">
      <c r="A439" s="10">
        <v>438.0</v>
      </c>
      <c r="B439" s="18">
        <v>25.0</v>
      </c>
      <c r="C439" s="18" t="s">
        <v>2391</v>
      </c>
      <c r="D439" s="18" t="s">
        <v>2392</v>
      </c>
      <c r="E439" s="18" t="s">
        <v>220</v>
      </c>
      <c r="F439" s="12">
        <v>33.0</v>
      </c>
      <c r="G439" s="10" t="s">
        <v>2278</v>
      </c>
      <c r="H439" s="19"/>
      <c r="I439" s="20"/>
      <c r="J439" s="10" t="s">
        <v>2278</v>
      </c>
      <c r="K439" s="21"/>
      <c r="L439" s="10"/>
      <c r="M439" s="22"/>
      <c r="N439" s="10"/>
      <c r="O439" s="10"/>
      <c r="P439" s="12" t="str">
        <f t="shared" si="1"/>
        <v>https://docs.google.com/forms/d/e/1FAIpQLSeZ-R1GrWlAPkfaThGqxeTj0QTtrARw4rroxIIepf2kipn1nw/formResponse?usp=pp_url&amp;entry.1313582257=3099544859 / 252610251&amp;entry.1578404635=Hadir</v>
      </c>
      <c r="Q439" s="23" t="s">
        <v>2393</v>
      </c>
      <c r="R439" s="12" t="s">
        <v>2394</v>
      </c>
      <c r="S439" s="24" t="s">
        <v>2395</v>
      </c>
      <c r="T439" s="23" t="str">
        <f>HYPERLINK("https://drive.google.com/file/d/1l0-rhsljH159-vJmLADhcsLwujlIxguA/view?usp=drivesdk","33 - X10 - Jovan Khayru Affandi - L")</f>
        <v>33 - X10 - Jovan Khayru Affandi - L</v>
      </c>
      <c r="U439" s="12" t="s">
        <v>2381</v>
      </c>
      <c r="W439" s="25">
        <f>COUNTIFS('Form Presensi SCC'!$B:$B, IF($C439&lt;&gt;0, TEXT($C439, "0000000000"), $D439), 'Form Presensi SCC'!$C:$C, "Hadir")</f>
        <v>0</v>
      </c>
      <c r="Y439" s="26"/>
    </row>
    <row r="440" ht="22.5" customHeight="1">
      <c r="A440" s="18">
        <v>439.0</v>
      </c>
      <c r="B440" s="18">
        <v>26.0</v>
      </c>
      <c r="C440" s="18" t="s">
        <v>86</v>
      </c>
      <c r="D440" s="18" t="s">
        <v>2396</v>
      </c>
      <c r="E440" s="18" t="s">
        <v>227</v>
      </c>
      <c r="F440" s="12">
        <v>33.0</v>
      </c>
      <c r="G440" s="10" t="s">
        <v>2278</v>
      </c>
      <c r="H440" s="19"/>
      <c r="I440" s="20"/>
      <c r="J440" s="10" t="s">
        <v>2278</v>
      </c>
      <c r="K440" s="21"/>
      <c r="L440" s="10"/>
      <c r="M440" s="22"/>
      <c r="N440" s="10"/>
      <c r="O440" s="10"/>
      <c r="P440" s="12" t="str">
        <f t="shared" si="1"/>
        <v>https://docs.google.com/forms/d/e/1FAIpQLSeZ-R1GrWlAPkfaThGqxeTj0QTtrARw4rroxIIepf2kipn1nw/formResponse?usp=pp_url&amp;entry.1313582257=0104574006 / 252610262&amp;entry.1578404635=Hadir</v>
      </c>
      <c r="Q440" s="23" t="s">
        <v>2397</v>
      </c>
      <c r="R440" s="12" t="s">
        <v>2398</v>
      </c>
      <c r="S440" s="24" t="s">
        <v>2399</v>
      </c>
      <c r="T440" s="23" t="str">
        <f>HYPERLINK("https://drive.google.com/file/d/1Zhwz_JubKt-EJ2T0fpTB554qnuL3PMAX/view?usp=drivesdk","33 - X10 - Kayla Althafunnisa Arrasyid - P")</f>
        <v>33 - X10 - Kayla Althafunnisa Arrasyid - P</v>
      </c>
      <c r="U440" s="12" t="s">
        <v>2381</v>
      </c>
      <c r="W440" s="25">
        <f>COUNTIFS('Form Presensi SCC'!$B:$B, IF($C440&lt;&gt;0, TEXT($C440, "0000000000"), $D440), 'Form Presensi SCC'!$C:$C, "Hadir")</f>
        <v>3</v>
      </c>
      <c r="Y440" s="26"/>
    </row>
    <row r="441" ht="22.5" customHeight="1">
      <c r="A441" s="10">
        <v>440.0</v>
      </c>
      <c r="B441" s="18">
        <v>27.0</v>
      </c>
      <c r="C441" s="18" t="s">
        <v>102</v>
      </c>
      <c r="D441" s="18" t="s">
        <v>2400</v>
      </c>
      <c r="E441" s="18" t="s">
        <v>227</v>
      </c>
      <c r="F441" s="12">
        <v>33.0</v>
      </c>
      <c r="G441" s="10" t="s">
        <v>2278</v>
      </c>
      <c r="H441" s="19"/>
      <c r="I441" s="20"/>
      <c r="J441" s="10" t="s">
        <v>2278</v>
      </c>
      <c r="K441" s="21"/>
      <c r="L441" s="10"/>
      <c r="M441" s="22"/>
      <c r="N441" s="10"/>
      <c r="O441" s="10"/>
      <c r="P441" s="12" t="str">
        <f t="shared" si="1"/>
        <v>https://docs.google.com/forms/d/e/1FAIpQLSeZ-R1GrWlAPkfaThGqxeTj0QTtrARw4rroxIIepf2kipn1nw/formResponse?usp=pp_url&amp;entry.1313582257=0094966956 / 252610272&amp;entry.1578404635=Hadir</v>
      </c>
      <c r="Q441" s="23" t="s">
        <v>2401</v>
      </c>
      <c r="R441" s="12" t="s">
        <v>2402</v>
      </c>
      <c r="S441" s="24" t="s">
        <v>2403</v>
      </c>
      <c r="T441" s="23" t="str">
        <f>HYPERLINK("https://drive.google.com/file/d/1aOTdleOROwPHyEjm_QjmjXy2YIr6HeBm/view?usp=drivesdk","33 - X10 - Keyla Ananda Safitri - P")</f>
        <v>33 - X10 - Keyla Ananda Safitri - P</v>
      </c>
      <c r="U441" s="12" t="s">
        <v>2381</v>
      </c>
      <c r="W441" s="25">
        <f>COUNTIFS('Form Presensi SCC'!$B:$B, IF($C441&lt;&gt;0, TEXT($C441, "0000000000"), $D441), 'Form Presensi SCC'!$C:$C, "Hadir")</f>
        <v>1</v>
      </c>
      <c r="Y441" s="26"/>
    </row>
    <row r="442" ht="22.5" customHeight="1">
      <c r="A442" s="18">
        <v>441.0</v>
      </c>
      <c r="B442" s="18">
        <v>28.0</v>
      </c>
      <c r="C442" s="18" t="s">
        <v>147</v>
      </c>
      <c r="D442" s="18" t="s">
        <v>2404</v>
      </c>
      <c r="E442" s="18" t="s">
        <v>227</v>
      </c>
      <c r="F442" s="12">
        <v>33.0</v>
      </c>
      <c r="G442" s="10" t="s">
        <v>2278</v>
      </c>
      <c r="H442" s="19"/>
      <c r="I442" s="20"/>
      <c r="J442" s="10" t="s">
        <v>2278</v>
      </c>
      <c r="K442" s="21"/>
      <c r="L442" s="10"/>
      <c r="M442" s="22"/>
      <c r="N442" s="10"/>
      <c r="O442" s="10"/>
      <c r="P442" s="12" t="str">
        <f t="shared" si="1"/>
        <v>https://docs.google.com/forms/d/e/1FAIpQLSeZ-R1GrWlAPkfaThGqxeTj0QTtrARw4rroxIIepf2kipn1nw/formResponse?usp=pp_url&amp;entry.1313582257=0102208567 / 252610283&amp;entry.1578404635=Hadir</v>
      </c>
      <c r="Q442" s="23" t="s">
        <v>2405</v>
      </c>
      <c r="R442" s="12" t="s">
        <v>2406</v>
      </c>
      <c r="S442" s="24" t="s">
        <v>2407</v>
      </c>
      <c r="T442" s="23" t="str">
        <f>HYPERLINK("https://drive.google.com/file/d/19tc4fQBTADYYTN2J4bRv_xLiXCzAE-ep/view?usp=drivesdk","33 - X10 - Khanza Aprillia Risyadi - P")</f>
        <v>33 - X10 - Khanza Aprillia Risyadi - P</v>
      </c>
      <c r="U442" s="12" t="s">
        <v>2408</v>
      </c>
      <c r="W442" s="25">
        <f>COUNTIFS('Form Presensi SCC'!$B:$B, IF($C442&lt;&gt;0, TEXT($C442, "0000000000"), $D442), 'Form Presensi SCC'!$C:$C, "Hadir")</f>
        <v>1</v>
      </c>
      <c r="Y442" s="26"/>
    </row>
    <row r="443" ht="22.5" customHeight="1">
      <c r="A443" s="10">
        <v>442.0</v>
      </c>
      <c r="B443" s="18">
        <v>29.0</v>
      </c>
      <c r="C443" s="18" t="s">
        <v>106</v>
      </c>
      <c r="D443" s="18" t="s">
        <v>2409</v>
      </c>
      <c r="E443" s="18" t="s">
        <v>220</v>
      </c>
      <c r="F443" s="12">
        <v>33.0</v>
      </c>
      <c r="G443" s="10" t="s">
        <v>2278</v>
      </c>
      <c r="H443" s="19"/>
      <c r="I443" s="20"/>
      <c r="J443" s="10" t="s">
        <v>2278</v>
      </c>
      <c r="K443" s="21"/>
      <c r="L443" s="10"/>
      <c r="M443" s="22"/>
      <c r="N443" s="10"/>
      <c r="O443" s="10"/>
      <c r="P443" s="12" t="str">
        <f t="shared" si="1"/>
        <v>https://docs.google.com/forms/d/e/1FAIpQLSeZ-R1GrWlAPkfaThGqxeTj0QTtrARw4rroxIIepf2kipn1nw/formResponse?usp=pp_url&amp;entry.1313582257=3101402781 / 252610305&amp;entry.1578404635=Hadir</v>
      </c>
      <c r="Q443" s="23" t="s">
        <v>2410</v>
      </c>
      <c r="R443" s="12" t="s">
        <v>2411</v>
      </c>
      <c r="S443" s="24" t="s">
        <v>2412</v>
      </c>
      <c r="T443" s="23" t="str">
        <f>HYPERLINK("https://drive.google.com/file/d/15BBLd_ZJYJUmS316YYtUQ_tFZ-huGGkO/view?usp=drivesdk","33 - X10 - Maroen Al-Fatih Ibrahimessi - L")</f>
        <v>33 - X10 - Maroen Al-Fatih Ibrahimessi - L</v>
      </c>
      <c r="U443" s="12" t="s">
        <v>2408</v>
      </c>
      <c r="W443" s="25">
        <f>COUNTIFS('Form Presensi SCC'!$B:$B, IF($C443&lt;&gt;0, TEXT($C443, "0000000000"), $D443), 'Form Presensi SCC'!$C:$C, "Hadir")</f>
        <v>1</v>
      </c>
      <c r="Y443" s="26"/>
    </row>
    <row r="444" ht="22.5" customHeight="1">
      <c r="A444" s="18">
        <v>443.0</v>
      </c>
      <c r="B444" s="18">
        <v>30.0</v>
      </c>
      <c r="C444" s="18" t="s">
        <v>2413</v>
      </c>
      <c r="D444" s="18" t="s">
        <v>2414</v>
      </c>
      <c r="E444" s="18" t="s">
        <v>220</v>
      </c>
      <c r="F444" s="12">
        <v>33.0</v>
      </c>
      <c r="G444" s="10" t="s">
        <v>2278</v>
      </c>
      <c r="H444" s="19"/>
      <c r="I444" s="20"/>
      <c r="J444" s="10" t="s">
        <v>2278</v>
      </c>
      <c r="K444" s="21"/>
      <c r="L444" s="10"/>
      <c r="M444" s="22"/>
      <c r="N444" s="10"/>
      <c r="O444" s="10"/>
      <c r="P444" s="12" t="str">
        <f t="shared" si="1"/>
        <v>https://docs.google.com/forms/d/e/1FAIpQLSeZ-R1GrWlAPkfaThGqxeTj0QTtrARw4rroxIIepf2kipn1nw/formResponse?usp=pp_url&amp;entry.1313582257=0098516941 / 252610327&amp;entry.1578404635=Hadir</v>
      </c>
      <c r="Q444" s="23" t="s">
        <v>2415</v>
      </c>
      <c r="R444" s="12" t="s">
        <v>2416</v>
      </c>
      <c r="S444" s="24" t="s">
        <v>2417</v>
      </c>
      <c r="T444" s="23" t="str">
        <f>HYPERLINK("https://drive.google.com/file/d/1YntJv2prfCihAJlsOLBhVoBZ8oyi5R95/view?usp=drivesdk","33 - X10 - Muhamad Raihan Rizqullah - L")</f>
        <v>33 - X10 - Muhamad Raihan Rizqullah - L</v>
      </c>
      <c r="U444" s="12" t="s">
        <v>2408</v>
      </c>
      <c r="W444" s="25">
        <f>COUNTIFS('Form Presensi SCC'!$B:$B, IF($C444&lt;&gt;0, TEXT($C444, "0000000000"), $D444), 'Form Presensi SCC'!$C:$C, "Hadir")</f>
        <v>0</v>
      </c>
      <c r="Y444" s="26"/>
    </row>
    <row r="445" ht="22.5" customHeight="1">
      <c r="A445" s="10">
        <v>444.0</v>
      </c>
      <c r="B445" s="18">
        <v>31.0</v>
      </c>
      <c r="C445" s="18" t="s">
        <v>108</v>
      </c>
      <c r="D445" s="18" t="s">
        <v>2418</v>
      </c>
      <c r="E445" s="18" t="s">
        <v>220</v>
      </c>
      <c r="F445" s="12">
        <v>33.0</v>
      </c>
      <c r="G445" s="10" t="s">
        <v>2278</v>
      </c>
      <c r="H445" s="19"/>
      <c r="I445" s="20"/>
      <c r="J445" s="10" t="s">
        <v>2278</v>
      </c>
      <c r="K445" s="21"/>
      <c r="L445" s="10"/>
      <c r="M445" s="22"/>
      <c r="N445" s="10"/>
      <c r="O445" s="10"/>
      <c r="P445" s="12" t="str">
        <f t="shared" si="1"/>
        <v>https://docs.google.com/forms/d/e/1FAIpQLSeZ-R1GrWlAPkfaThGqxeTj0QTtrARw4rroxIIepf2kipn1nw/formResponse?usp=pp_url&amp;entry.1313582257=0113735828 / 252610335&amp;entry.1578404635=Hadir</v>
      </c>
      <c r="Q445" s="23" t="s">
        <v>2419</v>
      </c>
      <c r="R445" s="12" t="s">
        <v>2420</v>
      </c>
      <c r="S445" s="24" t="s">
        <v>2421</v>
      </c>
      <c r="T445" s="23" t="str">
        <f>HYPERLINK("https://drive.google.com/file/d/1L5UWjdGxJUT_EzglhdDbLxhmv1R24L1v/view?usp=drivesdk","33 - X10 - Muhammad Akhtar Arkana Ramadhan - L")</f>
        <v>33 - X10 - Muhammad Akhtar Arkana Ramadhan - L</v>
      </c>
      <c r="U445" s="12" t="s">
        <v>2408</v>
      </c>
      <c r="W445" s="25">
        <f>COUNTIFS('Form Presensi SCC'!$B:$B, IF($C445&lt;&gt;0, TEXT($C445, "0000000000"), $D445), 'Form Presensi SCC'!$C:$C, "Hadir")</f>
        <v>1</v>
      </c>
      <c r="Y445" s="26"/>
    </row>
    <row r="446" ht="22.5" customHeight="1">
      <c r="A446" s="18">
        <v>445.0</v>
      </c>
      <c r="B446" s="18">
        <v>32.0</v>
      </c>
      <c r="C446" s="18" t="s">
        <v>157</v>
      </c>
      <c r="D446" s="18" t="s">
        <v>2422</v>
      </c>
      <c r="E446" s="18" t="s">
        <v>220</v>
      </c>
      <c r="F446" s="12">
        <v>33.0</v>
      </c>
      <c r="G446" s="10" t="s">
        <v>2278</v>
      </c>
      <c r="H446" s="22" t="s">
        <v>371</v>
      </c>
      <c r="I446" s="20"/>
      <c r="J446" s="10" t="s">
        <v>2278</v>
      </c>
      <c r="K446" s="21"/>
      <c r="L446" s="10"/>
      <c r="M446" s="22"/>
      <c r="N446" s="10"/>
      <c r="O446" s="10"/>
      <c r="P446" s="12" t="str">
        <f t="shared" si="1"/>
        <v>https://docs.google.com/forms/d/e/1FAIpQLSeZ-R1GrWlAPkfaThGqxeTj0QTtrARw4rroxIIepf2kipn1nw/formResponse?usp=pp_url&amp;entry.1313582257=0109589144 / 252610375&amp;entry.1578404635=Hadir</v>
      </c>
      <c r="Q446" s="23" t="s">
        <v>2423</v>
      </c>
      <c r="R446" s="12" t="s">
        <v>2424</v>
      </c>
      <c r="S446" s="24" t="s">
        <v>2425</v>
      </c>
      <c r="T446" s="23" t="str">
        <f>HYPERLINK("https://drive.google.com/file/d/1DMK6v77vjxjRB9rcWv1JKrsjtXLFndbL/view?usp=drivesdk","33 - X10 - Muhammad Tsafiq Ihsan - L")</f>
        <v>33 - X10 - Muhammad Tsafiq Ihsan - L</v>
      </c>
      <c r="U446" s="12" t="s">
        <v>2408</v>
      </c>
      <c r="W446" s="25">
        <f>COUNTIFS('Form Presensi SCC'!$B:$B, IF($C446&lt;&gt;0, TEXT($C446, "0000000000"), $D446), 'Form Presensi SCC'!$C:$C, "Hadir")</f>
        <v>1</v>
      </c>
      <c r="Y446" s="26"/>
    </row>
    <row r="447" ht="22.5" customHeight="1">
      <c r="A447" s="10">
        <v>446.0</v>
      </c>
      <c r="B447" s="18">
        <v>33.0</v>
      </c>
      <c r="C447" s="18" t="s">
        <v>2426</v>
      </c>
      <c r="D447" s="18" t="s">
        <v>2427</v>
      </c>
      <c r="E447" s="18" t="s">
        <v>227</v>
      </c>
      <c r="F447" s="12">
        <v>33.0</v>
      </c>
      <c r="G447" s="10" t="s">
        <v>2278</v>
      </c>
      <c r="H447" s="19"/>
      <c r="I447" s="20"/>
      <c r="J447" s="10" t="s">
        <v>2278</v>
      </c>
      <c r="K447" s="21"/>
      <c r="L447" s="10"/>
      <c r="M447" s="22"/>
      <c r="N447" s="10"/>
      <c r="O447" s="10"/>
      <c r="P447" s="12" t="str">
        <f t="shared" si="1"/>
        <v>https://docs.google.com/forms/d/e/1FAIpQLSeZ-R1GrWlAPkfaThGqxeTj0QTtrARw4rroxIIepf2kipn1nw/formResponse?usp=pp_url&amp;entry.1313582257=0108105659 / 252610396&amp;entry.1578404635=Hadir</v>
      </c>
      <c r="Q447" s="23" t="s">
        <v>2428</v>
      </c>
      <c r="R447" s="12" t="s">
        <v>2429</v>
      </c>
      <c r="S447" s="24" t="s">
        <v>2430</v>
      </c>
      <c r="T447" s="23" t="str">
        <f>HYPERLINK("https://drive.google.com/file/d/13zk0vigIw0GINxuEFuMyXLkKRpQVdnnV/view?usp=drivesdk","33 - X10 - Naqeesyaa Dhanova Al Adzra - P")</f>
        <v>33 - X10 - Naqeesyaa Dhanova Al Adzra - P</v>
      </c>
      <c r="U447" s="12" t="s">
        <v>2431</v>
      </c>
      <c r="W447" s="25">
        <f>COUNTIFS('Form Presensi SCC'!$B:$B, IF($C447&lt;&gt;0, TEXT($C447, "0000000000"), $D447), 'Form Presensi SCC'!$C:$C, "Hadir")</f>
        <v>0</v>
      </c>
      <c r="Y447" s="26"/>
    </row>
    <row r="448" ht="22.5" customHeight="1">
      <c r="A448" s="18">
        <v>447.0</v>
      </c>
      <c r="B448" s="18">
        <v>34.0</v>
      </c>
      <c r="C448" s="18" t="s">
        <v>2432</v>
      </c>
      <c r="D448" s="18" t="s">
        <v>2433</v>
      </c>
      <c r="E448" s="18" t="s">
        <v>220</v>
      </c>
      <c r="F448" s="12">
        <v>33.0</v>
      </c>
      <c r="G448" s="10" t="s">
        <v>2278</v>
      </c>
      <c r="H448" s="19"/>
      <c r="I448" s="20"/>
      <c r="J448" s="10" t="s">
        <v>2278</v>
      </c>
      <c r="K448" s="21"/>
      <c r="L448" s="10"/>
      <c r="M448" s="22"/>
      <c r="N448" s="10"/>
      <c r="O448" s="10"/>
      <c r="P448" s="12" t="str">
        <f t="shared" si="1"/>
        <v>https://docs.google.com/forms/d/e/1FAIpQLSeZ-R1GrWlAPkfaThGqxeTj0QTtrARw4rroxIIepf2kipn1nw/formResponse?usp=pp_url&amp;entry.1313582257=0091758520 / 252610402&amp;entry.1578404635=Hadir</v>
      </c>
      <c r="Q448" s="23" t="s">
        <v>2434</v>
      </c>
      <c r="R448" s="12" t="s">
        <v>2435</v>
      </c>
      <c r="S448" s="24" t="s">
        <v>2436</v>
      </c>
      <c r="T448" s="23" t="str">
        <f>HYPERLINK("https://drive.google.com/file/d/1I6M4sCvYHr03sOKZ-PGPr8ez3DsjPguj/view?usp=drivesdk","33 - X10 - Naufal Arzharel Ibrahimovic - L")</f>
        <v>33 - X10 - Naufal Arzharel Ibrahimovic - L</v>
      </c>
      <c r="U448" s="12" t="s">
        <v>2431</v>
      </c>
      <c r="W448" s="25">
        <f>COUNTIFS('Form Presensi SCC'!$B:$B, IF($C448&lt;&gt;0, TEXT($C448, "0000000000"), $D448), 'Form Presensi SCC'!$C:$C, "Hadir")</f>
        <v>0</v>
      </c>
      <c r="Y448" s="26"/>
    </row>
    <row r="449" ht="22.5" customHeight="1">
      <c r="A449" s="10">
        <v>448.0</v>
      </c>
      <c r="B449" s="18">
        <v>35.0</v>
      </c>
      <c r="C449" s="18" t="s">
        <v>2437</v>
      </c>
      <c r="D449" s="18" t="s">
        <v>2438</v>
      </c>
      <c r="E449" s="18" t="s">
        <v>227</v>
      </c>
      <c r="F449" s="12">
        <v>33.0</v>
      </c>
      <c r="G449" s="10" t="s">
        <v>2278</v>
      </c>
      <c r="H449" s="19"/>
      <c r="I449" s="20"/>
      <c r="J449" s="10" t="s">
        <v>2278</v>
      </c>
      <c r="K449" s="21"/>
      <c r="L449" s="10"/>
      <c r="M449" s="22"/>
      <c r="N449" s="10"/>
      <c r="O449" s="10"/>
      <c r="P449" s="12" t="str">
        <f t="shared" si="1"/>
        <v>https://docs.google.com/forms/d/e/1FAIpQLSeZ-R1GrWlAPkfaThGqxeTj0QTtrARw4rroxIIepf2kipn1nw/formResponse?usp=pp_url&amp;entry.1313582257=0093643944 / 252610403&amp;entry.1578404635=Hadir</v>
      </c>
      <c r="Q449" s="23" t="s">
        <v>2439</v>
      </c>
      <c r="R449" s="12" t="s">
        <v>2440</v>
      </c>
      <c r="S449" s="24" t="s">
        <v>2441</v>
      </c>
      <c r="T449" s="23" t="str">
        <f>HYPERLINK("https://drive.google.com/file/d/1nLPi4DQZAHD6gPlS-JsYBBS7Wjv8d3wV/view?usp=drivesdk","33 - X10 - Naura Luvenavita Krisdianto - P")</f>
        <v>33 - X10 - Naura Luvenavita Krisdianto - P</v>
      </c>
      <c r="U449" s="12" t="s">
        <v>2431</v>
      </c>
      <c r="W449" s="25">
        <f>COUNTIFS('Form Presensi SCC'!$B:$B, IF($C449&lt;&gt;0, TEXT($C449, "0000000000"), $D449), 'Form Presensi SCC'!$C:$C, "Hadir")</f>
        <v>0</v>
      </c>
      <c r="Y449" s="26"/>
    </row>
    <row r="450" ht="22.5" customHeight="1">
      <c r="A450" s="18">
        <v>449.0</v>
      </c>
      <c r="B450" s="18">
        <v>36.0</v>
      </c>
      <c r="C450" s="18" t="s">
        <v>2442</v>
      </c>
      <c r="D450" s="18" t="s">
        <v>2443</v>
      </c>
      <c r="E450" s="18" t="s">
        <v>227</v>
      </c>
      <c r="F450" s="12">
        <v>33.0</v>
      </c>
      <c r="G450" s="10" t="s">
        <v>2278</v>
      </c>
      <c r="H450" s="19"/>
      <c r="I450" s="20"/>
      <c r="J450" s="10" t="s">
        <v>2278</v>
      </c>
      <c r="K450" s="21"/>
      <c r="L450" s="10"/>
      <c r="M450" s="22"/>
      <c r="N450" s="10"/>
      <c r="O450" s="10"/>
      <c r="P450" s="12" t="str">
        <f t="shared" si="1"/>
        <v>https://docs.google.com/forms/d/e/1FAIpQLSeZ-R1GrWlAPkfaThGqxeTj0QTtrARw4rroxIIepf2kipn1nw/formResponse?usp=pp_url&amp;entry.1313582257=0106941532 / 252610406&amp;entry.1578404635=Hadir</v>
      </c>
      <c r="Q450" s="23" t="s">
        <v>2444</v>
      </c>
      <c r="R450" s="12" t="s">
        <v>2445</v>
      </c>
      <c r="S450" s="24" t="s">
        <v>2446</v>
      </c>
      <c r="T450" s="23" t="str">
        <f>HYPERLINK("https://drive.google.com/file/d/1b5dOtpMPa4mKW18gLD-_xtf3ovRrbLaY/view?usp=drivesdk","33 - X10 - Nava Marietta Siahaan - P")</f>
        <v>33 - X10 - Nava Marietta Siahaan - P</v>
      </c>
      <c r="U450" s="12" t="s">
        <v>2431</v>
      </c>
      <c r="W450" s="25">
        <f>COUNTIFS('Form Presensi SCC'!$B:$B, IF($C450&lt;&gt;0, TEXT($C450, "0000000000"), $D450), 'Form Presensi SCC'!$C:$C, "Hadir")</f>
        <v>0</v>
      </c>
      <c r="Y450" s="26"/>
    </row>
    <row r="451" ht="22.5" customHeight="1">
      <c r="A451" s="10">
        <v>450.0</v>
      </c>
      <c r="B451" s="18">
        <v>37.0</v>
      </c>
      <c r="C451" s="18" t="s">
        <v>2447</v>
      </c>
      <c r="D451" s="18" t="s">
        <v>2448</v>
      </c>
      <c r="E451" s="18" t="s">
        <v>227</v>
      </c>
      <c r="F451" s="12">
        <v>33.0</v>
      </c>
      <c r="G451" s="10" t="s">
        <v>2278</v>
      </c>
      <c r="H451" s="19"/>
      <c r="I451" s="20"/>
      <c r="J451" s="10" t="s">
        <v>2278</v>
      </c>
      <c r="K451" s="21"/>
      <c r="L451" s="10"/>
      <c r="M451" s="22"/>
      <c r="N451" s="10"/>
      <c r="O451" s="10"/>
      <c r="P451" s="12" t="str">
        <f t="shared" si="1"/>
        <v>https://docs.google.com/forms/d/e/1FAIpQLSeZ-R1GrWlAPkfaThGqxeTj0QTtrARw4rroxIIepf2kipn1nw/formResponse?usp=pp_url&amp;entry.1313582257=0109464483 / 252610443&amp;entry.1578404635=Hadir</v>
      </c>
      <c r="Q451" s="23" t="s">
        <v>2449</v>
      </c>
      <c r="R451" s="12" t="s">
        <v>2450</v>
      </c>
      <c r="S451" s="24" t="s">
        <v>2451</v>
      </c>
      <c r="T451" s="23" t="str">
        <f>HYPERLINK("https://drive.google.com/file/d/1fWX-wb8viQEQPtLzvbeCNkfp_5tjlFDh/view?usp=drivesdk","33 - X10 - Queensha Anindya Azka - P")</f>
        <v>33 - X10 - Queensha Anindya Azka - P</v>
      </c>
      <c r="U451" s="12" t="s">
        <v>2431</v>
      </c>
      <c r="W451" s="25">
        <f>COUNTIFS('Form Presensi SCC'!$B:$B, IF($C451&lt;&gt;0, TEXT($C451, "0000000000"), $D451), 'Form Presensi SCC'!$C:$C, "Hadir")</f>
        <v>0</v>
      </c>
      <c r="Y451" s="26"/>
    </row>
    <row r="452" ht="22.5" customHeight="1">
      <c r="A452" s="18">
        <v>451.0</v>
      </c>
      <c r="B452" s="18">
        <v>38.0</v>
      </c>
      <c r="C452" s="18" t="s">
        <v>2452</v>
      </c>
      <c r="D452" s="18" t="s">
        <v>2453</v>
      </c>
      <c r="E452" s="18" t="s">
        <v>220</v>
      </c>
      <c r="F452" s="12">
        <v>33.0</v>
      </c>
      <c r="G452" s="10" t="s">
        <v>2278</v>
      </c>
      <c r="H452" s="19"/>
      <c r="I452" s="20"/>
      <c r="J452" s="10" t="s">
        <v>2278</v>
      </c>
      <c r="K452" s="21"/>
      <c r="L452" s="10"/>
      <c r="M452" s="22"/>
      <c r="N452" s="10"/>
      <c r="O452" s="10"/>
      <c r="P452" s="12" t="str">
        <f t="shared" si="1"/>
        <v>https://docs.google.com/forms/d/e/1FAIpQLSeZ-R1GrWlAPkfaThGqxeTj0QTtrARw4rroxIIepf2kipn1nw/formResponse?usp=pp_url&amp;entry.1313582257=3103591489 / 252610459&amp;entry.1578404635=Hadir</v>
      </c>
      <c r="Q452" s="23" t="s">
        <v>2454</v>
      </c>
      <c r="R452" s="12" t="s">
        <v>2455</v>
      </c>
      <c r="S452" s="24" t="s">
        <v>2456</v>
      </c>
      <c r="T452" s="23" t="str">
        <f>HYPERLINK("https://drive.google.com/file/d/1T1qm4lOEDigb218We-HfsTXITFwbi-ja/view?usp=drivesdk","33 - X10 - Rafael Anhar Armando - L")</f>
        <v>33 - X10 - Rafael Anhar Armando - L</v>
      </c>
      <c r="U452" s="12" t="s">
        <v>2457</v>
      </c>
      <c r="W452" s="25">
        <f>COUNTIFS('Form Presensi SCC'!$B:$B, IF($C452&lt;&gt;0, TEXT($C452, "0000000000"), $D452), 'Form Presensi SCC'!$C:$C, "Hadir")</f>
        <v>0</v>
      </c>
      <c r="Y452" s="26"/>
    </row>
    <row r="453" ht="22.5" customHeight="1">
      <c r="A453" s="10">
        <v>452.0</v>
      </c>
      <c r="B453" s="18">
        <v>39.0</v>
      </c>
      <c r="C453" s="18" t="s">
        <v>2458</v>
      </c>
      <c r="D453" s="18" t="s">
        <v>2459</v>
      </c>
      <c r="E453" s="18" t="s">
        <v>227</v>
      </c>
      <c r="F453" s="12">
        <v>33.0</v>
      </c>
      <c r="G453" s="10" t="s">
        <v>2278</v>
      </c>
      <c r="H453" s="19"/>
      <c r="I453" s="20"/>
      <c r="J453" s="10" t="s">
        <v>2278</v>
      </c>
      <c r="K453" s="21"/>
      <c r="L453" s="10"/>
      <c r="M453" s="22"/>
      <c r="N453" s="10"/>
      <c r="O453" s="10"/>
      <c r="P453" s="12" t="str">
        <f t="shared" si="1"/>
        <v>https://docs.google.com/forms/d/e/1FAIpQLSeZ-R1GrWlAPkfaThGqxeTj0QTtrARw4rroxIIepf2kipn1nw/formResponse?usp=pp_url&amp;entry.1313582257=0097831413 / 252610462&amp;entry.1578404635=Hadir</v>
      </c>
      <c r="Q453" s="23" t="s">
        <v>2460</v>
      </c>
      <c r="R453" s="12" t="s">
        <v>2461</v>
      </c>
      <c r="S453" s="24" t="s">
        <v>2462</v>
      </c>
      <c r="T453" s="23" t="str">
        <f>HYPERLINK("https://drive.google.com/file/d/1j27Em_H3BbHK3WJn3-y0s48m8jNBUOGf/view?usp=drivesdk","33 - X10 - Rahmania Azahra - P")</f>
        <v>33 - X10 - Rahmania Azahra - P</v>
      </c>
      <c r="U453" s="12" t="s">
        <v>2457</v>
      </c>
      <c r="W453" s="25">
        <f>COUNTIFS('Form Presensi SCC'!$B:$B, IF($C453&lt;&gt;0, TEXT($C453, "0000000000"), $D453), 'Form Presensi SCC'!$C:$C, "Hadir")</f>
        <v>0</v>
      </c>
      <c r="Y453" s="26"/>
    </row>
    <row r="454" ht="22.5" customHeight="1">
      <c r="A454" s="18">
        <v>453.0</v>
      </c>
      <c r="B454" s="18">
        <v>40.0</v>
      </c>
      <c r="C454" s="18" t="s">
        <v>104</v>
      </c>
      <c r="D454" s="18" t="s">
        <v>2463</v>
      </c>
      <c r="E454" s="18" t="s">
        <v>220</v>
      </c>
      <c r="F454" s="12">
        <v>33.0</v>
      </c>
      <c r="G454" s="10" t="s">
        <v>2278</v>
      </c>
      <c r="H454" s="19"/>
      <c r="I454" s="20"/>
      <c r="J454" s="10" t="s">
        <v>2278</v>
      </c>
      <c r="K454" s="21"/>
      <c r="L454" s="10"/>
      <c r="M454" s="22"/>
      <c r="N454" s="10"/>
      <c r="O454" s="10"/>
      <c r="P454" s="12" t="str">
        <f t="shared" si="1"/>
        <v>https://docs.google.com/forms/d/e/1FAIpQLSeZ-R1GrWlAPkfaThGqxeTj0QTtrARw4rroxIIepf2kipn1nw/formResponse?usp=pp_url&amp;entry.1313582257=0094313180 / 252610469&amp;entry.1578404635=Hadir</v>
      </c>
      <c r="Q454" s="23" t="s">
        <v>2464</v>
      </c>
      <c r="R454" s="12" t="s">
        <v>2465</v>
      </c>
      <c r="S454" s="24" t="s">
        <v>2466</v>
      </c>
      <c r="T454" s="23" t="str">
        <f>HYPERLINK("https://drive.google.com/file/d/1XIIUpfeoDUFs9u7QKIzPlT7H1Wotg0Dh/view?usp=drivesdk","33 - X10 - Raivan Elang Pramono - L")</f>
        <v>33 - X10 - Raivan Elang Pramono - L</v>
      </c>
      <c r="U454" s="12" t="s">
        <v>2457</v>
      </c>
      <c r="W454" s="25">
        <f>COUNTIFS('Form Presensi SCC'!$B:$B, IF($C454&lt;&gt;0, TEXT($C454, "0000000000"), $D454), 'Form Presensi SCC'!$C:$C, "Hadir")</f>
        <v>1</v>
      </c>
      <c r="Y454" s="26"/>
    </row>
    <row r="455" ht="22.5" customHeight="1">
      <c r="A455" s="10">
        <v>454.0</v>
      </c>
      <c r="B455" s="18">
        <v>41.0</v>
      </c>
      <c r="C455" s="18" t="s">
        <v>2467</v>
      </c>
      <c r="D455" s="18" t="s">
        <v>2468</v>
      </c>
      <c r="E455" s="18" t="s">
        <v>227</v>
      </c>
      <c r="F455" s="12">
        <v>33.0</v>
      </c>
      <c r="G455" s="10" t="s">
        <v>2278</v>
      </c>
      <c r="H455" s="19"/>
      <c r="I455" s="20"/>
      <c r="J455" s="10" t="s">
        <v>2278</v>
      </c>
      <c r="K455" s="21"/>
      <c r="L455" s="10"/>
      <c r="M455" s="22"/>
      <c r="N455" s="10"/>
      <c r="O455" s="10"/>
      <c r="P455" s="12" t="str">
        <f t="shared" si="1"/>
        <v>https://docs.google.com/forms/d/e/1FAIpQLSeZ-R1GrWlAPkfaThGqxeTj0QTtrARw4rroxIIepf2kipn1nw/formResponse?usp=pp_url&amp;entry.1313582257=0093204066 / 252610493&amp;entry.1578404635=Hadir</v>
      </c>
      <c r="Q455" s="23" t="s">
        <v>2469</v>
      </c>
      <c r="R455" s="12" t="s">
        <v>2470</v>
      </c>
      <c r="S455" s="24" t="s">
        <v>2471</v>
      </c>
      <c r="T455" s="23" t="str">
        <f>HYPERLINK("https://drive.google.com/file/d/1GXD8x7YmmxKRbzK2CyPa8nq6RjHaEY1Y/view?usp=drivesdk","33 - X10 - Rizqiyanah Qaysarania Herawan - P")</f>
        <v>33 - X10 - Rizqiyanah Qaysarania Herawan - P</v>
      </c>
      <c r="U455" s="12" t="s">
        <v>2457</v>
      </c>
      <c r="W455" s="25">
        <f>COUNTIFS('Form Presensi SCC'!$B:$B, IF($C455&lt;&gt;0, TEXT($C455, "0000000000"), $D455), 'Form Presensi SCC'!$C:$C, "Hadir")</f>
        <v>0</v>
      </c>
      <c r="Y455" s="26"/>
    </row>
    <row r="456" ht="22.5" customHeight="1">
      <c r="A456" s="18">
        <v>455.0</v>
      </c>
      <c r="B456" s="18">
        <v>42.0</v>
      </c>
      <c r="C456" s="18" t="s">
        <v>2472</v>
      </c>
      <c r="D456" s="18" t="s">
        <v>2473</v>
      </c>
      <c r="E456" s="18" t="s">
        <v>227</v>
      </c>
      <c r="F456" s="12">
        <v>33.0</v>
      </c>
      <c r="G456" s="10" t="s">
        <v>2278</v>
      </c>
      <c r="H456" s="19"/>
      <c r="I456" s="20"/>
      <c r="J456" s="10" t="s">
        <v>2278</v>
      </c>
      <c r="K456" s="21"/>
      <c r="L456" s="10"/>
      <c r="M456" s="22"/>
      <c r="N456" s="10"/>
      <c r="O456" s="10"/>
      <c r="P456" s="12" t="str">
        <f t="shared" si="1"/>
        <v>https://docs.google.com/forms/d/e/1FAIpQLSeZ-R1GrWlAPkfaThGqxeTj0QTtrARw4rroxIIepf2kipn1nw/formResponse?usp=pp_url&amp;entry.1313582257=0108540094 / 252610509&amp;entry.1578404635=Hadir</v>
      </c>
      <c r="Q456" s="23" t="s">
        <v>2474</v>
      </c>
      <c r="R456" s="12" t="s">
        <v>2475</v>
      </c>
      <c r="S456" s="24" t="s">
        <v>2476</v>
      </c>
      <c r="T456" s="23" t="str">
        <f>HYPERLINK("https://drive.google.com/file/d/1645RAD9QtpT62AZ_oEWwOgAZ9n4cqyU5/view?usp=drivesdk","33 - X10 - Salsha Aulia Akbar - P")</f>
        <v>33 - X10 - Salsha Aulia Akbar - P</v>
      </c>
      <c r="U456" s="12" t="s">
        <v>2457</v>
      </c>
      <c r="W456" s="25">
        <f>COUNTIFS('Form Presensi SCC'!$B:$B, IF($C456&lt;&gt;0, TEXT($C456, "0000000000"), $D456), 'Form Presensi SCC'!$C:$C, "Hadir")</f>
        <v>0</v>
      </c>
      <c r="Y456" s="26"/>
    </row>
    <row r="457" ht="22.5" customHeight="1">
      <c r="A457" s="10">
        <v>456.0</v>
      </c>
      <c r="B457" s="18">
        <v>43.0</v>
      </c>
      <c r="C457" s="18" t="s">
        <v>2477</v>
      </c>
      <c r="D457" s="18" t="s">
        <v>2478</v>
      </c>
      <c r="E457" s="18" t="s">
        <v>227</v>
      </c>
      <c r="F457" s="12">
        <v>33.0</v>
      </c>
      <c r="G457" s="10" t="s">
        <v>2278</v>
      </c>
      <c r="H457" s="19"/>
      <c r="I457" s="20"/>
      <c r="J457" s="10" t="s">
        <v>2278</v>
      </c>
      <c r="K457" s="21"/>
      <c r="L457" s="10"/>
      <c r="M457" s="22"/>
      <c r="N457" s="10"/>
      <c r="O457" s="10"/>
      <c r="P457" s="12" t="str">
        <f t="shared" si="1"/>
        <v>https://docs.google.com/forms/d/e/1FAIpQLSeZ-R1GrWlAPkfaThGqxeTj0QTtrARw4rroxIIepf2kipn1nw/formResponse?usp=pp_url&amp;entry.1313582257=0108413702 / 252610510&amp;entry.1578404635=Hadir</v>
      </c>
      <c r="Q457" s="23" t="s">
        <v>2479</v>
      </c>
      <c r="R457" s="12" t="s">
        <v>2480</v>
      </c>
      <c r="S457" s="24" t="s">
        <v>2481</v>
      </c>
      <c r="T457" s="23" t="str">
        <f>HYPERLINK("https://drive.google.com/file/d/1Ez676MMkLBryeXDLzg_l1uTUnbF6aBNt/view?usp=drivesdk","33 - X10 - Sashikirana Luvena Maheswari - P")</f>
        <v>33 - X10 - Sashikirana Luvena Maheswari - P</v>
      </c>
      <c r="U457" s="12" t="s">
        <v>2457</v>
      </c>
      <c r="W457" s="25">
        <f>COUNTIFS('Form Presensi SCC'!$B:$B, IF($C457&lt;&gt;0, TEXT($C457, "0000000000"), $D457), 'Form Presensi SCC'!$C:$C, "Hadir")</f>
        <v>0</v>
      </c>
      <c r="Y457" s="26"/>
    </row>
    <row r="458" ht="22.5" customHeight="1">
      <c r="A458" s="18">
        <v>457.0</v>
      </c>
      <c r="B458" s="18">
        <v>44.0</v>
      </c>
      <c r="C458" s="18" t="s">
        <v>148</v>
      </c>
      <c r="D458" s="18" t="s">
        <v>2482</v>
      </c>
      <c r="E458" s="18" t="s">
        <v>227</v>
      </c>
      <c r="F458" s="12">
        <v>33.0</v>
      </c>
      <c r="G458" s="10" t="s">
        <v>2278</v>
      </c>
      <c r="H458" s="19"/>
      <c r="I458" s="20"/>
      <c r="J458" s="10" t="s">
        <v>2278</v>
      </c>
      <c r="K458" s="21"/>
      <c r="L458" s="10"/>
      <c r="M458" s="22"/>
      <c r="N458" s="10"/>
      <c r="O458" s="10"/>
      <c r="P458" s="12" t="str">
        <f t="shared" si="1"/>
        <v>https://docs.google.com/forms/d/e/1FAIpQLSeZ-R1GrWlAPkfaThGqxeTj0QTtrARw4rroxIIepf2kipn1nw/formResponse?usp=pp_url&amp;entry.1313582257=0108718382 / 252610521&amp;entry.1578404635=Hadir</v>
      </c>
      <c r="Q458" s="23" t="s">
        <v>2483</v>
      </c>
      <c r="R458" s="12" t="s">
        <v>2484</v>
      </c>
      <c r="S458" s="24" t="s">
        <v>2485</v>
      </c>
      <c r="T458" s="23" t="str">
        <f>HYPERLINK("https://drive.google.com/file/d/12Q-Q8U1DAItwpTMHpE5HoLOXmgXGkYxj/view?usp=drivesdk","33 - X10 - Silvya Sri Aprilianti - P")</f>
        <v>33 - X10 - Silvya Sri Aprilianti - P</v>
      </c>
      <c r="U458" s="12" t="s">
        <v>2486</v>
      </c>
      <c r="W458" s="25">
        <f>COUNTIFS('Form Presensi SCC'!$B:$B, IF($C458&lt;&gt;0, TEXT($C458, "0000000000"), $D458), 'Form Presensi SCC'!$C:$C, "Hadir")</f>
        <v>1</v>
      </c>
      <c r="Y458" s="26"/>
    </row>
    <row r="459" ht="22.5" customHeight="1">
      <c r="A459" s="10">
        <v>458.0</v>
      </c>
      <c r="B459" s="18">
        <v>45.0</v>
      </c>
      <c r="C459" s="18" t="s">
        <v>2487</v>
      </c>
      <c r="D459" s="18" t="s">
        <v>2488</v>
      </c>
      <c r="E459" s="18" t="s">
        <v>227</v>
      </c>
      <c r="F459" s="12">
        <v>33.0</v>
      </c>
      <c r="G459" s="10" t="s">
        <v>2278</v>
      </c>
      <c r="H459" s="19"/>
      <c r="I459" s="20"/>
      <c r="J459" s="10" t="s">
        <v>2278</v>
      </c>
      <c r="K459" s="21"/>
      <c r="L459" s="10"/>
      <c r="M459" s="22"/>
      <c r="N459" s="10"/>
      <c r="O459" s="10"/>
      <c r="P459" s="12" t="str">
        <f t="shared" si="1"/>
        <v>https://docs.google.com/forms/d/e/1FAIpQLSeZ-R1GrWlAPkfaThGqxeTj0QTtrARw4rroxIIepf2kipn1nw/formResponse?usp=pp_url&amp;entry.1313582257=0099775444 / 252610526&amp;entry.1578404635=Hadir</v>
      </c>
      <c r="Q459" s="23" t="s">
        <v>2489</v>
      </c>
      <c r="R459" s="12" t="s">
        <v>2490</v>
      </c>
      <c r="S459" s="24" t="s">
        <v>2491</v>
      </c>
      <c r="T459" s="23" t="str">
        <f>HYPERLINK("https://drive.google.com/file/d/1WaKgiesXz4DUPDO-XDgIDCfws6EgivMg/view?usp=drivesdk","33 - X10 - Syaakhira Fauziah - P")</f>
        <v>33 - X10 - Syaakhira Fauziah - P</v>
      </c>
      <c r="U459" s="12" t="s">
        <v>2486</v>
      </c>
      <c r="W459" s="25">
        <f>COUNTIFS('Form Presensi SCC'!$B:$B, IF($C459&lt;&gt;0, TEXT($C459, "0000000000"), $D459), 'Form Presensi SCC'!$C:$C, "Hadir")</f>
        <v>0</v>
      </c>
      <c r="Y459" s="26"/>
    </row>
    <row r="460" ht="22.5" customHeight="1">
      <c r="A460" s="18">
        <v>459.0</v>
      </c>
      <c r="B460" s="18">
        <v>46.0</v>
      </c>
      <c r="C460" s="18" t="s">
        <v>2492</v>
      </c>
      <c r="D460" s="18" t="s">
        <v>2493</v>
      </c>
      <c r="E460" s="18" t="s">
        <v>220</v>
      </c>
      <c r="F460" s="12">
        <v>33.0</v>
      </c>
      <c r="G460" s="10" t="s">
        <v>2278</v>
      </c>
      <c r="H460" s="19"/>
      <c r="I460" s="20"/>
      <c r="J460" s="10" t="s">
        <v>2278</v>
      </c>
      <c r="K460" s="21"/>
      <c r="L460" s="10"/>
      <c r="M460" s="22"/>
      <c r="N460" s="10"/>
      <c r="O460" s="10"/>
      <c r="P460" s="12" t="str">
        <f t="shared" si="1"/>
        <v>https://docs.google.com/forms/d/e/1FAIpQLSeZ-R1GrWlAPkfaThGqxeTj0QTtrARw4rroxIIepf2kipn1nw/formResponse?usp=pp_url&amp;entry.1313582257=0093324313 / 252610552&amp;entry.1578404635=Hadir</v>
      </c>
      <c r="Q460" s="23" t="s">
        <v>2494</v>
      </c>
      <c r="R460" s="12" t="s">
        <v>2495</v>
      </c>
      <c r="S460" s="24" t="s">
        <v>2496</v>
      </c>
      <c r="T460" s="23" t="str">
        <f>HYPERLINK("https://drive.google.com/file/d/1ic91xT4-eeK0c614R5c2CLY6l4VzZU73/view?usp=drivesdk","33 - X10 - Vincentius Daniel Ornando - L")</f>
        <v>33 - X10 - Vincentius Daniel Ornando - L</v>
      </c>
      <c r="U460" s="12" t="s">
        <v>2486</v>
      </c>
      <c r="W460" s="25">
        <f>COUNTIFS('Form Presensi SCC'!$B:$B, IF($C460&lt;&gt;0, TEXT($C460, "0000000000"), $D460), 'Form Presensi SCC'!$C:$C, "Hadir")</f>
        <v>0</v>
      </c>
      <c r="Y460" s="26"/>
    </row>
    <row r="461" ht="22.5" customHeight="1">
      <c r="A461" s="10">
        <v>460.0</v>
      </c>
      <c r="B461" s="18">
        <v>1.0</v>
      </c>
      <c r="C461" s="18" t="s">
        <v>2497</v>
      </c>
      <c r="D461" s="18" t="s">
        <v>2498</v>
      </c>
      <c r="E461" s="18" t="s">
        <v>227</v>
      </c>
      <c r="F461" s="12">
        <v>33.0</v>
      </c>
      <c r="G461" s="10" t="s">
        <v>2499</v>
      </c>
      <c r="H461" s="19"/>
      <c r="I461" s="20"/>
      <c r="J461" s="10" t="s">
        <v>2499</v>
      </c>
      <c r="K461" s="21"/>
      <c r="L461" s="10"/>
      <c r="M461" s="22"/>
      <c r="N461" s="10"/>
      <c r="O461" s="10"/>
      <c r="P461" s="12" t="str">
        <f t="shared" si="1"/>
        <v>https://docs.google.com/forms/d/e/1FAIpQLSeZ-R1GrWlAPkfaThGqxeTj0QTtrARw4rroxIIepf2kipn1nw/formResponse?usp=pp_url&amp;entry.1313582257=0109542213 / 252610010&amp;entry.1578404635=Hadir</v>
      </c>
      <c r="Q461" s="23" t="s">
        <v>2500</v>
      </c>
      <c r="R461" s="12" t="s">
        <v>2501</v>
      </c>
      <c r="S461" s="24" t="s">
        <v>2502</v>
      </c>
      <c r="T461" s="23" t="str">
        <f>HYPERLINK("https://drive.google.com/file/d/1OUeBJDpzFxI6rify9hP9yeDLsd68BCU7/view?usp=drivesdk","33 - X11 - Adinda Garnetha Prasistha - P")</f>
        <v>33 - X11 - Adinda Garnetha Prasistha - P</v>
      </c>
      <c r="U461" s="12" t="s">
        <v>2486</v>
      </c>
      <c r="W461" s="25">
        <f>COUNTIFS('Form Presensi SCC'!$B:$B, IF($C461&lt;&gt;0, TEXT($C461, "0000000000"), $D461), 'Form Presensi SCC'!$C:$C, "Hadir")</f>
        <v>0</v>
      </c>
      <c r="Y461" s="26"/>
    </row>
    <row r="462" ht="22.5" customHeight="1">
      <c r="A462" s="18">
        <v>461.0</v>
      </c>
      <c r="B462" s="18">
        <v>2.0</v>
      </c>
      <c r="C462" s="18" t="s">
        <v>2503</v>
      </c>
      <c r="D462" s="18" t="s">
        <v>2504</v>
      </c>
      <c r="E462" s="18" t="s">
        <v>227</v>
      </c>
      <c r="F462" s="12">
        <v>33.0</v>
      </c>
      <c r="G462" s="10" t="s">
        <v>2499</v>
      </c>
      <c r="H462" s="19"/>
      <c r="I462" s="20"/>
      <c r="J462" s="10" t="s">
        <v>2499</v>
      </c>
      <c r="K462" s="21"/>
      <c r="L462" s="10"/>
      <c r="M462" s="22"/>
      <c r="N462" s="10"/>
      <c r="O462" s="10"/>
      <c r="P462" s="12" t="str">
        <f t="shared" si="1"/>
        <v>https://docs.google.com/forms/d/e/1FAIpQLSeZ-R1GrWlAPkfaThGqxeTj0QTtrARw4rroxIIepf2kipn1nw/formResponse?usp=pp_url&amp;entry.1313582257=0108324867 / 252610031&amp;entry.1578404635=Hadir</v>
      </c>
      <c r="Q462" s="23" t="s">
        <v>2505</v>
      </c>
      <c r="R462" s="12" t="s">
        <v>2506</v>
      </c>
      <c r="S462" s="24" t="s">
        <v>2507</v>
      </c>
      <c r="T462" s="23" t="str">
        <f>HYPERLINK("https://drive.google.com/file/d/1U3XZwsnFv8XoBmG6aRSABTm6U2JuiTmZ/view?usp=drivesdk","33 - X11 - Ajeng Adisty Fahira - P")</f>
        <v>33 - X11 - Ajeng Adisty Fahira - P</v>
      </c>
      <c r="U462" s="12" t="s">
        <v>2486</v>
      </c>
      <c r="W462" s="25">
        <f>COUNTIFS('Form Presensi SCC'!$B:$B, IF($C462&lt;&gt;0, TEXT($C462, "0000000000"), $D462), 'Form Presensi SCC'!$C:$C, "Hadir")</f>
        <v>0</v>
      </c>
      <c r="Y462" s="26"/>
    </row>
    <row r="463" ht="22.5" customHeight="1">
      <c r="A463" s="10">
        <v>462.0</v>
      </c>
      <c r="B463" s="18">
        <v>3.0</v>
      </c>
      <c r="C463" s="18" t="s">
        <v>2508</v>
      </c>
      <c r="D463" s="18" t="s">
        <v>2509</v>
      </c>
      <c r="E463" s="18" t="s">
        <v>220</v>
      </c>
      <c r="F463" s="12">
        <v>33.0</v>
      </c>
      <c r="G463" s="10" t="s">
        <v>2499</v>
      </c>
      <c r="H463" s="19"/>
      <c r="I463" s="20"/>
      <c r="J463" s="10" t="s">
        <v>2499</v>
      </c>
      <c r="K463" s="21"/>
      <c r="L463" s="10"/>
      <c r="M463" s="22"/>
      <c r="N463" s="10"/>
      <c r="O463" s="10"/>
      <c r="P463" s="12" t="str">
        <f t="shared" si="1"/>
        <v>https://docs.google.com/forms/d/e/1FAIpQLSeZ-R1GrWlAPkfaThGqxeTj0QTtrARw4rroxIIepf2kipn1nw/formResponse?usp=pp_url&amp;entry.1313582257=0109013664 / 252610033&amp;entry.1578404635=Hadir</v>
      </c>
      <c r="Q463" s="23" t="s">
        <v>2510</v>
      </c>
      <c r="R463" s="12" t="s">
        <v>2511</v>
      </c>
      <c r="S463" s="24" t="s">
        <v>2512</v>
      </c>
      <c r="T463" s="23" t="str">
        <f>HYPERLINK("https://drive.google.com/file/d/1IThwa0r4XifyXLHFIn_hI3xL7sVUdUpl/view?usp=drivesdk","33 - X11 - Al Fathdry Rizky Wibowo - L")</f>
        <v>33 - X11 - Al Fathdry Rizky Wibowo - L</v>
      </c>
      <c r="U463" s="12" t="s">
        <v>2486</v>
      </c>
      <c r="W463" s="25">
        <f>COUNTIFS('Form Presensi SCC'!$B:$B, IF($C463&lt;&gt;0, TEXT($C463, "0000000000"), $D463), 'Form Presensi SCC'!$C:$C, "Hadir")</f>
        <v>0</v>
      </c>
      <c r="Y463" s="26"/>
    </row>
    <row r="464" ht="22.5" customHeight="1">
      <c r="A464" s="18">
        <v>463.0</v>
      </c>
      <c r="B464" s="18">
        <v>4.0</v>
      </c>
      <c r="C464" s="18" t="s">
        <v>2513</v>
      </c>
      <c r="D464" s="18" t="s">
        <v>2514</v>
      </c>
      <c r="E464" s="18" t="s">
        <v>227</v>
      </c>
      <c r="F464" s="12">
        <v>33.0</v>
      </c>
      <c r="G464" s="10" t="s">
        <v>2499</v>
      </c>
      <c r="H464" s="19"/>
      <c r="I464" s="20"/>
      <c r="J464" s="10" t="s">
        <v>2499</v>
      </c>
      <c r="K464" s="21"/>
      <c r="L464" s="10"/>
      <c r="M464" s="22"/>
      <c r="N464" s="10"/>
      <c r="O464" s="10"/>
      <c r="P464" s="12" t="str">
        <f t="shared" si="1"/>
        <v>https://docs.google.com/forms/d/e/1FAIpQLSeZ-R1GrWlAPkfaThGqxeTj0QTtrARw4rroxIIepf2kipn1nw/formResponse?usp=pp_url&amp;entry.1313582257=0108561560 / 252610047&amp;entry.1578404635=Hadir</v>
      </c>
      <c r="Q464" s="23" t="s">
        <v>2515</v>
      </c>
      <c r="R464" s="12" t="s">
        <v>2516</v>
      </c>
      <c r="S464" s="24" t="s">
        <v>2517</v>
      </c>
      <c r="T464" s="23" t="str">
        <f>HYPERLINK("https://drive.google.com/file/d/1CJlxMG35FF0C3a3GgKL31GQFYiu5Ijps/view?usp=drivesdk","33 - X11 - Almira Aprilia Putri - P")</f>
        <v>33 - X11 - Almira Aprilia Putri - P</v>
      </c>
      <c r="U464" s="12" t="s">
        <v>2518</v>
      </c>
      <c r="W464" s="25">
        <f>COUNTIFS('Form Presensi SCC'!$B:$B, IF($C464&lt;&gt;0, TEXT($C464, "0000000000"), $D464), 'Form Presensi SCC'!$C:$C, "Hadir")</f>
        <v>0</v>
      </c>
      <c r="Y464" s="26"/>
    </row>
    <row r="465" ht="22.5" customHeight="1">
      <c r="A465" s="10">
        <v>464.0</v>
      </c>
      <c r="B465" s="18">
        <v>5.0</v>
      </c>
      <c r="C465" s="18" t="s">
        <v>2519</v>
      </c>
      <c r="D465" s="18" t="s">
        <v>2520</v>
      </c>
      <c r="E465" s="18" t="s">
        <v>227</v>
      </c>
      <c r="F465" s="12">
        <v>33.0</v>
      </c>
      <c r="G465" s="10" t="s">
        <v>2499</v>
      </c>
      <c r="H465" s="19"/>
      <c r="I465" s="20"/>
      <c r="J465" s="10" t="s">
        <v>2499</v>
      </c>
      <c r="K465" s="21"/>
      <c r="L465" s="10"/>
      <c r="M465" s="22"/>
      <c r="N465" s="10"/>
      <c r="O465" s="10"/>
      <c r="P465" s="12" t="str">
        <f t="shared" si="1"/>
        <v>https://docs.google.com/forms/d/e/1FAIpQLSeZ-R1GrWlAPkfaThGqxeTj0QTtrARw4rroxIIepf2kipn1nw/formResponse?usp=pp_url&amp;entry.1313582257=0096963702 / 252610066&amp;entry.1578404635=Hadir</v>
      </c>
      <c r="Q465" s="23" t="s">
        <v>2521</v>
      </c>
      <c r="R465" s="12" t="s">
        <v>2522</v>
      </c>
      <c r="S465" s="24" t="s">
        <v>2523</v>
      </c>
      <c r="T465" s="23" t="str">
        <f>HYPERLINK("https://drive.google.com/file/d/11-Ws1wn0wYxOLYXUnWZT6KXRliIwXaRF/view?usp=drivesdk","33 - X11 - Anndita - P")</f>
        <v>33 - X11 - Anndita - P</v>
      </c>
      <c r="U465" s="12" t="s">
        <v>2518</v>
      </c>
      <c r="W465" s="25">
        <f>COUNTIFS('Form Presensi SCC'!$B:$B, IF($C465&lt;&gt;0, TEXT($C465, "0000000000"), $D465), 'Form Presensi SCC'!$C:$C, "Hadir")</f>
        <v>0</v>
      </c>
      <c r="Y465" s="26"/>
    </row>
    <row r="466" ht="22.5" customHeight="1">
      <c r="A466" s="18">
        <v>465.0</v>
      </c>
      <c r="B466" s="18">
        <v>6.0</v>
      </c>
      <c r="C466" s="18" t="s">
        <v>2524</v>
      </c>
      <c r="D466" s="18" t="s">
        <v>2525</v>
      </c>
      <c r="E466" s="18" t="s">
        <v>227</v>
      </c>
      <c r="F466" s="12">
        <v>33.0</v>
      </c>
      <c r="G466" s="10" t="s">
        <v>2499</v>
      </c>
      <c r="H466" s="19"/>
      <c r="I466" s="20"/>
      <c r="J466" s="10" t="s">
        <v>2499</v>
      </c>
      <c r="K466" s="21"/>
      <c r="L466" s="10"/>
      <c r="M466" s="22"/>
      <c r="N466" s="10"/>
      <c r="O466" s="10"/>
      <c r="P466" s="12" t="str">
        <f t="shared" si="1"/>
        <v>https://docs.google.com/forms/d/e/1FAIpQLSeZ-R1GrWlAPkfaThGqxeTj0QTtrARw4rroxIIepf2kipn1nw/formResponse?usp=pp_url&amp;entry.1313582257=0091952413 / 252610085&amp;entry.1578404635=Hadir</v>
      </c>
      <c r="Q466" s="23" t="s">
        <v>2526</v>
      </c>
      <c r="R466" s="12" t="s">
        <v>2527</v>
      </c>
      <c r="S466" s="24" t="s">
        <v>2528</v>
      </c>
      <c r="T466" s="23" t="str">
        <f>HYPERLINK("https://drive.google.com/file/d/1pRYUnewjumQBGFz6EbXneSMaFJw8G2-m/view?usp=drivesdk","33 - X11 - Askana Nailazahran Hermansyah - P")</f>
        <v>33 - X11 - Askana Nailazahran Hermansyah - P</v>
      </c>
      <c r="U466" s="12" t="s">
        <v>2518</v>
      </c>
      <c r="W466" s="25">
        <f>COUNTIFS('Form Presensi SCC'!$B:$B, IF($C466&lt;&gt;0, TEXT($C466, "0000000000"), $D466), 'Form Presensi SCC'!$C:$C, "Hadir")</f>
        <v>0</v>
      </c>
      <c r="Y466" s="26"/>
    </row>
    <row r="467" ht="22.5" customHeight="1">
      <c r="A467" s="10">
        <v>466.0</v>
      </c>
      <c r="B467" s="18">
        <v>7.0</v>
      </c>
      <c r="C467" s="18" t="s">
        <v>135</v>
      </c>
      <c r="D467" s="18" t="s">
        <v>2529</v>
      </c>
      <c r="E467" s="18" t="s">
        <v>227</v>
      </c>
      <c r="F467" s="12">
        <v>33.0</v>
      </c>
      <c r="G467" s="10" t="s">
        <v>2499</v>
      </c>
      <c r="H467" s="19"/>
      <c r="I467" s="20"/>
      <c r="J467" s="10" t="s">
        <v>2499</v>
      </c>
      <c r="K467" s="21"/>
      <c r="L467" s="10"/>
      <c r="M467" s="22"/>
      <c r="N467" s="10"/>
      <c r="O467" s="10"/>
      <c r="P467" s="12" t="str">
        <f t="shared" si="1"/>
        <v>https://docs.google.com/forms/d/e/1FAIpQLSeZ-R1GrWlAPkfaThGqxeTj0QTtrARw4rroxIIepf2kipn1nw/formResponse?usp=pp_url&amp;entry.1313582257=0099678017 / 252610098&amp;entry.1578404635=Hadir</v>
      </c>
      <c r="Q467" s="23" t="s">
        <v>2530</v>
      </c>
      <c r="R467" s="12" t="s">
        <v>2531</v>
      </c>
      <c r="S467" s="24" t="s">
        <v>2532</v>
      </c>
      <c r="T467" s="23" t="str">
        <f>HYPERLINK("https://drive.google.com/file/d/1hSGaUO0qdoBUdidTGNBR4seD7NXCPlaF/view?usp=drivesdk","33 - X11 - Aulia Intan Rhamadhani - P")</f>
        <v>33 - X11 - Aulia Intan Rhamadhani - P</v>
      </c>
      <c r="U467" s="12" t="s">
        <v>2518</v>
      </c>
      <c r="W467" s="25">
        <f>COUNTIFS('Form Presensi SCC'!$B:$B, IF($C467&lt;&gt;0, TEXT($C467, "0000000000"), $D467), 'Form Presensi SCC'!$C:$C, "Hadir")</f>
        <v>1</v>
      </c>
      <c r="Y467" s="26"/>
    </row>
    <row r="468" ht="22.5" customHeight="1">
      <c r="A468" s="18">
        <v>467.0</v>
      </c>
      <c r="B468" s="18">
        <v>8.0</v>
      </c>
      <c r="C468" s="18" t="s">
        <v>2533</v>
      </c>
      <c r="D468" s="18" t="s">
        <v>2534</v>
      </c>
      <c r="E468" s="18" t="s">
        <v>220</v>
      </c>
      <c r="F468" s="12">
        <v>33.0</v>
      </c>
      <c r="G468" s="10" t="s">
        <v>2499</v>
      </c>
      <c r="H468" s="19"/>
      <c r="I468" s="20"/>
      <c r="J468" s="10" t="s">
        <v>2499</v>
      </c>
      <c r="K468" s="21"/>
      <c r="L468" s="10"/>
      <c r="M468" s="22"/>
      <c r="N468" s="10"/>
      <c r="O468" s="10"/>
      <c r="P468" s="12" t="str">
        <f t="shared" si="1"/>
        <v>https://docs.google.com/forms/d/e/1FAIpQLSeZ-R1GrWlAPkfaThGqxeTj0QTtrARw4rroxIIepf2kipn1nw/formResponse?usp=pp_url&amp;entry.1313582257=0104439014 / 252610105&amp;entry.1578404635=Hadir</v>
      </c>
      <c r="Q468" s="23" t="s">
        <v>2535</v>
      </c>
      <c r="R468" s="12" t="s">
        <v>2536</v>
      </c>
      <c r="S468" s="24" t="s">
        <v>2537</v>
      </c>
      <c r="T468" s="23" t="str">
        <f>HYPERLINK("https://drive.google.com/file/d/1O4sAtwJvNBW7VIMvy5JYoh0WC-Uj2KjY/view?usp=drivesdk","33 - X11 - Avrillino Herza Pratama - L")</f>
        <v>33 - X11 - Avrillino Herza Pratama - L</v>
      </c>
      <c r="U468" s="12" t="s">
        <v>2518</v>
      </c>
      <c r="W468" s="25">
        <f>COUNTIFS('Form Presensi SCC'!$B:$B, IF($C468&lt;&gt;0, TEXT($C468, "0000000000"), $D468), 'Form Presensi SCC'!$C:$C, "Hadir")</f>
        <v>0</v>
      </c>
      <c r="Y468" s="26"/>
    </row>
    <row r="469" ht="22.5" customHeight="1">
      <c r="A469" s="10">
        <v>468.0</v>
      </c>
      <c r="B469" s="18">
        <v>9.0</v>
      </c>
      <c r="C469" s="18" t="s">
        <v>2538</v>
      </c>
      <c r="D469" s="18" t="s">
        <v>2539</v>
      </c>
      <c r="E469" s="18" t="s">
        <v>220</v>
      </c>
      <c r="F469" s="12">
        <v>33.0</v>
      </c>
      <c r="G469" s="10" t="s">
        <v>2499</v>
      </c>
      <c r="H469" s="19"/>
      <c r="I469" s="20"/>
      <c r="J469" s="10" t="s">
        <v>2499</v>
      </c>
      <c r="K469" s="21"/>
      <c r="L469" s="10"/>
      <c r="M469" s="22"/>
      <c r="N469" s="10"/>
      <c r="O469" s="10"/>
      <c r="P469" s="12" t="str">
        <f t="shared" si="1"/>
        <v>https://docs.google.com/forms/d/e/1FAIpQLSeZ-R1GrWlAPkfaThGqxeTj0QTtrARw4rroxIIepf2kipn1nw/formResponse?usp=pp_url&amp;entry.1313582257=0097138954 / 252610110&amp;entry.1578404635=Hadir</v>
      </c>
      <c r="Q469" s="23" t="s">
        <v>2540</v>
      </c>
      <c r="R469" s="12" t="s">
        <v>2541</v>
      </c>
      <c r="S469" s="24" t="s">
        <v>2542</v>
      </c>
      <c r="T469" s="23" t="str">
        <f>HYPERLINK("https://drive.google.com/file/d/1HijtrivCs_GPwiwoItIiGwOBkLLNsMtD/view?usp=drivesdk","33 - X11 - Aziz Sakhi Zaidan - L")</f>
        <v>33 - X11 - Aziz Sakhi Zaidan - L</v>
      </c>
      <c r="U469" s="12" t="s">
        <v>2543</v>
      </c>
      <c r="W469" s="25">
        <f>COUNTIFS('Form Presensi SCC'!$B:$B, IF($C469&lt;&gt;0, TEXT($C469, "0000000000"), $D469), 'Form Presensi SCC'!$C:$C, "Hadir")</f>
        <v>0</v>
      </c>
      <c r="Y469" s="26"/>
    </row>
    <row r="470" ht="22.5" customHeight="1">
      <c r="A470" s="18">
        <v>469.0</v>
      </c>
      <c r="B470" s="18">
        <v>10.0</v>
      </c>
      <c r="C470" s="18" t="s">
        <v>2544</v>
      </c>
      <c r="D470" s="18" t="s">
        <v>2545</v>
      </c>
      <c r="E470" s="18" t="s">
        <v>220</v>
      </c>
      <c r="F470" s="12">
        <v>33.0</v>
      </c>
      <c r="G470" s="10" t="s">
        <v>2499</v>
      </c>
      <c r="H470" s="19"/>
      <c r="I470" s="20"/>
      <c r="J470" s="10" t="s">
        <v>2499</v>
      </c>
      <c r="K470" s="21"/>
      <c r="L470" s="10"/>
      <c r="M470" s="22"/>
      <c r="N470" s="10"/>
      <c r="O470" s="10"/>
      <c r="P470" s="12" t="str">
        <f t="shared" si="1"/>
        <v>https://docs.google.com/forms/d/e/1FAIpQLSeZ-R1GrWlAPkfaThGqxeTj0QTtrARw4rroxIIepf2kipn1nw/formResponse?usp=pp_url&amp;entry.1313582257=0101964014 / 252610111&amp;entry.1578404635=Hadir</v>
      </c>
      <c r="Q470" s="23" t="s">
        <v>2546</v>
      </c>
      <c r="R470" s="12" t="s">
        <v>2547</v>
      </c>
      <c r="S470" s="24" t="s">
        <v>2548</v>
      </c>
      <c r="T470" s="23" t="str">
        <f>HYPERLINK("https://drive.google.com/file/d/1PnyAbWszJZrCCbCFueZ5OMAgP_oTUNs_/view?usp=drivesdk","33 - X11 - Azka Ivano Ananda Hidayat - L")</f>
        <v>33 - X11 - Azka Ivano Ananda Hidayat - L</v>
      </c>
      <c r="U470" s="12" t="s">
        <v>2543</v>
      </c>
      <c r="W470" s="25">
        <f>COUNTIFS('Form Presensi SCC'!$B:$B, IF($C470&lt;&gt;0, TEXT($C470, "0000000000"), $D470), 'Form Presensi SCC'!$C:$C, "Hadir")</f>
        <v>0</v>
      </c>
      <c r="Y470" s="26"/>
    </row>
    <row r="471" ht="22.5" customHeight="1">
      <c r="A471" s="10">
        <v>470.0</v>
      </c>
      <c r="B471" s="18">
        <v>11.0</v>
      </c>
      <c r="C471" s="18" t="s">
        <v>2549</v>
      </c>
      <c r="D471" s="18" t="s">
        <v>2550</v>
      </c>
      <c r="E471" s="18" t="s">
        <v>227</v>
      </c>
      <c r="F471" s="12">
        <v>33.0</v>
      </c>
      <c r="G471" s="10" t="s">
        <v>2499</v>
      </c>
      <c r="H471" s="19"/>
      <c r="I471" s="20"/>
      <c r="J471" s="10" t="s">
        <v>2499</v>
      </c>
      <c r="K471" s="21"/>
      <c r="L471" s="10"/>
      <c r="M471" s="22"/>
      <c r="N471" s="10"/>
      <c r="O471" s="10"/>
      <c r="P471" s="12" t="str">
        <f t="shared" si="1"/>
        <v>https://docs.google.com/forms/d/e/1FAIpQLSeZ-R1GrWlAPkfaThGqxeTj0QTtrARw4rroxIIepf2kipn1nw/formResponse?usp=pp_url&amp;entry.1313582257=3105650741 / 252610112&amp;entry.1578404635=Hadir</v>
      </c>
      <c r="Q471" s="23" t="s">
        <v>2551</v>
      </c>
      <c r="R471" s="12" t="s">
        <v>2552</v>
      </c>
      <c r="S471" s="24" t="s">
        <v>2553</v>
      </c>
      <c r="T471" s="23" t="str">
        <f>HYPERLINK("https://drive.google.com/file/d/1hqU42rTaEbJR9fG_34kBd4OUfQKRuCii/view?usp=drivesdk","33 - X11 - Azkiara Andhita - P")</f>
        <v>33 - X11 - Azkiara Andhita - P</v>
      </c>
      <c r="U471" s="12" t="s">
        <v>2543</v>
      </c>
      <c r="W471" s="25">
        <f>COUNTIFS('Form Presensi SCC'!$B:$B, IF($C471&lt;&gt;0, TEXT($C471, "0000000000"), $D471), 'Form Presensi SCC'!$C:$C, "Hadir")</f>
        <v>0</v>
      </c>
      <c r="Y471" s="26"/>
    </row>
    <row r="472" ht="22.5" customHeight="1">
      <c r="A472" s="18">
        <v>471.0</v>
      </c>
      <c r="B472" s="18">
        <v>12.0</v>
      </c>
      <c r="C472" s="18" t="s">
        <v>2554</v>
      </c>
      <c r="D472" s="18" t="s">
        <v>2555</v>
      </c>
      <c r="E472" s="18" t="s">
        <v>227</v>
      </c>
      <c r="F472" s="12">
        <v>33.0</v>
      </c>
      <c r="G472" s="10" t="s">
        <v>2499</v>
      </c>
      <c r="H472" s="19"/>
      <c r="I472" s="20"/>
      <c r="J472" s="10" t="s">
        <v>2499</v>
      </c>
      <c r="K472" s="21"/>
      <c r="L472" s="10"/>
      <c r="M472" s="22"/>
      <c r="N472" s="10"/>
      <c r="O472" s="10"/>
      <c r="P472" s="12" t="str">
        <f t="shared" si="1"/>
        <v>https://docs.google.com/forms/d/e/1FAIpQLSeZ-R1GrWlAPkfaThGqxeTj0QTtrARw4rroxIIepf2kipn1nw/formResponse?usp=pp_url&amp;entry.1313582257=0091891047 / 252610114&amp;entry.1578404635=Hadir</v>
      </c>
      <c r="Q472" s="23" t="s">
        <v>2556</v>
      </c>
      <c r="R472" s="12" t="s">
        <v>2557</v>
      </c>
      <c r="S472" s="24" t="s">
        <v>2558</v>
      </c>
      <c r="T472" s="23" t="str">
        <f>HYPERLINK("https://drive.google.com/file/d/1oalAcL0xivMtndn37OqOOpKs4YyseuBp/view?usp=drivesdk","33 - X11 - Azzalea Sakinah Ayura Putri - P")</f>
        <v>33 - X11 - Azzalea Sakinah Ayura Putri - P</v>
      </c>
      <c r="U472" s="12" t="s">
        <v>2543</v>
      </c>
      <c r="W472" s="25">
        <f>COUNTIFS('Form Presensi SCC'!$B:$B, IF($C472&lt;&gt;0, TEXT($C472, "0000000000"), $D472), 'Form Presensi SCC'!$C:$C, "Hadir")</f>
        <v>0</v>
      </c>
      <c r="Y472" s="26"/>
    </row>
    <row r="473" ht="22.5" customHeight="1">
      <c r="A473" s="10">
        <v>472.0</v>
      </c>
      <c r="B473" s="18">
        <v>13.0</v>
      </c>
      <c r="C473" s="18" t="s">
        <v>2559</v>
      </c>
      <c r="D473" s="18" t="s">
        <v>2560</v>
      </c>
      <c r="E473" s="18" t="s">
        <v>227</v>
      </c>
      <c r="F473" s="12">
        <v>33.0</v>
      </c>
      <c r="G473" s="10" t="s">
        <v>2499</v>
      </c>
      <c r="H473" s="19"/>
      <c r="I473" s="20"/>
      <c r="J473" s="10" t="s">
        <v>2499</v>
      </c>
      <c r="K473" s="21"/>
      <c r="L473" s="10"/>
      <c r="M473" s="22"/>
      <c r="N473" s="10"/>
      <c r="O473" s="10"/>
      <c r="P473" s="12" t="str">
        <f t="shared" si="1"/>
        <v>https://docs.google.com/forms/d/e/1FAIpQLSeZ-R1GrWlAPkfaThGqxeTj0QTtrARw4rroxIIepf2kipn1nw/formResponse?usp=pp_url&amp;entry.1313582257=0103193565 / 252610116&amp;entry.1578404635=Hadir</v>
      </c>
      <c r="Q473" s="23" t="s">
        <v>2561</v>
      </c>
      <c r="R473" s="12" t="s">
        <v>2562</v>
      </c>
      <c r="S473" s="24" t="s">
        <v>2563</v>
      </c>
      <c r="T473" s="23" t="str">
        <f>HYPERLINK("https://drive.google.com/file/d/1rUgfxLQ1-dHkcarKi3bEd2n-mW2mj8r3/view?usp=drivesdk","33 - X11 - Balqis Jauza Sabreenijka - P")</f>
        <v>33 - X11 - Balqis Jauza Sabreenijka - P</v>
      </c>
      <c r="U473" s="12" t="s">
        <v>2543</v>
      </c>
      <c r="W473" s="25">
        <f>COUNTIFS('Form Presensi SCC'!$B:$B, IF($C473&lt;&gt;0, TEXT($C473, "0000000000"), $D473), 'Form Presensi SCC'!$C:$C, "Hadir")</f>
        <v>0</v>
      </c>
      <c r="Y473" s="26"/>
    </row>
    <row r="474" ht="22.5" customHeight="1">
      <c r="A474" s="18">
        <v>473.0</v>
      </c>
      <c r="B474" s="18">
        <v>14.0</v>
      </c>
      <c r="C474" s="18" t="s">
        <v>2564</v>
      </c>
      <c r="D474" s="18" t="s">
        <v>2565</v>
      </c>
      <c r="E474" s="18" t="s">
        <v>227</v>
      </c>
      <c r="F474" s="12">
        <v>33.0</v>
      </c>
      <c r="G474" s="10" t="s">
        <v>2499</v>
      </c>
      <c r="H474" s="19"/>
      <c r="I474" s="20"/>
      <c r="J474" s="10" t="s">
        <v>2499</v>
      </c>
      <c r="K474" s="21"/>
      <c r="L474" s="10"/>
      <c r="M474" s="22"/>
      <c r="N474" s="10"/>
      <c r="O474" s="10"/>
      <c r="P474" s="12" t="str">
        <f t="shared" si="1"/>
        <v>https://docs.google.com/forms/d/e/1FAIpQLSeZ-R1GrWlAPkfaThGqxeTj0QTtrARw4rroxIIepf2kipn1nw/formResponse?usp=pp_url&amp;entry.1313582257=0096506746 / 252610131&amp;entry.1578404635=Hadir</v>
      </c>
      <c r="Q474" s="23" t="s">
        <v>2566</v>
      </c>
      <c r="R474" s="12" t="s">
        <v>2567</v>
      </c>
      <c r="S474" s="24" t="s">
        <v>2568</v>
      </c>
      <c r="T474" s="23" t="str">
        <f>HYPERLINK("https://drive.google.com/file/d/108LKwLn2T4NidthuZlbLlN8JWR0NnxiT/view?usp=drivesdk","33 - X11 - Carissa Alia Andinaputri - P")</f>
        <v>33 - X11 - Carissa Alia Andinaputri - P</v>
      </c>
      <c r="U474" s="12" t="s">
        <v>2569</v>
      </c>
      <c r="W474" s="25">
        <f>COUNTIFS('Form Presensi SCC'!$B:$B, IF($C474&lt;&gt;0, TEXT($C474, "0000000000"), $D474), 'Form Presensi SCC'!$C:$C, "Hadir")</f>
        <v>0</v>
      </c>
      <c r="Y474" s="26"/>
    </row>
    <row r="475" ht="22.5" customHeight="1">
      <c r="A475" s="10">
        <v>474.0</v>
      </c>
      <c r="B475" s="18">
        <v>15.0</v>
      </c>
      <c r="C475" s="18" t="s">
        <v>2570</v>
      </c>
      <c r="D475" s="18" t="s">
        <v>2571</v>
      </c>
      <c r="E475" s="18" t="s">
        <v>227</v>
      </c>
      <c r="F475" s="12">
        <v>33.0</v>
      </c>
      <c r="G475" s="10" t="s">
        <v>2499</v>
      </c>
      <c r="H475" s="19"/>
      <c r="I475" s="20"/>
      <c r="J475" s="10" t="s">
        <v>2499</v>
      </c>
      <c r="K475" s="21"/>
      <c r="L475" s="10"/>
      <c r="M475" s="22"/>
      <c r="N475" s="10"/>
      <c r="O475" s="10"/>
      <c r="P475" s="12" t="str">
        <f t="shared" si="1"/>
        <v>https://docs.google.com/forms/d/e/1FAIpQLSeZ-R1GrWlAPkfaThGqxeTj0QTtrARw4rroxIIepf2kipn1nw/formResponse?usp=pp_url&amp;entry.1313582257=0109934428 / 252610137&amp;entry.1578404635=Hadir</v>
      </c>
      <c r="Q475" s="23" t="s">
        <v>2572</v>
      </c>
      <c r="R475" s="12" t="s">
        <v>2573</v>
      </c>
      <c r="S475" s="24" t="s">
        <v>2574</v>
      </c>
      <c r="T475" s="23" t="str">
        <f>HYPERLINK("https://drive.google.com/file/d/18ml4jdpb0Fd6HPGfrZNtAsaJF9iXPSmx/view?usp=drivesdk","33 - X11 - Chntya Serlin Armedta Hia - P")</f>
        <v>33 - X11 - Chntya Serlin Armedta Hia - P</v>
      </c>
      <c r="U475" s="12" t="s">
        <v>2569</v>
      </c>
      <c r="W475" s="25">
        <f>COUNTIFS('Form Presensi SCC'!$B:$B, IF($C475&lt;&gt;0, TEXT($C475, "0000000000"), $D475), 'Form Presensi SCC'!$C:$C, "Hadir")</f>
        <v>0</v>
      </c>
      <c r="Y475" s="26"/>
    </row>
    <row r="476" ht="22.5" customHeight="1">
      <c r="A476" s="18">
        <v>475.0</v>
      </c>
      <c r="B476" s="18">
        <v>16.0</v>
      </c>
      <c r="C476" s="18" t="s">
        <v>2575</v>
      </c>
      <c r="D476" s="18" t="s">
        <v>2576</v>
      </c>
      <c r="E476" s="18" t="s">
        <v>220</v>
      </c>
      <c r="F476" s="12">
        <v>33.0</v>
      </c>
      <c r="G476" s="10" t="s">
        <v>2499</v>
      </c>
      <c r="H476" s="19"/>
      <c r="I476" s="20"/>
      <c r="J476" s="10" t="s">
        <v>2499</v>
      </c>
      <c r="K476" s="21"/>
      <c r="L476" s="10"/>
      <c r="M476" s="22"/>
      <c r="N476" s="10"/>
      <c r="O476" s="10"/>
      <c r="P476" s="12" t="str">
        <f t="shared" si="1"/>
        <v>https://docs.google.com/forms/d/e/1FAIpQLSeZ-R1GrWlAPkfaThGqxeTj0QTtrARw4rroxIIepf2kipn1nw/formResponse?usp=pp_url&amp;entry.1313582257=0095529275 / 252610184&amp;entry.1578404635=Hadir</v>
      </c>
      <c r="Q476" s="23" t="s">
        <v>2577</v>
      </c>
      <c r="R476" s="12" t="s">
        <v>2578</v>
      </c>
      <c r="S476" s="24" t="s">
        <v>2579</v>
      </c>
      <c r="T476" s="23" t="str">
        <f>HYPERLINK("https://drive.google.com/file/d/17u_QzWJwD_3RV_734lve4vNJmwNfMoR-/view?usp=drivesdk","33 - X11 - Evan Diaz - L")</f>
        <v>33 - X11 - Evan Diaz - L</v>
      </c>
      <c r="U476" s="12" t="s">
        <v>2569</v>
      </c>
      <c r="W476" s="25">
        <f>COUNTIFS('Form Presensi SCC'!$B:$B, IF($C476&lt;&gt;0, TEXT($C476, "0000000000"), $D476), 'Form Presensi SCC'!$C:$C, "Hadir")</f>
        <v>0</v>
      </c>
      <c r="Y476" s="26"/>
    </row>
    <row r="477" ht="22.5" customHeight="1">
      <c r="A477" s="10">
        <v>476.0</v>
      </c>
      <c r="B477" s="18">
        <v>17.0</v>
      </c>
      <c r="C477" s="18" t="s">
        <v>2580</v>
      </c>
      <c r="D477" s="18" t="s">
        <v>2581</v>
      </c>
      <c r="E477" s="18" t="s">
        <v>227</v>
      </c>
      <c r="F477" s="12">
        <v>33.0</v>
      </c>
      <c r="G477" s="10" t="s">
        <v>2499</v>
      </c>
      <c r="H477" s="19"/>
      <c r="I477" s="20"/>
      <c r="J477" s="10" t="s">
        <v>2499</v>
      </c>
      <c r="K477" s="21"/>
      <c r="L477" s="10"/>
      <c r="M477" s="22"/>
      <c r="N477" s="10"/>
      <c r="O477" s="10"/>
      <c r="P477" s="12" t="str">
        <f t="shared" si="1"/>
        <v>https://docs.google.com/forms/d/e/1FAIpQLSeZ-R1GrWlAPkfaThGqxeTj0QTtrARw4rroxIIepf2kipn1nw/formResponse?usp=pp_url&amp;entry.1313582257=0108527903 / 252610196&amp;entry.1578404635=Hadir</v>
      </c>
      <c r="Q477" s="23" t="s">
        <v>2582</v>
      </c>
      <c r="R477" s="12" t="s">
        <v>2583</v>
      </c>
      <c r="S477" s="24" t="s">
        <v>2584</v>
      </c>
      <c r="T477" s="23" t="str">
        <f>HYPERLINK("https://drive.google.com/file/d/1d3qIKa8zIJw4g_ZuyoqGoCUl8M_voMRg/view?usp=drivesdk","33 - X11 - Fannan Hoseki Fayyaz - P")</f>
        <v>33 - X11 - Fannan Hoseki Fayyaz - P</v>
      </c>
      <c r="U477" s="12" t="s">
        <v>2569</v>
      </c>
      <c r="W477" s="25">
        <f>COUNTIFS('Form Presensi SCC'!$B:$B, IF($C477&lt;&gt;0, TEXT($C477, "0000000000"), $D477), 'Form Presensi SCC'!$C:$C, "Hadir")</f>
        <v>0</v>
      </c>
      <c r="Y477" s="26"/>
    </row>
    <row r="478" ht="22.5" customHeight="1">
      <c r="A478" s="18">
        <v>477.0</v>
      </c>
      <c r="B478" s="18">
        <v>18.0</v>
      </c>
      <c r="C478" s="18" t="s">
        <v>2585</v>
      </c>
      <c r="D478" s="18" t="s">
        <v>2586</v>
      </c>
      <c r="E478" s="18" t="s">
        <v>227</v>
      </c>
      <c r="F478" s="12">
        <v>33.0</v>
      </c>
      <c r="G478" s="10" t="s">
        <v>2499</v>
      </c>
      <c r="H478" s="19"/>
      <c r="I478" s="20"/>
      <c r="J478" s="10" t="s">
        <v>2499</v>
      </c>
      <c r="K478" s="21"/>
      <c r="L478" s="10"/>
      <c r="M478" s="22"/>
      <c r="N478" s="10"/>
      <c r="O478" s="10"/>
      <c r="P478" s="12" t="str">
        <f t="shared" si="1"/>
        <v>https://docs.google.com/forms/d/e/1FAIpQLSeZ-R1GrWlAPkfaThGqxeTj0QTtrARw4rroxIIepf2kipn1nw/formResponse?usp=pp_url&amp;entry.1313582257=0108365392 / 252610217&amp;entry.1578404635=Hadir</v>
      </c>
      <c r="Q478" s="23" t="s">
        <v>2587</v>
      </c>
      <c r="R478" s="12" t="s">
        <v>2588</v>
      </c>
      <c r="S478" s="24" t="s">
        <v>2589</v>
      </c>
      <c r="T478" s="23" t="str">
        <f>HYPERLINK("https://drive.google.com/file/d/1wgPdQ4-einY4QlECgQ1SIB2fs-8Ns_Bl/view?usp=drivesdk","33 - X11 - Galuh Pria Esa - P")</f>
        <v>33 - X11 - Galuh Pria Esa - P</v>
      </c>
      <c r="U478" s="12" t="s">
        <v>2569</v>
      </c>
      <c r="W478" s="25">
        <f>COUNTIFS('Form Presensi SCC'!$B:$B, IF($C478&lt;&gt;0, TEXT($C478, "0000000000"), $D478), 'Form Presensi SCC'!$C:$C, "Hadir")</f>
        <v>0</v>
      </c>
      <c r="Y478" s="26"/>
    </row>
    <row r="479" ht="22.5" customHeight="1">
      <c r="A479" s="10">
        <v>478.0</v>
      </c>
      <c r="B479" s="18">
        <v>19.0</v>
      </c>
      <c r="C479" s="18" t="s">
        <v>2590</v>
      </c>
      <c r="D479" s="18" t="s">
        <v>2591</v>
      </c>
      <c r="E479" s="18" t="s">
        <v>227</v>
      </c>
      <c r="F479" s="12">
        <v>33.0</v>
      </c>
      <c r="G479" s="10" t="s">
        <v>2499</v>
      </c>
      <c r="H479" s="19"/>
      <c r="I479" s="20"/>
      <c r="J479" s="10" t="s">
        <v>2499</v>
      </c>
      <c r="K479" s="21"/>
      <c r="L479" s="10"/>
      <c r="M479" s="22"/>
      <c r="N479" s="10"/>
      <c r="O479" s="10"/>
      <c r="P479" s="12" t="str">
        <f t="shared" si="1"/>
        <v>https://docs.google.com/forms/d/e/1FAIpQLSeZ-R1GrWlAPkfaThGqxeTj0QTtrARw4rroxIIepf2kipn1nw/formResponse?usp=pp_url&amp;entry.1313582257=0107182013 / 252610228&amp;entry.1578404635=Hadir</v>
      </c>
      <c r="Q479" s="23" t="s">
        <v>2592</v>
      </c>
      <c r="R479" s="12" t="s">
        <v>2593</v>
      </c>
      <c r="S479" s="24" t="s">
        <v>2594</v>
      </c>
      <c r="T479" s="23" t="str">
        <f>HYPERLINK("https://drive.google.com/file/d/1b9TsEH9WUevO5WD-a_58xw4BDClik4yf/view?usp=drivesdk","33 - X11 - Henokh Prada Dhanendra Prasada - P")</f>
        <v>33 - X11 - Henokh Prada Dhanendra Prasada - P</v>
      </c>
      <c r="U479" s="12" t="s">
        <v>2569</v>
      </c>
      <c r="W479" s="25">
        <f>COUNTIFS('Form Presensi SCC'!$B:$B, IF($C479&lt;&gt;0, TEXT($C479, "0000000000"), $D479), 'Form Presensi SCC'!$C:$C, "Hadir")</f>
        <v>0</v>
      </c>
      <c r="Y479" s="26"/>
    </row>
    <row r="480" ht="22.5" customHeight="1">
      <c r="A480" s="18">
        <v>479.0</v>
      </c>
      <c r="B480" s="18">
        <v>20.0</v>
      </c>
      <c r="C480" s="18" t="s">
        <v>2595</v>
      </c>
      <c r="D480" s="18" t="s">
        <v>2596</v>
      </c>
      <c r="E480" s="18" t="s">
        <v>227</v>
      </c>
      <c r="F480" s="12">
        <v>33.0</v>
      </c>
      <c r="G480" s="10" t="s">
        <v>2499</v>
      </c>
      <c r="H480" s="19"/>
      <c r="I480" s="20"/>
      <c r="J480" s="10" t="s">
        <v>2499</v>
      </c>
      <c r="K480" s="21"/>
      <c r="L480" s="10"/>
      <c r="M480" s="22"/>
      <c r="N480" s="10"/>
      <c r="O480" s="10"/>
      <c r="P480" s="12" t="str">
        <f t="shared" si="1"/>
        <v>https://docs.google.com/forms/d/e/1FAIpQLSeZ-R1GrWlAPkfaThGqxeTj0QTtrARw4rroxIIepf2kipn1nw/formResponse?usp=pp_url&amp;entry.1313582257=0092709548 / 252610241&amp;entry.1578404635=Hadir</v>
      </c>
      <c r="Q480" s="23" t="s">
        <v>2597</v>
      </c>
      <c r="R480" s="12" t="s">
        <v>2598</v>
      </c>
      <c r="S480" s="24" t="s">
        <v>2599</v>
      </c>
      <c r="T480" s="23" t="str">
        <f>HYPERLINK("https://drive.google.com/file/d/1Dj8K18cEFOaA2IRWoXW1a5AiF5g8zttu/view?usp=drivesdk","33 - X11 - Jazirah Rahmah - P")</f>
        <v>33 - X11 - Jazirah Rahmah - P</v>
      </c>
      <c r="U480" s="12" t="s">
        <v>2600</v>
      </c>
      <c r="W480" s="25">
        <f>COUNTIFS('Form Presensi SCC'!$B:$B, IF($C480&lt;&gt;0, TEXT($C480, "0000000000"), $D480), 'Form Presensi SCC'!$C:$C, "Hadir")</f>
        <v>0</v>
      </c>
      <c r="Y480" s="26"/>
    </row>
    <row r="481" ht="22.5" customHeight="1">
      <c r="A481" s="10">
        <v>480.0</v>
      </c>
      <c r="B481" s="18">
        <v>21.0</v>
      </c>
      <c r="C481" s="18" t="s">
        <v>2601</v>
      </c>
      <c r="D481" s="18" t="s">
        <v>2602</v>
      </c>
      <c r="E481" s="18" t="s">
        <v>227</v>
      </c>
      <c r="F481" s="12">
        <v>33.0</v>
      </c>
      <c r="G481" s="10" t="s">
        <v>2499</v>
      </c>
      <c r="H481" s="19"/>
      <c r="I481" s="20"/>
      <c r="J481" s="10" t="s">
        <v>2499</v>
      </c>
      <c r="K481" s="21"/>
      <c r="L481" s="10"/>
      <c r="M481" s="22"/>
      <c r="N481" s="10"/>
      <c r="O481" s="10"/>
      <c r="P481" s="12" t="str">
        <f t="shared" si="1"/>
        <v>https://docs.google.com/forms/d/e/1FAIpQLSeZ-R1GrWlAPkfaThGqxeTj0QTtrARw4rroxIIepf2kipn1nw/formResponse?usp=pp_url&amp;entry.1313582257=0118415302 / 252610253&amp;entry.1578404635=Hadir</v>
      </c>
      <c r="Q481" s="23" t="s">
        <v>2603</v>
      </c>
      <c r="R481" s="12" t="s">
        <v>2604</v>
      </c>
      <c r="S481" s="24" t="s">
        <v>2605</v>
      </c>
      <c r="T481" s="23" t="str">
        <f>HYPERLINK("https://drive.google.com/file/d/1aCpQswczSUS0jjeySfAfgt3eD0wSqfCw/view?usp=drivesdk","33 - X11 - Kaira Fatiya Nurfan - P")</f>
        <v>33 - X11 - Kaira Fatiya Nurfan - P</v>
      </c>
      <c r="U481" s="12" t="s">
        <v>2600</v>
      </c>
      <c r="W481" s="25">
        <f>COUNTIFS('Form Presensi SCC'!$B:$B, IF($C481&lt;&gt;0, TEXT($C481, "0000000000"), $D481), 'Form Presensi SCC'!$C:$C, "Hadir")</f>
        <v>0</v>
      </c>
      <c r="Y481" s="26"/>
    </row>
    <row r="482" ht="22.5" customHeight="1">
      <c r="A482" s="18">
        <v>481.0</v>
      </c>
      <c r="B482" s="18">
        <v>22.0</v>
      </c>
      <c r="C482" s="18" t="s">
        <v>2606</v>
      </c>
      <c r="D482" s="18" t="s">
        <v>2607</v>
      </c>
      <c r="E482" s="18" t="s">
        <v>220</v>
      </c>
      <c r="F482" s="12">
        <v>33.0</v>
      </c>
      <c r="G482" s="10" t="s">
        <v>2499</v>
      </c>
      <c r="H482" s="19"/>
      <c r="I482" s="20"/>
      <c r="J482" s="10" t="s">
        <v>2499</v>
      </c>
      <c r="K482" s="21"/>
      <c r="L482" s="10"/>
      <c r="M482" s="22"/>
      <c r="N482" s="10"/>
      <c r="O482" s="10"/>
      <c r="P482" s="12" t="str">
        <f t="shared" si="1"/>
        <v>https://docs.google.com/forms/d/e/1FAIpQLSeZ-R1GrWlAPkfaThGqxeTj0QTtrARw4rroxIIepf2kipn1nw/formResponse?usp=pp_url&amp;entry.1313582257=0097372379 / 252610289&amp;entry.1578404635=Hadir</v>
      </c>
      <c r="Q482" s="23" t="s">
        <v>2608</v>
      </c>
      <c r="R482" s="12" t="s">
        <v>2609</v>
      </c>
      <c r="S482" s="24" t="s">
        <v>2610</v>
      </c>
      <c r="T482" s="23" t="str">
        <f>HYPERLINK("https://drive.google.com/file/d/1H3I4ZYgbiUnXut7GxgQsNfSd7Mc2FHSx/view?usp=drivesdk","33 - X11 - Linggara Anugrah - L")</f>
        <v>33 - X11 - Linggara Anugrah - L</v>
      </c>
      <c r="U482" s="12" t="s">
        <v>2600</v>
      </c>
      <c r="W482" s="25">
        <f>COUNTIFS('Form Presensi SCC'!$B:$B, IF($C482&lt;&gt;0, TEXT($C482, "0000000000"), $D482), 'Form Presensi SCC'!$C:$C, "Hadir")</f>
        <v>0</v>
      </c>
      <c r="Y482" s="26"/>
    </row>
    <row r="483" ht="22.5" customHeight="1">
      <c r="A483" s="10">
        <v>482.0</v>
      </c>
      <c r="B483" s="18">
        <v>23.0</v>
      </c>
      <c r="C483" s="18" t="s">
        <v>2611</v>
      </c>
      <c r="D483" s="18" t="s">
        <v>2612</v>
      </c>
      <c r="E483" s="18" t="s">
        <v>227</v>
      </c>
      <c r="F483" s="12">
        <v>33.0</v>
      </c>
      <c r="G483" s="10" t="s">
        <v>2499</v>
      </c>
      <c r="H483" s="19"/>
      <c r="I483" s="20"/>
      <c r="J483" s="10" t="s">
        <v>2499</v>
      </c>
      <c r="K483" s="21"/>
      <c r="L483" s="10"/>
      <c r="M483" s="22"/>
      <c r="N483" s="10"/>
      <c r="O483" s="10"/>
      <c r="P483" s="12" t="str">
        <f t="shared" si="1"/>
        <v>https://docs.google.com/forms/d/e/1FAIpQLSeZ-R1GrWlAPkfaThGqxeTj0QTtrARw4rroxIIepf2kipn1nw/formResponse?usp=pp_url&amp;entry.1313582257=0093335479 / 252610292&amp;entry.1578404635=Hadir</v>
      </c>
      <c r="Q483" s="23" t="s">
        <v>2613</v>
      </c>
      <c r="R483" s="12" t="s">
        <v>2614</v>
      </c>
      <c r="S483" s="24" t="s">
        <v>2615</v>
      </c>
      <c r="T483" s="23" t="str">
        <f>HYPERLINK("https://drive.google.com/file/d/1OFhxW6z-fX29xC1P31d-mWzJyLvw6eIM/view?usp=drivesdk","33 - X11 - Luna Majidah Zafira - P")</f>
        <v>33 - X11 - Luna Majidah Zafira - P</v>
      </c>
      <c r="U483" s="12" t="s">
        <v>2600</v>
      </c>
      <c r="W483" s="25">
        <f>COUNTIFS('Form Presensi SCC'!$B:$B, IF($C483&lt;&gt;0, TEXT($C483, "0000000000"), $D483), 'Form Presensi SCC'!$C:$C, "Hadir")</f>
        <v>0</v>
      </c>
      <c r="Y483" s="26"/>
    </row>
    <row r="484" ht="22.5" customHeight="1">
      <c r="A484" s="18">
        <v>483.0</v>
      </c>
      <c r="B484" s="18">
        <v>24.0</v>
      </c>
      <c r="C484" s="18" t="s">
        <v>2616</v>
      </c>
      <c r="D484" s="18" t="s">
        <v>2617</v>
      </c>
      <c r="E484" s="18" t="s">
        <v>227</v>
      </c>
      <c r="F484" s="12">
        <v>33.0</v>
      </c>
      <c r="G484" s="10" t="s">
        <v>2499</v>
      </c>
      <c r="H484" s="19"/>
      <c r="I484" s="20"/>
      <c r="J484" s="10" t="s">
        <v>2499</v>
      </c>
      <c r="K484" s="21"/>
      <c r="L484" s="10"/>
      <c r="M484" s="22"/>
      <c r="N484" s="10"/>
      <c r="O484" s="10"/>
      <c r="P484" s="12" t="str">
        <f t="shared" si="1"/>
        <v>https://docs.google.com/forms/d/e/1FAIpQLSeZ-R1GrWlAPkfaThGqxeTj0QTtrARw4rroxIIepf2kipn1nw/formResponse?usp=pp_url&amp;entry.1313582257=0106465537 / 252610295&amp;entry.1578404635=Hadir</v>
      </c>
      <c r="Q484" s="23" t="s">
        <v>2618</v>
      </c>
      <c r="R484" s="12" t="s">
        <v>2619</v>
      </c>
      <c r="S484" s="24" t="s">
        <v>2620</v>
      </c>
      <c r="T484" s="23" t="str">
        <f>HYPERLINK("https://drive.google.com/file/d/1nwHUEVCi1u5VyupTN7Tl8FF1V1aPUZY_/view?usp=drivesdk","33 - X11 - Lutfiana Silva - P")</f>
        <v>33 - X11 - Lutfiana Silva - P</v>
      </c>
      <c r="U484" s="12" t="s">
        <v>2600</v>
      </c>
      <c r="W484" s="25">
        <f>COUNTIFS('Form Presensi SCC'!$B:$B, IF($C484&lt;&gt;0, TEXT($C484, "0000000000"), $D484), 'Form Presensi SCC'!$C:$C, "Hadir")</f>
        <v>0</v>
      </c>
      <c r="Y484" s="26"/>
    </row>
    <row r="485" ht="22.5" customHeight="1">
      <c r="A485" s="10">
        <v>484.0</v>
      </c>
      <c r="B485" s="18">
        <v>25.0</v>
      </c>
      <c r="C485" s="18" t="s">
        <v>2621</v>
      </c>
      <c r="D485" s="18" t="s">
        <v>2622</v>
      </c>
      <c r="E485" s="18" t="s">
        <v>220</v>
      </c>
      <c r="F485" s="12">
        <v>33.0</v>
      </c>
      <c r="G485" s="10" t="s">
        <v>2499</v>
      </c>
      <c r="H485" s="19"/>
      <c r="I485" s="20"/>
      <c r="J485" s="10" t="s">
        <v>2499</v>
      </c>
      <c r="K485" s="21"/>
      <c r="L485" s="10"/>
      <c r="M485" s="22"/>
      <c r="N485" s="10"/>
      <c r="O485" s="10"/>
      <c r="P485" s="12" t="str">
        <f t="shared" si="1"/>
        <v>https://docs.google.com/forms/d/e/1FAIpQLSeZ-R1GrWlAPkfaThGqxeTj0QTtrARw4rroxIIepf2kipn1nw/formResponse?usp=pp_url&amp;entry.1313582257=0103732986 / 252610310&amp;entry.1578404635=Hadir</v>
      </c>
      <c r="Q485" s="23" t="s">
        <v>2623</v>
      </c>
      <c r="R485" s="12" t="s">
        <v>2624</v>
      </c>
      <c r="S485" s="24" t="s">
        <v>2625</v>
      </c>
      <c r="T485" s="23" t="str">
        <f>HYPERLINK("https://drive.google.com/file/d/1ifDQIQwGGfJ7PMSvoPbIb-_Ef6o4qSSA/view?usp=drivesdk","33 - X11 - Mazaya Marva Mardyanti - L")</f>
        <v>33 - X11 - Mazaya Marva Mardyanti - L</v>
      </c>
      <c r="U485" s="12" t="s">
        <v>2600</v>
      </c>
      <c r="W485" s="25">
        <f>COUNTIFS('Form Presensi SCC'!$B:$B, IF($C485&lt;&gt;0, TEXT($C485, "0000000000"), $D485), 'Form Presensi SCC'!$C:$C, "Hadir")</f>
        <v>0</v>
      </c>
      <c r="Y485" s="26"/>
    </row>
    <row r="486" ht="22.5" customHeight="1">
      <c r="A486" s="18">
        <v>485.0</v>
      </c>
      <c r="B486" s="18">
        <v>26.0</v>
      </c>
      <c r="C486" s="18" t="s">
        <v>2626</v>
      </c>
      <c r="D486" s="18" t="s">
        <v>2627</v>
      </c>
      <c r="E486" s="18" t="s">
        <v>220</v>
      </c>
      <c r="F486" s="12">
        <v>33.0</v>
      </c>
      <c r="G486" s="10" t="s">
        <v>2499</v>
      </c>
      <c r="H486" s="19"/>
      <c r="I486" s="20"/>
      <c r="J486" s="10" t="s">
        <v>2499</v>
      </c>
      <c r="K486" s="21"/>
      <c r="L486" s="10"/>
      <c r="M486" s="22"/>
      <c r="N486" s="10"/>
      <c r="O486" s="10"/>
      <c r="P486" s="12" t="str">
        <f t="shared" si="1"/>
        <v>https://docs.google.com/forms/d/e/1FAIpQLSeZ-R1GrWlAPkfaThGqxeTj0QTtrARw4rroxIIepf2kipn1nw/formResponse?usp=pp_url&amp;entry.1313582257=0105348604 / 252610315&amp;entry.1578404635=Hadir</v>
      </c>
      <c r="Q486" s="23" t="s">
        <v>2628</v>
      </c>
      <c r="R486" s="12" t="s">
        <v>2629</v>
      </c>
      <c r="S486" s="24" t="s">
        <v>2630</v>
      </c>
      <c r="T486" s="23" t="str">
        <f>HYPERLINK("https://drive.google.com/file/d/1OJxylzVoiO8GMtO4qWQTSZ47DDIr0ubr/view?usp=drivesdk","33 - X11 - Misykah Adzra Maulida - L")</f>
        <v>33 - X11 - Misykah Adzra Maulida - L</v>
      </c>
      <c r="U486" s="12" t="s">
        <v>2600</v>
      </c>
      <c r="W486" s="25">
        <f>COUNTIFS('Form Presensi SCC'!$B:$B, IF($C486&lt;&gt;0, TEXT($C486, "0000000000"), $D486), 'Form Presensi SCC'!$C:$C, "Hadir")</f>
        <v>0</v>
      </c>
      <c r="Y486" s="26"/>
    </row>
    <row r="487" ht="22.5" customHeight="1">
      <c r="A487" s="10">
        <v>486.0</v>
      </c>
      <c r="B487" s="18">
        <v>27.0</v>
      </c>
      <c r="C487" s="18" t="s">
        <v>2631</v>
      </c>
      <c r="D487" s="18" t="s">
        <v>2632</v>
      </c>
      <c r="E487" s="18" t="s">
        <v>220</v>
      </c>
      <c r="F487" s="12">
        <v>33.0</v>
      </c>
      <c r="G487" s="10" t="s">
        <v>2499</v>
      </c>
      <c r="H487" s="19"/>
      <c r="I487" s="20"/>
      <c r="J487" s="10" t="s">
        <v>2499</v>
      </c>
      <c r="K487" s="21"/>
      <c r="L487" s="10"/>
      <c r="M487" s="22"/>
      <c r="N487" s="10"/>
      <c r="O487" s="10"/>
      <c r="P487" s="12" t="str">
        <f t="shared" si="1"/>
        <v>https://docs.google.com/forms/d/e/1FAIpQLSeZ-R1GrWlAPkfaThGqxeTj0QTtrARw4rroxIIepf2kipn1nw/formResponse?usp=pp_url&amp;entry.1313582257=0108812130 / 252610328&amp;entry.1578404635=Hadir</v>
      </c>
      <c r="Q487" s="23" t="s">
        <v>2633</v>
      </c>
      <c r="R487" s="12" t="s">
        <v>2634</v>
      </c>
      <c r="S487" s="24" t="s">
        <v>2635</v>
      </c>
      <c r="T487" s="23" t="str">
        <f>HYPERLINK("https://drive.google.com/file/d/1O0AoSQUMSA48Pzz9UGExQT05rwUhBqB7/view?usp=drivesdk","33 - X11 - Muhamad Reyhan Nurhakim - L")</f>
        <v>33 - X11 - Muhamad Reyhan Nurhakim - L</v>
      </c>
      <c r="U487" s="12" t="s">
        <v>2636</v>
      </c>
      <c r="W487" s="25">
        <f>COUNTIFS('Form Presensi SCC'!$B:$B, IF($C487&lt;&gt;0, TEXT($C487, "0000000000"), $D487), 'Form Presensi SCC'!$C:$C, "Hadir")</f>
        <v>0</v>
      </c>
      <c r="Y487" s="26"/>
    </row>
    <row r="488" ht="22.5" customHeight="1">
      <c r="A488" s="18">
        <v>487.0</v>
      </c>
      <c r="B488" s="18">
        <v>28.0</v>
      </c>
      <c r="C488" s="18" t="s">
        <v>2637</v>
      </c>
      <c r="D488" s="18" t="s">
        <v>2638</v>
      </c>
      <c r="E488" s="18" t="s">
        <v>220</v>
      </c>
      <c r="F488" s="12">
        <v>33.0</v>
      </c>
      <c r="G488" s="10" t="s">
        <v>2499</v>
      </c>
      <c r="H488" s="19"/>
      <c r="I488" s="20"/>
      <c r="J488" s="10" t="s">
        <v>2499</v>
      </c>
      <c r="K488" s="21"/>
      <c r="L488" s="10"/>
      <c r="M488" s="22"/>
      <c r="N488" s="10"/>
      <c r="O488" s="10"/>
      <c r="P488" s="12" t="str">
        <f t="shared" si="1"/>
        <v>https://docs.google.com/forms/d/e/1FAIpQLSeZ-R1GrWlAPkfaThGqxeTj0QTtrARw4rroxIIepf2kipn1nw/formResponse?usp=pp_url&amp;entry.1313582257=0094912922 / 252610346&amp;entry.1578404635=Hadir</v>
      </c>
      <c r="Q488" s="23" t="s">
        <v>2639</v>
      </c>
      <c r="R488" s="12" t="s">
        <v>2640</v>
      </c>
      <c r="S488" s="24" t="s">
        <v>2641</v>
      </c>
      <c r="T488" s="23" t="str">
        <f>HYPERLINK("https://drive.google.com/file/d/1-9ORi1y6zrhbBJ3or1QBgVYxYqgID6fM/view?usp=drivesdk","33 - X11 - Muhammad Evan Fadillah - L")</f>
        <v>33 - X11 - Muhammad Evan Fadillah - L</v>
      </c>
      <c r="U488" s="12" t="s">
        <v>2636</v>
      </c>
      <c r="W488" s="25">
        <f>COUNTIFS('Form Presensi SCC'!$B:$B, IF($C488&lt;&gt;0, TEXT($C488, "0000000000"), $D488), 'Form Presensi SCC'!$C:$C, "Hadir")</f>
        <v>0</v>
      </c>
      <c r="Y488" s="26"/>
    </row>
    <row r="489" ht="22.5" customHeight="1">
      <c r="A489" s="10">
        <v>488.0</v>
      </c>
      <c r="B489" s="18">
        <v>29.0</v>
      </c>
      <c r="C489" s="18" t="s">
        <v>2642</v>
      </c>
      <c r="D489" s="18" t="s">
        <v>2643</v>
      </c>
      <c r="E489" s="18" t="s">
        <v>220</v>
      </c>
      <c r="F489" s="12">
        <v>33.0</v>
      </c>
      <c r="G489" s="10" t="s">
        <v>2499</v>
      </c>
      <c r="H489" s="19"/>
      <c r="I489" s="20"/>
      <c r="J489" s="10" t="s">
        <v>2499</v>
      </c>
      <c r="K489" s="21"/>
      <c r="L489" s="10"/>
      <c r="M489" s="22"/>
      <c r="N489" s="10"/>
      <c r="O489" s="10"/>
      <c r="P489" s="12" t="str">
        <f t="shared" si="1"/>
        <v>https://docs.google.com/forms/d/e/1FAIpQLSeZ-R1GrWlAPkfaThGqxeTj0QTtrARw4rroxIIepf2kipn1nw/formResponse?usp=pp_url&amp;entry.1313582257=0101578446 / 252610348&amp;entry.1578404635=Hadir</v>
      </c>
      <c r="Q489" s="23" t="s">
        <v>2644</v>
      </c>
      <c r="R489" s="12" t="s">
        <v>2645</v>
      </c>
      <c r="S489" s="24" t="s">
        <v>2646</v>
      </c>
      <c r="T489" s="23" t="str">
        <f>HYPERLINK("https://drive.google.com/file/d/1Q8ekKO4ZKgfKkZQXQnH7ozgo-l6_GTeN/view?usp=drivesdk","33 - X11 - Muhammad Fahry Tyandra - L")</f>
        <v>33 - X11 - Muhammad Fahry Tyandra - L</v>
      </c>
      <c r="U489" s="12" t="s">
        <v>2636</v>
      </c>
      <c r="W489" s="25">
        <f>COUNTIFS('Form Presensi SCC'!$B:$B, IF($C489&lt;&gt;0, TEXT($C489, "0000000000"), $D489), 'Form Presensi SCC'!$C:$C, "Hadir")</f>
        <v>0</v>
      </c>
      <c r="Y489" s="26"/>
    </row>
    <row r="490" ht="22.5" customHeight="1">
      <c r="A490" s="18">
        <v>489.0</v>
      </c>
      <c r="B490" s="18">
        <v>30.0</v>
      </c>
      <c r="C490" s="18" t="s">
        <v>2647</v>
      </c>
      <c r="D490" s="18" t="s">
        <v>2648</v>
      </c>
      <c r="E490" s="18" t="s">
        <v>220</v>
      </c>
      <c r="F490" s="12">
        <v>33.0</v>
      </c>
      <c r="G490" s="10" t="s">
        <v>2499</v>
      </c>
      <c r="H490" s="19"/>
      <c r="I490" s="20"/>
      <c r="J490" s="10" t="s">
        <v>2499</v>
      </c>
      <c r="K490" s="21"/>
      <c r="L490" s="10"/>
      <c r="M490" s="22"/>
      <c r="N490" s="10"/>
      <c r="O490" s="10"/>
      <c r="P490" s="12" t="str">
        <f t="shared" si="1"/>
        <v>https://docs.google.com/forms/d/e/1FAIpQLSeZ-R1GrWlAPkfaThGqxeTj0QTtrARw4rroxIIepf2kipn1nw/formResponse?usp=pp_url&amp;entry.1313582257=0092179308 / 252610356&amp;entry.1578404635=Hadir</v>
      </c>
      <c r="Q490" s="23" t="s">
        <v>2649</v>
      </c>
      <c r="R490" s="12" t="s">
        <v>2650</v>
      </c>
      <c r="S490" s="24" t="s">
        <v>2651</v>
      </c>
      <c r="T490" s="23" t="str">
        <f>HYPERLINK("https://drive.google.com/file/d/1x4YI8dcLsx4N_KWW9UdWK6-6kz4p4WcN/view?usp=drivesdk","33 - X11 - Muhammad Ieddzar Haradiya - L")</f>
        <v>33 - X11 - Muhammad Ieddzar Haradiya - L</v>
      </c>
      <c r="U490" s="12" t="s">
        <v>2636</v>
      </c>
      <c r="W490" s="25">
        <f>COUNTIFS('Form Presensi SCC'!$B:$B, IF($C490&lt;&gt;0, TEXT($C490, "0000000000"), $D490), 'Form Presensi SCC'!$C:$C, "Hadir")</f>
        <v>0</v>
      </c>
      <c r="Y490" s="26"/>
    </row>
    <row r="491" ht="22.5" customHeight="1">
      <c r="A491" s="10">
        <v>490.0</v>
      </c>
      <c r="B491" s="18">
        <v>31.0</v>
      </c>
      <c r="C491" s="18" t="s">
        <v>2652</v>
      </c>
      <c r="D491" s="18" t="s">
        <v>2653</v>
      </c>
      <c r="E491" s="18" t="s">
        <v>220</v>
      </c>
      <c r="F491" s="12">
        <v>33.0</v>
      </c>
      <c r="G491" s="10" t="s">
        <v>2499</v>
      </c>
      <c r="H491" s="19"/>
      <c r="I491" s="20"/>
      <c r="J491" s="10" t="s">
        <v>2499</v>
      </c>
      <c r="K491" s="21"/>
      <c r="L491" s="10"/>
      <c r="M491" s="22"/>
      <c r="N491" s="10"/>
      <c r="O491" s="10"/>
      <c r="P491" s="12" t="str">
        <f t="shared" si="1"/>
        <v>https://docs.google.com/forms/d/e/1FAIpQLSeZ-R1GrWlAPkfaThGqxeTj0QTtrARw4rroxIIepf2kipn1nw/formResponse?usp=pp_url&amp;entry.1313582257=0098186648 / 252610367&amp;entry.1578404635=Hadir</v>
      </c>
      <c r="Q491" s="23" t="s">
        <v>2654</v>
      </c>
      <c r="R491" s="12" t="s">
        <v>2655</v>
      </c>
      <c r="S491" s="24" t="s">
        <v>2656</v>
      </c>
      <c r="T491" s="23" t="str">
        <f>HYPERLINK("https://drive.google.com/file/d/1mK7GI2hzFuUEjxepoBPwX0uWlSfPyS3G/view?usp=drivesdk","33 - X11 - Muhammad Revan Adi Saputra - L")</f>
        <v>33 - X11 - Muhammad Revan Adi Saputra - L</v>
      </c>
      <c r="U491" s="12" t="s">
        <v>2636</v>
      </c>
      <c r="W491" s="25">
        <f>COUNTIFS('Form Presensi SCC'!$B:$B, IF($C491&lt;&gt;0, TEXT($C491, "0000000000"), $D491), 'Form Presensi SCC'!$C:$C, "Hadir")</f>
        <v>0</v>
      </c>
      <c r="Y491" s="26"/>
    </row>
    <row r="492" ht="22.5" customHeight="1">
      <c r="A492" s="18">
        <v>491.0</v>
      </c>
      <c r="B492" s="18">
        <v>32.0</v>
      </c>
      <c r="C492" s="18" t="s">
        <v>2657</v>
      </c>
      <c r="D492" s="18" t="s">
        <v>2658</v>
      </c>
      <c r="E492" s="18" t="s">
        <v>220</v>
      </c>
      <c r="F492" s="12">
        <v>33.0</v>
      </c>
      <c r="G492" s="10" t="s">
        <v>2499</v>
      </c>
      <c r="H492" s="19"/>
      <c r="I492" s="20"/>
      <c r="J492" s="10" t="s">
        <v>2499</v>
      </c>
      <c r="K492" s="21"/>
      <c r="L492" s="10"/>
      <c r="M492" s="22"/>
      <c r="N492" s="10"/>
      <c r="O492" s="10"/>
      <c r="P492" s="12" t="str">
        <f t="shared" si="1"/>
        <v>https://docs.google.com/forms/d/e/1FAIpQLSeZ-R1GrWlAPkfaThGqxeTj0QTtrARw4rroxIIepf2kipn1nw/formResponse?usp=pp_url&amp;entry.1313582257=0092349928 / 252610380&amp;entry.1578404635=Hadir</v>
      </c>
      <c r="Q492" s="23" t="s">
        <v>2659</v>
      </c>
      <c r="R492" s="12" t="s">
        <v>2660</v>
      </c>
      <c r="S492" s="24" t="s">
        <v>2661</v>
      </c>
      <c r="T492" s="23" t="str">
        <f>HYPERLINK("https://drive.google.com/file/d/1urXWGNyNUIav87DF7xoa8hGWYrcYgyu6/view?usp=drivesdk","33 - X11 - Muhammad Zaky Winata - L")</f>
        <v>33 - X11 - Muhammad Zaky Winata - L</v>
      </c>
      <c r="U492" s="12" t="s">
        <v>2662</v>
      </c>
      <c r="W492" s="25">
        <f>COUNTIFS('Form Presensi SCC'!$B:$B, IF($C492&lt;&gt;0, TEXT($C492, "0000000000"), $D492), 'Form Presensi SCC'!$C:$C, "Hadir")</f>
        <v>0</v>
      </c>
      <c r="Y492" s="26"/>
    </row>
    <row r="493" ht="22.5" customHeight="1">
      <c r="A493" s="10">
        <v>492.0</v>
      </c>
      <c r="B493" s="18">
        <v>33.0</v>
      </c>
      <c r="C493" s="18" t="s">
        <v>2663</v>
      </c>
      <c r="D493" s="18" t="s">
        <v>2664</v>
      </c>
      <c r="E493" s="18" t="s">
        <v>227</v>
      </c>
      <c r="F493" s="12">
        <v>33.0</v>
      </c>
      <c r="G493" s="10" t="s">
        <v>2499</v>
      </c>
      <c r="H493" s="19"/>
      <c r="I493" s="20"/>
      <c r="J493" s="10" t="s">
        <v>2499</v>
      </c>
      <c r="K493" s="21"/>
      <c r="L493" s="10"/>
      <c r="M493" s="22"/>
      <c r="N493" s="10"/>
      <c r="O493" s="10"/>
      <c r="P493" s="12" t="str">
        <f t="shared" si="1"/>
        <v>https://docs.google.com/forms/d/e/1FAIpQLSeZ-R1GrWlAPkfaThGqxeTj0QTtrARw4rroxIIepf2kipn1nw/formResponse?usp=pp_url&amp;entry.1313582257=0096753454 / 252610385&amp;entry.1578404635=Hadir</v>
      </c>
      <c r="Q493" s="23" t="s">
        <v>2665</v>
      </c>
      <c r="R493" s="12" t="s">
        <v>2666</v>
      </c>
      <c r="S493" s="24" t="s">
        <v>2667</v>
      </c>
      <c r="T493" s="23" t="str">
        <f>HYPERLINK("https://drive.google.com/file/d/1bPfjdLZMEVNocYnuvTVImQ9i6fpNPVr-/view?usp=drivesdk","33 - X11 - Nadhifa Amelia Garjita - P")</f>
        <v>33 - X11 - Nadhifa Amelia Garjita - P</v>
      </c>
      <c r="U493" s="12" t="s">
        <v>2662</v>
      </c>
      <c r="W493" s="25">
        <f>COUNTIFS('Form Presensi SCC'!$B:$B, IF($C493&lt;&gt;0, TEXT($C493, "0000000000"), $D493), 'Form Presensi SCC'!$C:$C, "Hadir")</f>
        <v>0</v>
      </c>
      <c r="Y493" s="26"/>
    </row>
    <row r="494" ht="22.5" customHeight="1">
      <c r="A494" s="18">
        <v>493.0</v>
      </c>
      <c r="B494" s="18">
        <v>34.0</v>
      </c>
      <c r="C494" s="18" t="s">
        <v>2668</v>
      </c>
      <c r="D494" s="18" t="s">
        <v>2669</v>
      </c>
      <c r="E494" s="18" t="s">
        <v>227</v>
      </c>
      <c r="F494" s="12">
        <v>33.0</v>
      </c>
      <c r="G494" s="10" t="s">
        <v>2499</v>
      </c>
      <c r="H494" s="19"/>
      <c r="I494" s="20"/>
      <c r="J494" s="10" t="s">
        <v>2499</v>
      </c>
      <c r="K494" s="21"/>
      <c r="L494" s="10"/>
      <c r="M494" s="22"/>
      <c r="N494" s="10"/>
      <c r="O494" s="10"/>
      <c r="P494" s="12" t="str">
        <f t="shared" si="1"/>
        <v>https://docs.google.com/forms/d/e/1FAIpQLSeZ-R1GrWlAPkfaThGqxeTj0QTtrARw4rroxIIepf2kipn1nw/formResponse?usp=pp_url&amp;entry.1313582257=0102000943 / 252610388&amp;entry.1578404635=Hadir</v>
      </c>
      <c r="Q494" s="23" t="s">
        <v>2670</v>
      </c>
      <c r="R494" s="12" t="s">
        <v>2671</v>
      </c>
      <c r="S494" s="24" t="s">
        <v>2672</v>
      </c>
      <c r="T494" s="23" t="str">
        <f>HYPERLINK("https://drive.google.com/file/d/1gl05f2TQ9bgEEzZBmRGq0cY5pCpAwTGe/view?usp=drivesdk","33 - X11 - Nadia Delisa Saefani - P")</f>
        <v>33 - X11 - Nadia Delisa Saefani - P</v>
      </c>
      <c r="U494" s="12" t="s">
        <v>2662</v>
      </c>
      <c r="W494" s="25">
        <f>COUNTIFS('Form Presensi SCC'!$B:$B, IF($C494&lt;&gt;0, TEXT($C494, "0000000000"), $D494), 'Form Presensi SCC'!$C:$C, "Hadir")</f>
        <v>0</v>
      </c>
      <c r="Y494" s="26"/>
    </row>
    <row r="495" ht="22.5" customHeight="1">
      <c r="A495" s="10">
        <v>494.0</v>
      </c>
      <c r="B495" s="18">
        <v>35.0</v>
      </c>
      <c r="C495" s="18" t="s">
        <v>2673</v>
      </c>
      <c r="D495" s="18" t="s">
        <v>2674</v>
      </c>
      <c r="E495" s="18" t="s">
        <v>227</v>
      </c>
      <c r="F495" s="12">
        <v>33.0</v>
      </c>
      <c r="G495" s="10" t="s">
        <v>2499</v>
      </c>
      <c r="H495" s="19"/>
      <c r="I495" s="20"/>
      <c r="J495" s="10" t="s">
        <v>2499</v>
      </c>
      <c r="K495" s="21"/>
      <c r="L495" s="10"/>
      <c r="M495" s="22"/>
      <c r="N495" s="10"/>
      <c r="O495" s="10"/>
      <c r="P495" s="12" t="str">
        <f t="shared" si="1"/>
        <v>https://docs.google.com/forms/d/e/1FAIpQLSeZ-R1GrWlAPkfaThGqxeTj0QTtrARw4rroxIIepf2kipn1nw/formResponse?usp=pp_url&amp;entry.1313582257=0105612000 / 252610417&amp;entry.1578404635=Hadir</v>
      </c>
      <c r="Q495" s="23" t="s">
        <v>2675</v>
      </c>
      <c r="R495" s="12" t="s">
        <v>2676</v>
      </c>
      <c r="S495" s="24" t="s">
        <v>2677</v>
      </c>
      <c r="T495" s="23" t="str">
        <f>HYPERLINK("https://drive.google.com/file/d/1MAKq6SCCKJG3KILEOTQDESo_Sr0lbKE2/view?usp=drivesdk","33 - X11 - Neysha Aurelya Azzahra - P")</f>
        <v>33 - X11 - Neysha Aurelya Azzahra - P</v>
      </c>
      <c r="U495" s="12" t="s">
        <v>2662</v>
      </c>
      <c r="W495" s="25">
        <f>COUNTIFS('Form Presensi SCC'!$B:$B, IF($C495&lt;&gt;0, TEXT($C495, "0000000000"), $D495), 'Form Presensi SCC'!$C:$C, "Hadir")</f>
        <v>0</v>
      </c>
      <c r="Y495" s="26"/>
    </row>
    <row r="496" ht="22.5" customHeight="1">
      <c r="A496" s="18">
        <v>495.0</v>
      </c>
      <c r="B496" s="18">
        <v>36.0</v>
      </c>
      <c r="C496" s="18" t="s">
        <v>2678</v>
      </c>
      <c r="D496" s="18" t="s">
        <v>2679</v>
      </c>
      <c r="E496" s="18" t="s">
        <v>220</v>
      </c>
      <c r="F496" s="12">
        <v>33.0</v>
      </c>
      <c r="G496" s="10" t="s">
        <v>2499</v>
      </c>
      <c r="H496" s="19"/>
      <c r="I496" s="20"/>
      <c r="J496" s="10" t="s">
        <v>2499</v>
      </c>
      <c r="K496" s="21"/>
      <c r="L496" s="10"/>
      <c r="M496" s="22"/>
      <c r="N496" s="10"/>
      <c r="O496" s="10"/>
      <c r="P496" s="12" t="str">
        <f t="shared" si="1"/>
        <v>https://docs.google.com/forms/d/e/1FAIpQLSeZ-R1GrWlAPkfaThGqxeTj0QTtrARw4rroxIIepf2kipn1nw/formResponse?usp=pp_url&amp;entry.1313582257=0109258787 / 252610458&amp;entry.1578404635=Hadir</v>
      </c>
      <c r="Q496" s="23" t="s">
        <v>2680</v>
      </c>
      <c r="R496" s="12" t="s">
        <v>2681</v>
      </c>
      <c r="S496" s="24" t="s">
        <v>2682</v>
      </c>
      <c r="T496" s="23" t="str">
        <f>HYPERLINK("https://drive.google.com/file/d/1dOLlkQn3GiWSoWP1jDeK-CaUVHw-MErs/view?usp=drivesdk","33 - X11 - Rafa Farand Pratama - L")</f>
        <v>33 - X11 - Rafa Farand Pratama - L</v>
      </c>
      <c r="U496" s="12" t="s">
        <v>2683</v>
      </c>
      <c r="W496" s="25">
        <f>COUNTIFS('Form Presensi SCC'!$B:$B, IF($C496&lt;&gt;0, TEXT($C496, "0000000000"), $D496), 'Form Presensi SCC'!$C:$C, "Hadir")</f>
        <v>0</v>
      </c>
      <c r="Y496" s="26"/>
    </row>
    <row r="497" ht="22.5" customHeight="1">
      <c r="A497" s="10">
        <v>496.0</v>
      </c>
      <c r="B497" s="18">
        <v>37.0</v>
      </c>
      <c r="C497" s="18" t="s">
        <v>2684</v>
      </c>
      <c r="D497" s="18" t="s">
        <v>2685</v>
      </c>
      <c r="E497" s="18" t="s">
        <v>220</v>
      </c>
      <c r="F497" s="12">
        <v>33.0</v>
      </c>
      <c r="G497" s="10" t="s">
        <v>2499</v>
      </c>
      <c r="H497" s="19"/>
      <c r="I497" s="20"/>
      <c r="J497" s="10" t="s">
        <v>2499</v>
      </c>
      <c r="K497" s="21"/>
      <c r="L497" s="10"/>
      <c r="M497" s="22"/>
      <c r="N497" s="10"/>
      <c r="O497" s="10"/>
      <c r="P497" s="12" t="str">
        <f t="shared" si="1"/>
        <v>https://docs.google.com/forms/d/e/1FAIpQLSeZ-R1GrWlAPkfaThGqxeTj0QTtrARw4rroxIIepf2kipn1nw/formResponse?usp=pp_url&amp;entry.1313582257=0093712588 / 252610482&amp;entry.1578404635=Hadir</v>
      </c>
      <c r="Q497" s="23" t="s">
        <v>2686</v>
      </c>
      <c r="R497" s="12" t="s">
        <v>2687</v>
      </c>
      <c r="S497" s="24" t="s">
        <v>2688</v>
      </c>
      <c r="T497" s="23" t="str">
        <f>HYPERLINK("https://drive.google.com/file/d/1ZN9WcHZ-xpkLRRIxX-FQhewsJp_W_biX/view?usp=drivesdk","33 - X11 - Rendy Gilang Novianto - L")</f>
        <v>33 - X11 - Rendy Gilang Novianto - L</v>
      </c>
      <c r="U497" s="12" t="s">
        <v>2683</v>
      </c>
      <c r="W497" s="25">
        <f>COUNTIFS('Form Presensi SCC'!$B:$B, IF($C497&lt;&gt;0, TEXT($C497, "0000000000"), $D497), 'Form Presensi SCC'!$C:$C, "Hadir")</f>
        <v>0</v>
      </c>
      <c r="Y497" s="26"/>
    </row>
    <row r="498" ht="22.5" customHeight="1">
      <c r="A498" s="18">
        <v>497.0</v>
      </c>
      <c r="B498" s="18">
        <v>38.0</v>
      </c>
      <c r="C498" s="18" t="s">
        <v>2689</v>
      </c>
      <c r="D498" s="18" t="s">
        <v>2690</v>
      </c>
      <c r="E498" s="18" t="s">
        <v>227</v>
      </c>
      <c r="F498" s="12">
        <v>33.0</v>
      </c>
      <c r="G498" s="10" t="s">
        <v>2499</v>
      </c>
      <c r="H498" s="19"/>
      <c r="I498" s="20"/>
      <c r="J498" s="10" t="s">
        <v>2499</v>
      </c>
      <c r="K498" s="21"/>
      <c r="L498" s="10"/>
      <c r="M498" s="22"/>
      <c r="N498" s="10"/>
      <c r="O498" s="10"/>
      <c r="P498" s="12" t="str">
        <f t="shared" si="1"/>
        <v>https://docs.google.com/forms/d/e/1FAIpQLSeZ-R1GrWlAPkfaThGqxeTj0QTtrARw4rroxIIepf2kipn1nw/formResponse?usp=pp_url&amp;entry.1313582257=0102414768 / 252610499&amp;entry.1578404635=Hadir</v>
      </c>
      <c r="Q498" s="23" t="s">
        <v>2691</v>
      </c>
      <c r="R498" s="12" t="s">
        <v>2692</v>
      </c>
      <c r="S498" s="24" t="s">
        <v>2693</v>
      </c>
      <c r="T498" s="23" t="str">
        <f>HYPERLINK("https://drive.google.com/file/d/1RUVzC4q-0IKurxyP0KDtMnvVgQEZx790/view?usp=drivesdk","33 - X11 - Ruvita Rinjani - P")</f>
        <v>33 - X11 - Ruvita Rinjani - P</v>
      </c>
      <c r="U498" s="12" t="s">
        <v>2683</v>
      </c>
      <c r="W498" s="25">
        <f>COUNTIFS('Form Presensi SCC'!$B:$B, IF($C498&lt;&gt;0, TEXT($C498, "0000000000"), $D498), 'Form Presensi SCC'!$C:$C, "Hadir")</f>
        <v>0</v>
      </c>
      <c r="Y498" s="26"/>
    </row>
    <row r="499" ht="22.5" customHeight="1">
      <c r="A499" s="10">
        <v>498.0</v>
      </c>
      <c r="B499" s="18">
        <v>39.0</v>
      </c>
      <c r="C499" s="18" t="s">
        <v>2694</v>
      </c>
      <c r="D499" s="18" t="s">
        <v>2695</v>
      </c>
      <c r="E499" s="18" t="s">
        <v>227</v>
      </c>
      <c r="F499" s="12">
        <v>33.0</v>
      </c>
      <c r="G499" s="10" t="s">
        <v>2499</v>
      </c>
      <c r="H499" s="19"/>
      <c r="I499" s="20"/>
      <c r="J499" s="10" t="s">
        <v>2499</v>
      </c>
      <c r="K499" s="21"/>
      <c r="L499" s="10"/>
      <c r="M499" s="22"/>
      <c r="N499" s="10"/>
      <c r="O499" s="10"/>
      <c r="P499" s="12" t="str">
        <f t="shared" si="1"/>
        <v>https://docs.google.com/forms/d/e/1FAIpQLSeZ-R1GrWlAPkfaThGqxeTj0QTtrARw4rroxIIepf2kipn1nw/formResponse?usp=pp_url&amp;entry.1313582257=0106760506 / 252610503&amp;entry.1578404635=Hadir</v>
      </c>
      <c r="Q499" s="23" t="s">
        <v>2696</v>
      </c>
      <c r="R499" s="12" t="s">
        <v>2697</v>
      </c>
      <c r="S499" s="24" t="s">
        <v>2698</v>
      </c>
      <c r="T499" s="23" t="str">
        <f>HYPERLINK("https://drive.google.com/file/d/15COAz3RWKBPxvdatkj3s7-_qSbnIVTnM/view?usp=drivesdk","33 - X11 - Salmaa Saalimah Wibowo - P")</f>
        <v>33 - X11 - Salmaa Saalimah Wibowo - P</v>
      </c>
      <c r="U499" s="12" t="s">
        <v>2683</v>
      </c>
      <c r="W499" s="25">
        <f>COUNTIFS('Form Presensi SCC'!$B:$B, IF($C499&lt;&gt;0, TEXT($C499, "0000000000"), $D499), 'Form Presensi SCC'!$C:$C, "Hadir")</f>
        <v>0</v>
      </c>
      <c r="Y499" s="26"/>
    </row>
    <row r="500" ht="22.5" customHeight="1">
      <c r="A500" s="18">
        <v>499.0</v>
      </c>
      <c r="B500" s="18">
        <v>40.0</v>
      </c>
      <c r="C500" s="18" t="s">
        <v>2699</v>
      </c>
      <c r="D500" s="18" t="s">
        <v>2700</v>
      </c>
      <c r="E500" s="18" t="s">
        <v>227</v>
      </c>
      <c r="F500" s="12">
        <v>33.0</v>
      </c>
      <c r="G500" s="10" t="s">
        <v>2499</v>
      </c>
      <c r="H500" s="19"/>
      <c r="I500" s="20"/>
      <c r="J500" s="10" t="s">
        <v>2499</v>
      </c>
      <c r="K500" s="21"/>
      <c r="L500" s="10"/>
      <c r="M500" s="22"/>
      <c r="N500" s="10"/>
      <c r="O500" s="10"/>
      <c r="P500" s="12" t="str">
        <f t="shared" si="1"/>
        <v>https://docs.google.com/forms/d/e/1FAIpQLSeZ-R1GrWlAPkfaThGqxeTj0QTtrARw4rroxIIepf2kipn1nw/formResponse?usp=pp_url&amp;entry.1313582257=0095542022 / 252610506&amp;entry.1578404635=Hadir</v>
      </c>
      <c r="Q500" s="23" t="s">
        <v>2701</v>
      </c>
      <c r="R500" s="12" t="s">
        <v>2702</v>
      </c>
      <c r="S500" s="24" t="s">
        <v>2703</v>
      </c>
      <c r="T500" s="23" t="str">
        <f>HYPERLINK("https://drive.google.com/file/d/1AFb8ppJyO5ykSGXyrxxGLGMCK0CtRwIP/view?usp=drivesdk","33 - X11 - Salsabil Mulki - P")</f>
        <v>33 - X11 - Salsabil Mulki - P</v>
      </c>
      <c r="U500" s="12" t="s">
        <v>2683</v>
      </c>
      <c r="W500" s="25">
        <f>COUNTIFS('Form Presensi SCC'!$B:$B, IF($C500&lt;&gt;0, TEXT($C500, "0000000000"), $D500), 'Form Presensi SCC'!$C:$C, "Hadir")</f>
        <v>0</v>
      </c>
      <c r="Y500" s="26"/>
    </row>
    <row r="501" ht="22.5" customHeight="1">
      <c r="A501" s="10">
        <v>500.0</v>
      </c>
      <c r="B501" s="18">
        <v>41.0</v>
      </c>
      <c r="C501" s="18" t="s">
        <v>2704</v>
      </c>
      <c r="D501" s="18" t="s">
        <v>2705</v>
      </c>
      <c r="E501" s="18" t="s">
        <v>227</v>
      </c>
      <c r="F501" s="12">
        <v>33.0</v>
      </c>
      <c r="G501" s="10" t="s">
        <v>2499</v>
      </c>
      <c r="H501" s="19"/>
      <c r="I501" s="20"/>
      <c r="J501" s="10" t="s">
        <v>2499</v>
      </c>
      <c r="K501" s="21"/>
      <c r="L501" s="10"/>
      <c r="M501" s="22"/>
      <c r="N501" s="10"/>
      <c r="O501" s="10"/>
      <c r="P501" s="12" t="str">
        <f t="shared" si="1"/>
        <v>https://docs.google.com/forms/d/e/1FAIpQLSeZ-R1GrWlAPkfaThGqxeTj0QTtrARw4rroxIIepf2kipn1nw/formResponse?usp=pp_url&amp;entry.1313582257=0091610224 / 252610518&amp;entry.1578404635=Hadir</v>
      </c>
      <c r="Q501" s="23" t="s">
        <v>2706</v>
      </c>
      <c r="R501" s="12" t="s">
        <v>2707</v>
      </c>
      <c r="S501" s="24" t="s">
        <v>2708</v>
      </c>
      <c r="T501" s="23" t="str">
        <f>HYPERLINK("https://drive.google.com/file/d/1QqwCPiNF_wGqPxu2rHmxfhnWNMUAeG7s/view?usp=drivesdk","33 - X11 - Shaquille Putra Yudira - P")</f>
        <v>33 - X11 - Shaquille Putra Yudira - P</v>
      </c>
      <c r="U501" s="12" t="s">
        <v>2709</v>
      </c>
      <c r="W501" s="25">
        <f>COUNTIFS('Form Presensi SCC'!$B:$B, IF($C501&lt;&gt;0, TEXT($C501, "0000000000"), $D501), 'Form Presensi SCC'!$C:$C, "Hadir")</f>
        <v>0</v>
      </c>
      <c r="Y501" s="26"/>
    </row>
    <row r="502" ht="22.5" customHeight="1">
      <c r="A502" s="18">
        <v>501.0</v>
      </c>
      <c r="B502" s="18">
        <v>42.0</v>
      </c>
      <c r="C502" s="18" t="s">
        <v>2710</v>
      </c>
      <c r="D502" s="18" t="s">
        <v>2711</v>
      </c>
      <c r="E502" s="18" t="s">
        <v>227</v>
      </c>
      <c r="F502" s="12">
        <v>33.0</v>
      </c>
      <c r="G502" s="10" t="s">
        <v>2499</v>
      </c>
      <c r="H502" s="19"/>
      <c r="I502" s="20"/>
      <c r="J502" s="10" t="s">
        <v>2499</v>
      </c>
      <c r="K502" s="21"/>
      <c r="L502" s="10"/>
      <c r="M502" s="22"/>
      <c r="N502" s="10"/>
      <c r="O502" s="10"/>
      <c r="P502" s="12" t="str">
        <f t="shared" si="1"/>
        <v>https://docs.google.com/forms/d/e/1FAIpQLSeZ-R1GrWlAPkfaThGqxeTj0QTtrARw4rroxIIepf2kipn1nw/formResponse?usp=pp_url&amp;entry.1313582257=0105010681 / 252610524&amp;entry.1578404635=Hadir</v>
      </c>
      <c r="Q502" s="23" t="s">
        <v>2712</v>
      </c>
      <c r="R502" s="12" t="s">
        <v>2713</v>
      </c>
      <c r="S502" s="24" t="s">
        <v>2714</v>
      </c>
      <c r="T502" s="23" t="str">
        <f>HYPERLINK("https://drive.google.com/file/d/1kAiUjKFKox5q_HZFu8j3TTAyCl-yHYsr/view?usp=drivesdk","33 - X11 - Siva Muliyanti - P")</f>
        <v>33 - X11 - Siva Muliyanti - P</v>
      </c>
      <c r="U502" s="12" t="s">
        <v>2709</v>
      </c>
      <c r="W502" s="25">
        <f>COUNTIFS('Form Presensi SCC'!$B:$B, IF($C502&lt;&gt;0, TEXT($C502, "0000000000"), $D502), 'Form Presensi SCC'!$C:$C, "Hadir")</f>
        <v>0</v>
      </c>
      <c r="Y502" s="26"/>
    </row>
    <row r="503" ht="22.5" customHeight="1">
      <c r="A503" s="10">
        <v>502.0</v>
      </c>
      <c r="B503" s="18">
        <v>43.0</v>
      </c>
      <c r="C503" s="18" t="s">
        <v>2715</v>
      </c>
      <c r="D503" s="18" t="s">
        <v>2716</v>
      </c>
      <c r="E503" s="18" t="s">
        <v>227</v>
      </c>
      <c r="F503" s="12">
        <v>33.0</v>
      </c>
      <c r="G503" s="10" t="s">
        <v>2499</v>
      </c>
      <c r="H503" s="19"/>
      <c r="I503" s="20"/>
      <c r="J503" s="10" t="s">
        <v>2499</v>
      </c>
      <c r="K503" s="21"/>
      <c r="L503" s="10"/>
      <c r="M503" s="22"/>
      <c r="N503" s="10"/>
      <c r="O503" s="10"/>
      <c r="P503" s="12" t="str">
        <f t="shared" si="1"/>
        <v>https://docs.google.com/forms/d/e/1FAIpQLSeZ-R1GrWlAPkfaThGqxeTj0QTtrARw4rroxIIepf2kipn1nw/formResponse?usp=pp_url&amp;entry.1313582257=0105717177 / 252610545&amp;entry.1578404635=Hadir</v>
      </c>
      <c r="Q503" s="23" t="s">
        <v>2717</v>
      </c>
      <c r="R503" s="12" t="s">
        <v>2718</v>
      </c>
      <c r="S503" s="24" t="s">
        <v>2719</v>
      </c>
      <c r="T503" s="23" t="str">
        <f>HYPERLINK("https://drive.google.com/file/d/1Ju6R3W8kWAuP8gLqqGoZxvN-0vKuu66w/view?usp=drivesdk","33 - X11 - Tiara Zenobia Nafisa - P")</f>
        <v>33 - X11 - Tiara Zenobia Nafisa - P</v>
      </c>
      <c r="U503" s="12" t="s">
        <v>2709</v>
      </c>
      <c r="W503" s="25">
        <f>COUNTIFS('Form Presensi SCC'!$B:$B, IF($C503&lt;&gt;0, TEXT($C503, "0000000000"), $D503), 'Form Presensi SCC'!$C:$C, "Hadir")</f>
        <v>0</v>
      </c>
      <c r="Y503" s="26"/>
    </row>
    <row r="504" ht="22.5" customHeight="1">
      <c r="A504" s="18">
        <v>503.0</v>
      </c>
      <c r="B504" s="18">
        <v>44.0</v>
      </c>
      <c r="C504" s="18" t="s">
        <v>2720</v>
      </c>
      <c r="D504" s="18" t="s">
        <v>2721</v>
      </c>
      <c r="E504" s="18" t="s">
        <v>227</v>
      </c>
      <c r="F504" s="12">
        <v>33.0</v>
      </c>
      <c r="G504" s="10" t="s">
        <v>2499</v>
      </c>
      <c r="H504" s="19"/>
      <c r="I504" s="20"/>
      <c r="J504" s="10" t="s">
        <v>2499</v>
      </c>
      <c r="K504" s="21"/>
      <c r="L504" s="10"/>
      <c r="M504" s="22"/>
      <c r="N504" s="10"/>
      <c r="O504" s="10"/>
      <c r="P504" s="12" t="str">
        <f t="shared" si="1"/>
        <v>https://docs.google.com/forms/d/e/1FAIpQLSeZ-R1GrWlAPkfaThGqxeTj0QTtrARw4rroxIIepf2kipn1nw/formResponse?usp=pp_url&amp;entry.1313582257=0107258754 / 252610551&amp;entry.1578404635=Hadir</v>
      </c>
      <c r="Q504" s="23" t="s">
        <v>2722</v>
      </c>
      <c r="R504" s="12" t="s">
        <v>2723</v>
      </c>
      <c r="S504" s="24" t="s">
        <v>2724</v>
      </c>
      <c r="T504" s="23" t="str">
        <f>HYPERLINK("https://drive.google.com/file/d/1di9iVDoHxXazxCfBSpqiS2pt2Jjpc7t9/view?usp=drivesdk","33 - X11 - Vilvizeeya Hazira Kurnia - P")</f>
        <v>33 - X11 - Vilvizeeya Hazira Kurnia - P</v>
      </c>
      <c r="U504" s="12" t="s">
        <v>2709</v>
      </c>
      <c r="W504" s="25">
        <f>COUNTIFS('Form Presensi SCC'!$B:$B, IF($C504&lt;&gt;0, TEXT($C504, "0000000000"), $D504), 'Form Presensi SCC'!$C:$C, "Hadir")</f>
        <v>0</v>
      </c>
      <c r="Y504" s="26"/>
    </row>
    <row r="505" ht="22.5" customHeight="1">
      <c r="A505" s="10">
        <v>504.0</v>
      </c>
      <c r="B505" s="18">
        <v>45.0</v>
      </c>
      <c r="C505" s="18" t="s">
        <v>2725</v>
      </c>
      <c r="D505" s="18" t="s">
        <v>2726</v>
      </c>
      <c r="E505" s="18" t="s">
        <v>227</v>
      </c>
      <c r="F505" s="12">
        <v>33.0</v>
      </c>
      <c r="G505" s="10" t="s">
        <v>2499</v>
      </c>
      <c r="H505" s="19"/>
      <c r="I505" s="20"/>
      <c r="J505" s="10" t="s">
        <v>2499</v>
      </c>
      <c r="K505" s="21"/>
      <c r="L505" s="10"/>
      <c r="M505" s="22"/>
      <c r="N505" s="10"/>
      <c r="O505" s="10"/>
      <c r="P505" s="12" t="str">
        <f t="shared" si="1"/>
        <v>https://docs.google.com/forms/d/e/1FAIpQLSeZ-R1GrWlAPkfaThGqxeTj0QTtrARw4rroxIIepf2kipn1nw/formResponse?usp=pp_url&amp;entry.1313582257=0106044416 / 252610553&amp;entry.1578404635=Hadir</v>
      </c>
      <c r="Q505" s="23" t="s">
        <v>2727</v>
      </c>
      <c r="R505" s="12" t="s">
        <v>2728</v>
      </c>
      <c r="S505" s="24" t="s">
        <v>2729</v>
      </c>
      <c r="T505" s="23" t="str">
        <f>HYPERLINK("https://drive.google.com/file/d/1bFLypIyvzJe1mFBVcUKR_hrMqvXOKAm9/view?usp=drivesdk","33 - X11 - Weny Meylieneke Sianipar - P")</f>
        <v>33 - X11 - Weny Meylieneke Sianipar - P</v>
      </c>
      <c r="U505" s="12" t="s">
        <v>2709</v>
      </c>
      <c r="W505" s="25">
        <f>COUNTIFS('Form Presensi SCC'!$B:$B, IF($C505&lt;&gt;0, TEXT($C505, "0000000000"), $D505), 'Form Presensi SCC'!$C:$C, "Hadir")</f>
        <v>0</v>
      </c>
      <c r="Y505" s="26"/>
    </row>
    <row r="506" ht="22.5" customHeight="1">
      <c r="A506" s="18">
        <v>505.0</v>
      </c>
      <c r="B506" s="18">
        <v>46.0</v>
      </c>
      <c r="C506" s="18" t="s">
        <v>2730</v>
      </c>
      <c r="D506" s="18" t="s">
        <v>2731</v>
      </c>
      <c r="E506" s="18" t="s">
        <v>227</v>
      </c>
      <c r="F506" s="12">
        <v>33.0</v>
      </c>
      <c r="G506" s="10" t="s">
        <v>2499</v>
      </c>
      <c r="H506" s="19"/>
      <c r="I506" s="20"/>
      <c r="J506" s="10" t="s">
        <v>2499</v>
      </c>
      <c r="K506" s="21"/>
      <c r="L506" s="10"/>
      <c r="M506" s="22"/>
      <c r="N506" s="10"/>
      <c r="O506" s="10"/>
      <c r="P506" s="12" t="str">
        <f t="shared" si="1"/>
        <v>https://docs.google.com/forms/d/e/1FAIpQLSeZ-R1GrWlAPkfaThGqxeTj0QTtrARw4rroxIIepf2kipn1nw/formResponse?usp=pp_url&amp;entry.1313582257=0108569165 / 252610557&amp;entry.1578404635=Hadir</v>
      </c>
      <c r="Q506" s="23" t="s">
        <v>2732</v>
      </c>
      <c r="R506" s="12" t="s">
        <v>2733</v>
      </c>
      <c r="S506" s="24" t="s">
        <v>2734</v>
      </c>
      <c r="T506" s="23" t="str">
        <f>HYPERLINK("https://drive.google.com/file/d/140tBODCKlDKrBICq72HM2SBbucYCfHjj/view?usp=drivesdk","33 - X11 - Yoanne Mulin Averina - P")</f>
        <v>33 - X11 - Yoanne Mulin Averina - P</v>
      </c>
      <c r="U506" s="12" t="s">
        <v>2735</v>
      </c>
      <c r="W506" s="25">
        <f>COUNTIFS('Form Presensi SCC'!$B:$B, IF($C506&lt;&gt;0, TEXT($C506, "0000000000"), $D506), 'Form Presensi SCC'!$C:$C, "Hadir")</f>
        <v>0</v>
      </c>
      <c r="Y506" s="26"/>
    </row>
    <row r="507" ht="22.5" customHeight="1">
      <c r="A507" s="10">
        <v>506.0</v>
      </c>
      <c r="B507" s="18">
        <v>47.0</v>
      </c>
      <c r="C507" s="18" t="s">
        <v>2736</v>
      </c>
      <c r="D507" s="18" t="s">
        <v>2737</v>
      </c>
      <c r="E507" s="18" t="s">
        <v>220</v>
      </c>
      <c r="F507" s="12">
        <v>33.0</v>
      </c>
      <c r="G507" s="10" t="s">
        <v>2499</v>
      </c>
      <c r="H507" s="19"/>
      <c r="I507" s="20"/>
      <c r="J507" s="10" t="s">
        <v>2499</v>
      </c>
      <c r="K507" s="21"/>
      <c r="L507" s="10"/>
      <c r="M507" s="22"/>
      <c r="N507" s="10"/>
      <c r="O507" s="10"/>
      <c r="P507" s="12" t="str">
        <f t="shared" si="1"/>
        <v>https://docs.google.com/forms/d/e/1FAIpQLSeZ-R1GrWlAPkfaThGqxeTj0QTtrARw4rroxIIepf2kipn1nw/formResponse?usp=pp_url&amp;entry.1313582257=0093632849 / 252610561&amp;entry.1578404635=Hadir</v>
      </c>
      <c r="Q507" s="23" t="s">
        <v>2738</v>
      </c>
      <c r="R507" s="12" t="s">
        <v>2739</v>
      </c>
      <c r="S507" s="24" t="s">
        <v>2740</v>
      </c>
      <c r="T507" s="23" t="str">
        <f>HYPERLINK("https://drive.google.com/file/d/1L6cFcu8GJZOaL5WBX6jKmYU6vGpHowOz/view?usp=drivesdk","33 - X11 - Zaki Arya Wicaksono - L")</f>
        <v>33 - X11 - Zaki Arya Wicaksono - L</v>
      </c>
      <c r="U507" s="12" t="s">
        <v>2735</v>
      </c>
      <c r="W507" s="25">
        <f>COUNTIFS('Form Presensi SCC'!$B:$B, IF($C507&lt;&gt;0, TEXT($C507, "0000000000"), $D507), 'Form Presensi SCC'!$C:$C, "Hadir")</f>
        <v>0</v>
      </c>
      <c r="Y507" s="26"/>
    </row>
    <row r="508" ht="22.5" customHeight="1">
      <c r="A508" s="18">
        <v>507.0</v>
      </c>
      <c r="B508" s="18">
        <v>48.0</v>
      </c>
      <c r="C508" s="18" t="s">
        <v>2741</v>
      </c>
      <c r="D508" s="18" t="s">
        <v>2742</v>
      </c>
      <c r="E508" s="18" t="s">
        <v>227</v>
      </c>
      <c r="F508" s="12">
        <v>33.0</v>
      </c>
      <c r="G508" s="10" t="s">
        <v>2499</v>
      </c>
      <c r="H508" s="19"/>
      <c r="I508" s="20"/>
      <c r="J508" s="10" t="s">
        <v>2499</v>
      </c>
      <c r="K508" s="21"/>
      <c r="L508" s="10"/>
      <c r="M508" s="22"/>
      <c r="N508" s="10"/>
      <c r="O508" s="10"/>
      <c r="P508" s="12" t="str">
        <f t="shared" si="1"/>
        <v>https://docs.google.com/forms/d/e/1FAIpQLSeZ-R1GrWlAPkfaThGqxeTj0QTtrARw4rroxIIepf2kipn1nw/formResponse?usp=pp_url&amp;entry.1313582257=0105748224 / 252610565&amp;entry.1578404635=Hadir</v>
      </c>
      <c r="Q508" s="23" t="s">
        <v>2743</v>
      </c>
      <c r="R508" s="12" t="s">
        <v>2744</v>
      </c>
      <c r="S508" s="24" t="s">
        <v>2745</v>
      </c>
      <c r="T508" s="23" t="str">
        <f>HYPERLINK("https://drive.google.com/file/d/1CqAlnQ50yUN8zKreE0qoaFr2JI67Rfsy/view?usp=drivesdk","33 - X11 - Zelda Hanifah Zaneta - P")</f>
        <v>33 - X11 - Zelda Hanifah Zaneta - P</v>
      </c>
      <c r="U508" s="12" t="s">
        <v>2735</v>
      </c>
      <c r="W508" s="25">
        <f>COUNTIFS('Form Presensi SCC'!$B:$B, IF($C508&lt;&gt;0, TEXT($C508, "0000000000"), $D508), 'Form Presensi SCC'!$C:$C, "Hadir")</f>
        <v>0</v>
      </c>
      <c r="Y508" s="26"/>
    </row>
    <row r="509" ht="22.5" customHeight="1">
      <c r="A509" s="10">
        <v>508.0</v>
      </c>
      <c r="B509" s="18">
        <v>1.0</v>
      </c>
      <c r="C509" s="18" t="s">
        <v>2746</v>
      </c>
      <c r="D509" s="18" t="s">
        <v>2747</v>
      </c>
      <c r="E509" s="18" t="s">
        <v>220</v>
      </c>
      <c r="F509" s="12">
        <v>33.0</v>
      </c>
      <c r="G509" s="10" t="s">
        <v>2748</v>
      </c>
      <c r="H509" s="19"/>
      <c r="I509" s="20"/>
      <c r="J509" s="10" t="s">
        <v>2748</v>
      </c>
      <c r="K509" s="21"/>
      <c r="L509" s="10"/>
      <c r="M509" s="22"/>
      <c r="N509" s="10"/>
      <c r="O509" s="10"/>
      <c r="P509" s="12" t="str">
        <f t="shared" si="1"/>
        <v>https://docs.google.com/forms/d/e/1FAIpQLSeZ-R1GrWlAPkfaThGqxeTj0QTtrARw4rroxIIepf2kipn1nw/formResponse?usp=pp_url&amp;entry.1313582257=0097950619 / 252610015&amp;entry.1578404635=Hadir</v>
      </c>
      <c r="Q509" s="23" t="s">
        <v>2749</v>
      </c>
      <c r="R509" s="12" t="s">
        <v>2750</v>
      </c>
      <c r="S509" s="24" t="s">
        <v>2751</v>
      </c>
      <c r="T509" s="23" t="str">
        <f>HYPERLINK("https://drive.google.com/file/d/14k1cQci74blP72MJD3pm5rGKVb9vi3Ba/view?usp=drivesdk","33 - X12 - Afgan Prima Rizkia Iskandar - L")</f>
        <v>33 - X12 - Afgan Prima Rizkia Iskandar - L</v>
      </c>
      <c r="U509" s="12" t="s">
        <v>2735</v>
      </c>
      <c r="W509" s="25">
        <f>COUNTIFS('Form Presensi SCC'!$B:$B, IF($C509&lt;&gt;0, TEXT($C509, "0000000000"), $D509), 'Form Presensi SCC'!$C:$C, "Hadir")</f>
        <v>0</v>
      </c>
      <c r="Y509" s="26"/>
    </row>
    <row r="510" ht="22.5" customHeight="1">
      <c r="A510" s="18">
        <v>509.0</v>
      </c>
      <c r="B510" s="18">
        <v>2.0</v>
      </c>
      <c r="C510" s="18" t="s">
        <v>2752</v>
      </c>
      <c r="D510" s="18" t="s">
        <v>2753</v>
      </c>
      <c r="E510" s="18" t="s">
        <v>227</v>
      </c>
      <c r="F510" s="12">
        <v>33.0</v>
      </c>
      <c r="G510" s="10" t="s">
        <v>2748</v>
      </c>
      <c r="H510" s="19"/>
      <c r="I510" s="20"/>
      <c r="J510" s="10" t="s">
        <v>2748</v>
      </c>
      <c r="K510" s="21"/>
      <c r="L510" s="10"/>
      <c r="M510" s="22"/>
      <c r="N510" s="10"/>
      <c r="O510" s="10"/>
      <c r="P510" s="12" t="str">
        <f t="shared" si="1"/>
        <v>https://docs.google.com/forms/d/e/1FAIpQLSeZ-R1GrWlAPkfaThGqxeTj0QTtrARw4rroxIIepf2kipn1nw/formResponse?usp=pp_url&amp;entry.1313582257=0105770130 / 252610021&amp;entry.1578404635=Hadir</v>
      </c>
      <c r="Q510" s="23" t="s">
        <v>2754</v>
      </c>
      <c r="R510" s="12" t="s">
        <v>2755</v>
      </c>
      <c r="S510" s="24" t="s">
        <v>2756</v>
      </c>
      <c r="T510" s="23" t="str">
        <f>HYPERLINK("https://drive.google.com/file/d/1s9DTsUYTw921PaSa7oriTISn3GlIcIfv/view?usp=drivesdk","33 - X12 - Aik Novitasari - P")</f>
        <v>33 - X12 - Aik Novitasari - P</v>
      </c>
      <c r="U510" s="12" t="s">
        <v>2735</v>
      </c>
      <c r="W510" s="25">
        <f>COUNTIFS('Form Presensi SCC'!$B:$B, IF($C510&lt;&gt;0, TEXT($C510, "0000000000"), $D510), 'Form Presensi SCC'!$C:$C, "Hadir")</f>
        <v>0</v>
      </c>
      <c r="Y510" s="26"/>
    </row>
    <row r="511" ht="22.5" customHeight="1">
      <c r="A511" s="10">
        <v>510.0</v>
      </c>
      <c r="B511" s="18">
        <v>3.0</v>
      </c>
      <c r="C511" s="18" t="s">
        <v>2757</v>
      </c>
      <c r="D511" s="18" t="s">
        <v>2758</v>
      </c>
      <c r="E511" s="18" t="s">
        <v>227</v>
      </c>
      <c r="F511" s="12">
        <v>33.0</v>
      </c>
      <c r="G511" s="10" t="s">
        <v>2748</v>
      </c>
      <c r="H511" s="19"/>
      <c r="I511" s="20"/>
      <c r="J511" s="10" t="s">
        <v>2748</v>
      </c>
      <c r="K511" s="21"/>
      <c r="L511" s="10"/>
      <c r="M511" s="22"/>
      <c r="N511" s="10"/>
      <c r="O511" s="10"/>
      <c r="P511" s="12" t="str">
        <f t="shared" si="1"/>
        <v>https://docs.google.com/forms/d/e/1FAIpQLSeZ-R1GrWlAPkfaThGqxeTj0QTtrARw4rroxIIepf2kipn1nw/formResponse?usp=pp_url&amp;entry.1313582257=0093866965 / 252610029&amp;entry.1578404635=Hadir</v>
      </c>
      <c r="Q511" s="23" t="s">
        <v>2759</v>
      </c>
      <c r="R511" s="12" t="s">
        <v>2760</v>
      </c>
      <c r="S511" s="24" t="s">
        <v>2761</v>
      </c>
      <c r="T511" s="23" t="str">
        <f>HYPERLINK("https://drive.google.com/file/d/11yki3PHCNvlA_CPVDjHA9OiNdTAyCQ80/view?usp=drivesdk","33 - X12 - Aisyah Aqilah Agni - P")</f>
        <v>33 - X12 - Aisyah Aqilah Agni - P</v>
      </c>
      <c r="U511" s="12" t="s">
        <v>2735</v>
      </c>
      <c r="W511" s="25">
        <f>COUNTIFS('Form Presensi SCC'!$B:$B, IF($C511&lt;&gt;0, TEXT($C511, "0000000000"), $D511), 'Form Presensi SCC'!$C:$C, "Hadir")</f>
        <v>0</v>
      </c>
      <c r="Y511" s="26"/>
    </row>
    <row r="512" ht="22.5" customHeight="1">
      <c r="A512" s="18">
        <v>511.0</v>
      </c>
      <c r="B512" s="18">
        <v>4.0</v>
      </c>
      <c r="C512" s="18" t="s">
        <v>2762</v>
      </c>
      <c r="D512" s="18" t="s">
        <v>2763</v>
      </c>
      <c r="E512" s="18" t="s">
        <v>227</v>
      </c>
      <c r="F512" s="12">
        <v>33.0</v>
      </c>
      <c r="G512" s="10" t="s">
        <v>2748</v>
      </c>
      <c r="H512" s="19"/>
      <c r="I512" s="20"/>
      <c r="J512" s="10" t="s">
        <v>2748</v>
      </c>
      <c r="K512" s="21"/>
      <c r="L512" s="10"/>
      <c r="M512" s="22"/>
      <c r="N512" s="10"/>
      <c r="O512" s="10"/>
      <c r="P512" s="12" t="str">
        <f t="shared" si="1"/>
        <v>https://docs.google.com/forms/d/e/1FAIpQLSeZ-R1GrWlAPkfaThGqxeTj0QTtrARw4rroxIIepf2kipn1nw/formResponse?usp=pp_url&amp;entry.1313582257=3097129671 / 252610030&amp;entry.1578404635=Hadir</v>
      </c>
      <c r="Q512" s="23" t="s">
        <v>2764</v>
      </c>
      <c r="R512" s="12" t="s">
        <v>2765</v>
      </c>
      <c r="S512" s="24" t="s">
        <v>2766</v>
      </c>
      <c r="T512" s="23" t="str">
        <f>HYPERLINK("https://drive.google.com/file/d/1vG1u-HGh2M349ShU1HW13uaNC5KPsTpk/view?usp=drivesdk","33 - X12 - Aisyah Hanifa Redana - P")</f>
        <v>33 - X12 - Aisyah Hanifa Redana - P</v>
      </c>
      <c r="U512" s="12" t="s">
        <v>2735</v>
      </c>
      <c r="W512" s="25">
        <f>COUNTIFS('Form Presensi SCC'!$B:$B, IF($C512&lt;&gt;0, TEXT($C512, "0000000000"), $D512), 'Form Presensi SCC'!$C:$C, "Hadir")</f>
        <v>0</v>
      </c>
      <c r="Y512" s="26"/>
    </row>
    <row r="513" ht="22.5" customHeight="1">
      <c r="A513" s="10">
        <v>512.0</v>
      </c>
      <c r="B513" s="18">
        <v>5.0</v>
      </c>
      <c r="C513" s="18" t="s">
        <v>2767</v>
      </c>
      <c r="D513" s="18" t="s">
        <v>2768</v>
      </c>
      <c r="E513" s="18" t="s">
        <v>227</v>
      </c>
      <c r="F513" s="12">
        <v>33.0</v>
      </c>
      <c r="G513" s="10" t="s">
        <v>2748</v>
      </c>
      <c r="H513" s="19"/>
      <c r="I513" s="20"/>
      <c r="J513" s="10" t="s">
        <v>2748</v>
      </c>
      <c r="K513" s="21"/>
      <c r="L513" s="10"/>
      <c r="M513" s="22"/>
      <c r="N513" s="10"/>
      <c r="O513" s="10"/>
      <c r="P513" s="12" t="str">
        <f t="shared" si="1"/>
        <v>https://docs.google.com/forms/d/e/1FAIpQLSeZ-R1GrWlAPkfaThGqxeTj0QTtrARw4rroxIIepf2kipn1nw/formResponse?usp=pp_url&amp;entry.1313582257=0093002808 / 252610046&amp;entry.1578404635=Hadir</v>
      </c>
      <c r="Q513" s="23" t="s">
        <v>2769</v>
      </c>
      <c r="R513" s="12" t="s">
        <v>2770</v>
      </c>
      <c r="S513" s="24" t="s">
        <v>2771</v>
      </c>
      <c r="T513" s="23" t="str">
        <f>HYPERLINK("https://drive.google.com/file/d/1OhR1mzNeToZJ4z60SWZSFjtU2PlkKCqK/view?usp=drivesdk","33 - X12 - Allya Luthfiah Putri - P")</f>
        <v>33 - X12 - Allya Luthfiah Putri - P</v>
      </c>
      <c r="U513" s="12" t="s">
        <v>2772</v>
      </c>
      <c r="W513" s="25">
        <f>COUNTIFS('Form Presensi SCC'!$B:$B, IF($C513&lt;&gt;0, TEXT($C513, "0000000000"), $D513), 'Form Presensi SCC'!$C:$C, "Hadir")</f>
        <v>0</v>
      </c>
      <c r="Y513" s="26"/>
    </row>
    <row r="514" ht="22.5" customHeight="1">
      <c r="A514" s="18">
        <v>513.0</v>
      </c>
      <c r="B514" s="18">
        <v>6.0</v>
      </c>
      <c r="C514" s="18" t="s">
        <v>2773</v>
      </c>
      <c r="D514" s="18" t="s">
        <v>2774</v>
      </c>
      <c r="E514" s="18" t="s">
        <v>227</v>
      </c>
      <c r="F514" s="12">
        <v>33.0</v>
      </c>
      <c r="G514" s="10" t="s">
        <v>2748</v>
      </c>
      <c r="H514" s="19"/>
      <c r="I514" s="20"/>
      <c r="J514" s="10" t="s">
        <v>2748</v>
      </c>
      <c r="K514" s="21"/>
      <c r="L514" s="10"/>
      <c r="M514" s="22"/>
      <c r="N514" s="10"/>
      <c r="O514" s="10"/>
      <c r="P514" s="12" t="str">
        <f t="shared" si="1"/>
        <v>https://docs.google.com/forms/d/e/1FAIpQLSeZ-R1GrWlAPkfaThGqxeTj0QTtrARw4rroxIIepf2kipn1nw/formResponse?usp=pp_url&amp;entry.1313582257=0107831985 / 252610068&amp;entry.1578404635=Hadir</v>
      </c>
      <c r="Q514" s="23" t="s">
        <v>2775</v>
      </c>
      <c r="R514" s="12" t="s">
        <v>2776</v>
      </c>
      <c r="S514" s="24" t="s">
        <v>2777</v>
      </c>
      <c r="T514" s="23" t="str">
        <f>HYPERLINK("https://drive.google.com/file/d/1-unveFZ6Dcz3IGmZqKoIT5GwaWajP1UW/view?usp=drivesdk","33 - X12 - Annisa Salsabilla - P")</f>
        <v>33 - X12 - Annisa Salsabilla - P</v>
      </c>
      <c r="U514" s="12" t="s">
        <v>2772</v>
      </c>
      <c r="W514" s="25">
        <f>COUNTIFS('Form Presensi SCC'!$B:$B, IF($C514&lt;&gt;0, TEXT($C514, "0000000000"), $D514), 'Form Presensi SCC'!$C:$C, "Hadir")</f>
        <v>0</v>
      </c>
      <c r="Y514" s="26"/>
    </row>
    <row r="515" ht="22.5" customHeight="1">
      <c r="A515" s="10">
        <v>514.0</v>
      </c>
      <c r="B515" s="18">
        <v>7.0</v>
      </c>
      <c r="C515" s="18" t="s">
        <v>2778</v>
      </c>
      <c r="D515" s="18" t="s">
        <v>2779</v>
      </c>
      <c r="E515" s="18" t="s">
        <v>220</v>
      </c>
      <c r="F515" s="12">
        <v>33.0</v>
      </c>
      <c r="G515" s="10" t="s">
        <v>2748</v>
      </c>
      <c r="H515" s="19"/>
      <c r="I515" s="20"/>
      <c r="J515" s="10" t="s">
        <v>2748</v>
      </c>
      <c r="K515" s="21"/>
      <c r="L515" s="10"/>
      <c r="M515" s="22"/>
      <c r="N515" s="10"/>
      <c r="O515" s="10"/>
      <c r="P515" s="12" t="str">
        <f t="shared" si="1"/>
        <v>https://docs.google.com/forms/d/e/1FAIpQLSeZ-R1GrWlAPkfaThGqxeTj0QTtrARw4rroxIIepf2kipn1nw/formResponse?usp=pp_url&amp;entry.1313582257=0101396555 / 252610080&amp;entry.1578404635=Hadir</v>
      </c>
      <c r="Q515" s="23" t="s">
        <v>2780</v>
      </c>
      <c r="R515" s="12" t="s">
        <v>2781</v>
      </c>
      <c r="S515" s="24" t="s">
        <v>2782</v>
      </c>
      <c r="T515" s="23" t="str">
        <f>HYPERLINK("https://drive.google.com/file/d/1Ra8Gu9k8ZysgymIEe4eNZD0q1T0ur6OF/view?usp=drivesdk","33 - X12 - Arsyad Khaerul Izzan - L")</f>
        <v>33 - X12 - Arsyad Khaerul Izzan - L</v>
      </c>
      <c r="U515" s="12" t="s">
        <v>2772</v>
      </c>
      <c r="W515" s="25">
        <f>COUNTIFS('Form Presensi SCC'!$B:$B, IF($C515&lt;&gt;0, TEXT($C515, "0000000000"), $D515), 'Form Presensi SCC'!$C:$C, "Hadir")</f>
        <v>0</v>
      </c>
      <c r="Y515" s="26"/>
    </row>
    <row r="516" ht="22.5" customHeight="1">
      <c r="A516" s="18">
        <v>515.0</v>
      </c>
      <c r="B516" s="18">
        <v>8.0</v>
      </c>
      <c r="C516" s="18" t="s">
        <v>2783</v>
      </c>
      <c r="D516" s="18" t="s">
        <v>2784</v>
      </c>
      <c r="E516" s="18" t="s">
        <v>227</v>
      </c>
      <c r="F516" s="12">
        <v>33.0</v>
      </c>
      <c r="G516" s="10" t="s">
        <v>2748</v>
      </c>
      <c r="H516" s="19"/>
      <c r="I516" s="20"/>
      <c r="J516" s="10" t="s">
        <v>2748</v>
      </c>
      <c r="K516" s="21"/>
      <c r="L516" s="10"/>
      <c r="M516" s="22"/>
      <c r="N516" s="10"/>
      <c r="O516" s="10"/>
      <c r="P516" s="12" t="str">
        <f t="shared" si="1"/>
        <v>https://docs.google.com/forms/d/e/1FAIpQLSeZ-R1GrWlAPkfaThGqxeTj0QTtrARw4rroxIIepf2kipn1nw/formResponse?usp=pp_url&amp;entry.1313582257=0108675973 / 252610081&amp;entry.1578404635=Hadir</v>
      </c>
      <c r="Q516" s="23" t="s">
        <v>2785</v>
      </c>
      <c r="R516" s="12" t="s">
        <v>2786</v>
      </c>
      <c r="S516" s="24" t="s">
        <v>2787</v>
      </c>
      <c r="T516" s="23" t="str">
        <f>HYPERLINK("https://drive.google.com/file/d/1eS_GpBLxcFH15P56p2xgZw_quGCb_nkj/view?usp=drivesdk","33 - X12 - Aruni Khalila Ayu - P")</f>
        <v>33 - X12 - Aruni Khalila Ayu - P</v>
      </c>
      <c r="U516" s="12" t="s">
        <v>2772</v>
      </c>
      <c r="W516" s="25">
        <f>COUNTIFS('Form Presensi SCC'!$B:$B, IF($C516&lt;&gt;0, TEXT($C516, "0000000000"), $D516), 'Form Presensi SCC'!$C:$C, "Hadir")</f>
        <v>0</v>
      </c>
      <c r="Y516" s="26"/>
    </row>
    <row r="517" ht="22.5" customHeight="1">
      <c r="A517" s="10">
        <v>516.0</v>
      </c>
      <c r="B517" s="27">
        <v>9.0</v>
      </c>
      <c r="C517" s="27" t="s">
        <v>2788</v>
      </c>
      <c r="D517" s="27" t="s">
        <v>2789</v>
      </c>
      <c r="E517" s="18" t="s">
        <v>227</v>
      </c>
      <c r="F517" s="12">
        <v>33.0</v>
      </c>
      <c r="G517" s="10" t="s">
        <v>2748</v>
      </c>
      <c r="H517" s="28"/>
      <c r="I517" s="20"/>
      <c r="J517" s="10" t="s">
        <v>2748</v>
      </c>
      <c r="K517" s="10"/>
      <c r="L517" s="10"/>
      <c r="M517" s="22"/>
      <c r="N517" s="10"/>
      <c r="O517" s="10"/>
      <c r="P517" s="12" t="str">
        <f t="shared" si="1"/>
        <v>https://docs.google.com/forms/d/e/1FAIpQLSeZ-R1GrWlAPkfaThGqxeTj0QTtrARw4rroxIIepf2kipn1nw/formResponse?usp=pp_url&amp;entry.1313582257=0096011114 / 252610104&amp;entry.1578404635=Hadir</v>
      </c>
      <c r="Q517" s="23" t="s">
        <v>2790</v>
      </c>
      <c r="R517" s="12" t="s">
        <v>2791</v>
      </c>
      <c r="S517" s="24" t="s">
        <v>2792</v>
      </c>
      <c r="T517" s="23" t="str">
        <f>HYPERLINK("https://drive.google.com/file/d/14xnwK_L1k2RdL_ujuqw3RowRRdY4Tj69/view?usp=drivesdk","33 - X12 - Avemarianne Ninetrie Septiane - P")</f>
        <v>33 - X12 - Avemarianne Ninetrie Septiane - P</v>
      </c>
      <c r="U517" s="12" t="s">
        <v>2772</v>
      </c>
      <c r="W517" s="25">
        <f>COUNTIFS('Form Presensi SCC'!$B:$B, IF($C517&lt;&gt;0, TEXT($C517, "0000000000"), $D517), 'Form Presensi SCC'!$C:$C, "Hadir")</f>
        <v>0</v>
      </c>
      <c r="Y517" s="26"/>
    </row>
    <row r="518" ht="22.5" customHeight="1">
      <c r="A518" s="18">
        <v>517.0</v>
      </c>
      <c r="B518" s="27">
        <v>10.0</v>
      </c>
      <c r="C518" s="27" t="s">
        <v>2793</v>
      </c>
      <c r="D518" s="27" t="s">
        <v>2794</v>
      </c>
      <c r="E518" s="18" t="s">
        <v>227</v>
      </c>
      <c r="F518" s="12">
        <v>33.0</v>
      </c>
      <c r="G518" s="10" t="s">
        <v>2748</v>
      </c>
      <c r="H518" s="28"/>
      <c r="I518" s="20"/>
      <c r="J518" s="10" t="s">
        <v>2748</v>
      </c>
      <c r="K518" s="10"/>
      <c r="L518" s="10"/>
      <c r="M518" s="22"/>
      <c r="N518" s="10"/>
      <c r="O518" s="10"/>
      <c r="P518" s="12" t="str">
        <f t="shared" si="1"/>
        <v>https://docs.google.com/forms/d/e/1FAIpQLSeZ-R1GrWlAPkfaThGqxeTj0QTtrARw4rroxIIepf2kipn1nw/formResponse?usp=pp_url&amp;entry.1313582257=2099366441 / 252610106&amp;entry.1578404635=Hadir</v>
      </c>
      <c r="Q518" s="23" t="s">
        <v>2795</v>
      </c>
      <c r="R518" s="12" t="s">
        <v>2796</v>
      </c>
      <c r="S518" s="24" t="s">
        <v>2797</v>
      </c>
      <c r="T518" s="23" t="str">
        <f>HYPERLINK("https://drive.google.com/file/d/1MogFFNapTCYXWGMRZ4AfnG9pOj1Ih2lg/view?usp=drivesdk","33 - X12 - Ayi Artadinata - P")</f>
        <v>33 - X12 - Ayi Artadinata - P</v>
      </c>
      <c r="U518" s="12" t="s">
        <v>2772</v>
      </c>
      <c r="W518" s="25">
        <f>COUNTIFS('Form Presensi SCC'!$B:$B, IF($C518&lt;&gt;0, TEXT($C518, "0000000000"), $D518), 'Form Presensi SCC'!$C:$C, "Hadir")</f>
        <v>0</v>
      </c>
      <c r="Y518" s="26"/>
    </row>
    <row r="519" ht="22.5" customHeight="1">
      <c r="A519" s="10">
        <v>518.0</v>
      </c>
      <c r="B519" s="27">
        <v>11.0</v>
      </c>
      <c r="C519" s="27" t="s">
        <v>2798</v>
      </c>
      <c r="D519" s="27" t="s">
        <v>2799</v>
      </c>
      <c r="E519" s="18" t="s">
        <v>227</v>
      </c>
      <c r="F519" s="12">
        <v>33.0</v>
      </c>
      <c r="G519" s="10" t="s">
        <v>2748</v>
      </c>
      <c r="H519" s="28"/>
      <c r="I519" s="20"/>
      <c r="J519" s="10" t="s">
        <v>2748</v>
      </c>
      <c r="K519" s="10"/>
      <c r="L519" s="10"/>
      <c r="M519" s="22"/>
      <c r="N519" s="10"/>
      <c r="O519" s="10"/>
      <c r="P519" s="12" t="str">
        <f t="shared" si="1"/>
        <v>https://docs.google.com/forms/d/e/1FAIpQLSeZ-R1GrWlAPkfaThGqxeTj0QTtrARw4rroxIIepf2kipn1nw/formResponse?usp=pp_url&amp;entry.1313582257=0109010502 / 252610107&amp;entry.1578404635=Hadir</v>
      </c>
      <c r="Q519" s="23" t="s">
        <v>2800</v>
      </c>
      <c r="R519" s="12" t="s">
        <v>2801</v>
      </c>
      <c r="S519" s="24" t="s">
        <v>2802</v>
      </c>
      <c r="T519" s="23" t="str">
        <f>HYPERLINK("https://drive.google.com/file/d/15clUYie0zDYsyIDkZPoyNKt3lVWZixDG/view?usp=drivesdk","33 - X12 - Ayra Jauzaa Viranda - P")</f>
        <v>33 - X12 - Ayra Jauzaa Viranda - P</v>
      </c>
      <c r="U519" s="12" t="s">
        <v>2772</v>
      </c>
      <c r="W519" s="25">
        <f>COUNTIFS('Form Presensi SCC'!$B:$B, IF($C519&lt;&gt;0, TEXT($C519, "0000000000"), $D519), 'Form Presensi SCC'!$C:$C, "Hadir")</f>
        <v>0</v>
      </c>
      <c r="Y519" s="26"/>
    </row>
    <row r="520" ht="22.5" customHeight="1">
      <c r="A520" s="18">
        <v>519.0</v>
      </c>
      <c r="B520" s="27">
        <v>12.0</v>
      </c>
      <c r="C520" s="27" t="s">
        <v>2803</v>
      </c>
      <c r="D520" s="27" t="s">
        <v>2804</v>
      </c>
      <c r="E520" s="18" t="s">
        <v>220</v>
      </c>
      <c r="F520" s="12">
        <v>33.0</v>
      </c>
      <c r="G520" s="10" t="s">
        <v>2748</v>
      </c>
      <c r="H520" s="28"/>
      <c r="I520" s="20"/>
      <c r="J520" s="10" t="s">
        <v>2748</v>
      </c>
      <c r="K520" s="10"/>
      <c r="L520" s="10"/>
      <c r="M520" s="22"/>
      <c r="N520" s="10"/>
      <c r="O520" s="10"/>
      <c r="P520" s="12" t="str">
        <f t="shared" si="1"/>
        <v>https://docs.google.com/forms/d/e/1FAIpQLSeZ-R1GrWlAPkfaThGqxeTj0QTtrARw4rroxIIepf2kipn1nw/formResponse?usp=pp_url&amp;entry.1313582257=0109682985 / 252610127&amp;entry.1578404635=Hadir</v>
      </c>
      <c r="Q520" s="23" t="s">
        <v>2805</v>
      </c>
      <c r="R520" s="12" t="s">
        <v>2806</v>
      </c>
      <c r="S520" s="24" t="s">
        <v>2807</v>
      </c>
      <c r="T520" s="23" t="str">
        <f>HYPERLINK("https://drive.google.com/file/d/1etsRa7pU2ivrCzlWcrlbfCK2jTJit8DA/view?usp=drivesdk","33 - X12 - Bintang Jati Pratama - L")</f>
        <v>33 - X12 - Bintang Jati Pratama - L</v>
      </c>
      <c r="U520" s="12" t="s">
        <v>2808</v>
      </c>
      <c r="W520" s="25">
        <f>COUNTIFS('Form Presensi SCC'!$B:$B, IF($C520&lt;&gt;0, TEXT($C520, "0000000000"), $D520), 'Form Presensi SCC'!$C:$C, "Hadir")</f>
        <v>0</v>
      </c>
      <c r="Y520" s="26"/>
    </row>
    <row r="521" ht="22.5" customHeight="1">
      <c r="A521" s="10">
        <v>520.0</v>
      </c>
      <c r="B521" s="27">
        <v>13.0</v>
      </c>
      <c r="C521" s="27" t="s">
        <v>2809</v>
      </c>
      <c r="D521" s="27" t="s">
        <v>2810</v>
      </c>
      <c r="E521" s="18" t="s">
        <v>220</v>
      </c>
      <c r="F521" s="12">
        <v>33.0</v>
      </c>
      <c r="G521" s="10" t="s">
        <v>2748</v>
      </c>
      <c r="H521" s="28"/>
      <c r="I521" s="20"/>
      <c r="J521" s="10" t="s">
        <v>2748</v>
      </c>
      <c r="K521" s="10"/>
      <c r="L521" s="10"/>
      <c r="M521" s="22"/>
      <c r="N521" s="10"/>
      <c r="O521" s="10"/>
      <c r="P521" s="12" t="str">
        <f t="shared" si="1"/>
        <v>https://docs.google.com/forms/d/e/1FAIpQLSeZ-R1GrWlAPkfaThGqxeTj0QTtrARw4rroxIIepf2kipn1nw/formResponse?usp=pp_url&amp;entry.1313582257=0092725675 / 252610143&amp;entry.1578404635=Hadir</v>
      </c>
      <c r="Q521" s="23" t="s">
        <v>2811</v>
      </c>
      <c r="R521" s="12" t="s">
        <v>2812</v>
      </c>
      <c r="S521" s="24" t="s">
        <v>2813</v>
      </c>
      <c r="T521" s="23" t="str">
        <f>HYPERLINK("https://drive.google.com/file/d/1E-gw5w6Ulw4KXdV3K1qtPzk-tK_7I5Oy/view?usp=drivesdk","33 - X12 - Daffa Hafizh Firdausi - L")</f>
        <v>33 - X12 - Daffa Hafizh Firdausi - L</v>
      </c>
      <c r="U521" s="12" t="s">
        <v>2808</v>
      </c>
      <c r="W521" s="25">
        <f>COUNTIFS('Form Presensi SCC'!$B:$B, IF($C521&lt;&gt;0, TEXT($C521, "0000000000"), $D521), 'Form Presensi SCC'!$C:$C, "Hadir")</f>
        <v>0</v>
      </c>
      <c r="Y521" s="26"/>
    </row>
    <row r="522" ht="22.5" customHeight="1">
      <c r="A522" s="18">
        <v>521.0</v>
      </c>
      <c r="B522" s="27">
        <v>14.0</v>
      </c>
      <c r="C522" s="27" t="s">
        <v>2814</v>
      </c>
      <c r="D522" s="27" t="s">
        <v>2815</v>
      </c>
      <c r="E522" s="18" t="s">
        <v>220</v>
      </c>
      <c r="F522" s="12">
        <v>33.0</v>
      </c>
      <c r="G522" s="10" t="s">
        <v>2748</v>
      </c>
      <c r="H522" s="28"/>
      <c r="I522" s="20"/>
      <c r="J522" s="10" t="s">
        <v>2748</v>
      </c>
      <c r="K522" s="10"/>
      <c r="L522" s="10"/>
      <c r="M522" s="22"/>
      <c r="N522" s="10"/>
      <c r="O522" s="10"/>
      <c r="P522" s="12" t="str">
        <f t="shared" si="1"/>
        <v>https://docs.google.com/forms/d/e/1FAIpQLSeZ-R1GrWlAPkfaThGqxeTj0QTtrARw4rroxIIepf2kipn1nw/formResponse?usp=pp_url&amp;entry.1313582257=3106961615 / 252610147&amp;entry.1578404635=Hadir</v>
      </c>
      <c r="Q522" s="23" t="s">
        <v>2816</v>
      </c>
      <c r="R522" s="12" t="s">
        <v>2817</v>
      </c>
      <c r="S522" s="24" t="s">
        <v>2818</v>
      </c>
      <c r="T522" s="23" t="str">
        <f>HYPERLINK("https://drive.google.com/file/d/1by60MZ8Rn2DcDgKyoNoBohio-uDe2SxF/view?usp=drivesdk","33 - X12 - Damara Dasha Bahi Utomo - L")</f>
        <v>33 - X12 - Damara Dasha Bahi Utomo - L</v>
      </c>
      <c r="U522" s="12" t="s">
        <v>2808</v>
      </c>
      <c r="W522" s="25">
        <f>COUNTIFS('Form Presensi SCC'!$B:$B, IF($C522&lt;&gt;0, TEXT($C522, "0000000000"), $D522), 'Form Presensi SCC'!$C:$C, "Hadir")</f>
        <v>0</v>
      </c>
      <c r="Y522" s="26"/>
    </row>
    <row r="523" ht="22.5" customHeight="1">
      <c r="A523" s="10">
        <v>522.0</v>
      </c>
      <c r="B523" s="27">
        <v>15.0</v>
      </c>
      <c r="C523" s="27" t="s">
        <v>2819</v>
      </c>
      <c r="D523" s="27" t="s">
        <v>2820</v>
      </c>
      <c r="E523" s="18" t="s">
        <v>227</v>
      </c>
      <c r="F523" s="12">
        <v>33.0</v>
      </c>
      <c r="G523" s="10" t="s">
        <v>2748</v>
      </c>
      <c r="H523" s="28"/>
      <c r="I523" s="20"/>
      <c r="J523" s="10" t="s">
        <v>2748</v>
      </c>
      <c r="K523" s="10"/>
      <c r="L523" s="10"/>
      <c r="M523" s="22"/>
      <c r="N523" s="10"/>
      <c r="O523" s="10"/>
      <c r="P523" s="12" t="str">
        <f t="shared" si="1"/>
        <v>https://docs.google.com/forms/d/e/1FAIpQLSeZ-R1GrWlAPkfaThGqxeTj0QTtrARw4rroxIIepf2kipn1nw/formResponse?usp=pp_url&amp;entry.1313582257=0102221985 / 252610149&amp;entry.1578404635=Hadir</v>
      </c>
      <c r="Q523" s="23" t="s">
        <v>2821</v>
      </c>
      <c r="R523" s="12" t="s">
        <v>2822</v>
      </c>
      <c r="S523" s="24" t="s">
        <v>2823</v>
      </c>
      <c r="T523" s="23" t="str">
        <f>HYPERLINK("https://drive.google.com/file/d/1wKqPVD9lOcXeCMDXmGos-aVOoo2hnHDm/view?usp=drivesdk","33 - X12 - Deana Azalea Belva - P")</f>
        <v>33 - X12 - Deana Azalea Belva - P</v>
      </c>
      <c r="U523" s="12" t="s">
        <v>2808</v>
      </c>
      <c r="W523" s="25">
        <f>COUNTIFS('Form Presensi SCC'!$B:$B, IF($C523&lt;&gt;0, TEXT($C523, "0000000000"), $D523), 'Form Presensi SCC'!$C:$C, "Hadir")</f>
        <v>0</v>
      </c>
      <c r="Y523" s="26"/>
    </row>
    <row r="524" ht="22.5" customHeight="1">
      <c r="A524" s="18">
        <v>523.0</v>
      </c>
      <c r="B524" s="27">
        <v>16.0</v>
      </c>
      <c r="C524" s="27" t="s">
        <v>2824</v>
      </c>
      <c r="D524" s="27" t="s">
        <v>2825</v>
      </c>
      <c r="E524" s="18" t="s">
        <v>227</v>
      </c>
      <c r="F524" s="12">
        <v>33.0</v>
      </c>
      <c r="G524" s="10" t="s">
        <v>2748</v>
      </c>
      <c r="H524" s="28"/>
      <c r="I524" s="20"/>
      <c r="J524" s="10" t="s">
        <v>2748</v>
      </c>
      <c r="K524" s="10"/>
      <c r="L524" s="10"/>
      <c r="M524" s="22"/>
      <c r="N524" s="10"/>
      <c r="O524" s="10"/>
      <c r="P524" s="12" t="str">
        <f t="shared" si="1"/>
        <v>https://docs.google.com/forms/d/e/1FAIpQLSeZ-R1GrWlAPkfaThGqxeTj0QTtrARw4rroxIIepf2kipn1nw/formResponse?usp=pp_url&amp;entry.1313582257=0096201622 / 252610152&amp;entry.1578404635=Hadir</v>
      </c>
      <c r="Q524" s="23" t="s">
        <v>2826</v>
      </c>
      <c r="R524" s="12" t="s">
        <v>2827</v>
      </c>
      <c r="S524" s="24" t="s">
        <v>2828</v>
      </c>
      <c r="T524" s="23" t="str">
        <f>HYPERLINK("https://drive.google.com/file/d/16zNgdWtB9JhjDBf47oSRqSxm7u4GojzD/view?usp=drivesdk","33 - X12 - Delfa Maharani - P")</f>
        <v>33 - X12 - Delfa Maharani - P</v>
      </c>
      <c r="U524" s="12" t="s">
        <v>2808</v>
      </c>
      <c r="W524" s="25">
        <f>COUNTIFS('Form Presensi SCC'!$B:$B, IF($C524&lt;&gt;0, TEXT($C524, "0000000000"), $D524), 'Form Presensi SCC'!$C:$C, "Hadir")</f>
        <v>0</v>
      </c>
      <c r="Y524" s="26"/>
    </row>
    <row r="525" ht="22.5" customHeight="1">
      <c r="A525" s="10">
        <v>524.0</v>
      </c>
      <c r="B525" s="27">
        <v>17.0</v>
      </c>
      <c r="C525" s="27" t="s">
        <v>2829</v>
      </c>
      <c r="D525" s="27" t="s">
        <v>2830</v>
      </c>
      <c r="E525" s="18" t="s">
        <v>227</v>
      </c>
      <c r="F525" s="12">
        <v>33.0</v>
      </c>
      <c r="G525" s="10" t="s">
        <v>2748</v>
      </c>
      <c r="H525" s="28"/>
      <c r="I525" s="20"/>
      <c r="J525" s="10" t="s">
        <v>2748</v>
      </c>
      <c r="K525" s="10"/>
      <c r="L525" s="10"/>
      <c r="M525" s="22"/>
      <c r="N525" s="10"/>
      <c r="O525" s="10"/>
      <c r="P525" s="12" t="str">
        <f t="shared" si="1"/>
        <v>https://docs.google.com/forms/d/e/1FAIpQLSeZ-R1GrWlAPkfaThGqxeTj0QTtrARw4rroxIIepf2kipn1nw/formResponse?usp=pp_url&amp;entry.1313582257=0104985283 / 252610208&amp;entry.1578404635=Hadir</v>
      </c>
      <c r="Q525" s="23" t="s">
        <v>2831</v>
      </c>
      <c r="R525" s="12" t="s">
        <v>2832</v>
      </c>
      <c r="S525" s="24" t="s">
        <v>2833</v>
      </c>
      <c r="T525" s="23" t="str">
        <f>HYPERLINK("https://drive.google.com/file/d/1fwKzHMSrgwYVoJbC7eYh77qWYVho8OVb/view?usp=drivesdk","33 - X12 - Fauza Nur Aziema - P")</f>
        <v>33 - X12 - Fauza Nur Aziema - P</v>
      </c>
      <c r="U525" s="12" t="s">
        <v>2834</v>
      </c>
      <c r="W525" s="25">
        <f>COUNTIFS('Form Presensi SCC'!$B:$B, IF($C525&lt;&gt;0, TEXT($C525, "0000000000"), $D525), 'Form Presensi SCC'!$C:$C, "Hadir")</f>
        <v>0</v>
      </c>
      <c r="Y525" s="26"/>
    </row>
    <row r="526" ht="22.5" customHeight="1">
      <c r="A526" s="18">
        <v>525.0</v>
      </c>
      <c r="B526" s="27">
        <v>18.0</v>
      </c>
      <c r="C526" s="27" t="s">
        <v>2835</v>
      </c>
      <c r="D526" s="27" t="s">
        <v>2836</v>
      </c>
      <c r="E526" s="18" t="s">
        <v>220</v>
      </c>
      <c r="F526" s="12">
        <v>33.0</v>
      </c>
      <c r="G526" s="10" t="s">
        <v>2748</v>
      </c>
      <c r="H526" s="28"/>
      <c r="I526" s="20"/>
      <c r="J526" s="10" t="s">
        <v>2748</v>
      </c>
      <c r="K526" s="10"/>
      <c r="L526" s="10"/>
      <c r="M526" s="22"/>
      <c r="N526" s="10"/>
      <c r="O526" s="10"/>
      <c r="P526" s="12" t="str">
        <f t="shared" si="1"/>
        <v>https://docs.google.com/forms/d/e/1FAIpQLSeZ-R1GrWlAPkfaThGqxeTj0QTtrARw4rroxIIepf2kipn1nw/formResponse?usp=pp_url&amp;entry.1313582257=3086279831 / 252610218&amp;entry.1578404635=Hadir</v>
      </c>
      <c r="Q526" s="23" t="s">
        <v>2837</v>
      </c>
      <c r="R526" s="12" t="s">
        <v>2838</v>
      </c>
      <c r="S526" s="24" t="s">
        <v>2839</v>
      </c>
      <c r="T526" s="23" t="str">
        <f>HYPERLINK("https://drive.google.com/file/d/1V2F9-2mvx0AzbyRLkRZAIDTeBHeP_xS_/view?usp=drivesdk","33 - X12 - Gefira Azizatul Hasanah - L")</f>
        <v>33 - X12 - Gefira Azizatul Hasanah - L</v>
      </c>
      <c r="U526" s="12" t="s">
        <v>2834</v>
      </c>
      <c r="W526" s="25">
        <f>COUNTIFS('Form Presensi SCC'!$B:$B, IF($C526&lt;&gt;0, TEXT($C526, "0000000000"), $D526), 'Form Presensi SCC'!$C:$C, "Hadir")</f>
        <v>0</v>
      </c>
      <c r="Y526" s="26"/>
    </row>
    <row r="527" ht="22.5" customHeight="1">
      <c r="A527" s="10">
        <v>526.0</v>
      </c>
      <c r="B527" s="27">
        <v>19.0</v>
      </c>
      <c r="C527" s="27" t="s">
        <v>2840</v>
      </c>
      <c r="D527" s="27" t="s">
        <v>2841</v>
      </c>
      <c r="E527" s="18" t="s">
        <v>227</v>
      </c>
      <c r="F527" s="12">
        <v>33.0</v>
      </c>
      <c r="G527" s="10" t="s">
        <v>2748</v>
      </c>
      <c r="H527" s="28"/>
      <c r="I527" s="20"/>
      <c r="J527" s="10" t="s">
        <v>2748</v>
      </c>
      <c r="K527" s="10"/>
      <c r="L527" s="10"/>
      <c r="M527" s="22"/>
      <c r="N527" s="10"/>
      <c r="O527" s="10"/>
      <c r="P527" s="12" t="str">
        <f t="shared" si="1"/>
        <v>https://docs.google.com/forms/d/e/1FAIpQLSeZ-R1GrWlAPkfaThGqxeTj0QTtrARw4rroxIIepf2kipn1nw/formResponse?usp=pp_url&amp;entry.1313582257=3091107524 / 252610267&amp;entry.1578404635=Hadir</v>
      </c>
      <c r="Q527" s="23" t="s">
        <v>2842</v>
      </c>
      <c r="R527" s="12" t="s">
        <v>2843</v>
      </c>
      <c r="S527" s="24" t="s">
        <v>2844</v>
      </c>
      <c r="T527" s="23" t="str">
        <f>HYPERLINK("https://drive.google.com/file/d/1_-8sc9TgPHiFK7pFRfXVpDSKKTu1NWWR/view?usp=drivesdk","33 - X12 - Keisha Nurazizah - P")</f>
        <v>33 - X12 - Keisha Nurazizah - P</v>
      </c>
      <c r="U527" s="12" t="s">
        <v>2834</v>
      </c>
      <c r="W527" s="25">
        <f>COUNTIFS('Form Presensi SCC'!$B:$B, IF($C527&lt;&gt;0, TEXT($C527, "0000000000"), $D527), 'Form Presensi SCC'!$C:$C, "Hadir")</f>
        <v>0</v>
      </c>
      <c r="Y527" s="26"/>
    </row>
    <row r="528" ht="22.5" customHeight="1">
      <c r="A528" s="18">
        <v>527.0</v>
      </c>
      <c r="B528" s="27">
        <v>20.0</v>
      </c>
      <c r="C528" s="27" t="s">
        <v>2845</v>
      </c>
      <c r="D528" s="27" t="s">
        <v>2846</v>
      </c>
      <c r="E528" s="18" t="s">
        <v>220</v>
      </c>
      <c r="F528" s="12">
        <v>33.0</v>
      </c>
      <c r="G528" s="10" t="s">
        <v>2748</v>
      </c>
      <c r="H528" s="28"/>
      <c r="I528" s="20"/>
      <c r="J528" s="10" t="s">
        <v>2748</v>
      </c>
      <c r="K528" s="10"/>
      <c r="L528" s="10"/>
      <c r="M528" s="22"/>
      <c r="N528" s="10"/>
      <c r="O528" s="10"/>
      <c r="P528" s="12" t="str">
        <f t="shared" si="1"/>
        <v>https://docs.google.com/forms/d/e/1FAIpQLSeZ-R1GrWlAPkfaThGqxeTj0QTtrARw4rroxIIepf2kipn1nw/formResponse?usp=pp_url&amp;entry.1313582257=0103652262 / 252610269&amp;entry.1578404635=Hadir</v>
      </c>
      <c r="Q528" s="23" t="s">
        <v>2847</v>
      </c>
      <c r="R528" s="12" t="s">
        <v>2848</v>
      </c>
      <c r="S528" s="24" t="s">
        <v>2849</v>
      </c>
      <c r="T528" s="23" t="str">
        <f>HYPERLINK("https://drive.google.com/file/d/1PySRl55fAWCDT4GhUVVePVg0eda-PsCs/view?usp=drivesdk","33 - X12 - Kenzie Dzakwan Ibrahim - L")</f>
        <v>33 - X12 - Kenzie Dzakwan Ibrahim - L</v>
      </c>
      <c r="U528" s="12" t="s">
        <v>2834</v>
      </c>
      <c r="W528" s="25">
        <f>COUNTIFS('Form Presensi SCC'!$B:$B, IF($C528&lt;&gt;0, TEXT($C528, "0000000000"), $D528), 'Form Presensi SCC'!$C:$C, "Hadir")</f>
        <v>0</v>
      </c>
      <c r="Y528" s="26"/>
    </row>
    <row r="529" ht="22.5" customHeight="1">
      <c r="A529" s="10">
        <v>528.0</v>
      </c>
      <c r="B529" s="27">
        <v>21.0</v>
      </c>
      <c r="C529" s="27" t="s">
        <v>2850</v>
      </c>
      <c r="D529" s="27" t="s">
        <v>2851</v>
      </c>
      <c r="E529" s="18" t="s">
        <v>227</v>
      </c>
      <c r="F529" s="12">
        <v>33.0</v>
      </c>
      <c r="G529" s="10" t="s">
        <v>2748</v>
      </c>
      <c r="H529" s="28"/>
      <c r="I529" s="20"/>
      <c r="J529" s="10" t="s">
        <v>2748</v>
      </c>
      <c r="K529" s="10"/>
      <c r="L529" s="10"/>
      <c r="M529" s="22"/>
      <c r="N529" s="10"/>
      <c r="O529" s="10"/>
      <c r="P529" s="12" t="str">
        <f t="shared" si="1"/>
        <v>https://docs.google.com/forms/d/e/1FAIpQLSeZ-R1GrWlAPkfaThGqxeTj0QTtrARw4rroxIIepf2kipn1nw/formResponse?usp=pp_url&amp;entry.1313582257=0097732804 / 252610270&amp;entry.1578404635=Hadir</v>
      </c>
      <c r="Q529" s="23" t="s">
        <v>2852</v>
      </c>
      <c r="R529" s="12" t="s">
        <v>2853</v>
      </c>
      <c r="S529" s="24" t="s">
        <v>2854</v>
      </c>
      <c r="T529" s="23" t="str">
        <f>HYPERLINK("https://drive.google.com/file/d/1ZMvNBBZW49JhHKeeffYeRiBjl4SXsxO4/view?usp=drivesdk","33 - X12 - Kesyha Ramadhani - P")</f>
        <v>33 - X12 - Kesyha Ramadhani - P</v>
      </c>
      <c r="U529" s="12" t="s">
        <v>2834</v>
      </c>
      <c r="W529" s="25">
        <f>COUNTIFS('Form Presensi SCC'!$B:$B, IF($C529&lt;&gt;0, TEXT($C529, "0000000000"), $D529), 'Form Presensi SCC'!$C:$C, "Hadir")</f>
        <v>0</v>
      </c>
      <c r="Y529" s="26"/>
    </row>
    <row r="530" ht="22.5" customHeight="1">
      <c r="A530" s="18">
        <v>529.0</v>
      </c>
      <c r="B530" s="27">
        <v>22.0</v>
      </c>
      <c r="C530" s="27" t="s">
        <v>2855</v>
      </c>
      <c r="D530" s="27" t="s">
        <v>2856</v>
      </c>
      <c r="E530" s="18" t="s">
        <v>220</v>
      </c>
      <c r="F530" s="12">
        <v>33.0</v>
      </c>
      <c r="G530" s="10" t="s">
        <v>2748</v>
      </c>
      <c r="H530" s="28"/>
      <c r="I530" s="20"/>
      <c r="J530" s="10" t="s">
        <v>2748</v>
      </c>
      <c r="K530" s="10"/>
      <c r="L530" s="10"/>
      <c r="M530" s="22"/>
      <c r="N530" s="10"/>
      <c r="O530" s="10"/>
      <c r="P530" s="12" t="str">
        <f t="shared" si="1"/>
        <v>https://docs.google.com/forms/d/e/1FAIpQLSeZ-R1GrWlAPkfaThGqxeTj0QTtrARw4rroxIIepf2kipn1nw/formResponse?usp=pp_url&amp;entry.1313582257=3093490279 / 252610271&amp;entry.1578404635=Hadir</v>
      </c>
      <c r="Q530" s="23" t="s">
        <v>2857</v>
      </c>
      <c r="R530" s="12" t="s">
        <v>2858</v>
      </c>
      <c r="S530" s="24" t="s">
        <v>2859</v>
      </c>
      <c r="T530" s="23" t="str">
        <f>HYPERLINK("https://drive.google.com/file/d/1eSfFDVhXaqeejcUUS-lc8yDjPqTmDHfQ/view?usp=drivesdk","33 - X12 - Kevin Septian Ramadhan - L")</f>
        <v>33 - X12 - Kevin Septian Ramadhan - L</v>
      </c>
      <c r="U530" s="12" t="s">
        <v>2860</v>
      </c>
      <c r="W530" s="25">
        <f>COUNTIFS('Form Presensi SCC'!$B:$B, IF($C530&lt;&gt;0, TEXT($C530, "0000000000"), $D530), 'Form Presensi SCC'!$C:$C, "Hadir")</f>
        <v>0</v>
      </c>
      <c r="Y530" s="26"/>
    </row>
    <row r="531" ht="22.5" customHeight="1">
      <c r="A531" s="10">
        <v>530.0</v>
      </c>
      <c r="B531" s="27">
        <v>23.0</v>
      </c>
      <c r="C531" s="27" t="s">
        <v>2861</v>
      </c>
      <c r="D531" s="27" t="s">
        <v>2862</v>
      </c>
      <c r="E531" s="18" t="s">
        <v>227</v>
      </c>
      <c r="F531" s="12">
        <v>33.0</v>
      </c>
      <c r="G531" s="10" t="s">
        <v>2748</v>
      </c>
      <c r="H531" s="28"/>
      <c r="I531" s="20"/>
      <c r="J531" s="10" t="s">
        <v>2748</v>
      </c>
      <c r="K531" s="10"/>
      <c r="L531" s="10"/>
      <c r="M531" s="22"/>
      <c r="N531" s="10"/>
      <c r="O531" s="10"/>
      <c r="P531" s="12" t="str">
        <f t="shared" si="1"/>
        <v>https://docs.google.com/forms/d/e/1FAIpQLSeZ-R1GrWlAPkfaThGqxeTj0QTtrARw4rroxIIepf2kipn1nw/formResponse?usp=pp_url&amp;entry.1313582257=0094431854 / 252610296&amp;entry.1578404635=Hadir</v>
      </c>
      <c r="Q531" s="23" t="s">
        <v>2863</v>
      </c>
      <c r="R531" s="12" t="s">
        <v>2864</v>
      </c>
      <c r="S531" s="24" t="s">
        <v>2865</v>
      </c>
      <c r="T531" s="23" t="str">
        <f>HYPERLINK("https://drive.google.com/file/d/1xX6hSt6s0pfLH0AKNPdutcaMbxsrsO_m/view?usp=drivesdk","33 - X12 - Madina Zulfa Aini - P")</f>
        <v>33 - X12 - Madina Zulfa Aini - P</v>
      </c>
      <c r="U531" s="12" t="s">
        <v>2860</v>
      </c>
      <c r="W531" s="25">
        <f>COUNTIFS('Form Presensi SCC'!$B:$B, IF($C531&lt;&gt;0, TEXT($C531, "0000000000"), $D531), 'Form Presensi SCC'!$C:$C, "Hadir")</f>
        <v>0</v>
      </c>
      <c r="Y531" s="26"/>
    </row>
    <row r="532" ht="22.5" customHeight="1">
      <c r="A532" s="18">
        <v>531.0</v>
      </c>
      <c r="B532" s="27">
        <v>24.0</v>
      </c>
      <c r="C532" s="27" t="s">
        <v>2866</v>
      </c>
      <c r="D532" s="27" t="s">
        <v>2867</v>
      </c>
      <c r="E532" s="18" t="s">
        <v>220</v>
      </c>
      <c r="F532" s="12">
        <v>33.0</v>
      </c>
      <c r="G532" s="10" t="s">
        <v>2748</v>
      </c>
      <c r="H532" s="28"/>
      <c r="I532" s="20"/>
      <c r="J532" s="10" t="s">
        <v>2748</v>
      </c>
      <c r="K532" s="10"/>
      <c r="L532" s="10"/>
      <c r="M532" s="22"/>
      <c r="N532" s="10"/>
      <c r="O532" s="10"/>
      <c r="P532" s="12" t="str">
        <f t="shared" si="1"/>
        <v>https://docs.google.com/forms/d/e/1FAIpQLSeZ-R1GrWlAPkfaThGqxeTj0QTtrARw4rroxIIepf2kipn1nw/formResponse?usp=pp_url&amp;entry.1313582257=0103035193 / 252610298&amp;entry.1578404635=Hadir</v>
      </c>
      <c r="Q532" s="23" t="s">
        <v>2868</v>
      </c>
      <c r="R532" s="12" t="s">
        <v>2869</v>
      </c>
      <c r="S532" s="24" t="s">
        <v>2870</v>
      </c>
      <c r="T532" s="23" t="str">
        <f>HYPERLINK("https://drive.google.com/file/d/1k_L_l5H0CDgDjVSUv-1wURTOl9mV8f5-/view?usp=drivesdk","33 - X12 - Maheswara Pekik Hanuraga - L")</f>
        <v>33 - X12 - Maheswara Pekik Hanuraga - L</v>
      </c>
      <c r="U532" s="12" t="s">
        <v>2860</v>
      </c>
      <c r="W532" s="25">
        <f>COUNTIFS('Form Presensi SCC'!$B:$B, IF($C532&lt;&gt;0, TEXT($C532, "0000000000"), $D532), 'Form Presensi SCC'!$C:$C, "Hadir")</f>
        <v>0</v>
      </c>
      <c r="Y532" s="26"/>
    </row>
    <row r="533" ht="22.5" customHeight="1">
      <c r="A533" s="10">
        <v>532.0</v>
      </c>
      <c r="B533" s="27">
        <v>25.0</v>
      </c>
      <c r="C533" s="27" t="s">
        <v>2871</v>
      </c>
      <c r="D533" s="27" t="s">
        <v>2872</v>
      </c>
      <c r="E533" s="18" t="s">
        <v>227</v>
      </c>
      <c r="F533" s="12">
        <v>33.0</v>
      </c>
      <c r="G533" s="10" t="s">
        <v>2748</v>
      </c>
      <c r="H533" s="28"/>
      <c r="I533" s="20"/>
      <c r="J533" s="10" t="s">
        <v>2748</v>
      </c>
      <c r="K533" s="10"/>
      <c r="L533" s="10"/>
      <c r="M533" s="22"/>
      <c r="N533" s="10"/>
      <c r="O533" s="10"/>
      <c r="P533" s="12" t="str">
        <f t="shared" si="1"/>
        <v>https://docs.google.com/forms/d/e/1FAIpQLSeZ-R1GrWlAPkfaThGqxeTj0QTtrARw4rroxIIepf2kipn1nw/formResponse?usp=pp_url&amp;entry.1313582257=0106434110 / 252610303&amp;entry.1578404635=Hadir</v>
      </c>
      <c r="Q533" s="23" t="s">
        <v>2873</v>
      </c>
      <c r="R533" s="12" t="s">
        <v>2874</v>
      </c>
      <c r="S533" s="24" t="s">
        <v>2875</v>
      </c>
      <c r="T533" s="23" t="str">
        <f>HYPERLINK("https://drive.google.com/file/d/1JYzW9a1TqM-mPqbmUUN7msGAPWesQF0t/view?usp=drivesdk","33 - X12 - Maria Agatha Cherlin Christiani - P")</f>
        <v>33 - X12 - Maria Agatha Cherlin Christiani - P</v>
      </c>
      <c r="U533" s="12" t="s">
        <v>2860</v>
      </c>
      <c r="W533" s="25">
        <f>COUNTIFS('Form Presensi SCC'!$B:$B, IF($C533&lt;&gt;0, TEXT($C533, "0000000000"), $D533), 'Form Presensi SCC'!$C:$C, "Hadir")</f>
        <v>0</v>
      </c>
      <c r="Y533" s="26"/>
    </row>
    <row r="534" ht="22.5" customHeight="1">
      <c r="A534" s="18">
        <v>533.0</v>
      </c>
      <c r="B534" s="27">
        <v>26.0</v>
      </c>
      <c r="C534" s="27" t="s">
        <v>2876</v>
      </c>
      <c r="D534" s="27" t="s">
        <v>2877</v>
      </c>
      <c r="E534" s="18" t="s">
        <v>227</v>
      </c>
      <c r="F534" s="12">
        <v>33.0</v>
      </c>
      <c r="G534" s="10" t="s">
        <v>2748</v>
      </c>
      <c r="H534" s="28"/>
      <c r="I534" s="20"/>
      <c r="J534" s="10" t="s">
        <v>2748</v>
      </c>
      <c r="K534" s="10"/>
      <c r="L534" s="10"/>
      <c r="M534" s="22"/>
      <c r="N534" s="10"/>
      <c r="O534" s="10"/>
      <c r="P534" s="12" t="str">
        <f t="shared" si="1"/>
        <v>https://docs.google.com/forms/d/e/1FAIpQLSeZ-R1GrWlAPkfaThGqxeTj0QTtrARw4rroxIIepf2kipn1nw/formResponse?usp=pp_url&amp;entry.1313582257=0095778047 / 252610307&amp;entry.1578404635=Hadir</v>
      </c>
      <c r="Q534" s="23" t="s">
        <v>2878</v>
      </c>
      <c r="R534" s="12" t="s">
        <v>2879</v>
      </c>
      <c r="S534" s="24" t="s">
        <v>2880</v>
      </c>
      <c r="T534" s="23" t="str">
        <f>HYPERLINK("https://drive.google.com/file/d/1aqiuml4INz_yfHpTFAvmqIvCqCDZar63/view?usp=drivesdk","33 - X12 - Maulida Ainnurahma - P")</f>
        <v>33 - X12 - Maulida Ainnurahma - P</v>
      </c>
      <c r="U534" s="12" t="s">
        <v>2860</v>
      </c>
      <c r="W534" s="25">
        <f>COUNTIFS('Form Presensi SCC'!$B:$B, IF($C534&lt;&gt;0, TEXT($C534, "0000000000"), $D534), 'Form Presensi SCC'!$C:$C, "Hadir")</f>
        <v>0</v>
      </c>
      <c r="Y534" s="26"/>
    </row>
    <row r="535" ht="22.5" customHeight="1">
      <c r="A535" s="10">
        <v>534.0</v>
      </c>
      <c r="B535" s="27">
        <v>27.0</v>
      </c>
      <c r="C535" s="27" t="s">
        <v>2881</v>
      </c>
      <c r="D535" s="27" t="s">
        <v>2882</v>
      </c>
      <c r="E535" s="18" t="s">
        <v>220</v>
      </c>
      <c r="F535" s="12">
        <v>33.0</v>
      </c>
      <c r="G535" s="10" t="s">
        <v>2748</v>
      </c>
      <c r="H535" s="28"/>
      <c r="I535" s="20"/>
      <c r="J535" s="10" t="s">
        <v>2748</v>
      </c>
      <c r="K535" s="10"/>
      <c r="L535" s="10"/>
      <c r="M535" s="22"/>
      <c r="N535" s="10"/>
      <c r="O535" s="10"/>
      <c r="P535" s="12" t="str">
        <f t="shared" si="1"/>
        <v>https://docs.google.com/forms/d/e/1FAIpQLSeZ-R1GrWlAPkfaThGqxeTj0QTtrARw4rroxIIepf2kipn1nw/formResponse?usp=pp_url&amp;entry.1313582257=0103777854 / 252610331&amp;entry.1578404635=Hadir</v>
      </c>
      <c r="Q535" s="23" t="s">
        <v>2883</v>
      </c>
      <c r="R535" s="12" t="s">
        <v>2884</v>
      </c>
      <c r="S535" s="24" t="s">
        <v>2885</v>
      </c>
      <c r="T535" s="23" t="str">
        <f>HYPERLINK("https://drive.google.com/file/d/1Zljw0HANknxSYbWvo-DojJLJBJWiH2zS/view?usp=drivesdk","33 - X12 - Muhamad Subkhi - L")</f>
        <v>33 - X12 - Muhamad Subkhi - L</v>
      </c>
      <c r="U535" s="12" t="s">
        <v>2860</v>
      </c>
      <c r="W535" s="25">
        <f>COUNTIFS('Form Presensi SCC'!$B:$B, IF($C535&lt;&gt;0, TEXT($C535, "0000000000"), $D535), 'Form Presensi SCC'!$C:$C, "Hadir")</f>
        <v>0</v>
      </c>
      <c r="Y535" s="26"/>
    </row>
    <row r="536" ht="22.5" customHeight="1">
      <c r="A536" s="18">
        <v>535.0</v>
      </c>
      <c r="B536" s="27">
        <v>28.0</v>
      </c>
      <c r="C536" s="27" t="s">
        <v>2886</v>
      </c>
      <c r="D536" s="27" t="s">
        <v>2887</v>
      </c>
      <c r="E536" s="18" t="s">
        <v>220</v>
      </c>
      <c r="F536" s="12">
        <v>33.0</v>
      </c>
      <c r="G536" s="10" t="s">
        <v>2748</v>
      </c>
      <c r="H536" s="28"/>
      <c r="I536" s="20"/>
      <c r="J536" s="10" t="s">
        <v>2748</v>
      </c>
      <c r="K536" s="10"/>
      <c r="L536" s="10"/>
      <c r="M536" s="22"/>
      <c r="N536" s="10"/>
      <c r="O536" s="10"/>
      <c r="P536" s="12" t="str">
        <f t="shared" si="1"/>
        <v>https://docs.google.com/forms/d/e/1FAIpQLSeZ-R1GrWlAPkfaThGqxeTj0QTtrARw4rroxIIepf2kipn1nw/formResponse?usp=pp_url&amp;entry.1313582257=3109116422 / 252610339&amp;entry.1578404635=Hadir</v>
      </c>
      <c r="Q536" s="23" t="s">
        <v>2888</v>
      </c>
      <c r="R536" s="12" t="s">
        <v>2889</v>
      </c>
      <c r="S536" s="24" t="s">
        <v>2890</v>
      </c>
      <c r="T536" s="23" t="str">
        <f>HYPERLINK("https://drive.google.com/file/d/16nab7q33I43V1ReRgRq6YEO_RRIkj4ch/view?usp=drivesdk","33 - X12 - Muhammad Armanugie Saputra - L")</f>
        <v>33 - X12 - Muhammad Armanugie Saputra - L</v>
      </c>
      <c r="U536" s="12" t="s">
        <v>2891</v>
      </c>
      <c r="W536" s="25">
        <f>COUNTIFS('Form Presensi SCC'!$B:$B, IF($C536&lt;&gt;0, TEXT($C536, "0000000000"), $D536), 'Form Presensi SCC'!$C:$C, "Hadir")</f>
        <v>0</v>
      </c>
      <c r="Y536" s="26"/>
    </row>
    <row r="537" ht="22.5" customHeight="1">
      <c r="A537" s="10">
        <v>536.0</v>
      </c>
      <c r="B537" s="27">
        <v>29.0</v>
      </c>
      <c r="C537" s="27" t="s">
        <v>2892</v>
      </c>
      <c r="D537" s="27" t="s">
        <v>2893</v>
      </c>
      <c r="E537" s="18" t="s">
        <v>220</v>
      </c>
      <c r="F537" s="12">
        <v>33.0</v>
      </c>
      <c r="G537" s="10" t="s">
        <v>2748</v>
      </c>
      <c r="H537" s="28"/>
      <c r="I537" s="20"/>
      <c r="J537" s="10" t="s">
        <v>2748</v>
      </c>
      <c r="K537" s="10"/>
      <c r="L537" s="10"/>
      <c r="M537" s="22"/>
      <c r="N537" s="10"/>
      <c r="O537" s="10"/>
      <c r="P537" s="12" t="str">
        <f t="shared" si="1"/>
        <v>https://docs.google.com/forms/d/e/1FAIpQLSeZ-R1GrWlAPkfaThGqxeTj0QTtrARw4rroxIIepf2kipn1nw/formResponse?usp=pp_url&amp;entry.1313582257=0103887571 / 252610359&amp;entry.1578404635=Hadir</v>
      </c>
      <c r="Q537" s="23" t="s">
        <v>2894</v>
      </c>
      <c r="R537" s="12" t="s">
        <v>2895</v>
      </c>
      <c r="S537" s="24" t="s">
        <v>2896</v>
      </c>
      <c r="T537" s="23" t="str">
        <f>HYPERLINK("https://drive.google.com/file/d/18-GbF5a3ilcpyU15_UmdOqCCT-LQiE3r/view?usp=drivesdk","33 - X12 - Muhammad Javier - L")</f>
        <v>33 - X12 - Muhammad Javier - L</v>
      </c>
      <c r="U537" s="12" t="s">
        <v>2891</v>
      </c>
      <c r="W537" s="25">
        <f>COUNTIFS('Form Presensi SCC'!$B:$B, IF($C537&lt;&gt;0, TEXT($C537, "0000000000"), $D537), 'Form Presensi SCC'!$C:$C, "Hadir")</f>
        <v>0</v>
      </c>
      <c r="Y537" s="26"/>
    </row>
    <row r="538" ht="22.5" customHeight="1">
      <c r="A538" s="18">
        <v>537.0</v>
      </c>
      <c r="B538" s="27">
        <v>30.0</v>
      </c>
      <c r="C538" s="27" t="s">
        <v>2897</v>
      </c>
      <c r="D538" s="27" t="s">
        <v>2898</v>
      </c>
      <c r="E538" s="18" t="s">
        <v>220</v>
      </c>
      <c r="F538" s="12">
        <v>33.0</v>
      </c>
      <c r="G538" s="10" t="s">
        <v>2748</v>
      </c>
      <c r="H538" s="28"/>
      <c r="I538" s="20"/>
      <c r="J538" s="10" t="s">
        <v>2748</v>
      </c>
      <c r="K538" s="10"/>
      <c r="L538" s="10"/>
      <c r="M538" s="22"/>
      <c r="N538" s="10"/>
      <c r="O538" s="10"/>
      <c r="P538" s="12" t="str">
        <f t="shared" si="1"/>
        <v>https://docs.google.com/forms/d/e/1FAIpQLSeZ-R1GrWlAPkfaThGqxeTj0QTtrARw4rroxIIepf2kipn1nw/formResponse?usp=pp_url&amp;entry.1313582257=0102148224 / 252610377&amp;entry.1578404635=Hadir</v>
      </c>
      <c r="Q538" s="23" t="s">
        <v>2899</v>
      </c>
      <c r="R538" s="12" t="s">
        <v>2900</v>
      </c>
      <c r="S538" s="24" t="s">
        <v>2901</v>
      </c>
      <c r="T538" s="23" t="str">
        <f>HYPERLINK("https://drive.google.com/file/d/1nU9Zfcb32Bbo5jWw2SDm8rzsg39w0k-Y/view?usp=drivesdk","33 - X12 - Muhammad Zahran Rifai - L")</f>
        <v>33 - X12 - Muhammad Zahran Rifai - L</v>
      </c>
      <c r="U538" s="12" t="s">
        <v>2891</v>
      </c>
      <c r="W538" s="25">
        <f>COUNTIFS('Form Presensi SCC'!$B:$B, IF($C538&lt;&gt;0, TEXT($C538, "0000000000"), $D538), 'Form Presensi SCC'!$C:$C, "Hadir")</f>
        <v>0</v>
      </c>
      <c r="Y538" s="26"/>
    </row>
    <row r="539" ht="22.5" customHeight="1">
      <c r="A539" s="10">
        <v>538.0</v>
      </c>
      <c r="B539" s="27">
        <v>31.0</v>
      </c>
      <c r="C539" s="27" t="s">
        <v>2902</v>
      </c>
      <c r="D539" s="27" t="s">
        <v>2903</v>
      </c>
      <c r="E539" s="18" t="s">
        <v>227</v>
      </c>
      <c r="F539" s="12">
        <v>33.0</v>
      </c>
      <c r="G539" s="10" t="s">
        <v>2748</v>
      </c>
      <c r="H539" s="28"/>
      <c r="I539" s="20"/>
      <c r="J539" s="10" t="s">
        <v>2748</v>
      </c>
      <c r="K539" s="10"/>
      <c r="L539" s="10"/>
      <c r="M539" s="22"/>
      <c r="N539" s="10"/>
      <c r="O539" s="10"/>
      <c r="P539" s="12" t="str">
        <f t="shared" si="1"/>
        <v>https://docs.google.com/forms/d/e/1FAIpQLSeZ-R1GrWlAPkfaThGqxeTj0QTtrARw4rroxIIepf2kipn1nw/formResponse?usp=pp_url&amp;entry.1313582257=0096368920 / 252610387&amp;entry.1578404635=Hadir</v>
      </c>
      <c r="Q539" s="23" t="s">
        <v>2904</v>
      </c>
      <c r="R539" s="12" t="s">
        <v>2905</v>
      </c>
      <c r="S539" s="24" t="s">
        <v>2906</v>
      </c>
      <c r="T539" s="23" t="str">
        <f>HYPERLINK("https://drive.google.com/file/d/1R0RkVmH0Vc0Q4Da3-Z_eZoFptZC4WXeE/view?usp=drivesdk","33 - X12 - Nadhifa Qeysa Auliani Soehardi - P")</f>
        <v>33 - X12 - Nadhifa Qeysa Auliani Soehardi - P</v>
      </c>
      <c r="U539" s="12" t="s">
        <v>2891</v>
      </c>
      <c r="W539" s="25">
        <f>COUNTIFS('Form Presensi SCC'!$B:$B, IF($C539&lt;&gt;0, TEXT($C539, "0000000000"), $D539), 'Form Presensi SCC'!$C:$C, "Hadir")</f>
        <v>0</v>
      </c>
      <c r="Y539" s="26"/>
    </row>
    <row r="540" ht="22.5" customHeight="1">
      <c r="A540" s="18">
        <v>539.0</v>
      </c>
      <c r="B540" s="27">
        <v>32.0</v>
      </c>
      <c r="C540" s="27" t="s">
        <v>130</v>
      </c>
      <c r="D540" s="27" t="s">
        <v>2907</v>
      </c>
      <c r="E540" s="18" t="s">
        <v>227</v>
      </c>
      <c r="F540" s="12">
        <v>33.0</v>
      </c>
      <c r="G540" s="10" t="s">
        <v>2748</v>
      </c>
      <c r="H540" s="28"/>
      <c r="I540" s="20"/>
      <c r="J540" s="10" t="s">
        <v>2748</v>
      </c>
      <c r="K540" s="10"/>
      <c r="L540" s="10"/>
      <c r="M540" s="22"/>
      <c r="N540" s="10"/>
      <c r="O540" s="10"/>
      <c r="P540" s="12" t="str">
        <f t="shared" si="1"/>
        <v>https://docs.google.com/forms/d/e/1FAIpQLSeZ-R1GrWlAPkfaThGqxeTj0QTtrARw4rroxIIepf2kipn1nw/formResponse?usp=pp_url&amp;entry.1313582257=0094328074 / 252610391&amp;entry.1578404635=Hadir</v>
      </c>
      <c r="Q540" s="23" t="s">
        <v>2908</v>
      </c>
      <c r="R540" s="12" t="s">
        <v>2909</v>
      </c>
      <c r="S540" s="24" t="s">
        <v>2910</v>
      </c>
      <c r="T540" s="23" t="str">
        <f>HYPERLINK("https://drive.google.com/file/d/1PZoDVRsBMwEocsSIWdtVjSLqfFRccygd/view?usp=drivesdk","33 - X12 - Naila - P")</f>
        <v>33 - X12 - Naila - P</v>
      </c>
      <c r="U540" s="12" t="s">
        <v>2891</v>
      </c>
      <c r="W540" s="25">
        <f>COUNTIFS('Form Presensi SCC'!$B:$B, IF($C540&lt;&gt;0, TEXT($C540, "0000000000"), $D540), 'Form Presensi SCC'!$C:$C, "Hadir")</f>
        <v>1</v>
      </c>
      <c r="Y540" s="26"/>
    </row>
    <row r="541" ht="22.5" customHeight="1">
      <c r="A541" s="10">
        <v>540.0</v>
      </c>
      <c r="B541" s="27">
        <v>33.0</v>
      </c>
      <c r="C541" s="27" t="s">
        <v>2911</v>
      </c>
      <c r="D541" s="27" t="s">
        <v>2912</v>
      </c>
      <c r="E541" s="18" t="s">
        <v>220</v>
      </c>
      <c r="F541" s="12">
        <v>33.0</v>
      </c>
      <c r="G541" s="10" t="s">
        <v>2748</v>
      </c>
      <c r="H541" s="29" t="s">
        <v>371</v>
      </c>
      <c r="I541" s="20"/>
      <c r="J541" s="10" t="s">
        <v>2748</v>
      </c>
      <c r="K541" s="10"/>
      <c r="L541" s="10"/>
      <c r="M541" s="22"/>
      <c r="N541" s="10"/>
      <c r="O541" s="10"/>
      <c r="P541" s="12" t="str">
        <f t="shared" si="1"/>
        <v>https://docs.google.com/forms/d/e/1FAIpQLSeZ-R1GrWlAPkfaThGqxeTj0QTtrARw4rroxIIepf2kipn1nw/formResponse?usp=pp_url&amp;entry.1313582257=0098429745 / 252610400&amp;entry.1578404635=Hadir</v>
      </c>
      <c r="Q541" s="23" t="s">
        <v>2913</v>
      </c>
      <c r="R541" s="12" t="s">
        <v>2914</v>
      </c>
      <c r="S541" s="24" t="s">
        <v>2915</v>
      </c>
      <c r="T541" s="23" t="str">
        <f>HYPERLINK("https://drive.google.com/file/d/1dk89f1O152X6qm8W_CGhctmHIqaNNXWO/view?usp=drivesdk","33 - X12 - Natiq Tawqir Muniruzzaman Anandamaya - L")</f>
        <v>33 - X12 - Natiq Tawqir Muniruzzaman Anandamaya - L</v>
      </c>
      <c r="U541" s="12" t="s">
        <v>2916</v>
      </c>
      <c r="W541" s="25">
        <f>COUNTIFS('Form Presensi SCC'!$B:$B, IF($C541&lt;&gt;0, TEXT($C541, "0000000000"), $D541), 'Form Presensi SCC'!$C:$C, "Hadir")</f>
        <v>0</v>
      </c>
      <c r="Y541" s="26"/>
    </row>
    <row r="542" ht="22.5" customHeight="1">
      <c r="A542" s="18">
        <v>541.0</v>
      </c>
      <c r="B542" s="27">
        <v>34.0</v>
      </c>
      <c r="C542" s="27" t="s">
        <v>2917</v>
      </c>
      <c r="D542" s="27" t="s">
        <v>2918</v>
      </c>
      <c r="E542" s="18" t="s">
        <v>227</v>
      </c>
      <c r="F542" s="12">
        <v>33.0</v>
      </c>
      <c r="G542" s="10" t="s">
        <v>2748</v>
      </c>
      <c r="H542" s="28"/>
      <c r="I542" s="20"/>
      <c r="J542" s="10" t="s">
        <v>2748</v>
      </c>
      <c r="K542" s="10"/>
      <c r="L542" s="10"/>
      <c r="M542" s="22"/>
      <c r="N542" s="10"/>
      <c r="O542" s="10"/>
      <c r="P542" s="12" t="str">
        <f t="shared" si="1"/>
        <v>https://docs.google.com/forms/d/e/1FAIpQLSeZ-R1GrWlAPkfaThGqxeTj0QTtrARw4rroxIIepf2kipn1nw/formResponse?usp=pp_url&amp;entry.1313582257=3102974181 / 252610405&amp;entry.1578404635=Hadir</v>
      </c>
      <c r="Q542" s="23" t="s">
        <v>2919</v>
      </c>
      <c r="R542" s="12" t="s">
        <v>2920</v>
      </c>
      <c r="S542" s="24" t="s">
        <v>2921</v>
      </c>
      <c r="T542" s="23" t="str">
        <f>HYPERLINK("https://drive.google.com/file/d/159dZankp5k551jZwPKQ7vIqQZCrooGiP/view?usp=drivesdk","33 - X12 - Naureen Shabiha Zahira - P")</f>
        <v>33 - X12 - Naureen Shabiha Zahira - P</v>
      </c>
      <c r="U542" s="12" t="s">
        <v>2916</v>
      </c>
      <c r="W542" s="25">
        <f>COUNTIFS('Form Presensi SCC'!$B:$B, IF($C542&lt;&gt;0, TEXT($C542, "0000000000"), $D542), 'Form Presensi SCC'!$C:$C, "Hadir")</f>
        <v>0</v>
      </c>
      <c r="Y542" s="26"/>
    </row>
    <row r="543" ht="22.5" customHeight="1">
      <c r="A543" s="10">
        <v>542.0</v>
      </c>
      <c r="B543" s="27">
        <v>35.0</v>
      </c>
      <c r="C543" s="27" t="s">
        <v>2922</v>
      </c>
      <c r="D543" s="27" t="s">
        <v>2923</v>
      </c>
      <c r="E543" s="18" t="s">
        <v>227</v>
      </c>
      <c r="F543" s="12">
        <v>33.0</v>
      </c>
      <c r="G543" s="10" t="s">
        <v>2748</v>
      </c>
      <c r="H543" s="28"/>
      <c r="I543" s="20"/>
      <c r="J543" s="10" t="s">
        <v>2748</v>
      </c>
      <c r="K543" s="10"/>
      <c r="L543" s="10"/>
      <c r="M543" s="22"/>
      <c r="N543" s="10"/>
      <c r="O543" s="10"/>
      <c r="P543" s="12" t="str">
        <f t="shared" si="1"/>
        <v>https://docs.google.com/forms/d/e/1FAIpQLSeZ-R1GrWlAPkfaThGqxeTj0QTtrARw4rroxIIepf2kipn1nw/formResponse?usp=pp_url&amp;entry.1313582257=0099622136 / 252610407&amp;entry.1578404635=Hadir</v>
      </c>
      <c r="Q543" s="23" t="s">
        <v>2924</v>
      </c>
      <c r="R543" s="12" t="s">
        <v>2925</v>
      </c>
      <c r="S543" s="24" t="s">
        <v>2926</v>
      </c>
      <c r="T543" s="23" t="str">
        <f>HYPERLINK("https://drive.google.com/file/d/1-p3NIewrjAYqdqAbxnRCj6clRfnfFspp/view?usp=drivesdk","33 - X12 - Nayla Lyra Sagita - P")</f>
        <v>33 - X12 - Nayla Lyra Sagita - P</v>
      </c>
      <c r="U543" s="12" t="s">
        <v>2916</v>
      </c>
      <c r="W543" s="25">
        <f>COUNTIFS('Form Presensi SCC'!$B:$B, IF($C543&lt;&gt;0, TEXT($C543, "0000000000"), $D543), 'Form Presensi SCC'!$C:$C, "Hadir")</f>
        <v>0</v>
      </c>
      <c r="Y543" s="26"/>
    </row>
    <row r="544" ht="22.5" customHeight="1">
      <c r="A544" s="18">
        <v>543.0</v>
      </c>
      <c r="B544" s="27">
        <v>36.0</v>
      </c>
      <c r="C544" s="27" t="s">
        <v>2927</v>
      </c>
      <c r="D544" s="27" t="s">
        <v>2928</v>
      </c>
      <c r="E544" s="18" t="s">
        <v>227</v>
      </c>
      <c r="F544" s="12">
        <v>33.0</v>
      </c>
      <c r="G544" s="10" t="s">
        <v>2748</v>
      </c>
      <c r="H544" s="28"/>
      <c r="I544" s="20"/>
      <c r="J544" s="10" t="s">
        <v>2748</v>
      </c>
      <c r="K544" s="10"/>
      <c r="L544" s="10"/>
      <c r="M544" s="22"/>
      <c r="N544" s="10"/>
      <c r="O544" s="10"/>
      <c r="P544" s="12" t="str">
        <f t="shared" si="1"/>
        <v>https://docs.google.com/forms/d/e/1FAIpQLSeZ-R1GrWlAPkfaThGqxeTj0QTtrARw4rroxIIepf2kipn1nw/formResponse?usp=pp_url&amp;entry.1313582257=0102898760 / 252610411&amp;entry.1578404635=Hadir</v>
      </c>
      <c r="Q544" s="23" t="s">
        <v>2929</v>
      </c>
      <c r="R544" s="12" t="s">
        <v>2930</v>
      </c>
      <c r="S544" s="24" t="s">
        <v>2931</v>
      </c>
      <c r="T544" s="23" t="str">
        <f>HYPERLINK("https://drive.google.com/file/d/1xYx7NEzhKNEJ5bEkaYY4vbfFx3zIpab1/view?usp=drivesdk","33 - X12 - Naywa Dinda Kansana Lubis - P")</f>
        <v>33 - X12 - Naywa Dinda Kansana Lubis - P</v>
      </c>
      <c r="U544" s="12" t="s">
        <v>2916</v>
      </c>
      <c r="W544" s="25">
        <f>COUNTIFS('Form Presensi SCC'!$B:$B, IF($C544&lt;&gt;0, TEXT($C544, "0000000000"), $D544), 'Form Presensi SCC'!$C:$C, "Hadir")</f>
        <v>0</v>
      </c>
      <c r="Y544" s="26"/>
    </row>
    <row r="545" ht="22.5" customHeight="1">
      <c r="A545" s="10">
        <v>544.0</v>
      </c>
      <c r="B545" s="27">
        <v>37.0</v>
      </c>
      <c r="C545" s="27" t="s">
        <v>2932</v>
      </c>
      <c r="D545" s="27" t="s">
        <v>2933</v>
      </c>
      <c r="E545" s="18" t="s">
        <v>227</v>
      </c>
      <c r="F545" s="12">
        <v>33.0</v>
      </c>
      <c r="G545" s="10" t="s">
        <v>2748</v>
      </c>
      <c r="H545" s="28"/>
      <c r="I545" s="20"/>
      <c r="J545" s="10" t="s">
        <v>2748</v>
      </c>
      <c r="K545" s="10"/>
      <c r="L545" s="10"/>
      <c r="M545" s="22"/>
      <c r="N545" s="10"/>
      <c r="O545" s="10"/>
      <c r="P545" s="12" t="str">
        <f t="shared" si="1"/>
        <v>https://docs.google.com/forms/d/e/1FAIpQLSeZ-R1GrWlAPkfaThGqxeTj0QTtrARw4rroxIIepf2kipn1nw/formResponse?usp=pp_url&amp;entry.1313582257=0108592067 / 252610418&amp;entry.1578404635=Hadir</v>
      </c>
      <c r="Q545" s="23" t="s">
        <v>2934</v>
      </c>
      <c r="R545" s="12" t="s">
        <v>2935</v>
      </c>
      <c r="S545" s="24" t="s">
        <v>2936</v>
      </c>
      <c r="T545" s="23" t="str">
        <f>HYPERLINK("https://drive.google.com/file/d/15WPEayzYdYpCMecS3j-y6n35i5MsokWx/view?usp=drivesdk","33 - X12 - Ni Putu Anjani Dewi Diningrat - P")</f>
        <v>33 - X12 - Ni Putu Anjani Dewi Diningrat - P</v>
      </c>
      <c r="U545" s="12" t="s">
        <v>2916</v>
      </c>
      <c r="W545" s="25">
        <f>COUNTIFS('Form Presensi SCC'!$B:$B, IF($C545&lt;&gt;0, TEXT($C545, "0000000000"), $D545), 'Form Presensi SCC'!$C:$C, "Hadir")</f>
        <v>0</v>
      </c>
      <c r="Y545" s="26"/>
    </row>
    <row r="546" ht="22.5" customHeight="1">
      <c r="A546" s="18">
        <v>545.0</v>
      </c>
      <c r="B546" s="27">
        <v>38.0</v>
      </c>
      <c r="C546" s="27" t="s">
        <v>2937</v>
      </c>
      <c r="D546" s="27" t="s">
        <v>2938</v>
      </c>
      <c r="E546" s="18" t="s">
        <v>227</v>
      </c>
      <c r="F546" s="12">
        <v>33.0</v>
      </c>
      <c r="G546" s="10" t="s">
        <v>2748</v>
      </c>
      <c r="H546" s="28"/>
      <c r="I546" s="20"/>
      <c r="J546" s="10" t="s">
        <v>2748</v>
      </c>
      <c r="K546" s="10"/>
      <c r="L546" s="10"/>
      <c r="M546" s="22"/>
      <c r="N546" s="10"/>
      <c r="O546" s="10"/>
      <c r="P546" s="12" t="str">
        <f t="shared" si="1"/>
        <v>https://docs.google.com/forms/d/e/1FAIpQLSeZ-R1GrWlAPkfaThGqxeTj0QTtrARw4rroxIIepf2kipn1nw/formResponse?usp=pp_url&amp;entry.1313582257=0095623487 / 252610430&amp;entry.1578404635=Hadir</v>
      </c>
      <c r="Q546" s="23" t="s">
        <v>2939</v>
      </c>
      <c r="R546" s="12" t="s">
        <v>2940</v>
      </c>
      <c r="S546" s="24" t="s">
        <v>2941</v>
      </c>
      <c r="T546" s="23" t="str">
        <f>HYPERLINK("https://drive.google.com/file/d/1mfh6ZZzfxHpkB4j_4nuk4d9dVPzcXny5/view?usp=drivesdk","33 - X12 - Olivia Desvita Sari - P")</f>
        <v>33 - X12 - Olivia Desvita Sari - P</v>
      </c>
      <c r="U546" s="12" t="s">
        <v>2916</v>
      </c>
      <c r="W546" s="25">
        <f>COUNTIFS('Form Presensi SCC'!$B:$B, IF($C546&lt;&gt;0, TEXT($C546, "0000000000"), $D546), 'Form Presensi SCC'!$C:$C, "Hadir")</f>
        <v>0</v>
      </c>
      <c r="Y546" s="26"/>
    </row>
    <row r="547" ht="22.5" customHeight="1">
      <c r="A547" s="10">
        <v>546.0</v>
      </c>
      <c r="B547" s="27">
        <v>39.0</v>
      </c>
      <c r="C547" s="27" t="s">
        <v>2942</v>
      </c>
      <c r="D547" s="27" t="s">
        <v>2943</v>
      </c>
      <c r="E547" s="18" t="s">
        <v>220</v>
      </c>
      <c r="F547" s="12">
        <v>33.0</v>
      </c>
      <c r="G547" s="10" t="s">
        <v>2748</v>
      </c>
      <c r="H547" s="28"/>
      <c r="I547" s="20"/>
      <c r="J547" s="10" t="s">
        <v>2748</v>
      </c>
      <c r="K547" s="10"/>
      <c r="L547" s="10"/>
      <c r="M547" s="22"/>
      <c r="N547" s="10"/>
      <c r="O547" s="10"/>
      <c r="P547" s="12" t="str">
        <f t="shared" si="1"/>
        <v>https://docs.google.com/forms/d/e/1FAIpQLSeZ-R1GrWlAPkfaThGqxeTj0QTtrARw4rroxIIepf2kipn1nw/formResponse?usp=pp_url&amp;entry.1313582257=0106961567 / 252610448&amp;entry.1578404635=Hadir</v>
      </c>
      <c r="Q547" s="23" t="s">
        <v>2944</v>
      </c>
      <c r="R547" s="12" t="s">
        <v>2945</v>
      </c>
      <c r="S547" s="24" t="s">
        <v>2946</v>
      </c>
      <c r="T547" s="23" t="str">
        <f>HYPERLINK("https://drive.google.com/file/d/15uJFTphJoW5SAhwXa-tEg3QJ8Q8DVnEt/view?usp=drivesdk","33 - X12 - R.A.M. Fakhri Izzuddin Mashur - L")</f>
        <v>33 - X12 - R.A.M. Fakhri Izzuddin Mashur - L</v>
      </c>
      <c r="U547" s="12" t="s">
        <v>2947</v>
      </c>
      <c r="W547" s="25">
        <f>COUNTIFS('Form Presensi SCC'!$B:$B, IF($C547&lt;&gt;0, TEXT($C547, "0000000000"), $D547), 'Form Presensi SCC'!$C:$C, "Hadir")</f>
        <v>0</v>
      </c>
      <c r="Y547" s="26"/>
    </row>
    <row r="548" ht="22.5" customHeight="1">
      <c r="A548" s="18">
        <v>547.0</v>
      </c>
      <c r="B548" s="27">
        <v>40.0</v>
      </c>
      <c r="C548" s="27" t="s">
        <v>2948</v>
      </c>
      <c r="D548" s="27" t="s">
        <v>2949</v>
      </c>
      <c r="E548" s="18" t="s">
        <v>220</v>
      </c>
      <c r="F548" s="12">
        <v>33.0</v>
      </c>
      <c r="G548" s="10" t="s">
        <v>2748</v>
      </c>
      <c r="H548" s="28"/>
      <c r="I548" s="20"/>
      <c r="J548" s="10" t="s">
        <v>2748</v>
      </c>
      <c r="K548" s="10"/>
      <c r="L548" s="10"/>
      <c r="M548" s="22"/>
      <c r="N548" s="10"/>
      <c r="O548" s="10"/>
      <c r="P548" s="12" t="str">
        <f t="shared" si="1"/>
        <v>https://docs.google.com/forms/d/e/1FAIpQLSeZ-R1GrWlAPkfaThGqxeTj0QTtrARw4rroxIIepf2kipn1nw/formResponse?usp=pp_url&amp;entry.1313582257=0105994913 / 252610455&amp;entry.1578404635=Hadir</v>
      </c>
      <c r="Q548" s="23" t="s">
        <v>2950</v>
      </c>
      <c r="R548" s="12" t="s">
        <v>2951</v>
      </c>
      <c r="S548" s="24" t="s">
        <v>2952</v>
      </c>
      <c r="T548" s="23" t="str">
        <f>HYPERLINK("https://drive.google.com/file/d/1AG-k3UHGDwjhBVVjAWdsRY_CR4XnfKNt/view?usp=drivesdk","33 - X12 - Radinka Alano Hamizan Abqari - L")</f>
        <v>33 - X12 - Radinka Alano Hamizan Abqari - L</v>
      </c>
      <c r="U548" s="12" t="s">
        <v>2947</v>
      </c>
      <c r="W548" s="25">
        <f>COUNTIFS('Form Presensi SCC'!$B:$B, IF($C548&lt;&gt;0, TEXT($C548, "0000000000"), $D548), 'Form Presensi SCC'!$C:$C, "Hadir")</f>
        <v>0</v>
      </c>
      <c r="Y548" s="26"/>
    </row>
    <row r="549" ht="22.5" customHeight="1">
      <c r="A549" s="10">
        <v>548.0</v>
      </c>
      <c r="B549" s="27">
        <v>41.0</v>
      </c>
      <c r="C549" s="27" t="s">
        <v>2953</v>
      </c>
      <c r="D549" s="27" t="s">
        <v>2954</v>
      </c>
      <c r="E549" s="18" t="s">
        <v>227</v>
      </c>
      <c r="F549" s="12">
        <v>33.0</v>
      </c>
      <c r="G549" s="10" t="s">
        <v>2748</v>
      </c>
      <c r="H549" s="28"/>
      <c r="I549" s="20"/>
      <c r="J549" s="10" t="s">
        <v>2748</v>
      </c>
      <c r="K549" s="10"/>
      <c r="L549" s="10"/>
      <c r="M549" s="22"/>
      <c r="N549" s="10"/>
      <c r="O549" s="10"/>
      <c r="P549" s="12" t="str">
        <f t="shared" si="1"/>
        <v>https://docs.google.com/forms/d/e/1FAIpQLSeZ-R1GrWlAPkfaThGqxeTj0QTtrARw4rroxIIepf2kipn1nw/formResponse?usp=pp_url&amp;entry.1313582257=0093563834 / 252610490&amp;entry.1578404635=Hadir</v>
      </c>
      <c r="Q549" s="23" t="s">
        <v>2955</v>
      </c>
      <c r="R549" s="12" t="s">
        <v>2956</v>
      </c>
      <c r="S549" s="24" t="s">
        <v>2957</v>
      </c>
      <c r="T549" s="23" t="str">
        <f>HYPERLINK("https://drive.google.com/file/d/1dz4WCwXSJd_lnzsGFxONcWemN3yCNH64/view?usp=drivesdk","33 - X12 - Rifqah Ramadhani - P")</f>
        <v>33 - X12 - Rifqah Ramadhani - P</v>
      </c>
      <c r="U549" s="12" t="s">
        <v>2947</v>
      </c>
      <c r="W549" s="25">
        <f>COUNTIFS('Form Presensi SCC'!$B:$B, IF($C549&lt;&gt;0, TEXT($C549, "0000000000"), $D549), 'Form Presensi SCC'!$C:$C, "Hadir")</f>
        <v>0</v>
      </c>
      <c r="Y549" s="26"/>
    </row>
    <row r="550" ht="22.5" customHeight="1">
      <c r="A550" s="18">
        <v>549.0</v>
      </c>
      <c r="B550" s="27">
        <v>42.0</v>
      </c>
      <c r="C550" s="27" t="s">
        <v>2958</v>
      </c>
      <c r="D550" s="27" t="s">
        <v>2959</v>
      </c>
      <c r="E550" s="18" t="s">
        <v>220</v>
      </c>
      <c r="F550" s="12">
        <v>33.0</v>
      </c>
      <c r="G550" s="10" t="s">
        <v>2748</v>
      </c>
      <c r="H550" s="28"/>
      <c r="I550" s="20"/>
      <c r="J550" s="10" t="s">
        <v>2748</v>
      </c>
      <c r="K550" s="10"/>
      <c r="L550" s="10"/>
      <c r="M550" s="22"/>
      <c r="N550" s="10"/>
      <c r="O550" s="10"/>
      <c r="P550" s="12" t="str">
        <f t="shared" si="1"/>
        <v>https://docs.google.com/forms/d/e/1FAIpQLSeZ-R1GrWlAPkfaThGqxeTj0QTtrARw4rroxIIepf2kipn1nw/formResponse?usp=pp_url&amp;entry.1313582257=0097303991 / 252610494&amp;entry.1578404635=Hadir</v>
      </c>
      <c r="Q550" s="23" t="s">
        <v>2960</v>
      </c>
      <c r="R550" s="12" t="s">
        <v>2961</v>
      </c>
      <c r="S550" s="24" t="s">
        <v>2962</v>
      </c>
      <c r="T550" s="23" t="str">
        <f>HYPERLINK("https://drive.google.com/file/d/1BAlSWBBLTECV4GrtVsTadj2AODifJdHJ/view?usp=drivesdk","33 - X12 - Roshan Aidan Juro Aprianto - L")</f>
        <v>33 - X12 - Roshan Aidan Juro Aprianto - L</v>
      </c>
      <c r="U550" s="12" t="s">
        <v>2947</v>
      </c>
      <c r="W550" s="25">
        <f>COUNTIFS('Form Presensi SCC'!$B:$B, IF($C550&lt;&gt;0, TEXT($C550, "0000000000"), $D550), 'Form Presensi SCC'!$C:$C, "Hadir")</f>
        <v>0</v>
      </c>
      <c r="Y550" s="26"/>
    </row>
    <row r="551" ht="22.5" customHeight="1">
      <c r="A551" s="10">
        <v>550.0</v>
      </c>
      <c r="B551" s="27">
        <v>43.0</v>
      </c>
      <c r="C551" s="27" t="s">
        <v>2963</v>
      </c>
      <c r="D551" s="27" t="s">
        <v>2964</v>
      </c>
      <c r="E551" s="18" t="s">
        <v>227</v>
      </c>
      <c r="F551" s="12">
        <v>33.0</v>
      </c>
      <c r="G551" s="10" t="s">
        <v>2748</v>
      </c>
      <c r="H551" s="28"/>
      <c r="I551" s="20"/>
      <c r="J551" s="10" t="s">
        <v>2748</v>
      </c>
      <c r="K551" s="10"/>
      <c r="L551" s="10"/>
      <c r="M551" s="22"/>
      <c r="N551" s="10"/>
      <c r="O551" s="10"/>
      <c r="P551" s="12" t="str">
        <f t="shared" si="1"/>
        <v>https://docs.google.com/forms/d/e/1FAIpQLSeZ-R1GrWlAPkfaThGqxeTj0QTtrARw4rroxIIepf2kipn1nw/formResponse?usp=pp_url&amp;entry.1313582257=0098050747 / 252610496&amp;entry.1578404635=Hadir</v>
      </c>
      <c r="Q551" s="23" t="s">
        <v>2965</v>
      </c>
      <c r="R551" s="12" t="s">
        <v>2966</v>
      </c>
      <c r="S551" s="24" t="s">
        <v>2967</v>
      </c>
      <c r="T551" s="23" t="str">
        <f>HYPERLINK("https://drive.google.com/file/d/1Q_pLH6Y9Dl-VwmWnxa8301yQLp7DIIJA/view?usp=drivesdk","33 - X12 - Ruba Aqeela Hafizha Mecca - P")</f>
        <v>33 - X12 - Ruba Aqeela Hafizha Mecca - P</v>
      </c>
      <c r="U551" s="12" t="s">
        <v>2947</v>
      </c>
      <c r="W551" s="25">
        <f>COUNTIFS('Form Presensi SCC'!$B:$B, IF($C551&lt;&gt;0, TEXT($C551, "0000000000"), $D551), 'Form Presensi SCC'!$C:$C, "Hadir")</f>
        <v>0</v>
      </c>
      <c r="Y551" s="26"/>
    </row>
    <row r="552" ht="22.5" customHeight="1">
      <c r="A552" s="18">
        <v>551.0</v>
      </c>
      <c r="B552" s="27">
        <v>44.0</v>
      </c>
      <c r="C552" s="27" t="s">
        <v>2968</v>
      </c>
      <c r="D552" s="27" t="s">
        <v>2969</v>
      </c>
      <c r="E552" s="18" t="s">
        <v>227</v>
      </c>
      <c r="F552" s="12">
        <v>33.0</v>
      </c>
      <c r="G552" s="10" t="s">
        <v>2748</v>
      </c>
      <c r="H552" s="28"/>
      <c r="I552" s="20"/>
      <c r="J552" s="10" t="s">
        <v>2748</v>
      </c>
      <c r="K552" s="10"/>
      <c r="L552" s="10"/>
      <c r="M552" s="22"/>
      <c r="N552" s="10"/>
      <c r="O552" s="10"/>
      <c r="P552" s="12" t="str">
        <f t="shared" si="1"/>
        <v>https://docs.google.com/forms/d/e/1FAIpQLSeZ-R1GrWlAPkfaThGqxeTj0QTtrARw4rroxIIepf2kipn1nw/formResponse?usp=pp_url&amp;entry.1313582257=0092524998 / 252610502&amp;entry.1578404635=Hadir</v>
      </c>
      <c r="Q552" s="23" t="s">
        <v>2970</v>
      </c>
      <c r="R552" s="12" t="s">
        <v>2971</v>
      </c>
      <c r="S552" s="24" t="s">
        <v>2972</v>
      </c>
      <c r="T552" s="23" t="str">
        <f>HYPERLINK("https://drive.google.com/file/d/1KcgMqd7qQzS-xjuABJLUSd31KL622CRc/view?usp=drivesdk","33 - X12 - Sajna Jerrusalem Kharima Sugeng Putri - P")</f>
        <v>33 - X12 - Sajna Jerrusalem Kharima Sugeng Putri - P</v>
      </c>
      <c r="U552" s="12" t="s">
        <v>2947</v>
      </c>
      <c r="W552" s="25">
        <f>COUNTIFS('Form Presensi SCC'!$B:$B, IF($C552&lt;&gt;0, TEXT($C552, "0000000000"), $D552), 'Form Presensi SCC'!$C:$C, "Hadir")</f>
        <v>0</v>
      </c>
      <c r="Y552" s="26"/>
    </row>
    <row r="553" ht="22.5" customHeight="1">
      <c r="A553" s="10">
        <v>552.0</v>
      </c>
      <c r="B553" s="27">
        <v>45.0</v>
      </c>
      <c r="C553" s="30" t="s">
        <v>2973</v>
      </c>
      <c r="D553" s="27" t="s">
        <v>2974</v>
      </c>
      <c r="E553" s="18" t="s">
        <v>227</v>
      </c>
      <c r="F553" s="12">
        <v>33.0</v>
      </c>
      <c r="G553" s="10" t="s">
        <v>2748</v>
      </c>
      <c r="H553" s="28"/>
      <c r="I553" s="20"/>
      <c r="J553" s="10" t="s">
        <v>2748</v>
      </c>
      <c r="K553" s="10"/>
      <c r="L553" s="10"/>
      <c r="M553" s="22"/>
      <c r="N553" s="10"/>
      <c r="O553" s="10"/>
      <c r="P553" s="12" t="str">
        <f t="shared" si="1"/>
        <v>https://docs.google.com/forms/d/e/1FAIpQLSeZ-R1GrWlAPkfaThGqxeTj0QTtrARw4rroxIIepf2kipn1nw/formResponse?usp=pp_url&amp;entry.1313582257=0109344308 / 252610516&amp;entry.1578404635=Hadir</v>
      </c>
      <c r="Q553" s="23" t="s">
        <v>2975</v>
      </c>
      <c r="R553" s="12" t="s">
        <v>2976</v>
      </c>
      <c r="S553" s="24" t="s">
        <v>2977</v>
      </c>
      <c r="T553" s="23" t="str">
        <f>HYPERLINK("https://drive.google.com/file/d/1bw0s6aL0WDYv3Tju7aAfo0auayztpSRe/view?usp=drivesdk","33 - X12 - Shahrazad Aulia Handyanto - P")</f>
        <v>33 - X12 - Shahrazad Aulia Handyanto - P</v>
      </c>
      <c r="U553" s="12" t="s">
        <v>2978</v>
      </c>
      <c r="W553" s="25">
        <f>COUNTIFS('Form Presensi SCC'!$B:$B, IF($C553&lt;&gt;0, TEXT($C553, "0000000000"), $D553), 'Form Presensi SCC'!$C:$C, "Hadir")</f>
        <v>0</v>
      </c>
      <c r="Y553" s="26"/>
    </row>
    <row r="554" ht="22.5" customHeight="1">
      <c r="A554" s="18">
        <v>553.0</v>
      </c>
      <c r="B554" s="27">
        <v>46.0</v>
      </c>
      <c r="C554" s="30" t="s">
        <v>2979</v>
      </c>
      <c r="D554" s="27" t="s">
        <v>2980</v>
      </c>
      <c r="E554" s="18" t="s">
        <v>227</v>
      </c>
      <c r="F554" s="12">
        <v>33.0</v>
      </c>
      <c r="G554" s="10" t="s">
        <v>2748</v>
      </c>
      <c r="H554" s="28"/>
      <c r="I554" s="20"/>
      <c r="J554" s="10" t="s">
        <v>2748</v>
      </c>
      <c r="K554" s="10"/>
      <c r="L554" s="10"/>
      <c r="M554" s="22"/>
      <c r="N554" s="10"/>
      <c r="O554" s="10"/>
      <c r="P554" s="12" t="str">
        <f t="shared" si="1"/>
        <v>https://docs.google.com/forms/d/e/1FAIpQLSeZ-R1GrWlAPkfaThGqxeTj0QTtrARw4rroxIIepf2kipn1nw/formResponse?usp=pp_url&amp;entry.1313582257=0101659072 / 252610531&amp;entry.1578404635=Hadir</v>
      </c>
      <c r="Q554" s="23" t="s">
        <v>2981</v>
      </c>
      <c r="R554" s="12" t="s">
        <v>2982</v>
      </c>
      <c r="S554" s="24" t="s">
        <v>2983</v>
      </c>
      <c r="T554" s="23" t="str">
        <f>HYPERLINK("https://drive.google.com/file/d/1bfHbuU-FeYUM0sXmpGDf2W0DOonuuzls/view?usp=drivesdk","33 - X12 - Syahla Salsabila Ramdani - P")</f>
        <v>33 - X12 - Syahla Salsabila Ramdani - P</v>
      </c>
      <c r="U554" s="12" t="s">
        <v>2978</v>
      </c>
      <c r="W554" s="25">
        <f>COUNTIFS('Form Presensi SCC'!$B:$B, IF($C554&lt;&gt;0, TEXT($C554, "0000000000"), $D554), 'Form Presensi SCC'!$C:$C, "Hadir")</f>
        <v>0</v>
      </c>
      <c r="Y554" s="26"/>
    </row>
    <row r="555" ht="22.5" customHeight="1">
      <c r="A555" s="10">
        <v>554.0</v>
      </c>
      <c r="B555" s="27">
        <v>47.0</v>
      </c>
      <c r="C555" s="30" t="s">
        <v>2984</v>
      </c>
      <c r="D555" s="27" t="s">
        <v>2985</v>
      </c>
      <c r="E555" s="18" t="s">
        <v>227</v>
      </c>
      <c r="F555" s="12">
        <v>33.0</v>
      </c>
      <c r="G555" s="10" t="s">
        <v>2748</v>
      </c>
      <c r="H555" s="28"/>
      <c r="I555" s="20"/>
      <c r="J555" s="10" t="s">
        <v>2748</v>
      </c>
      <c r="K555" s="10"/>
      <c r="L555" s="10"/>
      <c r="M555" s="22"/>
      <c r="N555" s="10"/>
      <c r="O555" s="10"/>
      <c r="P555" s="12" t="str">
        <f t="shared" si="1"/>
        <v>https://docs.google.com/forms/d/e/1FAIpQLSeZ-R1GrWlAPkfaThGqxeTj0QTtrARw4rroxIIepf2kipn1nw/formResponse?usp=pp_url&amp;entry.1313582257=0095899359 / 252610550&amp;entry.1578404635=Hadir</v>
      </c>
      <c r="Q555" s="23" t="s">
        <v>2986</v>
      </c>
      <c r="R555" s="12" t="s">
        <v>2987</v>
      </c>
      <c r="S555" s="24" t="s">
        <v>2988</v>
      </c>
      <c r="T555" s="23" t="str">
        <f>HYPERLINK("https://drive.google.com/file/d/1kII2XQokFJUfIg-uzasqH7pmkOSY-dGq/view?usp=drivesdk","33 - X12 - Velicya Arnelita Zahra Suryana - P")</f>
        <v>33 - X12 - Velicya Arnelita Zahra Suryana - P</v>
      </c>
      <c r="U555" s="12" t="s">
        <v>2978</v>
      </c>
      <c r="W555" s="25">
        <f>COUNTIFS('Form Presensi SCC'!$B:$B, IF($C555&lt;&gt;0, TEXT($C555, "0000000000"), $D555), 'Form Presensi SCC'!$C:$C, "Hadir")</f>
        <v>0</v>
      </c>
      <c r="Y555" s="26"/>
    </row>
    <row r="556" ht="22.5" customHeight="1">
      <c r="A556" s="18">
        <v>555.0</v>
      </c>
      <c r="B556" s="27">
        <v>48.0</v>
      </c>
      <c r="C556" s="30" t="s">
        <v>2989</v>
      </c>
      <c r="D556" s="27" t="s">
        <v>2990</v>
      </c>
      <c r="E556" s="18" t="s">
        <v>227</v>
      </c>
      <c r="F556" s="12">
        <v>33.0</v>
      </c>
      <c r="G556" s="10" t="s">
        <v>2748</v>
      </c>
      <c r="H556" s="28"/>
      <c r="I556" s="20"/>
      <c r="J556" s="10" t="s">
        <v>2748</v>
      </c>
      <c r="K556" s="10"/>
      <c r="L556" s="10"/>
      <c r="M556" s="22"/>
      <c r="N556" s="10"/>
      <c r="O556" s="10"/>
      <c r="P556" s="12" t="str">
        <f t="shared" si="1"/>
        <v>https://docs.google.com/forms/d/e/1FAIpQLSeZ-R1GrWlAPkfaThGqxeTj0QTtrARw4rroxIIepf2kipn1nw/formResponse?usp=pp_url&amp;entry.1313582257=0095810986 / 252610562&amp;entry.1578404635=Hadir</v>
      </c>
      <c r="Q556" s="23" t="s">
        <v>2991</v>
      </c>
      <c r="R556" s="12" t="s">
        <v>2992</v>
      </c>
      <c r="S556" s="24" t="s">
        <v>2993</v>
      </c>
      <c r="T556" s="23" t="str">
        <f>HYPERLINK("https://drive.google.com/file/d/1LmsSrZ6izeLs-KrKvvWe8qp7VSl_Aqjy/view?usp=drivesdk","33 - X12 - Zalfa Rizqia Nur Nadhifa - P")</f>
        <v>33 - X12 - Zalfa Rizqia Nur Nadhifa - P</v>
      </c>
      <c r="U556" s="12" t="s">
        <v>2978</v>
      </c>
      <c r="W556" s="25">
        <f>COUNTIFS('Form Presensi SCC'!$B:$B, IF($C556&lt;&gt;0, TEXT($C556, "0000000000"), $D556), 'Form Presensi SCC'!$C:$C, "Hadir")</f>
        <v>0</v>
      </c>
      <c r="Y556" s="26"/>
    </row>
    <row r="557" ht="22.5" customHeight="1">
      <c r="A557" s="18">
        <v>555.0</v>
      </c>
      <c r="B557" s="31">
        <v>1.0</v>
      </c>
      <c r="C557" s="27" t="s">
        <v>45</v>
      </c>
      <c r="D557" s="31" t="s">
        <v>2994</v>
      </c>
      <c r="E557" s="32" t="s">
        <v>220</v>
      </c>
      <c r="F557" s="12">
        <v>32.0</v>
      </c>
      <c r="G557" s="12" t="s">
        <v>2995</v>
      </c>
      <c r="H557" s="28"/>
      <c r="I557" s="20"/>
      <c r="J557" s="10"/>
      <c r="K557" s="10" t="s">
        <v>2995</v>
      </c>
      <c r="L557" s="10"/>
      <c r="M557" s="22"/>
      <c r="N557" s="10"/>
      <c r="O557" s="10"/>
      <c r="P557" s="12" t="str">
        <f t="shared" si="1"/>
        <v>https://docs.google.com/forms/d/e/1FAIpQLSeZ-R1GrWlAPkfaThGqxeTj0QTtrARw4rroxIIepf2kipn1nw/formResponse?usp=pp_url&amp;entry.1313582257=0082590495 / 242510008&amp;entry.1578404635=Hadir</v>
      </c>
      <c r="Q557" s="23" t="s">
        <v>2996</v>
      </c>
      <c r="R557" s="12" t="s">
        <v>2997</v>
      </c>
      <c r="S557" s="24" t="s">
        <v>2998</v>
      </c>
      <c r="T557" s="23" t="str">
        <f>HYPERLINK("https://drive.google.com/file/d/1wF89oOPoUtlE42ZMaeponNMDaNeZYfbF/view?usp=drivesdk","32 - XI A-1 - Agil Umar")</f>
        <v>32 - XI A-1 - Agil Umar</v>
      </c>
      <c r="U557" s="12" t="s">
        <v>2999</v>
      </c>
      <c r="W557" s="25">
        <f>COUNTIFS('Form Presensi SCC'!$B:$B, IF($C557&lt;&gt;0, TEXT($C557, "0000000000"), $D557), 'Form Presensi SCC'!$C:$C, "Hadir")</f>
        <v>1</v>
      </c>
      <c r="Y557" s="26"/>
    </row>
    <row r="558" ht="22.5" customHeight="1">
      <c r="A558" s="18">
        <v>555.0</v>
      </c>
      <c r="B558" s="31">
        <v>2.0</v>
      </c>
      <c r="C558" s="27" t="s">
        <v>3000</v>
      </c>
      <c r="D558" s="31" t="s">
        <v>3001</v>
      </c>
      <c r="E558" s="32" t="s">
        <v>220</v>
      </c>
      <c r="F558" s="12">
        <v>32.0</v>
      </c>
      <c r="G558" s="12" t="s">
        <v>2995</v>
      </c>
      <c r="H558" s="28"/>
      <c r="I558" s="20"/>
      <c r="J558" s="10"/>
      <c r="K558" s="10" t="s">
        <v>2995</v>
      </c>
      <c r="L558" s="10"/>
      <c r="M558" s="22"/>
      <c r="N558" s="10"/>
      <c r="O558" s="10"/>
      <c r="P558" s="12" t="str">
        <f t="shared" si="1"/>
        <v>https://docs.google.com/forms/d/e/1FAIpQLSeZ-R1GrWlAPkfaThGqxeTj0QTtrARw4rroxIIepf2kipn1nw/formResponse?usp=pp_url&amp;entry.1313582257=0097313548 / 242510011&amp;entry.1578404635=Hadir</v>
      </c>
      <c r="Q558" s="23" t="s">
        <v>3002</v>
      </c>
      <c r="R558" s="12" t="s">
        <v>3003</v>
      </c>
      <c r="S558" s="24" t="s">
        <v>3004</v>
      </c>
      <c r="T558" s="23" t="str">
        <f>HYPERLINK("https://drive.google.com/file/d/1_OB4d8De0ac3CTkZX17Z2CMbNljm7KH3/view?usp=drivesdk","32 - XI A-1 - Ahmad Riyad Sugiarto")</f>
        <v>32 - XI A-1 - Ahmad Riyad Sugiarto</v>
      </c>
      <c r="U558" s="12" t="s">
        <v>2999</v>
      </c>
      <c r="W558" s="25">
        <f>COUNTIFS('Form Presensi SCC'!$B:$B, IF($C558&lt;&gt;0, TEXT($C558, "0000000000"), $D558), 'Form Presensi SCC'!$C:$C, "Hadir")</f>
        <v>0</v>
      </c>
      <c r="Y558" s="26"/>
    </row>
    <row r="559" ht="22.5" customHeight="1">
      <c r="A559" s="18">
        <v>555.0</v>
      </c>
      <c r="B559" s="31">
        <v>3.0</v>
      </c>
      <c r="C559" s="27" t="s">
        <v>3005</v>
      </c>
      <c r="D559" s="31" t="s">
        <v>3006</v>
      </c>
      <c r="E559" s="32" t="s">
        <v>227</v>
      </c>
      <c r="F559" s="12">
        <v>32.0</v>
      </c>
      <c r="G559" s="12" t="s">
        <v>2995</v>
      </c>
      <c r="H559" s="28"/>
      <c r="I559" s="20"/>
      <c r="J559" s="10"/>
      <c r="K559" s="10" t="s">
        <v>2995</v>
      </c>
      <c r="L559" s="10"/>
      <c r="M559" s="22"/>
      <c r="N559" s="10"/>
      <c r="O559" s="10"/>
      <c r="P559" s="12" t="str">
        <f t="shared" si="1"/>
        <v>https://docs.google.com/forms/d/e/1FAIpQLSeZ-R1GrWlAPkfaThGqxeTj0QTtrARw4rroxIIepf2kipn1nw/formResponse?usp=pp_url&amp;entry.1313582257=0094510551 / 242510025&amp;entry.1578404635=Hadir</v>
      </c>
      <c r="Q559" s="23" t="s">
        <v>3007</v>
      </c>
      <c r="R559" s="12" t="s">
        <v>3008</v>
      </c>
      <c r="S559" s="24" t="s">
        <v>3009</v>
      </c>
      <c r="T559" s="23" t="str">
        <f>HYPERLINK("https://drive.google.com/file/d/1Y3HqmGgSp5J4bu6J5ZprYRF7Bx6oZIWM/view?usp=drivesdk","32 - XI A-1 - Alifah Khairani Sawaludin")</f>
        <v>32 - XI A-1 - Alifah Khairani Sawaludin</v>
      </c>
      <c r="U559" s="12" t="s">
        <v>2999</v>
      </c>
      <c r="W559" s="25">
        <f>COUNTIFS('Form Presensi SCC'!$B:$B, IF($C559&lt;&gt;0, TEXT($C559, "0000000000"), $D559), 'Form Presensi SCC'!$C:$C, "Hadir")</f>
        <v>0</v>
      </c>
      <c r="Y559" s="26"/>
    </row>
    <row r="560" ht="22.5" customHeight="1">
      <c r="A560" s="18">
        <v>555.0</v>
      </c>
      <c r="B560" s="31">
        <v>4.0</v>
      </c>
      <c r="C560" s="27" t="s">
        <v>3010</v>
      </c>
      <c r="D560" s="31" t="s">
        <v>3011</v>
      </c>
      <c r="E560" s="32" t="s">
        <v>227</v>
      </c>
      <c r="F560" s="12">
        <v>32.0</v>
      </c>
      <c r="G560" s="12" t="s">
        <v>2995</v>
      </c>
      <c r="H560" s="28"/>
      <c r="I560" s="20"/>
      <c r="J560" s="10"/>
      <c r="K560" s="10" t="s">
        <v>2995</v>
      </c>
      <c r="L560" s="10"/>
      <c r="M560" s="22"/>
      <c r="N560" s="10"/>
      <c r="O560" s="10"/>
      <c r="P560" s="12" t="str">
        <f t="shared" si="1"/>
        <v>https://docs.google.com/forms/d/e/1FAIpQLSeZ-R1GrWlAPkfaThGqxeTj0QTtrARw4rroxIIepf2kipn1nw/formResponse?usp=pp_url&amp;entry.1313582257=0087298416 / 242510031&amp;entry.1578404635=Hadir</v>
      </c>
      <c r="Q560" s="23" t="s">
        <v>3012</v>
      </c>
      <c r="R560" s="12" t="s">
        <v>3013</v>
      </c>
      <c r="S560" s="24" t="s">
        <v>3014</v>
      </c>
      <c r="T560" s="23" t="str">
        <f>HYPERLINK("https://drive.google.com/file/d/1Hs9hPtrl1hJaR1SSq6JBLSq7Gb_G6KuZ/view?usp=drivesdk","32 - XI A-1 - Almira Tungga Dewi")</f>
        <v>32 - XI A-1 - Almira Tungga Dewi</v>
      </c>
      <c r="U560" s="12" t="s">
        <v>2999</v>
      </c>
      <c r="W560" s="25">
        <f>COUNTIFS('Form Presensi SCC'!$B:$B, IF($C560&lt;&gt;0, TEXT($C560, "0000000000"), $D560), 'Form Presensi SCC'!$C:$C, "Hadir")</f>
        <v>0</v>
      </c>
      <c r="Y560" s="26"/>
    </row>
    <row r="561" ht="22.5" customHeight="1">
      <c r="A561" s="18">
        <v>555.0</v>
      </c>
      <c r="B561" s="31">
        <v>5.0</v>
      </c>
      <c r="C561" s="27" t="s">
        <v>3015</v>
      </c>
      <c r="D561" s="31" t="s">
        <v>3016</v>
      </c>
      <c r="E561" s="32" t="s">
        <v>227</v>
      </c>
      <c r="F561" s="12">
        <v>32.0</v>
      </c>
      <c r="G561" s="12" t="s">
        <v>2995</v>
      </c>
      <c r="H561" s="28"/>
      <c r="I561" s="20"/>
      <c r="J561" s="10"/>
      <c r="K561" s="10" t="s">
        <v>2995</v>
      </c>
      <c r="L561" s="10"/>
      <c r="M561" s="22"/>
      <c r="N561" s="10"/>
      <c r="O561" s="10"/>
      <c r="P561" s="12" t="str">
        <f t="shared" si="1"/>
        <v>https://docs.google.com/forms/d/e/1FAIpQLSeZ-R1GrWlAPkfaThGqxeTj0QTtrARw4rroxIIepf2kipn1nw/formResponse?usp=pp_url&amp;entry.1313582257=0095546511 / 242510069&amp;entry.1578404635=Hadir</v>
      </c>
      <c r="Q561" s="23" t="s">
        <v>3017</v>
      </c>
      <c r="R561" s="12" t="s">
        <v>3018</v>
      </c>
      <c r="S561" s="24" t="s">
        <v>3019</v>
      </c>
      <c r="T561" s="23" t="str">
        <f>HYPERLINK("https://drive.google.com/file/d/1zv464SlLZcu4K9oheuRYwz9t__ZzFwo5/view?usp=drivesdk","32 - XI A-1 - Aulya Mawal Juniar")</f>
        <v>32 - XI A-1 - Aulya Mawal Juniar</v>
      </c>
      <c r="U561" s="12" t="s">
        <v>2999</v>
      </c>
      <c r="W561" s="25">
        <f>COUNTIFS('Form Presensi SCC'!$B:$B, IF($C561&lt;&gt;0, TEXT($C561, "0000000000"), $D561), 'Form Presensi SCC'!$C:$C, "Hadir")</f>
        <v>0</v>
      </c>
      <c r="Y561" s="26"/>
    </row>
    <row r="562" ht="22.5" customHeight="1">
      <c r="A562" s="18">
        <v>555.0</v>
      </c>
      <c r="B562" s="31">
        <v>6.0</v>
      </c>
      <c r="C562" s="27" t="s">
        <v>3020</v>
      </c>
      <c r="D562" s="31" t="s">
        <v>3021</v>
      </c>
      <c r="E562" s="32" t="s">
        <v>220</v>
      </c>
      <c r="F562" s="12">
        <v>32.0</v>
      </c>
      <c r="G562" s="12" t="s">
        <v>2995</v>
      </c>
      <c r="H562" s="28"/>
      <c r="I562" s="20"/>
      <c r="J562" s="10"/>
      <c r="K562" s="10" t="s">
        <v>2995</v>
      </c>
      <c r="L562" s="10"/>
      <c r="M562" s="22"/>
      <c r="N562" s="10"/>
      <c r="O562" s="10"/>
      <c r="P562" s="12" t="str">
        <f t="shared" si="1"/>
        <v>https://docs.google.com/forms/d/e/1FAIpQLSeZ-R1GrWlAPkfaThGqxeTj0QTtrARw4rroxIIepf2kipn1nw/formResponse?usp=pp_url&amp;entry.1313582257=3086190678 / 242510079&amp;entry.1578404635=Hadir</v>
      </c>
      <c r="Q562" s="23" t="s">
        <v>3022</v>
      </c>
      <c r="R562" s="12" t="s">
        <v>3023</v>
      </c>
      <c r="S562" s="24" t="s">
        <v>3024</v>
      </c>
      <c r="T562" s="23" t="str">
        <f>HYPERLINK("https://drive.google.com/file/d/1u0qY4PRYeuahVEqoGsCyrHCph_rbdPSi/view?usp=drivesdk","32 - XI A-1 - Bagaskara Arya Perkasa")</f>
        <v>32 - XI A-1 - Bagaskara Arya Perkasa</v>
      </c>
      <c r="U562" s="12" t="s">
        <v>3025</v>
      </c>
      <c r="W562" s="25">
        <f>COUNTIFS('Form Presensi SCC'!$B:$B, IF($C562&lt;&gt;0, TEXT($C562, "0000000000"), $D562), 'Form Presensi SCC'!$C:$C, "Hadir")</f>
        <v>0</v>
      </c>
      <c r="Y562" s="26"/>
    </row>
    <row r="563" ht="22.5" customHeight="1">
      <c r="A563" s="18">
        <v>555.0</v>
      </c>
      <c r="B563" s="31">
        <v>7.0</v>
      </c>
      <c r="C563" s="27" t="s">
        <v>3026</v>
      </c>
      <c r="D563" s="31" t="s">
        <v>3027</v>
      </c>
      <c r="E563" s="32" t="s">
        <v>227</v>
      </c>
      <c r="F563" s="12">
        <v>32.0</v>
      </c>
      <c r="G563" s="12" t="s">
        <v>2995</v>
      </c>
      <c r="H563" s="28"/>
      <c r="I563" s="20"/>
      <c r="J563" s="10"/>
      <c r="K563" s="10" t="s">
        <v>2995</v>
      </c>
      <c r="L563" s="10"/>
      <c r="M563" s="22"/>
      <c r="N563" s="10"/>
      <c r="O563" s="10"/>
      <c r="P563" s="12" t="str">
        <f t="shared" si="1"/>
        <v>https://docs.google.com/forms/d/e/1FAIpQLSeZ-R1GrWlAPkfaThGqxeTj0QTtrARw4rroxIIepf2kipn1nw/formResponse?usp=pp_url&amp;entry.1313582257=0107163370 / 242510095&amp;entry.1578404635=Hadir</v>
      </c>
      <c r="Q563" s="23" t="s">
        <v>3028</v>
      </c>
      <c r="R563" s="12" t="s">
        <v>3029</v>
      </c>
      <c r="S563" s="24" t="s">
        <v>3030</v>
      </c>
      <c r="T563" s="23" t="str">
        <f>HYPERLINK("https://drive.google.com/file/d/1wREv-A67yt-5vuC7B8bOHm0SjynvFSDP/view?usp=drivesdk","32 - XI A-1 - Chiara Nanda Setiyo Fazria")</f>
        <v>32 - XI A-1 - Chiara Nanda Setiyo Fazria</v>
      </c>
      <c r="U563" s="12" t="s">
        <v>3025</v>
      </c>
      <c r="W563" s="25">
        <f>COUNTIFS('Form Presensi SCC'!$B:$B, IF($C563&lt;&gt;0, TEXT($C563, "0000000000"), $D563), 'Form Presensi SCC'!$C:$C, "Hadir")</f>
        <v>0</v>
      </c>
      <c r="Y563" s="26"/>
    </row>
    <row r="564" ht="22.5" customHeight="1">
      <c r="A564" s="18">
        <v>555.0</v>
      </c>
      <c r="B564" s="31">
        <v>8.0</v>
      </c>
      <c r="C564" s="27" t="s">
        <v>3031</v>
      </c>
      <c r="D564" s="31" t="s">
        <v>3032</v>
      </c>
      <c r="E564" s="32" t="s">
        <v>220</v>
      </c>
      <c r="F564" s="12">
        <v>32.0</v>
      </c>
      <c r="G564" s="12" t="s">
        <v>2995</v>
      </c>
      <c r="H564" s="28"/>
      <c r="I564" s="20"/>
      <c r="J564" s="10"/>
      <c r="K564" s="10" t="s">
        <v>2995</v>
      </c>
      <c r="L564" s="10"/>
      <c r="M564" s="22"/>
      <c r="N564" s="10"/>
      <c r="O564" s="10"/>
      <c r="P564" s="12" t="str">
        <f t="shared" si="1"/>
        <v>https://docs.google.com/forms/d/e/1FAIpQLSeZ-R1GrWlAPkfaThGqxeTj0QTtrARw4rroxIIepf2kipn1nw/formResponse?usp=pp_url&amp;entry.1313582257=3092678408 / 242510108&amp;entry.1578404635=Hadir</v>
      </c>
      <c r="Q564" s="23" t="s">
        <v>3033</v>
      </c>
      <c r="R564" s="12" t="s">
        <v>3034</v>
      </c>
      <c r="S564" s="24" t="s">
        <v>3035</v>
      </c>
      <c r="T564" s="23" t="str">
        <f>HYPERLINK("https://drive.google.com/file/d/1dL7s66EUt8HR_u7PWBdYQoM4NmyHZoen/view?usp=drivesdk","32 - XI A-1 - Devin Anandya Syuja")</f>
        <v>32 - XI A-1 - Devin Anandya Syuja</v>
      </c>
      <c r="U564" s="12" t="s">
        <v>3025</v>
      </c>
      <c r="W564" s="25">
        <f>COUNTIFS('Form Presensi SCC'!$B:$B, IF($C564&lt;&gt;0, TEXT($C564, "0000000000"), $D564), 'Form Presensi SCC'!$C:$C, "Hadir")</f>
        <v>0</v>
      </c>
      <c r="Y564" s="26"/>
    </row>
    <row r="565" ht="22.5" customHeight="1">
      <c r="A565" s="18">
        <v>555.0</v>
      </c>
      <c r="B565" s="31">
        <v>9.0</v>
      </c>
      <c r="C565" s="27" t="s">
        <v>3036</v>
      </c>
      <c r="D565" s="31" t="s">
        <v>3037</v>
      </c>
      <c r="E565" s="32" t="s">
        <v>220</v>
      </c>
      <c r="F565" s="12">
        <v>32.0</v>
      </c>
      <c r="G565" s="12" t="s">
        <v>2995</v>
      </c>
      <c r="H565" s="28"/>
      <c r="I565" s="20"/>
      <c r="J565" s="10"/>
      <c r="K565" s="10" t="s">
        <v>2995</v>
      </c>
      <c r="L565" s="10"/>
      <c r="M565" s="22"/>
      <c r="N565" s="10"/>
      <c r="O565" s="10"/>
      <c r="P565" s="12" t="str">
        <f t="shared" si="1"/>
        <v>https://docs.google.com/forms/d/e/1FAIpQLSeZ-R1GrWlAPkfaThGqxeTj0QTtrARw4rroxIIepf2kipn1nw/formResponse?usp=pp_url&amp;entry.1313582257=0095504110 / 242510111&amp;entry.1578404635=Hadir</v>
      </c>
      <c r="Q565" s="23" t="s">
        <v>3038</v>
      </c>
      <c r="R565" s="12" t="s">
        <v>3039</v>
      </c>
      <c r="S565" s="24" t="s">
        <v>3040</v>
      </c>
      <c r="T565" s="23" t="str">
        <f>HYPERLINK("https://drive.google.com/file/d/1sLLSm4kMaFDT1aUZ1cHshv5ccxd9YZZq/view?usp=drivesdk","32 - XI A-1 - Diaz Pradana Putra")</f>
        <v>32 - XI A-1 - Diaz Pradana Putra</v>
      </c>
      <c r="U565" s="12" t="s">
        <v>3025</v>
      </c>
      <c r="W565" s="25">
        <f>COUNTIFS('Form Presensi SCC'!$B:$B, IF($C565&lt;&gt;0, TEXT($C565, "0000000000"), $D565), 'Form Presensi SCC'!$C:$C, "Hadir")</f>
        <v>0</v>
      </c>
      <c r="Y565" s="26"/>
    </row>
    <row r="566" ht="22.5" customHeight="1">
      <c r="A566" s="18">
        <v>555.0</v>
      </c>
      <c r="B566" s="31">
        <v>10.0</v>
      </c>
      <c r="C566" s="27" t="s">
        <v>3041</v>
      </c>
      <c r="D566" s="31" t="s">
        <v>3042</v>
      </c>
      <c r="E566" s="32" t="s">
        <v>220</v>
      </c>
      <c r="F566" s="12">
        <v>32.0</v>
      </c>
      <c r="G566" s="12" t="s">
        <v>2995</v>
      </c>
      <c r="H566" s="28"/>
      <c r="I566" s="20"/>
      <c r="J566" s="10"/>
      <c r="K566" s="10" t="s">
        <v>2995</v>
      </c>
      <c r="L566" s="10"/>
      <c r="M566" s="22"/>
      <c r="N566" s="10"/>
      <c r="O566" s="10"/>
      <c r="P566" s="12" t="str">
        <f t="shared" si="1"/>
        <v>https://docs.google.com/forms/d/e/1FAIpQLSeZ-R1GrWlAPkfaThGqxeTj0QTtrARw4rroxIIepf2kipn1nw/formResponse?usp=pp_url&amp;entry.1313582257=3081717964 / 242510114&amp;entry.1578404635=Hadir</v>
      </c>
      <c r="Q566" s="23" t="s">
        <v>3043</v>
      </c>
      <c r="R566" s="12" t="s">
        <v>3044</v>
      </c>
      <c r="S566" s="24" t="s">
        <v>3045</v>
      </c>
      <c r="T566" s="23" t="str">
        <f>HYPERLINK("https://drive.google.com/file/d/1j_vfeBsP8e4tlAE59Y76BLyGR9xeIIdX/view?usp=drivesdk","32 - XI A-1 - Disha Ramanda Putra")</f>
        <v>32 - XI A-1 - Disha Ramanda Putra</v>
      </c>
      <c r="U566" s="12" t="s">
        <v>3025</v>
      </c>
      <c r="W566" s="25">
        <f>COUNTIFS('Form Presensi SCC'!$B:$B, IF($C566&lt;&gt;0, TEXT($C566, "0000000000"), $D566), 'Form Presensi SCC'!$C:$C, "Hadir")</f>
        <v>0</v>
      </c>
      <c r="Y566" s="26"/>
    </row>
    <row r="567" ht="22.5" customHeight="1">
      <c r="A567" s="18">
        <v>555.0</v>
      </c>
      <c r="B567" s="31">
        <v>11.0</v>
      </c>
      <c r="C567" s="27" t="s">
        <v>3046</v>
      </c>
      <c r="D567" s="31" t="s">
        <v>3047</v>
      </c>
      <c r="E567" s="32" t="s">
        <v>227</v>
      </c>
      <c r="F567" s="12">
        <v>32.0</v>
      </c>
      <c r="G567" s="12" t="s">
        <v>2995</v>
      </c>
      <c r="H567" s="28"/>
      <c r="I567" s="20"/>
      <c r="J567" s="10"/>
      <c r="K567" s="10" t="s">
        <v>2995</v>
      </c>
      <c r="L567" s="10"/>
      <c r="M567" s="22"/>
      <c r="N567" s="10"/>
      <c r="O567" s="10"/>
      <c r="P567" s="12" t="str">
        <f t="shared" si="1"/>
        <v>https://docs.google.com/forms/d/e/1FAIpQLSeZ-R1GrWlAPkfaThGqxeTj0QTtrARw4rroxIIepf2kipn1nw/formResponse?usp=pp_url&amp;entry.1313582257=0083076557 / 242510116&amp;entry.1578404635=Hadir</v>
      </c>
      <c r="Q567" s="23" t="s">
        <v>3048</v>
      </c>
      <c r="R567" s="12" t="s">
        <v>3049</v>
      </c>
      <c r="S567" s="24" t="s">
        <v>3050</v>
      </c>
      <c r="T567" s="23" t="str">
        <f>HYPERLINK("https://drive.google.com/file/d/1AFMn94HCEUiKyQ_6sDD-LGnoWOileGU4/view?usp=drivesdk","32 - XI A-1 - Donita Aulia Ramadhani")</f>
        <v>32 - XI A-1 - Donita Aulia Ramadhani</v>
      </c>
      <c r="U567" s="12" t="s">
        <v>3025</v>
      </c>
      <c r="W567" s="25">
        <f>COUNTIFS('Form Presensi SCC'!$B:$B, IF($C567&lt;&gt;0, TEXT($C567, "0000000000"), $D567), 'Form Presensi SCC'!$C:$C, "Hadir")</f>
        <v>0</v>
      </c>
      <c r="Y567" s="26"/>
    </row>
    <row r="568" ht="22.5" customHeight="1">
      <c r="A568" s="18">
        <v>555.0</v>
      </c>
      <c r="B568" s="31">
        <v>12.0</v>
      </c>
      <c r="C568" s="27" t="s">
        <v>3051</v>
      </c>
      <c r="D568" s="31" t="s">
        <v>3052</v>
      </c>
      <c r="E568" s="32" t="s">
        <v>227</v>
      </c>
      <c r="F568" s="12">
        <v>32.0</v>
      </c>
      <c r="G568" s="12" t="s">
        <v>2995</v>
      </c>
      <c r="H568" s="28"/>
      <c r="I568" s="20"/>
      <c r="J568" s="10"/>
      <c r="K568" s="10" t="s">
        <v>2995</v>
      </c>
      <c r="L568" s="10"/>
      <c r="M568" s="22"/>
      <c r="N568" s="10"/>
      <c r="O568" s="10"/>
      <c r="P568" s="12" t="str">
        <f t="shared" si="1"/>
        <v>https://docs.google.com/forms/d/e/1FAIpQLSeZ-R1GrWlAPkfaThGqxeTj0QTtrARw4rroxIIepf2kipn1nw/formResponse?usp=pp_url&amp;entry.1313582257=0093137843 / 242510126&amp;entry.1578404635=Hadir</v>
      </c>
      <c r="Q568" s="23" t="s">
        <v>3053</v>
      </c>
      <c r="R568" s="12" t="s">
        <v>3054</v>
      </c>
      <c r="S568" s="24" t="s">
        <v>3055</v>
      </c>
      <c r="T568" s="23" t="str">
        <f>HYPERLINK("https://drive.google.com/file/d/1IdYvakE_NomhNHisQtJ0nLVNMdHcOGhe/view?usp=drivesdk","32 - XI A-1 - Evania Sarah Ilmira")</f>
        <v>32 - XI A-1 - Evania Sarah Ilmira</v>
      </c>
      <c r="U568" s="12" t="s">
        <v>3025</v>
      </c>
      <c r="W568" s="25">
        <f>COUNTIFS('Form Presensi SCC'!$B:$B, IF($C568&lt;&gt;0, TEXT($C568, "0000000000"), $D568), 'Form Presensi SCC'!$C:$C, "Hadir")</f>
        <v>0</v>
      </c>
      <c r="Y568" s="26"/>
    </row>
    <row r="569" ht="22.5" customHeight="1">
      <c r="A569" s="18">
        <v>555.0</v>
      </c>
      <c r="B569" s="31">
        <v>13.0</v>
      </c>
      <c r="C569" s="27" t="s">
        <v>3056</v>
      </c>
      <c r="D569" s="31" t="s">
        <v>3057</v>
      </c>
      <c r="E569" s="32" t="s">
        <v>220</v>
      </c>
      <c r="F569" s="12">
        <v>32.0</v>
      </c>
      <c r="G569" s="12" t="s">
        <v>2995</v>
      </c>
      <c r="H569" s="28"/>
      <c r="I569" s="20"/>
      <c r="J569" s="10"/>
      <c r="K569" s="10" t="s">
        <v>2995</v>
      </c>
      <c r="L569" s="10"/>
      <c r="M569" s="22"/>
      <c r="N569" s="10"/>
      <c r="O569" s="10"/>
      <c r="P569" s="12" t="str">
        <f t="shared" si="1"/>
        <v>https://docs.google.com/forms/d/e/1FAIpQLSeZ-R1GrWlAPkfaThGqxeTj0QTtrARw4rroxIIepf2kipn1nw/formResponse?usp=pp_url&amp;entry.1313582257=3090828690 / 242510159&amp;entry.1578404635=Hadir</v>
      </c>
      <c r="Q569" s="23" t="s">
        <v>3058</v>
      </c>
      <c r="R569" s="12" t="s">
        <v>3059</v>
      </c>
      <c r="S569" s="24" t="s">
        <v>3060</v>
      </c>
      <c r="T569" s="23" t="str">
        <f>HYPERLINK("https://drive.google.com/file/d/1Irw-wYSXV5ROPrEaqNlhfuWqpx1mbNIf/view?usp=drivesdk","32 - XI A-1 - Hanan Dzul Hilmi")</f>
        <v>32 - XI A-1 - Hanan Dzul Hilmi</v>
      </c>
      <c r="U569" s="12" t="s">
        <v>3061</v>
      </c>
      <c r="W569" s="25">
        <f>COUNTIFS('Form Presensi SCC'!$B:$B, IF($C569&lt;&gt;0, TEXT($C569, "0000000000"), $D569), 'Form Presensi SCC'!$C:$C, "Hadir")</f>
        <v>0</v>
      </c>
      <c r="Y569" s="26"/>
    </row>
    <row r="570" ht="22.5" customHeight="1">
      <c r="A570" s="18">
        <v>555.0</v>
      </c>
      <c r="B570" s="31">
        <v>14.0</v>
      </c>
      <c r="C570" s="27" t="s">
        <v>3062</v>
      </c>
      <c r="D570" s="31" t="s">
        <v>3063</v>
      </c>
      <c r="E570" s="32" t="s">
        <v>220</v>
      </c>
      <c r="F570" s="12">
        <v>32.0</v>
      </c>
      <c r="G570" s="12" t="s">
        <v>2995</v>
      </c>
      <c r="H570" s="28"/>
      <c r="I570" s="20"/>
      <c r="J570" s="10"/>
      <c r="K570" s="10" t="s">
        <v>2995</v>
      </c>
      <c r="L570" s="10"/>
      <c r="M570" s="22"/>
      <c r="N570" s="10"/>
      <c r="O570" s="10"/>
      <c r="P570" s="12" t="str">
        <f t="shared" si="1"/>
        <v>https://docs.google.com/forms/d/e/1FAIpQLSeZ-R1GrWlAPkfaThGqxeTj0QTtrARw4rroxIIepf2kipn1nw/formResponse?usp=pp_url&amp;entry.1313582257=0088101729 / 242510173&amp;entry.1578404635=Hadir</v>
      </c>
      <c r="Q570" s="23" t="s">
        <v>3064</v>
      </c>
      <c r="R570" s="12" t="s">
        <v>3065</v>
      </c>
      <c r="S570" s="24" t="s">
        <v>3066</v>
      </c>
      <c r="T570" s="23" t="str">
        <f>HYPERLINK("https://drive.google.com/file/d/1NP0iHGTwAaqebNteu88DGS4bp5fwSpQ-/view?usp=drivesdk","32 - XI A-1 - Irsyad Abrian Al-Warid")</f>
        <v>32 - XI A-1 - Irsyad Abrian Al-Warid</v>
      </c>
      <c r="U570" s="12" t="s">
        <v>3061</v>
      </c>
      <c r="W570" s="25">
        <f>COUNTIFS('Form Presensi SCC'!$B:$B, IF($C570&lt;&gt;0, TEXT($C570, "0000000000"), $D570), 'Form Presensi SCC'!$C:$C, "Hadir")</f>
        <v>0</v>
      </c>
      <c r="Y570" s="26"/>
    </row>
    <row r="571" ht="22.5" customHeight="1">
      <c r="A571" s="18">
        <v>555.0</v>
      </c>
      <c r="B571" s="31">
        <v>15.0</v>
      </c>
      <c r="C571" s="27" t="s">
        <v>3067</v>
      </c>
      <c r="D571" s="31" t="s">
        <v>3068</v>
      </c>
      <c r="E571" s="32" t="s">
        <v>227</v>
      </c>
      <c r="F571" s="12">
        <v>32.0</v>
      </c>
      <c r="G571" s="12" t="s">
        <v>2995</v>
      </c>
      <c r="H571" s="28"/>
      <c r="I571" s="20"/>
      <c r="J571" s="10"/>
      <c r="K571" s="10" t="s">
        <v>2995</v>
      </c>
      <c r="L571" s="10"/>
      <c r="M571" s="22"/>
      <c r="N571" s="10"/>
      <c r="O571" s="10"/>
      <c r="P571" s="12" t="str">
        <f t="shared" si="1"/>
        <v>https://docs.google.com/forms/d/e/1FAIpQLSeZ-R1GrWlAPkfaThGqxeTj0QTtrARw4rroxIIepf2kipn1nw/formResponse?usp=pp_url&amp;entry.1313582257=0099940887 / 242510183&amp;entry.1578404635=Hadir</v>
      </c>
      <c r="Q571" s="23" t="s">
        <v>3069</v>
      </c>
      <c r="R571" s="12" t="s">
        <v>3070</v>
      </c>
      <c r="S571" s="24" t="s">
        <v>3071</v>
      </c>
      <c r="T571" s="23" t="str">
        <f>HYPERLINK("https://drive.google.com/file/d/10M8vDb-GhuUZEiCpVn0gXcFmbmCTzdJa/view?usp=drivesdk","32 - XI A-1 - Kamiila Putri Khairunnisa")</f>
        <v>32 - XI A-1 - Kamiila Putri Khairunnisa</v>
      </c>
      <c r="U571" s="12" t="s">
        <v>3061</v>
      </c>
      <c r="W571" s="25">
        <f>COUNTIFS('Form Presensi SCC'!$B:$B, IF($C571&lt;&gt;0, TEXT($C571, "0000000000"), $D571), 'Form Presensi SCC'!$C:$C, "Hadir")</f>
        <v>0</v>
      </c>
      <c r="Y571" s="26"/>
    </row>
    <row r="572" ht="22.5" customHeight="1">
      <c r="A572" s="18">
        <v>555.0</v>
      </c>
      <c r="B572" s="31">
        <v>16.0</v>
      </c>
      <c r="C572" s="27" t="s">
        <v>3072</v>
      </c>
      <c r="D572" s="31" t="s">
        <v>3073</v>
      </c>
      <c r="E572" s="32" t="s">
        <v>227</v>
      </c>
      <c r="F572" s="12">
        <v>32.0</v>
      </c>
      <c r="G572" s="12" t="s">
        <v>2995</v>
      </c>
      <c r="H572" s="28"/>
      <c r="I572" s="20"/>
      <c r="J572" s="10"/>
      <c r="K572" s="10" t="s">
        <v>2995</v>
      </c>
      <c r="L572" s="10"/>
      <c r="M572" s="22"/>
      <c r="N572" s="10"/>
      <c r="O572" s="10"/>
      <c r="P572" s="12" t="str">
        <f t="shared" si="1"/>
        <v>https://docs.google.com/forms/d/e/1FAIpQLSeZ-R1GrWlAPkfaThGqxeTj0QTtrARw4rroxIIepf2kipn1nw/formResponse?usp=pp_url&amp;entry.1313582257=0096213576 / 242510188&amp;entry.1578404635=Hadir</v>
      </c>
      <c r="Q572" s="23" t="s">
        <v>3074</v>
      </c>
      <c r="R572" s="12" t="s">
        <v>3075</v>
      </c>
      <c r="S572" s="24" t="s">
        <v>3076</v>
      </c>
      <c r="T572" s="23" t="str">
        <f>HYPERLINK("https://drive.google.com/file/d/1LLlS06ztEcYL11nGbEd-pvZG5r48rv-r/view?usp=drivesdk","32 - XI A-1 - Keisha Edsel Darmawan")</f>
        <v>32 - XI A-1 - Keisha Edsel Darmawan</v>
      </c>
      <c r="U572" s="12" t="s">
        <v>3061</v>
      </c>
      <c r="W572" s="25">
        <f>COUNTIFS('Form Presensi SCC'!$B:$B, IF($C572&lt;&gt;0, TEXT($C572, "0000000000"), $D572), 'Form Presensi SCC'!$C:$C, "Hadir")</f>
        <v>0</v>
      </c>
      <c r="Y572" s="26"/>
    </row>
    <row r="573" ht="22.5" customHeight="1">
      <c r="A573" s="18">
        <v>555.0</v>
      </c>
      <c r="B573" s="31">
        <v>17.0</v>
      </c>
      <c r="C573" s="27" t="s">
        <v>3077</v>
      </c>
      <c r="D573" s="31" t="s">
        <v>3078</v>
      </c>
      <c r="E573" s="32" t="s">
        <v>227</v>
      </c>
      <c r="F573" s="12">
        <v>32.0</v>
      </c>
      <c r="G573" s="12" t="s">
        <v>2995</v>
      </c>
      <c r="H573" s="28"/>
      <c r="I573" s="20"/>
      <c r="J573" s="10"/>
      <c r="K573" s="10" t="s">
        <v>2995</v>
      </c>
      <c r="L573" s="10"/>
      <c r="M573" s="22"/>
      <c r="N573" s="10"/>
      <c r="O573" s="10"/>
      <c r="P573" s="12" t="str">
        <f t="shared" si="1"/>
        <v>https://docs.google.com/forms/d/e/1FAIpQLSeZ-R1GrWlAPkfaThGqxeTj0QTtrARw4rroxIIepf2kipn1nw/formResponse?usp=pp_url&amp;entry.1313582257=0091012038 / 242510189&amp;entry.1578404635=Hadir</v>
      </c>
      <c r="Q573" s="23" t="s">
        <v>3079</v>
      </c>
      <c r="R573" s="12" t="s">
        <v>3080</v>
      </c>
      <c r="S573" s="24" t="s">
        <v>3081</v>
      </c>
      <c r="T573" s="23" t="str">
        <f>HYPERLINK("https://drive.google.com/file/d/11pIDvbk018V-IT-s2Cb_fB3KdbpLirDK/view?usp=drivesdk","32 - XI A-1 - Keisha Juan")</f>
        <v>32 - XI A-1 - Keisha Juan</v>
      </c>
      <c r="U573" s="12" t="s">
        <v>3061</v>
      </c>
      <c r="W573" s="25">
        <f>COUNTIFS('Form Presensi SCC'!$B:$B, IF($C573&lt;&gt;0, TEXT($C573, "0000000000"), $D573), 'Form Presensi SCC'!$C:$C, "Hadir")</f>
        <v>0</v>
      </c>
      <c r="Y573" s="26"/>
    </row>
    <row r="574" ht="22.5" customHeight="1">
      <c r="A574" s="18">
        <v>555.0</v>
      </c>
      <c r="B574" s="31">
        <v>18.0</v>
      </c>
      <c r="C574" s="27" t="s">
        <v>3082</v>
      </c>
      <c r="D574" s="31" t="s">
        <v>3083</v>
      </c>
      <c r="E574" s="32" t="s">
        <v>227</v>
      </c>
      <c r="F574" s="12">
        <v>32.0</v>
      </c>
      <c r="G574" s="12" t="s">
        <v>2995</v>
      </c>
      <c r="H574" s="28"/>
      <c r="I574" s="20"/>
      <c r="J574" s="10"/>
      <c r="K574" s="10" t="s">
        <v>2995</v>
      </c>
      <c r="L574" s="10"/>
      <c r="M574" s="22"/>
      <c r="N574" s="10"/>
      <c r="O574" s="10"/>
      <c r="P574" s="12" t="str">
        <f t="shared" si="1"/>
        <v>https://docs.google.com/forms/d/e/1FAIpQLSeZ-R1GrWlAPkfaThGqxeTj0QTtrARw4rroxIIepf2kipn1nw/formResponse?usp=pp_url&amp;entry.1313582257=0097202517 / 242510201&amp;entry.1578404635=Hadir</v>
      </c>
      <c r="Q574" s="23" t="s">
        <v>3084</v>
      </c>
      <c r="R574" s="12" t="s">
        <v>3085</v>
      </c>
      <c r="S574" s="24" t="s">
        <v>3086</v>
      </c>
      <c r="T574" s="23" t="str">
        <f>HYPERLINK("https://drive.google.com/file/d/1_Yl2BKeW6vcCXi_IXZ5S84UTRLpAxty7/view?usp=drivesdk","32 - XI A-1 - Khansa Makaila Kayyasah")</f>
        <v>32 - XI A-1 - Khansa Makaila Kayyasah</v>
      </c>
      <c r="U574" s="12" t="s">
        <v>3061</v>
      </c>
      <c r="W574" s="25">
        <f>COUNTIFS('Form Presensi SCC'!$B:$B, IF($C574&lt;&gt;0, TEXT($C574, "0000000000"), $D574), 'Form Presensi SCC'!$C:$C, "Hadir")</f>
        <v>0</v>
      </c>
      <c r="Y574" s="26"/>
    </row>
    <row r="575" ht="22.5" customHeight="1">
      <c r="A575" s="18">
        <v>555.0</v>
      </c>
      <c r="B575" s="31">
        <v>19.0</v>
      </c>
      <c r="C575" s="27" t="s">
        <v>3087</v>
      </c>
      <c r="D575" s="31" t="s">
        <v>3088</v>
      </c>
      <c r="E575" s="32" t="s">
        <v>227</v>
      </c>
      <c r="F575" s="12">
        <v>32.0</v>
      </c>
      <c r="G575" s="12" t="s">
        <v>2995</v>
      </c>
      <c r="H575" s="28"/>
      <c r="I575" s="20"/>
      <c r="J575" s="10"/>
      <c r="K575" s="10" t="s">
        <v>2995</v>
      </c>
      <c r="L575" s="10"/>
      <c r="M575" s="22"/>
      <c r="N575" s="10"/>
      <c r="O575" s="10"/>
      <c r="P575" s="12" t="str">
        <f t="shared" si="1"/>
        <v>https://docs.google.com/forms/d/e/1FAIpQLSeZ-R1GrWlAPkfaThGqxeTj0QTtrARw4rroxIIepf2kipn1nw/formResponse?usp=pp_url&amp;entry.1313582257=0098256549 / 242510206&amp;entry.1578404635=Hadir</v>
      </c>
      <c r="Q575" s="23" t="s">
        <v>3089</v>
      </c>
      <c r="R575" s="12" t="s">
        <v>3090</v>
      </c>
      <c r="S575" s="24" t="s">
        <v>3091</v>
      </c>
      <c r="T575" s="23" t="str">
        <f>HYPERLINK("https://drive.google.com/file/d/1shschA7jT274I_tKX6vd64SztpJXznMc/view?usp=drivesdk","32 - XI A-1 - Kirana Aura Azzahra Permana")</f>
        <v>32 - XI A-1 - Kirana Aura Azzahra Permana</v>
      </c>
      <c r="U575" s="12" t="s">
        <v>3092</v>
      </c>
      <c r="W575" s="25">
        <f>COUNTIFS('Form Presensi SCC'!$B:$B, IF($C575&lt;&gt;0, TEXT($C575, "0000000000"), $D575), 'Form Presensi SCC'!$C:$C, "Hadir")</f>
        <v>0</v>
      </c>
      <c r="Y575" s="26"/>
    </row>
    <row r="576" ht="22.5" customHeight="1">
      <c r="A576" s="18">
        <v>555.0</v>
      </c>
      <c r="B576" s="31">
        <v>20.0</v>
      </c>
      <c r="C576" s="27" t="s">
        <v>3093</v>
      </c>
      <c r="D576" s="31" t="s">
        <v>3094</v>
      </c>
      <c r="E576" s="32" t="s">
        <v>227</v>
      </c>
      <c r="F576" s="12">
        <v>32.0</v>
      </c>
      <c r="G576" s="12" t="s">
        <v>2995</v>
      </c>
      <c r="H576" s="28"/>
      <c r="I576" s="20"/>
      <c r="J576" s="10"/>
      <c r="K576" s="10" t="s">
        <v>2995</v>
      </c>
      <c r="L576" s="10"/>
      <c r="M576" s="22"/>
      <c r="N576" s="10"/>
      <c r="O576" s="10"/>
      <c r="P576" s="12" t="str">
        <f t="shared" si="1"/>
        <v>https://docs.google.com/forms/d/e/1FAIpQLSeZ-R1GrWlAPkfaThGqxeTj0QTtrARw4rroxIIepf2kipn1nw/formResponse?usp=pp_url&amp;entry.1313582257=0093623036 / 242510208&amp;entry.1578404635=Hadir</v>
      </c>
      <c r="Q576" s="23" t="s">
        <v>3095</v>
      </c>
      <c r="R576" s="12" t="s">
        <v>3096</v>
      </c>
      <c r="S576" s="24" t="s">
        <v>3097</v>
      </c>
      <c r="T576" s="23" t="str">
        <f>HYPERLINK("https://drive.google.com/file/d/1WV16xPazxvaqcsV16C5LGv7K668q3E2l/view?usp=drivesdk","32 - XI A-1 - Kirani Aira Salsabila Permana")</f>
        <v>32 - XI A-1 - Kirani Aira Salsabila Permana</v>
      </c>
      <c r="U576" s="12" t="s">
        <v>3092</v>
      </c>
      <c r="W576" s="25">
        <f>COUNTIFS('Form Presensi SCC'!$B:$B, IF($C576&lt;&gt;0, TEXT($C576, "0000000000"), $D576), 'Form Presensi SCC'!$C:$C, "Hadir")</f>
        <v>0</v>
      </c>
      <c r="Y576" s="26"/>
    </row>
    <row r="577" ht="22.5" customHeight="1">
      <c r="A577" s="18">
        <v>555.0</v>
      </c>
      <c r="B577" s="31">
        <v>21.0</v>
      </c>
      <c r="C577" s="27" t="s">
        <v>3098</v>
      </c>
      <c r="D577" s="31" t="s">
        <v>3099</v>
      </c>
      <c r="E577" s="32" t="s">
        <v>227</v>
      </c>
      <c r="F577" s="12">
        <v>32.0</v>
      </c>
      <c r="G577" s="12" t="s">
        <v>2995</v>
      </c>
      <c r="H577" s="28"/>
      <c r="I577" s="20"/>
      <c r="J577" s="10"/>
      <c r="K577" s="10" t="s">
        <v>2995</v>
      </c>
      <c r="L577" s="10"/>
      <c r="M577" s="22"/>
      <c r="N577" s="10"/>
      <c r="O577" s="10"/>
      <c r="P577" s="12" t="str">
        <f t="shared" si="1"/>
        <v>https://docs.google.com/forms/d/e/1FAIpQLSeZ-R1GrWlAPkfaThGqxeTj0QTtrARw4rroxIIepf2kipn1nw/formResponse?usp=pp_url&amp;entry.1313582257=0083667654 / 242510209&amp;entry.1578404635=Hadir</v>
      </c>
      <c r="Q577" s="23" t="s">
        <v>3100</v>
      </c>
      <c r="R577" s="12" t="s">
        <v>3101</v>
      </c>
      <c r="S577" s="24" t="s">
        <v>3102</v>
      </c>
      <c r="T577" s="23" t="str">
        <f>HYPERLINK("https://drive.google.com/file/d/1CPXBYGQf4oTMJru_bb-03fYUcKY71ZE1/view?usp=drivesdk","32 - XI A-1 - Kireina Zahra Yasmaini")</f>
        <v>32 - XI A-1 - Kireina Zahra Yasmaini</v>
      </c>
      <c r="U577" s="12" t="s">
        <v>3092</v>
      </c>
      <c r="W577" s="25">
        <f>COUNTIFS('Form Presensi SCC'!$B:$B, IF($C577&lt;&gt;0, TEXT($C577, "0000000000"), $D577), 'Form Presensi SCC'!$C:$C, "Hadir")</f>
        <v>0</v>
      </c>
      <c r="Y577" s="26"/>
    </row>
    <row r="578" ht="22.5" customHeight="1">
      <c r="A578" s="18">
        <v>555.0</v>
      </c>
      <c r="B578" s="31">
        <v>22.0</v>
      </c>
      <c r="C578" s="27" t="s">
        <v>3103</v>
      </c>
      <c r="D578" s="31" t="s">
        <v>3104</v>
      </c>
      <c r="E578" s="32" t="s">
        <v>220</v>
      </c>
      <c r="F578" s="12">
        <v>32.0</v>
      </c>
      <c r="G578" s="12" t="s">
        <v>2995</v>
      </c>
      <c r="H578" s="28"/>
      <c r="I578" s="20"/>
      <c r="J578" s="10"/>
      <c r="K578" s="10" t="s">
        <v>2995</v>
      </c>
      <c r="L578" s="10"/>
      <c r="M578" s="22"/>
      <c r="N578" s="10"/>
      <c r="O578" s="10"/>
      <c r="P578" s="12" t="str">
        <f t="shared" si="1"/>
        <v>https://docs.google.com/forms/d/e/1FAIpQLSeZ-R1GrWlAPkfaThGqxeTj0QTtrARw4rroxIIepf2kipn1nw/formResponse?usp=pp_url&amp;entry.1313582257=3083447726 / 242510257&amp;entry.1578404635=Hadir</v>
      </c>
      <c r="Q578" s="23" t="s">
        <v>3105</v>
      </c>
      <c r="R578" s="12" t="s">
        <v>3106</v>
      </c>
      <c r="S578" s="24" t="s">
        <v>3107</v>
      </c>
      <c r="T578" s="23" t="str">
        <f>HYPERLINK("https://drive.google.com/file/d/18gskCPqR1zp8D9luJTsNF8sx5sJt3qAt/view?usp=drivesdk","32 - XI A-1 - Muhammad Dzaky")</f>
        <v>32 - XI A-1 - Muhammad Dzaky</v>
      </c>
      <c r="U578" s="12" t="s">
        <v>3092</v>
      </c>
      <c r="W578" s="25">
        <f>COUNTIFS('Form Presensi SCC'!$B:$B, IF($C578&lt;&gt;0, TEXT($C578, "0000000000"), $D578), 'Form Presensi SCC'!$C:$C, "Hadir")</f>
        <v>0</v>
      </c>
      <c r="Y578" s="26"/>
    </row>
    <row r="579" ht="22.5" customHeight="1">
      <c r="A579" s="18">
        <v>555.0</v>
      </c>
      <c r="B579" s="31">
        <v>23.0</v>
      </c>
      <c r="C579" s="27" t="s">
        <v>3108</v>
      </c>
      <c r="D579" s="31" t="s">
        <v>3109</v>
      </c>
      <c r="E579" s="32" t="s">
        <v>220</v>
      </c>
      <c r="F579" s="12">
        <v>32.0</v>
      </c>
      <c r="G579" s="12" t="s">
        <v>2995</v>
      </c>
      <c r="H579" s="28"/>
      <c r="I579" s="20"/>
      <c r="J579" s="10"/>
      <c r="K579" s="10" t="s">
        <v>2995</v>
      </c>
      <c r="L579" s="10"/>
      <c r="M579" s="22"/>
      <c r="N579" s="10"/>
      <c r="O579" s="10"/>
      <c r="P579" s="12" t="str">
        <f t="shared" si="1"/>
        <v>https://docs.google.com/forms/d/e/1FAIpQLSeZ-R1GrWlAPkfaThGqxeTj0QTtrARw4rroxIIepf2kipn1nw/formResponse?usp=pp_url&amp;entry.1313582257=0098849381 / 242510281&amp;entry.1578404635=Hadir</v>
      </c>
      <c r="Q579" s="23" t="s">
        <v>3110</v>
      </c>
      <c r="R579" s="12" t="s">
        <v>3111</v>
      </c>
      <c r="S579" s="24" t="s">
        <v>3112</v>
      </c>
      <c r="T579" s="23" t="str">
        <f>HYPERLINK("https://drive.google.com/file/d/1yXmT90P0oAl1_QwTeiBGDbYYplSlIdIC/view?usp=drivesdk","32 - XI A-1 - Muhammad Zaki Arrahman")</f>
        <v>32 - XI A-1 - Muhammad Zaki Arrahman</v>
      </c>
      <c r="U579" s="12" t="s">
        <v>3092</v>
      </c>
      <c r="W579" s="25">
        <f>COUNTIFS('Form Presensi SCC'!$B:$B, IF($C579&lt;&gt;0, TEXT($C579, "0000000000"), $D579), 'Form Presensi SCC'!$C:$C, "Hadir")</f>
        <v>0</v>
      </c>
      <c r="Y579" s="26"/>
    </row>
    <row r="580" ht="22.5" customHeight="1">
      <c r="A580" s="18">
        <v>555.0</v>
      </c>
      <c r="B580" s="31">
        <v>24.0</v>
      </c>
      <c r="C580" s="27" t="s">
        <v>3113</v>
      </c>
      <c r="D580" s="31" t="s">
        <v>3114</v>
      </c>
      <c r="E580" s="32" t="s">
        <v>227</v>
      </c>
      <c r="F580" s="12">
        <v>32.0</v>
      </c>
      <c r="G580" s="12" t="s">
        <v>2995</v>
      </c>
      <c r="H580" s="28"/>
      <c r="I580" s="20"/>
      <c r="J580" s="10"/>
      <c r="K580" s="10" t="s">
        <v>2995</v>
      </c>
      <c r="L580" s="10"/>
      <c r="M580" s="22"/>
      <c r="N580" s="10"/>
      <c r="O580" s="10"/>
      <c r="P580" s="12" t="str">
        <f t="shared" si="1"/>
        <v>https://docs.google.com/forms/d/e/1FAIpQLSeZ-R1GrWlAPkfaThGqxeTj0QTtrARw4rroxIIepf2kipn1nw/formResponse?usp=pp_url&amp;entry.1313582257=0097736512 / 242510291&amp;entry.1578404635=Hadir</v>
      </c>
      <c r="Q580" s="23" t="s">
        <v>3115</v>
      </c>
      <c r="R580" s="12" t="s">
        <v>3116</v>
      </c>
      <c r="S580" s="24" t="s">
        <v>3117</v>
      </c>
      <c r="T580" s="23" t="str">
        <f>HYPERLINK("https://drive.google.com/file/d/10GJw-MIVsGu-zYPCNU9uwNKcNtuJCse0/view?usp=drivesdk","32 - XI A-1 - Nailatul Ullya")</f>
        <v>32 - XI A-1 - Nailatul Ullya</v>
      </c>
      <c r="U580" s="12" t="s">
        <v>3092</v>
      </c>
      <c r="W580" s="25">
        <f>COUNTIFS('Form Presensi SCC'!$B:$B, IF($C580&lt;&gt;0, TEXT($C580, "0000000000"), $D580), 'Form Presensi SCC'!$C:$C, "Hadir")</f>
        <v>0</v>
      </c>
      <c r="Y580" s="26"/>
    </row>
    <row r="581" ht="22.5" customHeight="1">
      <c r="A581" s="18">
        <v>555.0</v>
      </c>
      <c r="B581" s="31">
        <v>25.0</v>
      </c>
      <c r="C581" s="27" t="s">
        <v>3118</v>
      </c>
      <c r="D581" s="31" t="s">
        <v>3119</v>
      </c>
      <c r="E581" s="32" t="s">
        <v>227</v>
      </c>
      <c r="F581" s="12">
        <v>32.0</v>
      </c>
      <c r="G581" s="12" t="s">
        <v>2995</v>
      </c>
      <c r="H581" s="28"/>
      <c r="I581" s="20"/>
      <c r="J581" s="10"/>
      <c r="K581" s="10" t="s">
        <v>2995</v>
      </c>
      <c r="L581" s="10"/>
      <c r="M581" s="22"/>
      <c r="N581" s="10"/>
      <c r="O581" s="10"/>
      <c r="P581" s="12" t="str">
        <f t="shared" si="1"/>
        <v>https://docs.google.com/forms/d/e/1FAIpQLSeZ-R1GrWlAPkfaThGqxeTj0QTtrARw4rroxIIepf2kipn1nw/formResponse?usp=pp_url&amp;entry.1313582257=0083833819 / 242510323&amp;entry.1578404635=Hadir</v>
      </c>
      <c r="Q581" s="23" t="s">
        <v>3120</v>
      </c>
      <c r="R581" s="12" t="s">
        <v>3121</v>
      </c>
      <c r="S581" s="24" t="s">
        <v>3122</v>
      </c>
      <c r="T581" s="23" t="str">
        <f>HYPERLINK("https://drive.google.com/file/d/1VaefiX2DSvkg8hvqetmcklePoxh3SLcC/view?usp=drivesdk","32 - XI A-1 - Qatrun Nada Tannaqi")</f>
        <v>32 - XI A-1 - Qatrun Nada Tannaqi</v>
      </c>
      <c r="U581" s="12" t="s">
        <v>3123</v>
      </c>
      <c r="W581" s="25">
        <f>COUNTIFS('Form Presensi SCC'!$B:$B, IF($C581&lt;&gt;0, TEXT($C581, "0000000000"), $D581), 'Form Presensi SCC'!$C:$C, "Hadir")</f>
        <v>0</v>
      </c>
      <c r="Y581" s="26"/>
    </row>
    <row r="582" ht="22.5" customHeight="1">
      <c r="A582" s="18">
        <v>555.0</v>
      </c>
      <c r="B582" s="31">
        <v>26.0</v>
      </c>
      <c r="C582" s="27" t="s">
        <v>3124</v>
      </c>
      <c r="D582" s="31" t="s">
        <v>3125</v>
      </c>
      <c r="E582" s="32" t="s">
        <v>227</v>
      </c>
      <c r="F582" s="12">
        <v>32.0</v>
      </c>
      <c r="G582" s="12" t="s">
        <v>2995</v>
      </c>
      <c r="H582" s="28"/>
      <c r="I582" s="20"/>
      <c r="J582" s="10"/>
      <c r="K582" s="10" t="s">
        <v>2995</v>
      </c>
      <c r="L582" s="10"/>
      <c r="M582" s="22"/>
      <c r="N582" s="10"/>
      <c r="O582" s="10"/>
      <c r="P582" s="12" t="str">
        <f t="shared" si="1"/>
        <v>https://docs.google.com/forms/d/e/1FAIpQLSeZ-R1GrWlAPkfaThGqxeTj0QTtrARw4rroxIIepf2kipn1nw/formResponse?usp=pp_url&amp;entry.1313582257=0094989387 / 242510325&amp;entry.1578404635=Hadir</v>
      </c>
      <c r="Q582" s="23" t="s">
        <v>3126</v>
      </c>
      <c r="R582" s="12" t="s">
        <v>3127</v>
      </c>
      <c r="S582" s="24" t="s">
        <v>3128</v>
      </c>
      <c r="T582" s="23" t="str">
        <f>HYPERLINK("https://drive.google.com/file/d/1IyLP75ltSORbdTEZ9QnX-lLa_mw4u0xX/view?usp=drivesdk","32 - XI A-1 - Queensha Anjani Sudrajat")</f>
        <v>32 - XI A-1 - Queensha Anjani Sudrajat</v>
      </c>
      <c r="U582" s="12" t="s">
        <v>3123</v>
      </c>
      <c r="W582" s="25">
        <f>COUNTIFS('Form Presensi SCC'!$B:$B, IF($C582&lt;&gt;0, TEXT($C582, "0000000000"), $D582), 'Form Presensi SCC'!$C:$C, "Hadir")</f>
        <v>0</v>
      </c>
      <c r="Y582" s="26"/>
    </row>
    <row r="583" ht="22.5" customHeight="1">
      <c r="A583" s="18">
        <v>555.0</v>
      </c>
      <c r="B583" s="31">
        <v>27.0</v>
      </c>
      <c r="C583" s="27" t="s">
        <v>3129</v>
      </c>
      <c r="D583" s="31" t="s">
        <v>3130</v>
      </c>
      <c r="E583" s="32" t="s">
        <v>227</v>
      </c>
      <c r="F583" s="12">
        <v>32.0</v>
      </c>
      <c r="G583" s="12" t="s">
        <v>2995</v>
      </c>
      <c r="H583" s="28"/>
      <c r="I583" s="20"/>
      <c r="J583" s="10"/>
      <c r="K583" s="10" t="s">
        <v>2995</v>
      </c>
      <c r="L583" s="10"/>
      <c r="M583" s="22"/>
      <c r="N583" s="10"/>
      <c r="O583" s="10"/>
      <c r="P583" s="12" t="str">
        <f t="shared" si="1"/>
        <v>https://docs.google.com/forms/d/e/1FAIpQLSeZ-R1GrWlAPkfaThGqxeTj0QTtrARw4rroxIIepf2kipn1nw/formResponse?usp=pp_url&amp;entry.1313582257=0091033788 / 242510336&amp;entry.1578404635=Hadir</v>
      </c>
      <c r="Q583" s="23" t="s">
        <v>3131</v>
      </c>
      <c r="R583" s="12" t="s">
        <v>3132</v>
      </c>
      <c r="S583" s="24" t="s">
        <v>3133</v>
      </c>
      <c r="T583" s="23" t="str">
        <f>HYPERLINK("https://drive.google.com/file/d/1PCZbJ58VHjBxzozad9lTVc_4WHcJ24hj/view?usp=drivesdk","32 - XI A-1 - Raihanna Zahra Aqilah")</f>
        <v>32 - XI A-1 - Raihanna Zahra Aqilah</v>
      </c>
      <c r="U583" s="12" t="s">
        <v>3123</v>
      </c>
      <c r="W583" s="25">
        <f>COUNTIFS('Form Presensi SCC'!$B:$B, IF($C583&lt;&gt;0, TEXT($C583, "0000000000"), $D583), 'Form Presensi SCC'!$C:$C, "Hadir")</f>
        <v>0</v>
      </c>
      <c r="Y583" s="26"/>
    </row>
    <row r="584" ht="22.5" customHeight="1">
      <c r="A584" s="18">
        <v>555.0</v>
      </c>
      <c r="B584" s="31">
        <v>28.0</v>
      </c>
      <c r="C584" s="27" t="s">
        <v>3134</v>
      </c>
      <c r="D584" s="31" t="s">
        <v>3135</v>
      </c>
      <c r="E584" s="32" t="s">
        <v>227</v>
      </c>
      <c r="F584" s="12">
        <v>32.0</v>
      </c>
      <c r="G584" s="12" t="s">
        <v>2995</v>
      </c>
      <c r="H584" s="28"/>
      <c r="I584" s="20"/>
      <c r="J584" s="10"/>
      <c r="K584" s="10" t="s">
        <v>2995</v>
      </c>
      <c r="L584" s="10"/>
      <c r="M584" s="22"/>
      <c r="N584" s="10"/>
      <c r="O584" s="10"/>
      <c r="P584" s="12" t="str">
        <f t="shared" si="1"/>
        <v>https://docs.google.com/forms/d/e/1FAIpQLSeZ-R1GrWlAPkfaThGqxeTj0QTtrARw4rroxIIepf2kipn1nw/formResponse?usp=pp_url&amp;entry.1313582257=3098805753 / 242510342&amp;entry.1578404635=Hadir</v>
      </c>
      <c r="Q584" s="23" t="s">
        <v>3136</v>
      </c>
      <c r="R584" s="12" t="s">
        <v>3137</v>
      </c>
      <c r="S584" s="24" t="s">
        <v>3138</v>
      </c>
      <c r="T584" s="23" t="str">
        <f>HYPERLINK("https://drive.google.com/file/d/1eBdpx3G599Uem8Sjcw3q2k_9g-9WVAua/view?usp=drivesdk","32 - XI A-1 - Rania Salsabila")</f>
        <v>32 - XI A-1 - Rania Salsabila</v>
      </c>
      <c r="U584" s="12" t="s">
        <v>3123</v>
      </c>
      <c r="W584" s="25">
        <f>COUNTIFS('Form Presensi SCC'!$B:$B, IF($C584&lt;&gt;0, TEXT($C584, "0000000000"), $D584), 'Form Presensi SCC'!$C:$C, "Hadir")</f>
        <v>0</v>
      </c>
      <c r="Y584" s="26"/>
    </row>
    <row r="585" ht="22.5" customHeight="1">
      <c r="A585" s="18">
        <v>555.0</v>
      </c>
      <c r="B585" s="31">
        <v>29.0</v>
      </c>
      <c r="C585" s="27" t="s">
        <v>3139</v>
      </c>
      <c r="D585" s="31" t="s">
        <v>3140</v>
      </c>
      <c r="E585" s="32" t="s">
        <v>227</v>
      </c>
      <c r="F585" s="12">
        <v>32.0</v>
      </c>
      <c r="G585" s="12" t="s">
        <v>2995</v>
      </c>
      <c r="H585" s="28"/>
      <c r="I585" s="20"/>
      <c r="J585" s="10"/>
      <c r="K585" s="10" t="s">
        <v>2995</v>
      </c>
      <c r="L585" s="10"/>
      <c r="M585" s="22"/>
      <c r="N585" s="10"/>
      <c r="O585" s="10"/>
      <c r="P585" s="12" t="str">
        <f t="shared" si="1"/>
        <v>https://docs.google.com/forms/d/e/1FAIpQLSeZ-R1GrWlAPkfaThGqxeTj0QTtrARw4rroxIIepf2kipn1nw/formResponse?usp=pp_url&amp;entry.1313582257=0092827580 / 242510388&amp;entry.1578404635=Hadir</v>
      </c>
      <c r="Q585" s="23" t="s">
        <v>3141</v>
      </c>
      <c r="R585" s="12" t="s">
        <v>3142</v>
      </c>
      <c r="S585" s="24" t="s">
        <v>3143</v>
      </c>
      <c r="T585" s="23" t="str">
        <f>HYPERLINK("https://drive.google.com/file/d/14FsdATa0nFs9XtrUksgGJrRxn6UHBJa3/view?usp=drivesdk","32 - XI A-1 - Syahrena Pita Pinasih")</f>
        <v>32 - XI A-1 - Syahrena Pita Pinasih</v>
      </c>
      <c r="U585" s="12" t="s">
        <v>3123</v>
      </c>
      <c r="W585" s="25">
        <f>COUNTIFS('Form Presensi SCC'!$B:$B, IF($C585&lt;&gt;0, TEXT($C585, "0000000000"), $D585), 'Form Presensi SCC'!$C:$C, "Hadir")</f>
        <v>0</v>
      </c>
      <c r="Y585" s="26"/>
    </row>
    <row r="586" ht="22.5" customHeight="1">
      <c r="A586" s="18">
        <v>555.0</v>
      </c>
      <c r="B586" s="31">
        <v>30.0</v>
      </c>
      <c r="C586" s="27" t="s">
        <v>3144</v>
      </c>
      <c r="D586" s="31" t="s">
        <v>3145</v>
      </c>
      <c r="E586" s="32" t="s">
        <v>220</v>
      </c>
      <c r="F586" s="12">
        <v>32.0</v>
      </c>
      <c r="G586" s="12" t="s">
        <v>2995</v>
      </c>
      <c r="H586" s="28"/>
      <c r="I586" s="20"/>
      <c r="J586" s="10"/>
      <c r="K586" s="10" t="s">
        <v>2995</v>
      </c>
      <c r="L586" s="10"/>
      <c r="M586" s="22"/>
      <c r="N586" s="10"/>
      <c r="O586" s="10"/>
      <c r="P586" s="12" t="str">
        <f t="shared" si="1"/>
        <v>https://docs.google.com/forms/d/e/1FAIpQLSeZ-R1GrWlAPkfaThGqxeTj0QTtrARw4rroxIIepf2kipn1nw/formResponse?usp=pp_url&amp;entry.1313582257=0083624999 / 242510402&amp;entry.1578404635=Hadir</v>
      </c>
      <c r="Q586" s="23" t="s">
        <v>3146</v>
      </c>
      <c r="R586" s="12" t="s">
        <v>3147</v>
      </c>
      <c r="S586" s="24" t="s">
        <v>3148</v>
      </c>
      <c r="T586" s="23" t="str">
        <f>HYPERLINK("https://drive.google.com/file/d/195MjgS9-9AHAPJr5Wxk_NmxmD91jmrrf/view?usp=drivesdk","32 - XI A-1 - Tristan Muhammad Jibril")</f>
        <v>32 - XI A-1 - Tristan Muhammad Jibril</v>
      </c>
      <c r="U586" s="12" t="s">
        <v>3123</v>
      </c>
      <c r="W586" s="25">
        <f>COUNTIFS('Form Presensi SCC'!$B:$B, IF($C586&lt;&gt;0, TEXT($C586, "0000000000"), $D586), 'Form Presensi SCC'!$C:$C, "Hadir")</f>
        <v>0</v>
      </c>
      <c r="Y586" s="26"/>
    </row>
    <row r="587" ht="22.5" customHeight="1">
      <c r="A587" s="18">
        <v>555.0</v>
      </c>
      <c r="B587" s="31">
        <v>31.0</v>
      </c>
      <c r="C587" s="27" t="s">
        <v>3149</v>
      </c>
      <c r="D587" s="31" t="s">
        <v>3150</v>
      </c>
      <c r="E587" s="32" t="s">
        <v>227</v>
      </c>
      <c r="F587" s="12">
        <v>32.0</v>
      </c>
      <c r="G587" s="12" t="s">
        <v>2995</v>
      </c>
      <c r="H587" s="28"/>
      <c r="I587" s="20"/>
      <c r="J587" s="10"/>
      <c r="K587" s="10" t="s">
        <v>2995</v>
      </c>
      <c r="L587" s="10"/>
      <c r="M587" s="22"/>
      <c r="N587" s="10"/>
      <c r="O587" s="10"/>
      <c r="P587" s="12" t="str">
        <f t="shared" si="1"/>
        <v>https://docs.google.com/forms/d/e/1FAIpQLSeZ-R1GrWlAPkfaThGqxeTj0QTtrARw4rroxIIepf2kipn1nw/formResponse?usp=pp_url&amp;entry.1313582257=0084290235 / 242510406&amp;entry.1578404635=Hadir</v>
      </c>
      <c r="Q587" s="23" t="s">
        <v>3151</v>
      </c>
      <c r="R587" s="12" t="s">
        <v>3152</v>
      </c>
      <c r="S587" s="24" t="s">
        <v>3153</v>
      </c>
      <c r="T587" s="23" t="str">
        <f>HYPERLINK("https://drive.google.com/file/d/1eVT5xn_yrzFTZjxpO6ueuUpC_yssbLEo/view?usp=drivesdk","32 - XI A-1 - Valeta Febiola Irmadani")</f>
        <v>32 - XI A-1 - Valeta Febiola Irmadani</v>
      </c>
      <c r="U587" s="12" t="s">
        <v>3154</v>
      </c>
      <c r="W587" s="25">
        <f>COUNTIFS('Form Presensi SCC'!$B:$B, IF($C587&lt;&gt;0, TEXT($C587, "0000000000"), $D587), 'Form Presensi SCC'!$C:$C, "Hadir")</f>
        <v>0</v>
      </c>
      <c r="Y587" s="26"/>
    </row>
    <row r="588" ht="22.5" customHeight="1">
      <c r="A588" s="18">
        <v>555.0</v>
      </c>
      <c r="B588" s="31">
        <v>32.0</v>
      </c>
      <c r="C588" s="27" t="s">
        <v>3155</v>
      </c>
      <c r="D588" s="31" t="s">
        <v>3156</v>
      </c>
      <c r="E588" s="32" t="s">
        <v>227</v>
      </c>
      <c r="F588" s="12">
        <v>32.0</v>
      </c>
      <c r="G588" s="12" t="s">
        <v>2995</v>
      </c>
      <c r="H588" s="28"/>
      <c r="I588" s="20"/>
      <c r="J588" s="10"/>
      <c r="K588" s="10" t="s">
        <v>2995</v>
      </c>
      <c r="L588" s="10"/>
      <c r="M588" s="22"/>
      <c r="N588" s="10"/>
      <c r="O588" s="10"/>
      <c r="P588" s="12" t="str">
        <f t="shared" si="1"/>
        <v>https://docs.google.com/forms/d/e/1FAIpQLSeZ-R1GrWlAPkfaThGqxeTj0QTtrARw4rroxIIepf2kipn1nw/formResponse?usp=pp_url&amp;entry.1313582257=0093286737 / 242510414&amp;entry.1578404635=Hadir</v>
      </c>
      <c r="Q588" s="23" t="s">
        <v>3157</v>
      </c>
      <c r="R588" s="12" t="s">
        <v>3158</v>
      </c>
      <c r="S588" s="24" t="s">
        <v>3159</v>
      </c>
      <c r="T588" s="23" t="str">
        <f>HYPERLINK("https://drive.google.com/file/d/1x4SiNdzK0Ur4EQ7Z2DU165vzoAFamSSo/view?usp=drivesdk","32 - XI A-1 - Winda Maharani")</f>
        <v>32 - XI A-1 - Winda Maharani</v>
      </c>
      <c r="U588" s="12" t="s">
        <v>3154</v>
      </c>
      <c r="W588" s="25">
        <f>COUNTIFS('Form Presensi SCC'!$B:$B, IF($C588&lt;&gt;0, TEXT($C588, "0000000000"), $D588), 'Form Presensi SCC'!$C:$C, "Hadir")</f>
        <v>0</v>
      </c>
      <c r="Y588" s="26"/>
    </row>
    <row r="589" ht="22.5" customHeight="1">
      <c r="A589" s="18">
        <v>555.0</v>
      </c>
      <c r="B589" s="31">
        <v>33.0</v>
      </c>
      <c r="C589" s="27" t="s">
        <v>3160</v>
      </c>
      <c r="D589" s="31" t="s">
        <v>3161</v>
      </c>
      <c r="E589" s="32" t="s">
        <v>227</v>
      </c>
      <c r="F589" s="12">
        <v>32.0</v>
      </c>
      <c r="G589" s="12" t="s">
        <v>2995</v>
      </c>
      <c r="H589" s="28"/>
      <c r="I589" s="20"/>
      <c r="J589" s="10"/>
      <c r="K589" s="10" t="s">
        <v>2995</v>
      </c>
      <c r="L589" s="10"/>
      <c r="M589" s="22"/>
      <c r="N589" s="10"/>
      <c r="O589" s="10"/>
      <c r="P589" s="12" t="str">
        <f t="shared" si="1"/>
        <v>https://docs.google.com/forms/d/e/1FAIpQLSeZ-R1GrWlAPkfaThGqxeTj0QTtrARw4rroxIIepf2kipn1nw/formResponse?usp=pp_url&amp;entry.1313582257=0091061057 / 242510416&amp;entry.1578404635=Hadir</v>
      </c>
      <c r="Q589" s="23" t="s">
        <v>3162</v>
      </c>
      <c r="R589" s="12" t="s">
        <v>3163</v>
      </c>
      <c r="S589" s="24" t="s">
        <v>3164</v>
      </c>
      <c r="T589" s="23" t="str">
        <f>HYPERLINK("https://drive.google.com/file/d/1tiIfn0QKKG4r0vgCVyNXO0Gl6e64XvwI/view?usp=drivesdk","32 - XI A-1 - Wintang Hikmah Kusuma Dewi")</f>
        <v>32 - XI A-1 - Wintang Hikmah Kusuma Dewi</v>
      </c>
      <c r="U589" s="12" t="s">
        <v>3154</v>
      </c>
      <c r="W589" s="25">
        <f>COUNTIFS('Form Presensi SCC'!$B:$B, IF($C589&lt;&gt;0, TEXT($C589, "0000000000"), $D589), 'Form Presensi SCC'!$C:$C, "Hadir")</f>
        <v>0</v>
      </c>
      <c r="Y589" s="26"/>
    </row>
    <row r="590" ht="22.5" customHeight="1">
      <c r="A590" s="18">
        <v>555.0</v>
      </c>
      <c r="B590" s="31">
        <v>34.0</v>
      </c>
      <c r="C590" s="27" t="s">
        <v>3165</v>
      </c>
      <c r="D590" s="31" t="s">
        <v>3166</v>
      </c>
      <c r="E590" s="32" t="s">
        <v>227</v>
      </c>
      <c r="F590" s="12">
        <v>32.0</v>
      </c>
      <c r="G590" s="12" t="s">
        <v>2995</v>
      </c>
      <c r="H590" s="28"/>
      <c r="I590" s="20"/>
      <c r="J590" s="10"/>
      <c r="K590" s="10" t="s">
        <v>2995</v>
      </c>
      <c r="L590" s="10"/>
      <c r="M590" s="22"/>
      <c r="N590" s="10"/>
      <c r="O590" s="10"/>
      <c r="P590" s="12" t="str">
        <f t="shared" si="1"/>
        <v>https://docs.google.com/forms/d/e/1FAIpQLSeZ-R1GrWlAPkfaThGqxeTj0QTtrARw4rroxIIepf2kipn1nw/formResponse?usp=pp_url&amp;entry.1313582257=0095163025 / 242510426&amp;entry.1578404635=Hadir</v>
      </c>
      <c r="Q590" s="23" t="s">
        <v>3167</v>
      </c>
      <c r="R590" s="12" t="s">
        <v>3168</v>
      </c>
      <c r="S590" s="24" t="s">
        <v>3169</v>
      </c>
      <c r="T590" s="23" t="str">
        <f>HYPERLINK("https://drive.google.com/file/d/1XBqrmOuMx6_1FjcIaSnYnUlzE9KQnUe4/view?usp=drivesdk","32 - XI A-1 - Zaskia Aulia Putri")</f>
        <v>32 - XI A-1 - Zaskia Aulia Putri</v>
      </c>
      <c r="U590" s="12" t="s">
        <v>3170</v>
      </c>
      <c r="W590" s="25">
        <f>COUNTIFS('Form Presensi SCC'!$B:$B, IF($C590&lt;&gt;0, TEXT($C590, "0000000000"), $D590), 'Form Presensi SCC'!$C:$C, "Hadir")</f>
        <v>0</v>
      </c>
      <c r="Y590" s="26"/>
    </row>
    <row r="591" ht="22.5" customHeight="1">
      <c r="A591" s="18">
        <v>555.0</v>
      </c>
      <c r="B591" s="31">
        <v>35.0</v>
      </c>
      <c r="C591" s="27" t="s">
        <v>3171</v>
      </c>
      <c r="D591" s="31" t="s">
        <v>3172</v>
      </c>
      <c r="E591" s="32" t="s">
        <v>227</v>
      </c>
      <c r="F591" s="12">
        <v>32.0</v>
      </c>
      <c r="G591" s="12" t="s">
        <v>2995</v>
      </c>
      <c r="H591" s="28"/>
      <c r="I591" s="20"/>
      <c r="J591" s="10"/>
      <c r="K591" s="10" t="s">
        <v>2995</v>
      </c>
      <c r="L591" s="10"/>
      <c r="M591" s="22"/>
      <c r="N591" s="10"/>
      <c r="O591" s="10"/>
      <c r="P591" s="12" t="str">
        <f t="shared" si="1"/>
        <v>https://docs.google.com/forms/d/e/1FAIpQLSeZ-R1GrWlAPkfaThGqxeTj0QTtrARw4rroxIIepf2kipn1nw/formResponse?usp=pp_url&amp;entry.1313582257=0082747470 / 242510430&amp;entry.1578404635=Hadir</v>
      </c>
      <c r="Q591" s="23" t="s">
        <v>3173</v>
      </c>
      <c r="R591" s="12" t="s">
        <v>3174</v>
      </c>
      <c r="S591" s="24" t="s">
        <v>3175</v>
      </c>
      <c r="T591" s="23" t="str">
        <f>HYPERLINK("https://drive.google.com/file/d/10QMwOFMrKmIarNBo47YoB4dk-gWcpYut/view?usp=drivesdk","32 - XI A-1 - Zhalida Daumixy Mora Siregar")</f>
        <v>32 - XI A-1 - Zhalida Daumixy Mora Siregar</v>
      </c>
      <c r="U591" s="12" t="s">
        <v>3170</v>
      </c>
      <c r="W591" s="25">
        <f>COUNTIFS('Form Presensi SCC'!$B:$B, IF($C591&lt;&gt;0, TEXT($C591, "0000000000"), $D591), 'Form Presensi SCC'!$C:$C, "Hadir")</f>
        <v>0</v>
      </c>
      <c r="Y591" s="26"/>
    </row>
    <row r="592" ht="22.5" customHeight="1">
      <c r="A592" s="18">
        <v>555.0</v>
      </c>
      <c r="B592" s="31">
        <v>36.0</v>
      </c>
      <c r="C592" s="27" t="s">
        <v>3176</v>
      </c>
      <c r="D592" s="31" t="s">
        <v>3177</v>
      </c>
      <c r="E592" s="32" t="s">
        <v>227</v>
      </c>
      <c r="F592" s="12">
        <v>32.0</v>
      </c>
      <c r="G592" s="12" t="s">
        <v>2995</v>
      </c>
      <c r="H592" s="28"/>
      <c r="I592" s="20"/>
      <c r="J592" s="10"/>
      <c r="K592" s="10" t="s">
        <v>2995</v>
      </c>
      <c r="L592" s="10"/>
      <c r="M592" s="22"/>
      <c r="N592" s="10"/>
      <c r="O592" s="10"/>
      <c r="P592" s="12" t="str">
        <f t="shared" si="1"/>
        <v>https://docs.google.com/forms/d/e/1FAIpQLSeZ-R1GrWlAPkfaThGqxeTj0QTtrARw4rroxIIepf2kipn1nw/formResponse?usp=pp_url&amp;entry.1313582257=0085011294 / 242510432&amp;entry.1578404635=Hadir</v>
      </c>
      <c r="Q592" s="23" t="s">
        <v>3178</v>
      </c>
      <c r="R592" s="12" t="s">
        <v>3179</v>
      </c>
      <c r="S592" s="24" t="s">
        <v>3180</v>
      </c>
      <c r="T592" s="23" t="str">
        <f>HYPERLINK("https://drive.google.com/file/d/1eAjj8D5KtsQpqAwsssPxziuIXXpdlqpT/view?usp=drivesdk","32 - XI A-1 - Zulfa Laila Mashurah")</f>
        <v>32 - XI A-1 - Zulfa Laila Mashurah</v>
      </c>
      <c r="U592" s="12" t="s">
        <v>3170</v>
      </c>
      <c r="W592" s="25">
        <f>COUNTIFS('Form Presensi SCC'!$B:$B, IF($C592&lt;&gt;0, TEXT($C592, "0000000000"), $D592), 'Form Presensi SCC'!$C:$C, "Hadir")</f>
        <v>0</v>
      </c>
      <c r="Y592" s="26"/>
    </row>
    <row r="593" ht="22.5" customHeight="1">
      <c r="A593" s="18">
        <v>555.0</v>
      </c>
      <c r="B593" s="31">
        <v>1.0</v>
      </c>
      <c r="C593" s="27" t="s">
        <v>3181</v>
      </c>
      <c r="D593" s="31" t="s">
        <v>3182</v>
      </c>
      <c r="E593" s="32" t="s">
        <v>227</v>
      </c>
      <c r="F593" s="12">
        <v>32.0</v>
      </c>
      <c r="G593" s="12" t="s">
        <v>3183</v>
      </c>
      <c r="H593" s="28"/>
      <c r="I593" s="20"/>
      <c r="J593" s="10"/>
      <c r="K593" s="10" t="s">
        <v>3183</v>
      </c>
      <c r="L593" s="10"/>
      <c r="M593" s="22"/>
      <c r="N593" s="10"/>
      <c r="O593" s="10"/>
      <c r="P593" s="12" t="str">
        <f t="shared" si="1"/>
        <v>https://docs.google.com/forms/d/e/1FAIpQLSeZ-R1GrWlAPkfaThGqxeTj0QTtrARw4rroxIIepf2kipn1nw/formResponse?usp=pp_url&amp;entry.1313582257=0092385645 / 242510005&amp;entry.1578404635=Hadir</v>
      </c>
      <c r="Q593" s="23" t="s">
        <v>3184</v>
      </c>
      <c r="R593" s="12" t="s">
        <v>3185</v>
      </c>
      <c r="S593" s="24" t="s">
        <v>3186</v>
      </c>
      <c r="T593" s="23" t="str">
        <f>HYPERLINK("https://drive.google.com/file/d/1Nt0iHdTeWO1qD3-i5fA7YVvLU7BVXlHA/view?usp=drivesdk","32 - XI A-2 - Adinda Khayla")</f>
        <v>32 - XI A-2 - Adinda Khayla</v>
      </c>
      <c r="U593" s="12" t="s">
        <v>3170</v>
      </c>
      <c r="W593" s="25">
        <f>COUNTIFS('Form Presensi SCC'!$B:$B, IF($C593&lt;&gt;0, TEXT($C593, "0000000000"), $D593), 'Form Presensi SCC'!$C:$C, "Hadir")</f>
        <v>0</v>
      </c>
      <c r="Y593" s="26"/>
    </row>
    <row r="594" ht="22.5" customHeight="1">
      <c r="A594" s="18">
        <v>555.0</v>
      </c>
      <c r="B594" s="31">
        <v>2.0</v>
      </c>
      <c r="C594" s="27" t="s">
        <v>3187</v>
      </c>
      <c r="D594" s="31" t="s">
        <v>3188</v>
      </c>
      <c r="E594" s="32" t="s">
        <v>220</v>
      </c>
      <c r="F594" s="12">
        <v>32.0</v>
      </c>
      <c r="G594" s="12" t="s">
        <v>3183</v>
      </c>
      <c r="H594" s="28"/>
      <c r="I594" s="20"/>
      <c r="J594" s="10"/>
      <c r="K594" s="10" t="s">
        <v>3183</v>
      </c>
      <c r="L594" s="10"/>
      <c r="M594" s="22"/>
      <c r="N594" s="10"/>
      <c r="O594" s="10"/>
      <c r="P594" s="12" t="str">
        <f t="shared" si="1"/>
        <v>https://docs.google.com/forms/d/e/1FAIpQLSeZ-R1GrWlAPkfaThGqxeTj0QTtrARw4rroxIIepf2kipn1nw/formResponse?usp=pp_url&amp;entry.1313582257=0083638898 / 242510007&amp;entry.1578404635=Hadir</v>
      </c>
      <c r="Q594" s="23" t="s">
        <v>3189</v>
      </c>
      <c r="R594" s="12" t="s">
        <v>3190</v>
      </c>
      <c r="S594" s="24" t="s">
        <v>3191</v>
      </c>
      <c r="T594" s="23" t="str">
        <f>HYPERLINK("https://drive.google.com/file/d/1gKmDsL5rGL9MtZzGwxO2OHADsXcRy4Kk/view?usp=drivesdk","32 - XI A-2 - Aditya Narayan")</f>
        <v>32 - XI A-2 - Aditya Narayan</v>
      </c>
      <c r="U594" s="12" t="s">
        <v>3170</v>
      </c>
      <c r="W594" s="25">
        <f>COUNTIFS('Form Presensi SCC'!$B:$B, IF($C594&lt;&gt;0, TEXT($C594, "0000000000"), $D594), 'Form Presensi SCC'!$C:$C, "Hadir")</f>
        <v>0</v>
      </c>
      <c r="Y594" s="26"/>
    </row>
    <row r="595" ht="22.5" customHeight="1">
      <c r="A595" s="18">
        <v>555.0</v>
      </c>
      <c r="B595" s="31">
        <v>3.0</v>
      </c>
      <c r="C595" s="27" t="s">
        <v>3192</v>
      </c>
      <c r="D595" s="31" t="s">
        <v>3193</v>
      </c>
      <c r="E595" s="32" t="s">
        <v>227</v>
      </c>
      <c r="F595" s="12">
        <v>32.0</v>
      </c>
      <c r="G595" s="12" t="s">
        <v>3183</v>
      </c>
      <c r="H595" s="28"/>
      <c r="I595" s="20"/>
      <c r="J595" s="10"/>
      <c r="K595" s="10" t="s">
        <v>3183</v>
      </c>
      <c r="L595" s="10"/>
      <c r="M595" s="22"/>
      <c r="N595" s="10"/>
      <c r="O595" s="10"/>
      <c r="P595" s="12" t="str">
        <f t="shared" si="1"/>
        <v>https://docs.google.com/forms/d/e/1FAIpQLSeZ-R1GrWlAPkfaThGqxeTj0QTtrARw4rroxIIepf2kipn1nw/formResponse?usp=pp_url&amp;entry.1313582257=0083581318 / 242510018&amp;entry.1578404635=Hadir</v>
      </c>
      <c r="Q595" s="23" t="s">
        <v>3194</v>
      </c>
      <c r="R595" s="12" t="s">
        <v>3195</v>
      </c>
      <c r="S595" s="24" t="s">
        <v>3196</v>
      </c>
      <c r="T595" s="23" t="str">
        <f>HYPERLINK("https://drive.google.com/file/d/1pij1QdOOs09IJMi_TgHl7ThE3giSeg17/view?usp=drivesdk","32 - XI A-2 - Aisyah Syuja Larasati Sigit")</f>
        <v>32 - XI A-2 - Aisyah Syuja Larasati Sigit</v>
      </c>
      <c r="U595" s="12" t="s">
        <v>3197</v>
      </c>
      <c r="W595" s="25">
        <f>COUNTIFS('Form Presensi SCC'!$B:$B, IF($C595&lt;&gt;0, TEXT($C595, "0000000000"), $D595), 'Form Presensi SCC'!$C:$C, "Hadir")</f>
        <v>0</v>
      </c>
      <c r="Y595" s="26"/>
    </row>
    <row r="596" ht="22.5" customHeight="1">
      <c r="A596" s="18">
        <v>555.0</v>
      </c>
      <c r="B596" s="31">
        <v>4.0</v>
      </c>
      <c r="C596" s="27" t="s">
        <v>3198</v>
      </c>
      <c r="D596" s="31" t="s">
        <v>3199</v>
      </c>
      <c r="E596" s="32" t="s">
        <v>227</v>
      </c>
      <c r="F596" s="12">
        <v>32.0</v>
      </c>
      <c r="G596" s="12" t="s">
        <v>3183</v>
      </c>
      <c r="H596" s="28"/>
      <c r="I596" s="20"/>
      <c r="J596" s="10"/>
      <c r="K596" s="10" t="s">
        <v>3183</v>
      </c>
      <c r="L596" s="10"/>
      <c r="M596" s="22"/>
      <c r="N596" s="10"/>
      <c r="O596" s="10"/>
      <c r="P596" s="12" t="str">
        <f t="shared" si="1"/>
        <v>https://docs.google.com/forms/d/e/1FAIpQLSeZ-R1GrWlAPkfaThGqxeTj0QTtrARw4rroxIIepf2kipn1nw/formResponse?usp=pp_url&amp;entry.1313582257=0086733881 / 242510028&amp;entry.1578404635=Hadir</v>
      </c>
      <c r="Q596" s="23" t="s">
        <v>3200</v>
      </c>
      <c r="R596" s="12" t="s">
        <v>3201</v>
      </c>
      <c r="S596" s="24" t="s">
        <v>3202</v>
      </c>
      <c r="T596" s="23" t="str">
        <f>HYPERLINK("https://drive.google.com/file/d/1FKsRKbmZ4eKe0yHl2ouiHpY4qTtRWiIf/view?usp=drivesdk","32 - XI A-2 - Alma Destianti")</f>
        <v>32 - XI A-2 - Alma Destianti</v>
      </c>
      <c r="U596" s="12" t="s">
        <v>3197</v>
      </c>
      <c r="W596" s="25">
        <f>COUNTIFS('Form Presensi SCC'!$B:$B, IF($C596&lt;&gt;0, TEXT($C596, "0000000000"), $D596), 'Form Presensi SCC'!$C:$C, "Hadir")</f>
        <v>0</v>
      </c>
      <c r="Y596" s="26"/>
    </row>
    <row r="597" ht="22.5" customHeight="1">
      <c r="A597" s="18">
        <v>555.0</v>
      </c>
      <c r="B597" s="31">
        <v>5.0</v>
      </c>
      <c r="C597" s="27" t="s">
        <v>3203</v>
      </c>
      <c r="D597" s="31" t="s">
        <v>3204</v>
      </c>
      <c r="E597" s="32" t="s">
        <v>227</v>
      </c>
      <c r="F597" s="12">
        <v>32.0</v>
      </c>
      <c r="G597" s="12" t="s">
        <v>3183</v>
      </c>
      <c r="H597" s="28"/>
      <c r="I597" s="20"/>
      <c r="J597" s="10"/>
      <c r="K597" s="10" t="s">
        <v>3183</v>
      </c>
      <c r="L597" s="10"/>
      <c r="M597" s="22"/>
      <c r="N597" s="10"/>
      <c r="O597" s="10"/>
      <c r="P597" s="12" t="str">
        <f t="shared" si="1"/>
        <v>https://docs.google.com/forms/d/e/1FAIpQLSeZ-R1GrWlAPkfaThGqxeTj0QTtrARw4rroxIIepf2kipn1nw/formResponse?usp=pp_url&amp;entry.1313582257=0098621054 / 242510037&amp;entry.1578404635=Hadir</v>
      </c>
      <c r="Q597" s="23" t="s">
        <v>3205</v>
      </c>
      <c r="R597" s="12" t="s">
        <v>3206</v>
      </c>
      <c r="S597" s="24" t="s">
        <v>3207</v>
      </c>
      <c r="T597" s="23" t="str">
        <f>HYPERLINK("https://drive.google.com/file/d/1K1ssMRCW24TlTgeLre2rESCSqzQH2KSI/view?usp=drivesdk","32 - XI A-2 - Alya Mukhbita Hendriana")</f>
        <v>32 - XI A-2 - Alya Mukhbita Hendriana</v>
      </c>
      <c r="U597" s="12" t="s">
        <v>3197</v>
      </c>
      <c r="W597" s="25">
        <f>COUNTIFS('Form Presensi SCC'!$B:$B, IF($C597&lt;&gt;0, TEXT($C597, "0000000000"), $D597), 'Form Presensi SCC'!$C:$C, "Hadir")</f>
        <v>0</v>
      </c>
      <c r="Y597" s="26"/>
    </row>
    <row r="598" ht="22.5" customHeight="1">
      <c r="A598" s="18">
        <v>555.0</v>
      </c>
      <c r="B598" s="31">
        <v>6.0</v>
      </c>
      <c r="C598" s="27" t="s">
        <v>3208</v>
      </c>
      <c r="D598" s="31" t="s">
        <v>3209</v>
      </c>
      <c r="E598" s="32" t="s">
        <v>227</v>
      </c>
      <c r="F598" s="12">
        <v>32.0</v>
      </c>
      <c r="G598" s="12" t="s">
        <v>3183</v>
      </c>
      <c r="H598" s="28"/>
      <c r="I598" s="20"/>
      <c r="J598" s="10"/>
      <c r="K598" s="10" t="s">
        <v>3183</v>
      </c>
      <c r="L598" s="10"/>
      <c r="M598" s="22"/>
      <c r="N598" s="10"/>
      <c r="O598" s="10"/>
      <c r="P598" s="12" t="str">
        <f t="shared" si="1"/>
        <v>https://docs.google.com/forms/d/e/1FAIpQLSeZ-R1GrWlAPkfaThGqxeTj0QTtrARw4rroxIIepf2kipn1nw/formResponse?usp=pp_url&amp;entry.1313582257=0092707821 / 242510046&amp;entry.1578404635=Hadir</v>
      </c>
      <c r="Q598" s="23" t="s">
        <v>3210</v>
      </c>
      <c r="R598" s="12" t="s">
        <v>3211</v>
      </c>
      <c r="S598" s="24" t="s">
        <v>3212</v>
      </c>
      <c r="T598" s="23" t="str">
        <f>HYPERLINK("https://drive.google.com/file/d/1WgkGa99gXIE8Fq2kPZrZC2d9JBKEiC_C/view?usp=drivesdk","32 - XI A-2 - Anindita Naranisa Jati")</f>
        <v>32 - XI A-2 - Anindita Naranisa Jati</v>
      </c>
      <c r="U598" s="12" t="s">
        <v>3197</v>
      </c>
      <c r="W598" s="25">
        <f>COUNTIFS('Form Presensi SCC'!$B:$B, IF($C598&lt;&gt;0, TEXT($C598, "0000000000"), $D598), 'Form Presensi SCC'!$C:$C, "Hadir")</f>
        <v>0</v>
      </c>
      <c r="Y598" s="26"/>
    </row>
    <row r="599" ht="22.5" customHeight="1">
      <c r="A599" s="18">
        <v>555.0</v>
      </c>
      <c r="B599" s="31">
        <v>7.0</v>
      </c>
      <c r="C599" s="27" t="s">
        <v>51</v>
      </c>
      <c r="D599" s="31" t="s">
        <v>3213</v>
      </c>
      <c r="E599" s="32" t="s">
        <v>227</v>
      </c>
      <c r="F599" s="12">
        <v>32.0</v>
      </c>
      <c r="G599" s="12" t="s">
        <v>3183</v>
      </c>
      <c r="H599" s="28"/>
      <c r="I599" s="20"/>
      <c r="J599" s="10"/>
      <c r="K599" s="10" t="s">
        <v>3183</v>
      </c>
      <c r="L599" s="10"/>
      <c r="M599" s="22"/>
      <c r="N599" s="10"/>
      <c r="O599" s="10"/>
      <c r="P599" s="12" t="str">
        <f t="shared" si="1"/>
        <v>https://docs.google.com/forms/d/e/1FAIpQLSeZ-R1GrWlAPkfaThGqxeTj0QTtrARw4rroxIIepf2kipn1nw/formResponse?usp=pp_url&amp;entry.1313582257=0083016159 / 242510052&amp;entry.1578404635=Hadir</v>
      </c>
      <c r="Q599" s="23" t="s">
        <v>3214</v>
      </c>
      <c r="R599" s="12" t="s">
        <v>3215</v>
      </c>
      <c r="S599" s="24" t="s">
        <v>3216</v>
      </c>
      <c r="T599" s="23" t="str">
        <f>HYPERLINK("https://drive.google.com/file/d/1Ub8UJF9FsxxWVRloNSZOohZgIT7yIHGA/view?usp=drivesdk","32 - XI A-2 - Annisa Nur Fajriya")</f>
        <v>32 - XI A-2 - Annisa Nur Fajriya</v>
      </c>
      <c r="U599" s="12" t="s">
        <v>3197</v>
      </c>
      <c r="W599" s="25">
        <f>COUNTIFS('Form Presensi SCC'!$B:$B, IF($C599&lt;&gt;0, TEXT($C599, "0000000000"), $D599), 'Form Presensi SCC'!$C:$C, "Hadir")</f>
        <v>1</v>
      </c>
      <c r="Y599" s="26"/>
    </row>
    <row r="600" ht="22.5" customHeight="1">
      <c r="A600" s="18">
        <v>555.0</v>
      </c>
      <c r="B600" s="31">
        <v>8.0</v>
      </c>
      <c r="C600" s="27" t="s">
        <v>3217</v>
      </c>
      <c r="D600" s="31" t="s">
        <v>3218</v>
      </c>
      <c r="E600" s="32" t="s">
        <v>227</v>
      </c>
      <c r="F600" s="12">
        <v>32.0</v>
      </c>
      <c r="G600" s="12" t="s">
        <v>3183</v>
      </c>
      <c r="H600" s="28"/>
      <c r="I600" s="20"/>
      <c r="J600" s="10"/>
      <c r="K600" s="10" t="s">
        <v>3183</v>
      </c>
      <c r="L600" s="10"/>
      <c r="M600" s="22"/>
      <c r="N600" s="10"/>
      <c r="O600" s="10"/>
      <c r="P600" s="12" t="str">
        <f t="shared" si="1"/>
        <v>https://docs.google.com/forms/d/e/1FAIpQLSeZ-R1GrWlAPkfaThGqxeTj0QTtrARw4rroxIIepf2kipn1nw/formResponse?usp=pp_url&amp;entry.1313582257=0083641645 / 242510064&amp;entry.1578404635=Hadir</v>
      </c>
      <c r="Q600" s="23" t="s">
        <v>3219</v>
      </c>
      <c r="R600" s="12" t="s">
        <v>3220</v>
      </c>
      <c r="S600" s="24" t="s">
        <v>3221</v>
      </c>
      <c r="T600" s="23" t="str">
        <f>HYPERLINK("https://drive.google.com/file/d/1YjMx01n2gamnlkO5uzcvGQef8FuMVCqI/view?usp=drivesdk","32 - XI A-2 - Atma Pertiwi")</f>
        <v>32 - XI A-2 - Atma Pertiwi</v>
      </c>
      <c r="U600" s="12" t="s">
        <v>3197</v>
      </c>
      <c r="W600" s="25">
        <f>COUNTIFS('Form Presensi SCC'!$B:$B, IF($C600&lt;&gt;0, TEXT($C600, "0000000000"), $D600), 'Form Presensi SCC'!$C:$C, "Hadir")</f>
        <v>0</v>
      </c>
      <c r="Y600" s="26"/>
    </row>
    <row r="601" ht="22.5" customHeight="1">
      <c r="A601" s="18">
        <v>555.0</v>
      </c>
      <c r="B601" s="31">
        <v>9.0</v>
      </c>
      <c r="C601" s="27" t="s">
        <v>3222</v>
      </c>
      <c r="D601" s="31" t="s">
        <v>3223</v>
      </c>
      <c r="E601" s="32" t="s">
        <v>220</v>
      </c>
      <c r="F601" s="12">
        <v>32.0</v>
      </c>
      <c r="G601" s="12" t="s">
        <v>3183</v>
      </c>
      <c r="H601" s="28"/>
      <c r="I601" s="20"/>
      <c r="J601" s="10"/>
      <c r="K601" s="10" t="s">
        <v>3183</v>
      </c>
      <c r="L601" s="10"/>
      <c r="M601" s="22"/>
      <c r="N601" s="10"/>
      <c r="O601" s="10"/>
      <c r="P601" s="12" t="str">
        <f t="shared" si="1"/>
        <v>https://docs.google.com/forms/d/e/1FAIpQLSeZ-R1GrWlAPkfaThGqxeTj0QTtrARw4rroxIIepf2kipn1nw/formResponse?usp=pp_url&amp;entry.1313582257=0093262366 / 242510104&amp;entry.1578404635=Hadir</v>
      </c>
      <c r="Q601" s="23" t="s">
        <v>3224</v>
      </c>
      <c r="R601" s="12" t="s">
        <v>3225</v>
      </c>
      <c r="S601" s="24" t="s">
        <v>3226</v>
      </c>
      <c r="T601" s="23" t="str">
        <f>HYPERLINK("https://drive.google.com/file/d/1FyXgj0IY9AsBtzkVuWSzb6HRbFuBZ725/view?usp=drivesdk","32 - XI A-2 - Deivar Brimantara")</f>
        <v>32 - XI A-2 - Deivar Brimantara</v>
      </c>
      <c r="U601" s="12" t="s">
        <v>3227</v>
      </c>
      <c r="W601" s="25">
        <f>COUNTIFS('Form Presensi SCC'!$B:$B, IF($C601&lt;&gt;0, TEXT($C601, "0000000000"), $D601), 'Form Presensi SCC'!$C:$C, "Hadir")</f>
        <v>0</v>
      </c>
      <c r="Y601" s="26"/>
    </row>
    <row r="602" ht="22.5" customHeight="1">
      <c r="A602" s="18">
        <v>555.0</v>
      </c>
      <c r="B602" s="31">
        <v>10.0</v>
      </c>
      <c r="C602" s="27" t="s">
        <v>3228</v>
      </c>
      <c r="D602" s="31" t="s">
        <v>3229</v>
      </c>
      <c r="E602" s="32" t="s">
        <v>227</v>
      </c>
      <c r="F602" s="12">
        <v>32.0</v>
      </c>
      <c r="G602" s="12" t="s">
        <v>3183</v>
      </c>
      <c r="H602" s="28"/>
      <c r="I602" s="20"/>
      <c r="J602" s="10"/>
      <c r="K602" s="10" t="s">
        <v>3183</v>
      </c>
      <c r="L602" s="10"/>
      <c r="M602" s="22"/>
      <c r="N602" s="10"/>
      <c r="O602" s="10"/>
      <c r="P602" s="12" t="str">
        <f t="shared" si="1"/>
        <v>https://docs.google.com/forms/d/e/1FAIpQLSeZ-R1GrWlAPkfaThGqxeTj0QTtrARw4rroxIIepf2kipn1nw/formResponse?usp=pp_url&amp;entry.1313582257=0096851574 / 242510117&amp;entry.1578404635=Hadir</v>
      </c>
      <c r="Q602" s="23" t="s">
        <v>3230</v>
      </c>
      <c r="R602" s="12" t="s">
        <v>3231</v>
      </c>
      <c r="S602" s="24" t="s">
        <v>3232</v>
      </c>
      <c r="T602" s="23" t="str">
        <f>HYPERLINK("https://drive.google.com/file/d/16_YoOi70WGM4s9H5fc-4LcWZweCXYvzK/view?usp=drivesdk","32 - XI A-2 - Dzakia Fitri")</f>
        <v>32 - XI A-2 - Dzakia Fitri</v>
      </c>
      <c r="U602" s="12" t="s">
        <v>3227</v>
      </c>
      <c r="W602" s="25">
        <f>COUNTIFS('Form Presensi SCC'!$B:$B, IF($C602&lt;&gt;0, TEXT($C602, "0000000000"), $D602), 'Form Presensi SCC'!$C:$C, "Hadir")</f>
        <v>0</v>
      </c>
      <c r="Y602" s="26"/>
    </row>
    <row r="603" ht="22.5" customHeight="1">
      <c r="A603" s="18">
        <v>555.0</v>
      </c>
      <c r="B603" s="31">
        <v>11.0</v>
      </c>
      <c r="C603" s="27" t="s">
        <v>3233</v>
      </c>
      <c r="D603" s="31" t="s">
        <v>3234</v>
      </c>
      <c r="E603" s="32" t="s">
        <v>227</v>
      </c>
      <c r="F603" s="12">
        <v>32.0</v>
      </c>
      <c r="G603" s="12" t="s">
        <v>3183</v>
      </c>
      <c r="H603" s="28"/>
      <c r="I603" s="20"/>
      <c r="J603" s="10"/>
      <c r="K603" s="10" t="s">
        <v>3183</v>
      </c>
      <c r="L603" s="10"/>
      <c r="M603" s="22"/>
      <c r="N603" s="10"/>
      <c r="O603" s="10"/>
      <c r="P603" s="12" t="str">
        <f t="shared" si="1"/>
        <v>https://docs.google.com/forms/d/e/1FAIpQLSeZ-R1GrWlAPkfaThGqxeTj0QTtrARw4rroxIIepf2kipn1nw/formResponse?usp=pp_url&amp;entry.1313582257=0092622229 / 242510129&amp;entry.1578404635=Hadir</v>
      </c>
      <c r="Q603" s="23" t="s">
        <v>3235</v>
      </c>
      <c r="R603" s="12" t="s">
        <v>3236</v>
      </c>
      <c r="S603" s="24" t="s">
        <v>3237</v>
      </c>
      <c r="T603" s="23" t="str">
        <f>HYPERLINK("https://drive.google.com/file/d/1xmExiAcBq3UYwIIJKk4nIizCrMHanjGA/view?usp=drivesdk","32 - XI A-2 - Fadhilah Dwi Sabrina Nugrahaning Putri")</f>
        <v>32 - XI A-2 - Fadhilah Dwi Sabrina Nugrahaning Putri</v>
      </c>
      <c r="U603" s="12" t="s">
        <v>3227</v>
      </c>
      <c r="W603" s="25">
        <f>COUNTIFS('Form Presensi SCC'!$B:$B, IF($C603&lt;&gt;0, TEXT($C603, "0000000000"), $D603), 'Form Presensi SCC'!$C:$C, "Hadir")</f>
        <v>0</v>
      </c>
      <c r="Y603" s="26"/>
    </row>
    <row r="604" ht="22.5" customHeight="1">
      <c r="A604" s="18">
        <v>555.0</v>
      </c>
      <c r="B604" s="31">
        <v>12.0</v>
      </c>
      <c r="C604" s="27" t="s">
        <v>3238</v>
      </c>
      <c r="D604" s="31" t="s">
        <v>3239</v>
      </c>
      <c r="E604" s="32" t="s">
        <v>227</v>
      </c>
      <c r="F604" s="12">
        <v>32.0</v>
      </c>
      <c r="G604" s="12" t="s">
        <v>3183</v>
      </c>
      <c r="H604" s="28"/>
      <c r="I604" s="20"/>
      <c r="J604" s="10"/>
      <c r="K604" s="10" t="s">
        <v>3183</v>
      </c>
      <c r="L604" s="10"/>
      <c r="M604" s="22"/>
      <c r="N604" s="10"/>
      <c r="O604" s="10"/>
      <c r="P604" s="12" t="str">
        <f t="shared" si="1"/>
        <v>https://docs.google.com/forms/d/e/1FAIpQLSeZ-R1GrWlAPkfaThGqxeTj0QTtrARw4rroxIIepf2kipn1nw/formResponse?usp=pp_url&amp;entry.1313582257=0081916428 / 242510141&amp;entry.1578404635=Hadir</v>
      </c>
      <c r="Q604" s="23" t="s">
        <v>3240</v>
      </c>
      <c r="R604" s="12" t="s">
        <v>3241</v>
      </c>
      <c r="S604" s="24" t="s">
        <v>3242</v>
      </c>
      <c r="T604" s="23" t="str">
        <f>HYPERLINK("https://drive.google.com/file/d/1fQuUx_YrRp3g8QaPJ7KTeSjtyONEKkjp/view?usp=drivesdk","32 - XI A-2 - Fellysia Oktafia Fernanda")</f>
        <v>32 - XI A-2 - Fellysia Oktafia Fernanda</v>
      </c>
      <c r="U604" s="12" t="s">
        <v>3227</v>
      </c>
      <c r="W604" s="25">
        <f>COUNTIFS('Form Presensi SCC'!$B:$B, IF($C604&lt;&gt;0, TEXT($C604, "0000000000"), $D604), 'Form Presensi SCC'!$C:$C, "Hadir")</f>
        <v>0</v>
      </c>
      <c r="Y604" s="26"/>
    </row>
    <row r="605" ht="22.5" customHeight="1">
      <c r="A605" s="18">
        <v>555.0</v>
      </c>
      <c r="B605" s="31">
        <v>13.0</v>
      </c>
      <c r="C605" s="27" t="s">
        <v>3243</v>
      </c>
      <c r="D605" s="31" t="s">
        <v>3244</v>
      </c>
      <c r="E605" s="32" t="s">
        <v>227</v>
      </c>
      <c r="F605" s="12">
        <v>32.0</v>
      </c>
      <c r="G605" s="12" t="s">
        <v>3183</v>
      </c>
      <c r="H605" s="28"/>
      <c r="I605" s="20"/>
      <c r="J605" s="10"/>
      <c r="K605" s="10" t="s">
        <v>3183</v>
      </c>
      <c r="L605" s="10"/>
      <c r="M605" s="22"/>
      <c r="N605" s="10"/>
      <c r="O605" s="10"/>
      <c r="P605" s="12" t="str">
        <f t="shared" si="1"/>
        <v>https://docs.google.com/forms/d/e/1FAIpQLSeZ-R1GrWlAPkfaThGqxeTj0QTtrARw4rroxIIepf2kipn1nw/formResponse?usp=pp_url&amp;entry.1313582257=0095691756 / 242510144&amp;entry.1578404635=Hadir</v>
      </c>
      <c r="Q605" s="23" t="s">
        <v>3245</v>
      </c>
      <c r="R605" s="12" t="s">
        <v>3246</v>
      </c>
      <c r="S605" s="24" t="s">
        <v>3247</v>
      </c>
      <c r="T605" s="23" t="str">
        <f>HYPERLINK("https://drive.google.com/file/d/1cuAUKkFIiqVO0HFL_UxjouXAobedEbr3/view?usp=drivesdk","32 - XI A-2 - Fiquita Napu")</f>
        <v>32 - XI A-2 - Fiquita Napu</v>
      </c>
      <c r="U605" s="12" t="s">
        <v>3227</v>
      </c>
      <c r="W605" s="25">
        <f>COUNTIFS('Form Presensi SCC'!$B:$B, IF($C605&lt;&gt;0, TEXT($C605, "0000000000"), $D605), 'Form Presensi SCC'!$C:$C, "Hadir")</f>
        <v>0</v>
      </c>
      <c r="Y605" s="26"/>
    </row>
    <row r="606" ht="22.5" customHeight="1">
      <c r="A606" s="18">
        <v>555.0</v>
      </c>
      <c r="B606" s="31">
        <v>14.0</v>
      </c>
      <c r="C606" s="27" t="s">
        <v>3248</v>
      </c>
      <c r="D606" s="31" t="s">
        <v>3249</v>
      </c>
      <c r="E606" s="32" t="s">
        <v>220</v>
      </c>
      <c r="F606" s="12">
        <v>32.0</v>
      </c>
      <c r="G606" s="12" t="s">
        <v>3183</v>
      </c>
      <c r="H606" s="28"/>
      <c r="I606" s="20"/>
      <c r="J606" s="10"/>
      <c r="K606" s="10" t="s">
        <v>3183</v>
      </c>
      <c r="L606" s="10"/>
      <c r="M606" s="22"/>
      <c r="N606" s="10"/>
      <c r="O606" s="10"/>
      <c r="P606" s="12" t="str">
        <f t="shared" si="1"/>
        <v>https://docs.google.com/forms/d/e/1FAIpQLSeZ-R1GrWlAPkfaThGqxeTj0QTtrARw4rroxIIepf2kipn1nw/formResponse?usp=pp_url&amp;entry.1313582257=0082539116 / 242510153&amp;entry.1578404635=Hadir</v>
      </c>
      <c r="Q606" s="23" t="s">
        <v>3250</v>
      </c>
      <c r="R606" s="12" t="s">
        <v>3251</v>
      </c>
      <c r="S606" s="24" t="s">
        <v>3252</v>
      </c>
      <c r="T606" s="23" t="str">
        <f>HYPERLINK("https://drive.google.com/file/d/1rKXOavkLcDfQ6anpqpYQ0hnfoXqPtVfB/view?usp=drivesdk","32 - XI A-2 - Glenn Hubert Jonathan Haholongan Simanungkalit")</f>
        <v>32 - XI A-2 - Glenn Hubert Jonathan Haholongan Simanungkalit</v>
      </c>
      <c r="U606" s="12" t="s">
        <v>3253</v>
      </c>
      <c r="W606" s="25">
        <f>COUNTIFS('Form Presensi SCC'!$B:$B, IF($C606&lt;&gt;0, TEXT($C606, "0000000000"), $D606), 'Form Presensi SCC'!$C:$C, "Hadir")</f>
        <v>0</v>
      </c>
      <c r="Y606" s="26"/>
    </row>
    <row r="607" ht="22.5" customHeight="1">
      <c r="A607" s="18">
        <v>555.0</v>
      </c>
      <c r="B607" s="31">
        <v>15.0</v>
      </c>
      <c r="C607" s="27" t="s">
        <v>3254</v>
      </c>
      <c r="D607" s="31" t="s">
        <v>3255</v>
      </c>
      <c r="E607" s="32" t="s">
        <v>220</v>
      </c>
      <c r="F607" s="12">
        <v>32.0</v>
      </c>
      <c r="G607" s="12" t="s">
        <v>3183</v>
      </c>
      <c r="H607" s="28"/>
      <c r="I607" s="20"/>
      <c r="J607" s="10"/>
      <c r="K607" s="10" t="s">
        <v>3183</v>
      </c>
      <c r="L607" s="10"/>
      <c r="M607" s="22"/>
      <c r="N607" s="10"/>
      <c r="O607" s="10"/>
      <c r="P607" s="12" t="str">
        <f t="shared" si="1"/>
        <v>https://docs.google.com/forms/d/e/1FAIpQLSeZ-R1GrWlAPkfaThGqxeTj0QTtrARw4rroxIIepf2kipn1nw/formResponse?usp=pp_url&amp;entry.1313582257=0099310873 / 242510160&amp;entry.1578404635=Hadir</v>
      </c>
      <c r="Q607" s="23" t="s">
        <v>3256</v>
      </c>
      <c r="R607" s="12" t="s">
        <v>3257</v>
      </c>
      <c r="S607" s="24" t="s">
        <v>3258</v>
      </c>
      <c r="T607" s="23" t="str">
        <f>HYPERLINK("https://drive.google.com/file/d/13vginTAvj34LQWKkL2MCGz8fuFL_umXm/view?usp=drivesdk","32 - XI A-2 - Hanif Aulia Rifqy")</f>
        <v>32 - XI A-2 - Hanif Aulia Rifqy</v>
      </c>
      <c r="U607" s="12" t="s">
        <v>3253</v>
      </c>
      <c r="W607" s="25">
        <f>COUNTIFS('Form Presensi SCC'!$B:$B, IF($C607&lt;&gt;0, TEXT($C607, "0000000000"), $D607), 'Form Presensi SCC'!$C:$C, "Hadir")</f>
        <v>0</v>
      </c>
      <c r="Y607" s="26"/>
    </row>
    <row r="608" ht="22.5" customHeight="1">
      <c r="A608" s="18">
        <v>555.0</v>
      </c>
      <c r="B608" s="31">
        <v>16.0</v>
      </c>
      <c r="C608" s="27" t="s">
        <v>3259</v>
      </c>
      <c r="D608" s="31" t="s">
        <v>3260</v>
      </c>
      <c r="E608" s="32" t="s">
        <v>220</v>
      </c>
      <c r="F608" s="12">
        <v>32.0</v>
      </c>
      <c r="G608" s="12" t="s">
        <v>3183</v>
      </c>
      <c r="H608" s="28"/>
      <c r="I608" s="20"/>
      <c r="J608" s="10"/>
      <c r="K608" s="10" t="s">
        <v>3183</v>
      </c>
      <c r="L608" s="10"/>
      <c r="M608" s="22"/>
      <c r="N608" s="10"/>
      <c r="O608" s="10"/>
      <c r="P608" s="12" t="str">
        <f t="shared" si="1"/>
        <v>https://docs.google.com/forms/d/e/1FAIpQLSeZ-R1GrWlAPkfaThGqxeTj0QTtrARw4rroxIIepf2kipn1nw/formResponse?usp=pp_url&amp;entry.1313582257=0099954531 / 242510162&amp;entry.1578404635=Hadir</v>
      </c>
      <c r="Q608" s="23" t="s">
        <v>3261</v>
      </c>
      <c r="R608" s="12" t="s">
        <v>3262</v>
      </c>
      <c r="S608" s="24" t="s">
        <v>3263</v>
      </c>
      <c r="T608" s="23" t="str">
        <f>HYPERLINK("https://drive.google.com/file/d/1qixOTObge-HjRaxnjiqhD9GB-uT-DBMW/view?usp=drivesdk","32 - XI A-2 - Haykal Wisnu Bayu Wiemanji")</f>
        <v>32 - XI A-2 - Haykal Wisnu Bayu Wiemanji</v>
      </c>
      <c r="U608" s="12" t="s">
        <v>3253</v>
      </c>
      <c r="W608" s="25">
        <f>COUNTIFS('Form Presensi SCC'!$B:$B, IF($C608&lt;&gt;0, TEXT($C608, "0000000000"), $D608), 'Form Presensi SCC'!$C:$C, "Hadir")</f>
        <v>0</v>
      </c>
      <c r="Y608" s="26"/>
    </row>
    <row r="609" ht="22.5" customHeight="1">
      <c r="A609" s="18">
        <v>555.0</v>
      </c>
      <c r="B609" s="31">
        <v>17.0</v>
      </c>
      <c r="C609" s="27" t="s">
        <v>3264</v>
      </c>
      <c r="D609" s="31" t="s">
        <v>3265</v>
      </c>
      <c r="E609" s="32" t="s">
        <v>227</v>
      </c>
      <c r="F609" s="12">
        <v>32.0</v>
      </c>
      <c r="G609" s="12" t="s">
        <v>3183</v>
      </c>
      <c r="H609" s="28"/>
      <c r="I609" s="20"/>
      <c r="J609" s="10"/>
      <c r="K609" s="10" t="s">
        <v>3183</v>
      </c>
      <c r="L609" s="10"/>
      <c r="M609" s="22"/>
      <c r="N609" s="10"/>
      <c r="O609" s="10"/>
      <c r="P609" s="12" t="str">
        <f t="shared" si="1"/>
        <v>https://docs.google.com/forms/d/e/1FAIpQLSeZ-R1GrWlAPkfaThGqxeTj0QTtrARw4rroxIIepf2kipn1nw/formResponse?usp=pp_url&amp;entry.1313582257=0094260903 / 242510227&amp;entry.1578404635=Hadir</v>
      </c>
      <c r="Q609" s="23" t="s">
        <v>3266</v>
      </c>
      <c r="R609" s="12" t="s">
        <v>3267</v>
      </c>
      <c r="S609" s="24" t="s">
        <v>3268</v>
      </c>
      <c r="T609" s="23" t="str">
        <f>HYPERLINK("https://drive.google.com/file/d/15mccHxrrQHJZ2FTi9DxicqMHAWSISoiy/view?usp=drivesdk","32 - XI A-2 - Maulida Az Zahra Nurrayani")</f>
        <v>32 - XI A-2 - Maulida Az Zahra Nurrayani</v>
      </c>
      <c r="U609" s="12" t="s">
        <v>3253</v>
      </c>
      <c r="W609" s="25">
        <f>COUNTIFS('Form Presensi SCC'!$B:$B, IF($C609&lt;&gt;0, TEXT($C609, "0000000000"), $D609), 'Form Presensi SCC'!$C:$C, "Hadir")</f>
        <v>0</v>
      </c>
      <c r="Y609" s="26"/>
    </row>
    <row r="610" ht="22.5" customHeight="1">
      <c r="A610" s="18">
        <v>555.0</v>
      </c>
      <c r="B610" s="31">
        <v>18.0</v>
      </c>
      <c r="C610" s="27" t="s">
        <v>3269</v>
      </c>
      <c r="D610" s="31" t="s">
        <v>3270</v>
      </c>
      <c r="E610" s="32" t="s">
        <v>220</v>
      </c>
      <c r="F610" s="12">
        <v>32.0</v>
      </c>
      <c r="G610" s="12" t="s">
        <v>3183</v>
      </c>
      <c r="H610" s="28"/>
      <c r="I610" s="20"/>
      <c r="J610" s="10"/>
      <c r="K610" s="10" t="s">
        <v>3183</v>
      </c>
      <c r="L610" s="10"/>
      <c r="M610" s="22"/>
      <c r="N610" s="10"/>
      <c r="O610" s="10"/>
      <c r="P610" s="12" t="str">
        <f t="shared" si="1"/>
        <v>https://docs.google.com/forms/d/e/1FAIpQLSeZ-R1GrWlAPkfaThGqxeTj0QTtrARw4rroxIIepf2kipn1nw/formResponse?usp=pp_url&amp;entry.1313582257=0089204896 / 242510238&amp;entry.1578404635=Hadir</v>
      </c>
      <c r="Q610" s="23" t="s">
        <v>3271</v>
      </c>
      <c r="R610" s="12" t="s">
        <v>3272</v>
      </c>
      <c r="S610" s="24" t="s">
        <v>3273</v>
      </c>
      <c r="T610" s="23" t="str">
        <f>HYPERLINK("https://drive.google.com/file/d/1cnM-Pr9VytVZm4S1dN6nj8BeMwDyyapw/view?usp=drivesdk","32 - XI A-2 - Moehamad Putra Aulia")</f>
        <v>32 - XI A-2 - Moehamad Putra Aulia</v>
      </c>
      <c r="U610" s="12" t="s">
        <v>3253</v>
      </c>
      <c r="W610" s="25">
        <f>COUNTIFS('Form Presensi SCC'!$B:$B, IF($C610&lt;&gt;0, TEXT($C610, "0000000000"), $D610), 'Form Presensi SCC'!$C:$C, "Hadir")</f>
        <v>0</v>
      </c>
      <c r="Y610" s="26"/>
    </row>
    <row r="611" ht="22.5" customHeight="1">
      <c r="A611" s="18">
        <v>555.0</v>
      </c>
      <c r="B611" s="31">
        <v>19.0</v>
      </c>
      <c r="C611" s="27" t="s">
        <v>3274</v>
      </c>
      <c r="D611" s="31" t="s">
        <v>3275</v>
      </c>
      <c r="E611" s="32" t="s">
        <v>220</v>
      </c>
      <c r="F611" s="12">
        <v>32.0</v>
      </c>
      <c r="G611" s="12" t="s">
        <v>3183</v>
      </c>
      <c r="H611" s="28"/>
      <c r="I611" s="20"/>
      <c r="J611" s="10"/>
      <c r="K611" s="10" t="s">
        <v>3183</v>
      </c>
      <c r="L611" s="10"/>
      <c r="M611" s="22"/>
      <c r="N611" s="10"/>
      <c r="O611" s="10"/>
      <c r="P611" s="12" t="str">
        <f t="shared" si="1"/>
        <v>https://docs.google.com/forms/d/e/1FAIpQLSeZ-R1GrWlAPkfaThGqxeTj0QTtrARw4rroxIIepf2kipn1nw/formResponse?usp=pp_url&amp;entry.1313582257=0091447390 / 242510261&amp;entry.1578404635=Hadir</v>
      </c>
      <c r="Q611" s="23" t="s">
        <v>3276</v>
      </c>
      <c r="R611" s="12" t="s">
        <v>3277</v>
      </c>
      <c r="S611" s="24" t="s">
        <v>3278</v>
      </c>
      <c r="T611" s="23" t="str">
        <f>HYPERLINK("https://drive.google.com/file/d/1YjM2AyayUCM4yrowEafWde7v5QDEcLkO/view?usp=drivesdk","32 - XI A-2 - Muhammad Fariz Duta Ehsan")</f>
        <v>32 - XI A-2 - Muhammad Fariz Duta Ehsan</v>
      </c>
      <c r="U611" s="12" t="s">
        <v>3253</v>
      </c>
      <c r="W611" s="25">
        <f>COUNTIFS('Form Presensi SCC'!$B:$B, IF($C611&lt;&gt;0, TEXT($C611, "0000000000"), $D611), 'Form Presensi SCC'!$C:$C, "Hadir")</f>
        <v>0</v>
      </c>
      <c r="Y611" s="26"/>
    </row>
    <row r="612" ht="22.5" customHeight="1">
      <c r="A612" s="18">
        <v>555.0</v>
      </c>
      <c r="B612" s="31">
        <v>20.0</v>
      </c>
      <c r="C612" s="27" t="s">
        <v>3279</v>
      </c>
      <c r="D612" s="31" t="s">
        <v>3280</v>
      </c>
      <c r="E612" s="32" t="s">
        <v>220</v>
      </c>
      <c r="F612" s="12">
        <v>32.0</v>
      </c>
      <c r="G612" s="12" t="s">
        <v>3183</v>
      </c>
      <c r="H612" s="28"/>
      <c r="I612" s="20"/>
      <c r="J612" s="10"/>
      <c r="K612" s="10" t="s">
        <v>3183</v>
      </c>
      <c r="L612" s="10"/>
      <c r="M612" s="22"/>
      <c r="N612" s="10"/>
      <c r="O612" s="10"/>
      <c r="P612" s="12" t="str">
        <f t="shared" si="1"/>
        <v>https://docs.google.com/forms/d/e/1FAIpQLSeZ-R1GrWlAPkfaThGqxeTj0QTtrARw4rroxIIepf2kipn1nw/formResponse?usp=pp_url&amp;entry.1313582257=3092211203 / 242510274&amp;entry.1578404635=Hadir</v>
      </c>
      <c r="Q612" s="23" t="s">
        <v>3281</v>
      </c>
      <c r="R612" s="12" t="s">
        <v>3282</v>
      </c>
      <c r="S612" s="24" t="s">
        <v>3283</v>
      </c>
      <c r="T612" s="23" t="str">
        <f>HYPERLINK("https://drive.google.com/file/d/1z4X73HtSA1nrDk8ntIkR3An9qb2abw5E/view?usp=drivesdk","32 - XI A-2 - Muhammad Rizki Salim")</f>
        <v>32 - XI A-2 - Muhammad Rizki Salim</v>
      </c>
      <c r="U612" s="12" t="s">
        <v>3284</v>
      </c>
      <c r="W612" s="25">
        <f>COUNTIFS('Form Presensi SCC'!$B:$B, IF($C612&lt;&gt;0, TEXT($C612, "0000000000"), $D612), 'Form Presensi SCC'!$C:$C, "Hadir")</f>
        <v>0</v>
      </c>
      <c r="Y612" s="26"/>
    </row>
    <row r="613" ht="22.5" customHeight="1">
      <c r="A613" s="18">
        <v>555.0</v>
      </c>
      <c r="B613" s="31">
        <v>21.0</v>
      </c>
      <c r="C613" s="27" t="s">
        <v>3285</v>
      </c>
      <c r="D613" s="31" t="s">
        <v>3286</v>
      </c>
      <c r="E613" s="32" t="s">
        <v>227</v>
      </c>
      <c r="F613" s="12">
        <v>32.0</v>
      </c>
      <c r="G613" s="12" t="s">
        <v>3183</v>
      </c>
      <c r="H613" s="28"/>
      <c r="I613" s="20"/>
      <c r="J613" s="10"/>
      <c r="K613" s="10" t="s">
        <v>3183</v>
      </c>
      <c r="L613" s="10"/>
      <c r="M613" s="22"/>
      <c r="N613" s="10"/>
      <c r="O613" s="10"/>
      <c r="P613" s="12" t="str">
        <f t="shared" si="1"/>
        <v>https://docs.google.com/forms/d/e/1FAIpQLSeZ-R1GrWlAPkfaThGqxeTj0QTtrARw4rroxIIepf2kipn1nw/formResponse?usp=pp_url&amp;entry.1313582257=0095657800 / 242510283&amp;entry.1578404635=Hadir</v>
      </c>
      <c r="Q613" s="23" t="s">
        <v>3287</v>
      </c>
      <c r="R613" s="12" t="s">
        <v>3288</v>
      </c>
      <c r="S613" s="24" t="s">
        <v>3289</v>
      </c>
      <c r="T613" s="23" t="str">
        <f>HYPERLINK("https://drive.google.com/file/d/1fFivvI7Qj1k48x4-A312pDlEY-uQVNDh/view?usp=drivesdk","32 - XI A-2 - Muthia Jasmine Muthma Innah")</f>
        <v>32 - XI A-2 - Muthia Jasmine Muthma Innah</v>
      </c>
      <c r="U613" s="12" t="s">
        <v>3284</v>
      </c>
      <c r="W613" s="25">
        <f>COUNTIFS('Form Presensi SCC'!$B:$B, IF($C613&lt;&gt;0, TEXT($C613, "0000000000"), $D613), 'Form Presensi SCC'!$C:$C, "Hadir")</f>
        <v>0</v>
      </c>
      <c r="Y613" s="26"/>
    </row>
    <row r="614" ht="22.5" customHeight="1">
      <c r="A614" s="18">
        <v>555.0</v>
      </c>
      <c r="B614" s="31">
        <v>22.0</v>
      </c>
      <c r="C614" s="27" t="s">
        <v>3290</v>
      </c>
      <c r="D614" s="31" t="s">
        <v>3291</v>
      </c>
      <c r="E614" s="32" t="s">
        <v>227</v>
      </c>
      <c r="F614" s="12">
        <v>32.0</v>
      </c>
      <c r="G614" s="12" t="s">
        <v>3183</v>
      </c>
      <c r="H614" s="28"/>
      <c r="I614" s="20"/>
      <c r="J614" s="10"/>
      <c r="K614" s="10" t="s">
        <v>3183</v>
      </c>
      <c r="L614" s="10"/>
      <c r="M614" s="22"/>
      <c r="N614" s="10"/>
      <c r="O614" s="10"/>
      <c r="P614" s="12" t="str">
        <f t="shared" si="1"/>
        <v>https://docs.google.com/forms/d/e/1FAIpQLSeZ-R1GrWlAPkfaThGqxeTj0QTtrARw4rroxIIepf2kipn1nw/formResponse?usp=pp_url&amp;entry.1313582257=0082650076 / 242510304&amp;entry.1578404635=Hadir</v>
      </c>
      <c r="Q614" s="23" t="s">
        <v>3292</v>
      </c>
      <c r="R614" s="12" t="s">
        <v>3293</v>
      </c>
      <c r="S614" s="24" t="s">
        <v>3294</v>
      </c>
      <c r="T614" s="23" t="str">
        <f>HYPERLINK("https://drive.google.com/file/d/1UL0PftDQj4NLemyTdQOTBPqZIzF3wMDW/view?usp=drivesdk","32 - XI A-2 - Ni Made Nazela")</f>
        <v>32 - XI A-2 - Ni Made Nazela</v>
      </c>
      <c r="U614" s="12" t="s">
        <v>3284</v>
      </c>
      <c r="W614" s="25">
        <f>COUNTIFS('Form Presensi SCC'!$B:$B, IF($C614&lt;&gt;0, TEXT($C614, "0000000000"), $D614), 'Form Presensi SCC'!$C:$C, "Hadir")</f>
        <v>0</v>
      </c>
      <c r="Y614" s="26"/>
    </row>
    <row r="615" ht="22.5" customHeight="1">
      <c r="A615" s="18">
        <v>555.0</v>
      </c>
      <c r="B615" s="31">
        <v>23.0</v>
      </c>
      <c r="C615" s="27" t="s">
        <v>3295</v>
      </c>
      <c r="D615" s="31" t="s">
        <v>3296</v>
      </c>
      <c r="E615" s="32" t="s">
        <v>227</v>
      </c>
      <c r="F615" s="12">
        <v>32.0</v>
      </c>
      <c r="G615" s="12" t="s">
        <v>3183</v>
      </c>
      <c r="H615" s="28"/>
      <c r="I615" s="20"/>
      <c r="J615" s="10"/>
      <c r="K615" s="10" t="s">
        <v>3183</v>
      </c>
      <c r="L615" s="10"/>
      <c r="M615" s="22"/>
      <c r="N615" s="10"/>
      <c r="O615" s="10"/>
      <c r="P615" s="12" t="str">
        <f t="shared" si="1"/>
        <v>https://docs.google.com/forms/d/e/1FAIpQLSeZ-R1GrWlAPkfaThGqxeTj0QTtrARw4rroxIIepf2kipn1nw/formResponse?usp=pp_url&amp;entry.1313582257=0095420383 / 242510306&amp;entry.1578404635=Hadir</v>
      </c>
      <c r="Q615" s="23" t="s">
        <v>3297</v>
      </c>
      <c r="R615" s="12" t="s">
        <v>3298</v>
      </c>
      <c r="S615" s="24" t="s">
        <v>3299</v>
      </c>
      <c r="T615" s="23" t="str">
        <f>HYPERLINK("https://drive.google.com/file/d/1LD2TP9YmRR5l_gW03SsJhQYNhNBRb9yn/view?usp=drivesdk","32 - XI A-2 - Niken Zahrothul Sita")</f>
        <v>32 - XI A-2 - Niken Zahrothul Sita</v>
      </c>
      <c r="U615" s="12" t="s">
        <v>3284</v>
      </c>
      <c r="W615" s="25">
        <f>COUNTIFS('Form Presensi SCC'!$B:$B, IF($C615&lt;&gt;0, TEXT($C615, "0000000000"), $D615), 'Form Presensi SCC'!$C:$C, "Hadir")</f>
        <v>0</v>
      </c>
      <c r="Y615" s="26"/>
    </row>
    <row r="616" ht="22.5" customHeight="1">
      <c r="A616" s="18">
        <v>555.0</v>
      </c>
      <c r="B616" s="31">
        <v>24.0</v>
      </c>
      <c r="C616" s="27" t="s">
        <v>3300</v>
      </c>
      <c r="D616" s="31" t="s">
        <v>3301</v>
      </c>
      <c r="E616" s="32" t="s">
        <v>227</v>
      </c>
      <c r="F616" s="12">
        <v>32.0</v>
      </c>
      <c r="G616" s="12" t="s">
        <v>3183</v>
      </c>
      <c r="H616" s="28"/>
      <c r="I616" s="20"/>
      <c r="J616" s="10"/>
      <c r="K616" s="10" t="s">
        <v>3183</v>
      </c>
      <c r="L616" s="10"/>
      <c r="M616" s="22"/>
      <c r="N616" s="10"/>
      <c r="O616" s="10"/>
      <c r="P616" s="12" t="str">
        <f t="shared" si="1"/>
        <v>https://docs.google.com/forms/d/e/1FAIpQLSeZ-R1GrWlAPkfaThGqxeTj0QTtrARw4rroxIIepf2kipn1nw/formResponse?usp=pp_url&amp;entry.1313582257=3097669813 / 242510308&amp;entry.1578404635=Hadir</v>
      </c>
      <c r="Q616" s="23" t="s">
        <v>3302</v>
      </c>
      <c r="R616" s="12" t="s">
        <v>3303</v>
      </c>
      <c r="S616" s="24" t="s">
        <v>3304</v>
      </c>
      <c r="T616" s="23" t="str">
        <f>HYPERLINK("https://drive.google.com/file/d/11oWzJ_iYizKGsd1ds5ITHNvm6a26BZZm/view?usp=drivesdk","32 - XI A-2 - Nurafni Maisa")</f>
        <v>32 - XI A-2 - Nurafni Maisa</v>
      </c>
      <c r="U616" s="12" t="s">
        <v>3284</v>
      </c>
      <c r="W616" s="25">
        <f>COUNTIFS('Form Presensi SCC'!$B:$B, IF($C616&lt;&gt;0, TEXT($C616, "0000000000"), $D616), 'Form Presensi SCC'!$C:$C, "Hadir")</f>
        <v>0</v>
      </c>
      <c r="Y616" s="26"/>
    </row>
    <row r="617" ht="22.5" customHeight="1">
      <c r="A617" s="18">
        <v>555.0</v>
      </c>
      <c r="B617" s="31">
        <v>25.0</v>
      </c>
      <c r="C617" s="27" t="s">
        <v>3305</v>
      </c>
      <c r="D617" s="31" t="s">
        <v>3306</v>
      </c>
      <c r="E617" s="32" t="s">
        <v>227</v>
      </c>
      <c r="F617" s="12">
        <v>32.0</v>
      </c>
      <c r="G617" s="12" t="s">
        <v>3183</v>
      </c>
      <c r="H617" s="28"/>
      <c r="I617" s="20"/>
      <c r="J617" s="10"/>
      <c r="K617" s="10" t="s">
        <v>3183</v>
      </c>
      <c r="L617" s="10"/>
      <c r="M617" s="22"/>
      <c r="N617" s="10"/>
      <c r="O617" s="10"/>
      <c r="P617" s="12" t="str">
        <f t="shared" si="1"/>
        <v>https://docs.google.com/forms/d/e/1FAIpQLSeZ-R1GrWlAPkfaThGqxeTj0QTtrARw4rroxIIepf2kipn1nw/formResponse?usp=pp_url&amp;entry.1313582257=0086704012 / 242510310&amp;entry.1578404635=Hadir</v>
      </c>
      <c r="Q617" s="23" t="s">
        <v>3307</v>
      </c>
      <c r="R617" s="12" t="s">
        <v>3308</v>
      </c>
      <c r="S617" s="24" t="s">
        <v>3309</v>
      </c>
      <c r="T617" s="23" t="str">
        <f>HYPERLINK("https://drive.google.com/file/d/1ASp6actKQW6mR71itf0O3sEJLpt28IFE/view?usp=drivesdk","32 - XI A-2 - Nurisya Aulia Shabiira")</f>
        <v>32 - XI A-2 - Nurisya Aulia Shabiira</v>
      </c>
      <c r="U617" s="12" t="s">
        <v>3284</v>
      </c>
      <c r="W617" s="25">
        <f>COUNTIFS('Form Presensi SCC'!$B:$B, IF($C617&lt;&gt;0, TEXT($C617, "0000000000"), $D617), 'Form Presensi SCC'!$C:$C, "Hadir")</f>
        <v>0</v>
      </c>
      <c r="Y617" s="26"/>
    </row>
    <row r="618" ht="22.5" customHeight="1">
      <c r="A618" s="18">
        <v>555.0</v>
      </c>
      <c r="B618" s="31">
        <v>26.0</v>
      </c>
      <c r="C618" s="27" t="s">
        <v>3310</v>
      </c>
      <c r="D618" s="31" t="s">
        <v>3311</v>
      </c>
      <c r="E618" s="32" t="s">
        <v>220</v>
      </c>
      <c r="F618" s="12">
        <v>32.0</v>
      </c>
      <c r="G618" s="12" t="s">
        <v>3183</v>
      </c>
      <c r="H618" s="28"/>
      <c r="I618" s="20"/>
      <c r="J618" s="10"/>
      <c r="K618" s="10" t="s">
        <v>3183</v>
      </c>
      <c r="L618" s="10"/>
      <c r="M618" s="22"/>
      <c r="N618" s="10"/>
      <c r="O618" s="10"/>
      <c r="P618" s="12" t="str">
        <f t="shared" si="1"/>
        <v>https://docs.google.com/forms/d/e/1FAIpQLSeZ-R1GrWlAPkfaThGqxeTj0QTtrARw4rroxIIepf2kipn1nw/formResponse?usp=pp_url&amp;entry.1313582257=0095788052 / 242510329&amp;entry.1578404635=Hadir</v>
      </c>
      <c r="Q618" s="23" t="s">
        <v>3312</v>
      </c>
      <c r="R618" s="12" t="s">
        <v>3313</v>
      </c>
      <c r="S618" s="24" t="s">
        <v>3314</v>
      </c>
      <c r="T618" s="23" t="str">
        <f>HYPERLINK("https://drive.google.com/file/d/1blDCiYzrRlolluLMMoA046c7qhE47oEO/view?usp=drivesdk","32 - XI A-2 - Rachmat Saidi Koes Mulyana")</f>
        <v>32 - XI A-2 - Rachmat Saidi Koes Mulyana</v>
      </c>
      <c r="U618" s="12" t="s">
        <v>3315</v>
      </c>
      <c r="W618" s="25">
        <f>COUNTIFS('Form Presensi SCC'!$B:$B, IF($C618&lt;&gt;0, TEXT($C618, "0000000000"), $D618), 'Form Presensi SCC'!$C:$C, "Hadir")</f>
        <v>0</v>
      </c>
      <c r="Y618" s="26"/>
    </row>
    <row r="619" ht="22.5" customHeight="1">
      <c r="A619" s="18">
        <v>555.0</v>
      </c>
      <c r="B619" s="31">
        <v>27.0</v>
      </c>
      <c r="C619" s="27" t="s">
        <v>125</v>
      </c>
      <c r="D619" s="31" t="s">
        <v>3316</v>
      </c>
      <c r="E619" s="32" t="s">
        <v>227</v>
      </c>
      <c r="F619" s="12">
        <v>32.0</v>
      </c>
      <c r="G619" s="12" t="s">
        <v>3183</v>
      </c>
      <c r="H619" s="28"/>
      <c r="I619" s="20"/>
      <c r="J619" s="10"/>
      <c r="K619" s="10" t="s">
        <v>3183</v>
      </c>
      <c r="L619" s="10"/>
      <c r="M619" s="22"/>
      <c r="N619" s="10"/>
      <c r="O619" s="10"/>
      <c r="P619" s="12" t="str">
        <f t="shared" si="1"/>
        <v>https://docs.google.com/forms/d/e/1FAIpQLSeZ-R1GrWlAPkfaThGqxeTj0QTtrARw4rroxIIepf2kipn1nw/formResponse?usp=pp_url&amp;entry.1313582257=0094946777 / 242510338&amp;entry.1578404635=Hadir</v>
      </c>
      <c r="Q619" s="23" t="s">
        <v>3317</v>
      </c>
      <c r="R619" s="12" t="s">
        <v>3318</v>
      </c>
      <c r="S619" s="24" t="s">
        <v>3319</v>
      </c>
      <c r="T619" s="23" t="str">
        <f>HYPERLINK("https://drive.google.com/file/d/1y87EPduhgNWu87jC08B82cQ5GaJQo5C5/view?usp=drivesdk","32 - XI A-2 - Raissa Zahra Hidayat")</f>
        <v>32 - XI A-2 - Raissa Zahra Hidayat</v>
      </c>
      <c r="U619" s="12" t="s">
        <v>3315</v>
      </c>
      <c r="W619" s="25">
        <f>COUNTIFS('Form Presensi SCC'!$B:$B, IF($C619&lt;&gt;0, TEXT($C619, "0000000000"), $D619), 'Form Presensi SCC'!$C:$C, "Hadir")</f>
        <v>1</v>
      </c>
      <c r="Y619" s="26"/>
    </row>
    <row r="620" ht="22.5" customHeight="1">
      <c r="A620" s="18">
        <v>555.0</v>
      </c>
      <c r="B620" s="31">
        <v>28.0</v>
      </c>
      <c r="C620" s="27" t="s">
        <v>3320</v>
      </c>
      <c r="D620" s="31" t="s">
        <v>3321</v>
      </c>
      <c r="E620" s="32" t="s">
        <v>220</v>
      </c>
      <c r="F620" s="12">
        <v>32.0</v>
      </c>
      <c r="G620" s="12" t="s">
        <v>3183</v>
      </c>
      <c r="H620" s="28"/>
      <c r="I620" s="20"/>
      <c r="J620" s="10"/>
      <c r="K620" s="10" t="s">
        <v>3183</v>
      </c>
      <c r="L620" s="10"/>
      <c r="M620" s="22"/>
      <c r="N620" s="10"/>
      <c r="O620" s="10"/>
      <c r="P620" s="12" t="str">
        <f t="shared" si="1"/>
        <v>https://docs.google.com/forms/d/e/1FAIpQLSeZ-R1GrWlAPkfaThGqxeTj0QTtrARw4rroxIIepf2kipn1nw/formResponse?usp=pp_url&amp;entry.1313582257=0097830870 / 242510354&amp;entry.1578404635=Hadir</v>
      </c>
      <c r="Q620" s="23" t="s">
        <v>3322</v>
      </c>
      <c r="R620" s="12" t="s">
        <v>3323</v>
      </c>
      <c r="S620" s="24" t="s">
        <v>3324</v>
      </c>
      <c r="T620" s="23" t="str">
        <f>HYPERLINK("https://drive.google.com/file/d/1Hcq0AkIXdzxce2LJzifkOYnk8ckc-uMm/view?usp=drivesdk","32 - XI A-2 - Rizieq Zidan Rizal")</f>
        <v>32 - XI A-2 - Rizieq Zidan Rizal</v>
      </c>
      <c r="U620" s="12" t="s">
        <v>3315</v>
      </c>
      <c r="W620" s="25">
        <f>COUNTIFS('Form Presensi SCC'!$B:$B, IF($C620&lt;&gt;0, TEXT($C620, "0000000000"), $D620), 'Form Presensi SCC'!$C:$C, "Hadir")</f>
        <v>0</v>
      </c>
      <c r="Y620" s="26"/>
    </row>
    <row r="621" ht="22.5" customHeight="1">
      <c r="A621" s="18">
        <v>555.0</v>
      </c>
      <c r="B621" s="31">
        <v>29.0</v>
      </c>
      <c r="C621" s="27" t="s">
        <v>3325</v>
      </c>
      <c r="D621" s="31" t="s">
        <v>3326</v>
      </c>
      <c r="E621" s="32" t="s">
        <v>227</v>
      </c>
      <c r="F621" s="12">
        <v>32.0</v>
      </c>
      <c r="G621" s="12" t="s">
        <v>3183</v>
      </c>
      <c r="H621" s="28"/>
      <c r="I621" s="20"/>
      <c r="J621" s="10"/>
      <c r="K621" s="10" t="s">
        <v>3183</v>
      </c>
      <c r="L621" s="10"/>
      <c r="M621" s="22"/>
      <c r="N621" s="10"/>
      <c r="O621" s="10"/>
      <c r="P621" s="12" t="str">
        <f t="shared" si="1"/>
        <v>https://docs.google.com/forms/d/e/1FAIpQLSeZ-R1GrWlAPkfaThGqxeTj0QTtrARw4rroxIIepf2kipn1nw/formResponse?usp=pp_url&amp;entry.1313582257=0092343794 / 242510355&amp;entry.1578404635=Hadir</v>
      </c>
      <c r="Q621" s="23" t="s">
        <v>3327</v>
      </c>
      <c r="R621" s="12" t="s">
        <v>3328</v>
      </c>
      <c r="S621" s="24" t="s">
        <v>3329</v>
      </c>
      <c r="T621" s="23" t="str">
        <f>HYPERLINK("https://drive.google.com/file/d/1HAc2q2ohDh7ya_3DqiXR-v3XfOUaPUVw/view?usp=drivesdk","32 - XI A-2 - Rizka Rana Naila")</f>
        <v>32 - XI A-2 - Rizka Rana Naila</v>
      </c>
      <c r="U621" s="12" t="s">
        <v>3330</v>
      </c>
      <c r="W621" s="25">
        <f>COUNTIFS('Form Presensi SCC'!$B:$B, IF($C621&lt;&gt;0, TEXT($C621, "0000000000"), $D621), 'Form Presensi SCC'!$C:$C, "Hadir")</f>
        <v>0</v>
      </c>
      <c r="Y621" s="26"/>
    </row>
    <row r="622" ht="22.5" customHeight="1">
      <c r="A622" s="18">
        <v>555.0</v>
      </c>
      <c r="B622" s="31">
        <v>30.0</v>
      </c>
      <c r="C622" s="27" t="s">
        <v>3331</v>
      </c>
      <c r="D622" s="31" t="s">
        <v>3332</v>
      </c>
      <c r="E622" s="32" t="s">
        <v>227</v>
      </c>
      <c r="F622" s="12">
        <v>32.0</v>
      </c>
      <c r="G622" s="12" t="s">
        <v>3183</v>
      </c>
      <c r="H622" s="28"/>
      <c r="I622" s="20"/>
      <c r="J622" s="10"/>
      <c r="K622" s="10" t="s">
        <v>3183</v>
      </c>
      <c r="L622" s="10"/>
      <c r="M622" s="22"/>
      <c r="N622" s="10"/>
      <c r="O622" s="10"/>
      <c r="P622" s="12" t="str">
        <f t="shared" si="1"/>
        <v>https://docs.google.com/forms/d/e/1FAIpQLSeZ-R1GrWlAPkfaThGqxeTj0QTtrARw4rroxIIepf2kipn1nw/formResponse?usp=pp_url&amp;entry.1313582257=0095556013 / 242510366&amp;entry.1578404635=Hadir</v>
      </c>
      <c r="Q622" s="23" t="s">
        <v>3333</v>
      </c>
      <c r="R622" s="12" t="s">
        <v>3334</v>
      </c>
      <c r="S622" s="24" t="s">
        <v>3335</v>
      </c>
      <c r="T622" s="23" t="str">
        <f>HYPERLINK("https://drive.google.com/file/d/1IRu23d56JhG2cRCdAd81Nw3kMcARygLg/view?usp=drivesdk","32 - XI A-2 - Salsabila Maulani")</f>
        <v>32 - XI A-2 - Salsabila Maulani</v>
      </c>
      <c r="U622" s="12" t="s">
        <v>3330</v>
      </c>
      <c r="W622" s="25">
        <f>COUNTIFS('Form Presensi SCC'!$B:$B, IF($C622&lt;&gt;0, TEXT($C622, "0000000000"), $D622), 'Form Presensi SCC'!$C:$C, "Hadir")</f>
        <v>0</v>
      </c>
      <c r="Y622" s="26"/>
    </row>
    <row r="623" ht="22.5" customHeight="1">
      <c r="A623" s="18">
        <v>555.0</v>
      </c>
      <c r="B623" s="31">
        <v>31.0</v>
      </c>
      <c r="C623" s="27" t="s">
        <v>3336</v>
      </c>
      <c r="D623" s="31" t="s">
        <v>3337</v>
      </c>
      <c r="E623" s="32" t="s">
        <v>227</v>
      </c>
      <c r="F623" s="12">
        <v>32.0</v>
      </c>
      <c r="G623" s="12" t="s">
        <v>3183</v>
      </c>
      <c r="H623" s="28"/>
      <c r="I623" s="20"/>
      <c r="J623" s="10"/>
      <c r="K623" s="10" t="s">
        <v>3183</v>
      </c>
      <c r="L623" s="10"/>
      <c r="M623" s="22"/>
      <c r="N623" s="10"/>
      <c r="O623" s="10"/>
      <c r="P623" s="12" t="str">
        <f t="shared" si="1"/>
        <v>https://docs.google.com/forms/d/e/1FAIpQLSeZ-R1GrWlAPkfaThGqxeTj0QTtrARw4rroxIIepf2kipn1nw/formResponse?usp=pp_url&amp;entry.1313582257=0094079262 / 242510374&amp;entry.1578404635=Hadir</v>
      </c>
      <c r="Q623" s="23" t="s">
        <v>3338</v>
      </c>
      <c r="R623" s="12" t="s">
        <v>3339</v>
      </c>
      <c r="S623" s="24" t="s">
        <v>3340</v>
      </c>
      <c r="T623" s="23" t="str">
        <f>HYPERLINK("https://drive.google.com/file/d/1cZwBkOPVd6iq4TowmWcDZYmZtknLUsj9/view?usp=drivesdk","32 - XI A-2 - Santika Febyanti")</f>
        <v>32 - XI A-2 - Santika Febyanti</v>
      </c>
      <c r="U623" s="12" t="s">
        <v>3330</v>
      </c>
      <c r="W623" s="25">
        <f>COUNTIFS('Form Presensi SCC'!$B:$B, IF($C623&lt;&gt;0, TEXT($C623, "0000000000"), $D623), 'Form Presensi SCC'!$C:$C, "Hadir")</f>
        <v>0</v>
      </c>
      <c r="Y623" s="26"/>
    </row>
    <row r="624" ht="22.5" customHeight="1">
      <c r="A624" s="18">
        <v>555.0</v>
      </c>
      <c r="B624" s="31">
        <v>32.0</v>
      </c>
      <c r="C624" s="27" t="s">
        <v>3341</v>
      </c>
      <c r="D624" s="31" t="s">
        <v>3342</v>
      </c>
      <c r="E624" s="32" t="s">
        <v>227</v>
      </c>
      <c r="F624" s="12">
        <v>32.0</v>
      </c>
      <c r="G624" s="12" t="s">
        <v>3183</v>
      </c>
      <c r="H624" s="28"/>
      <c r="I624" s="20"/>
      <c r="J624" s="10"/>
      <c r="K624" s="10" t="s">
        <v>3183</v>
      </c>
      <c r="L624" s="10"/>
      <c r="M624" s="22"/>
      <c r="N624" s="10"/>
      <c r="O624" s="10"/>
      <c r="P624" s="12" t="str">
        <f t="shared" si="1"/>
        <v>https://docs.google.com/forms/d/e/1FAIpQLSeZ-R1GrWlAPkfaThGqxeTj0QTtrARw4rroxIIepf2kipn1nw/formResponse?usp=pp_url&amp;entry.1313582257=0072787144 / 242510377&amp;entry.1578404635=Hadir</v>
      </c>
      <c r="Q624" s="23" t="s">
        <v>3343</v>
      </c>
      <c r="R624" s="12" t="s">
        <v>3344</v>
      </c>
      <c r="S624" s="24" t="s">
        <v>3345</v>
      </c>
      <c r="T624" s="23" t="str">
        <f>HYPERLINK("https://drive.google.com/file/d/1o208HHg0gz0nVLVJsSVy230XOeFgZ_kd/view?usp=drivesdk","32 - XI A-2 - Savira Oktavia Prasetyo")</f>
        <v>32 - XI A-2 - Savira Oktavia Prasetyo</v>
      </c>
      <c r="U624" s="12" t="s">
        <v>3330</v>
      </c>
      <c r="W624" s="25">
        <f>COUNTIFS('Form Presensi SCC'!$B:$B, IF($C624&lt;&gt;0, TEXT($C624, "0000000000"), $D624), 'Form Presensi SCC'!$C:$C, "Hadir")</f>
        <v>0</v>
      </c>
      <c r="Y624" s="26"/>
    </row>
    <row r="625" ht="22.5" customHeight="1">
      <c r="A625" s="18">
        <v>555.0</v>
      </c>
      <c r="B625" s="31">
        <v>33.0</v>
      </c>
      <c r="C625" s="27" t="s">
        <v>3346</v>
      </c>
      <c r="D625" s="31" t="s">
        <v>3347</v>
      </c>
      <c r="E625" s="32" t="s">
        <v>227</v>
      </c>
      <c r="F625" s="12">
        <v>32.0</v>
      </c>
      <c r="G625" s="12" t="s">
        <v>3183</v>
      </c>
      <c r="H625" s="28"/>
      <c r="I625" s="20"/>
      <c r="J625" s="10"/>
      <c r="K625" s="10" t="s">
        <v>3183</v>
      </c>
      <c r="L625" s="10"/>
      <c r="M625" s="22"/>
      <c r="N625" s="10"/>
      <c r="O625" s="10"/>
      <c r="P625" s="12" t="str">
        <f t="shared" si="1"/>
        <v>https://docs.google.com/forms/d/e/1FAIpQLSeZ-R1GrWlAPkfaThGqxeTj0QTtrARw4rroxIIepf2kipn1nw/formResponse?usp=pp_url&amp;entry.1313582257=0096304229 / 242510387&amp;entry.1578404635=Hadir</v>
      </c>
      <c r="Q625" s="23" t="s">
        <v>3348</v>
      </c>
      <c r="R625" s="12" t="s">
        <v>3349</v>
      </c>
      <c r="S625" s="24" t="s">
        <v>3350</v>
      </c>
      <c r="T625" s="23" t="str">
        <f>HYPERLINK("https://drive.google.com/file/d/10g-E-h0-1yWWBpSs8MjBmBeZDyLw4SNN/view?usp=drivesdk","32 - XI A-2 - Syadien Kamillia Agustin")</f>
        <v>32 - XI A-2 - Syadien Kamillia Agustin</v>
      </c>
      <c r="U625" s="12" t="s">
        <v>3330</v>
      </c>
      <c r="W625" s="25">
        <f>COUNTIFS('Form Presensi SCC'!$B:$B, IF($C625&lt;&gt;0, TEXT($C625, "0000000000"), $D625), 'Form Presensi SCC'!$C:$C, "Hadir")</f>
        <v>0</v>
      </c>
      <c r="Y625" s="26"/>
    </row>
    <row r="626" ht="22.5" customHeight="1">
      <c r="A626" s="18">
        <v>555.0</v>
      </c>
      <c r="B626" s="31">
        <v>34.0</v>
      </c>
      <c r="C626" s="27" t="s">
        <v>3351</v>
      </c>
      <c r="D626" s="31" t="s">
        <v>3352</v>
      </c>
      <c r="E626" s="32" t="s">
        <v>227</v>
      </c>
      <c r="F626" s="12">
        <v>32.0</v>
      </c>
      <c r="G626" s="12" t="s">
        <v>3183</v>
      </c>
      <c r="H626" s="28"/>
      <c r="I626" s="20"/>
      <c r="J626" s="10"/>
      <c r="K626" s="10" t="s">
        <v>3183</v>
      </c>
      <c r="L626" s="10"/>
      <c r="M626" s="19"/>
      <c r="N626" s="10"/>
      <c r="O626" s="10"/>
      <c r="P626" s="12" t="str">
        <f t="shared" si="1"/>
        <v>https://docs.google.com/forms/d/e/1FAIpQLSeZ-R1GrWlAPkfaThGqxeTj0QTtrARw4rroxIIepf2kipn1nw/formResponse?usp=pp_url&amp;entry.1313582257=0093907013 / 242510390&amp;entry.1578404635=Hadir</v>
      </c>
      <c r="Q626" s="23" t="s">
        <v>3353</v>
      </c>
      <c r="R626" s="12" t="s">
        <v>3354</v>
      </c>
      <c r="S626" s="24" t="s">
        <v>3355</v>
      </c>
      <c r="T626" s="23" t="str">
        <f>HYPERLINK("https://drive.google.com/file/d/12-3-zmMVPsQNinQmCUILOXrQy5jyqB8E/view?usp=drivesdk","32 - XI A-2 - Syaikhah Anbar")</f>
        <v>32 - XI A-2 - Syaikhah Anbar</v>
      </c>
      <c r="U626" s="12" t="s">
        <v>3330</v>
      </c>
      <c r="W626" s="25">
        <f>COUNTIFS('Form Presensi SCC'!$B:$B, IF($C626&lt;&gt;0, TEXT($C626, "0000000000"), $D626), 'Form Presensi SCC'!$C:$C, "Hadir")</f>
        <v>0</v>
      </c>
      <c r="Y626" s="26"/>
    </row>
    <row r="627" ht="22.5" customHeight="1">
      <c r="A627" s="18">
        <v>555.0</v>
      </c>
      <c r="B627" s="31">
        <v>35.0</v>
      </c>
      <c r="C627" s="27" t="s">
        <v>3356</v>
      </c>
      <c r="D627" s="31" t="s">
        <v>3357</v>
      </c>
      <c r="E627" s="32" t="s">
        <v>220</v>
      </c>
      <c r="F627" s="12">
        <v>32.0</v>
      </c>
      <c r="G627" s="12" t="s">
        <v>3183</v>
      </c>
      <c r="H627" s="28"/>
      <c r="I627" s="20"/>
      <c r="J627" s="10"/>
      <c r="K627" s="10" t="s">
        <v>3183</v>
      </c>
      <c r="L627" s="10"/>
      <c r="M627" s="22"/>
      <c r="N627" s="10"/>
      <c r="O627" s="10"/>
      <c r="P627" s="12" t="str">
        <f t="shared" si="1"/>
        <v>https://docs.google.com/forms/d/e/1FAIpQLSeZ-R1GrWlAPkfaThGqxeTj0QTtrARw4rroxIIepf2kipn1nw/formResponse?usp=pp_url&amp;entry.1313582257=0084548048 / 242510404&amp;entry.1578404635=Hadir</v>
      </c>
      <c r="Q627" s="23" t="s">
        <v>3358</v>
      </c>
      <c r="R627" s="12" t="s">
        <v>3359</v>
      </c>
      <c r="S627" s="24" t="s">
        <v>3360</v>
      </c>
      <c r="T627" s="23" t="str">
        <f>HYPERLINK("https://drive.google.com/file/d/16Rv_r5y55P-EGBUMCzG3Sw_6zLM0MGoG/view?usp=drivesdk","32 - XI A-2 - Tumpal David Hotbonardo Napitupulu")</f>
        <v>32 - XI A-2 - Tumpal David Hotbonardo Napitupulu</v>
      </c>
      <c r="U627" s="12" t="s">
        <v>3361</v>
      </c>
      <c r="W627" s="25">
        <f>COUNTIFS('Form Presensi SCC'!$B:$B, IF($C627&lt;&gt;0, TEXT($C627, "0000000000"), $D627), 'Form Presensi SCC'!$C:$C, "Hadir")</f>
        <v>0</v>
      </c>
      <c r="Y627" s="26"/>
    </row>
    <row r="628" ht="22.5" customHeight="1">
      <c r="A628" s="18">
        <v>555.0</v>
      </c>
      <c r="B628" s="31">
        <v>36.0</v>
      </c>
      <c r="C628" s="27" t="s">
        <v>3362</v>
      </c>
      <c r="D628" s="31" t="s">
        <v>3363</v>
      </c>
      <c r="E628" s="32" t="s">
        <v>227</v>
      </c>
      <c r="F628" s="12">
        <v>32.0</v>
      </c>
      <c r="G628" s="12" t="s">
        <v>3183</v>
      </c>
      <c r="H628" s="28"/>
      <c r="I628" s="20"/>
      <c r="J628" s="10"/>
      <c r="K628" s="10" t="s">
        <v>3183</v>
      </c>
      <c r="L628" s="10"/>
      <c r="M628" s="33"/>
      <c r="N628" s="34"/>
      <c r="O628" s="34"/>
      <c r="P628" s="12" t="str">
        <f t="shared" si="1"/>
        <v>https://docs.google.com/forms/d/e/1FAIpQLSeZ-R1GrWlAPkfaThGqxeTj0QTtrARw4rroxIIepf2kipn1nw/formResponse?usp=pp_url&amp;entry.1313582257=0094935892 / 242510412&amp;entry.1578404635=Hadir</v>
      </c>
      <c r="Q628" s="23" t="s">
        <v>3364</v>
      </c>
      <c r="R628" s="12" t="s">
        <v>3365</v>
      </c>
      <c r="S628" s="24" t="s">
        <v>3366</v>
      </c>
      <c r="T628" s="23" t="str">
        <f>HYPERLINK("https://drive.google.com/file/d/1rTh_YCrFN7s6xeVA390L5xtI5iiVhT_g/view?usp=drivesdk","32 - XI A-2 - Wanda Zhafirah")</f>
        <v>32 - XI A-2 - Wanda Zhafirah</v>
      </c>
      <c r="U628" s="12" t="s">
        <v>3361</v>
      </c>
      <c r="W628" s="25">
        <f>COUNTIFS('Form Presensi SCC'!$B:$B, IF($C628&lt;&gt;0, TEXT($C628, "0000000000"), $D628), 'Form Presensi SCC'!$C:$C, "Hadir")</f>
        <v>0</v>
      </c>
      <c r="Y628" s="26"/>
    </row>
    <row r="629" ht="22.5" customHeight="1">
      <c r="A629" s="18">
        <v>555.0</v>
      </c>
      <c r="B629" s="31">
        <v>1.0</v>
      </c>
      <c r="C629" s="27" t="s">
        <v>3367</v>
      </c>
      <c r="D629" s="31" t="s">
        <v>3368</v>
      </c>
      <c r="E629" s="32" t="s">
        <v>220</v>
      </c>
      <c r="F629" s="12">
        <v>32.0</v>
      </c>
      <c r="G629" s="12" t="s">
        <v>3369</v>
      </c>
      <c r="H629" s="28"/>
      <c r="I629" s="20"/>
      <c r="J629" s="10"/>
      <c r="K629" s="10" t="s">
        <v>3369</v>
      </c>
      <c r="L629" s="10"/>
      <c r="M629" s="33"/>
      <c r="N629" s="34"/>
      <c r="O629" s="34"/>
      <c r="P629" s="12" t="str">
        <f t="shared" si="1"/>
        <v>https://docs.google.com/forms/d/e/1FAIpQLSeZ-R1GrWlAPkfaThGqxeTj0QTtrARw4rroxIIepf2kipn1nw/formResponse?usp=pp_url&amp;entry.1313582257=0085027044 / 242510010&amp;entry.1578404635=Hadir</v>
      </c>
      <c r="Q629" s="23" t="s">
        <v>3370</v>
      </c>
      <c r="R629" s="12" t="s">
        <v>3371</v>
      </c>
      <c r="S629" s="24" t="s">
        <v>3372</v>
      </c>
      <c r="T629" s="23" t="str">
        <f>HYPERLINK("https://drive.google.com/file/d/1ZxGAz-3CZseYg3BkvfKFG9dvErrLhlqt/view?usp=drivesdk","32 - XI B-1 - Ahmad Humam Rifqi")</f>
        <v>32 - XI B-1 - Ahmad Humam Rifqi</v>
      </c>
      <c r="U629" s="12" t="s">
        <v>3361</v>
      </c>
      <c r="W629" s="25">
        <f>COUNTIFS('Form Presensi SCC'!$B:$B, IF($C629&lt;&gt;0, TEXT($C629, "0000000000"), $D629), 'Form Presensi SCC'!$C:$C, "Hadir")</f>
        <v>0</v>
      </c>
      <c r="Y629" s="26"/>
    </row>
    <row r="630" ht="22.5" customHeight="1">
      <c r="A630" s="18">
        <v>555.0</v>
      </c>
      <c r="B630" s="31">
        <v>2.0</v>
      </c>
      <c r="C630" s="27" t="s">
        <v>3373</v>
      </c>
      <c r="D630" s="31" t="s">
        <v>3374</v>
      </c>
      <c r="E630" s="32" t="s">
        <v>227</v>
      </c>
      <c r="F630" s="12">
        <v>32.0</v>
      </c>
      <c r="G630" s="12" t="s">
        <v>3369</v>
      </c>
      <c r="H630" s="28"/>
      <c r="I630" s="20"/>
      <c r="J630" s="10"/>
      <c r="K630" s="10" t="s">
        <v>3369</v>
      </c>
      <c r="L630" s="10"/>
      <c r="M630" s="33"/>
      <c r="N630" s="34"/>
      <c r="O630" s="34"/>
      <c r="P630" s="12" t="str">
        <f t="shared" si="1"/>
        <v>https://docs.google.com/forms/d/e/1FAIpQLSeZ-R1GrWlAPkfaThGqxeTj0QTtrARw4rroxIIepf2kipn1nw/formResponse?usp=pp_url&amp;entry.1313582257=0081265372 / 242510027&amp;entry.1578404635=Hadir</v>
      </c>
      <c r="Q630" s="23" t="s">
        <v>3375</v>
      </c>
      <c r="R630" s="12" t="s">
        <v>3376</v>
      </c>
      <c r="S630" s="24" t="s">
        <v>3377</v>
      </c>
      <c r="T630" s="23" t="str">
        <f>HYPERLINK("https://drive.google.com/file/d/1bbQwHPjLR2Fbl4etB8m3V996AdWwQshk/view?usp=drivesdk","32 - XI B-1 - Allayda Cindy Addrian")</f>
        <v>32 - XI B-1 - Allayda Cindy Addrian</v>
      </c>
      <c r="U630" s="12" t="s">
        <v>3361</v>
      </c>
      <c r="W630" s="25">
        <f>COUNTIFS('Form Presensi SCC'!$B:$B, IF($C630&lt;&gt;0, TEXT($C630, "0000000000"), $D630), 'Form Presensi SCC'!$C:$C, "Hadir")</f>
        <v>0</v>
      </c>
      <c r="Y630" s="26"/>
    </row>
    <row r="631" ht="22.5" customHeight="1">
      <c r="A631" s="18">
        <v>555.0</v>
      </c>
      <c r="B631" s="31">
        <v>3.0</v>
      </c>
      <c r="C631" s="27" t="s">
        <v>3378</v>
      </c>
      <c r="D631" s="31" t="s">
        <v>3379</v>
      </c>
      <c r="E631" s="32" t="s">
        <v>220</v>
      </c>
      <c r="F631" s="12">
        <v>32.0</v>
      </c>
      <c r="G631" s="12" t="s">
        <v>3369</v>
      </c>
      <c r="H631" s="28"/>
      <c r="I631" s="20"/>
      <c r="J631" s="10"/>
      <c r="K631" s="10" t="s">
        <v>3369</v>
      </c>
      <c r="L631" s="10"/>
      <c r="M631" s="33"/>
      <c r="N631" s="34"/>
      <c r="O631" s="34"/>
      <c r="P631" s="12" t="str">
        <f t="shared" si="1"/>
        <v>https://docs.google.com/forms/d/e/1FAIpQLSeZ-R1GrWlAPkfaThGqxeTj0QTtrARw4rroxIIepf2kipn1nw/formResponse?usp=pp_url&amp;entry.1313582257=0092697249 / 242510041&amp;entry.1578404635=Hadir</v>
      </c>
      <c r="Q631" s="23" t="s">
        <v>3380</v>
      </c>
      <c r="R631" s="12" t="s">
        <v>3381</v>
      </c>
      <c r="S631" s="24" t="s">
        <v>3382</v>
      </c>
      <c r="T631" s="23" t="str">
        <f>HYPERLINK("https://drive.google.com/file/d/1F2YFyZW8VyeUaDsGTxbMyZm1uFU0x2MH/view?usp=drivesdk","32 - XI B-1 - Anandio Alfathir Suherman")</f>
        <v>32 - XI B-1 - Anandio Alfathir Suherman</v>
      </c>
      <c r="U631" s="12" t="s">
        <v>3361</v>
      </c>
      <c r="W631" s="25">
        <f>COUNTIFS('Form Presensi SCC'!$B:$B, IF($C631&lt;&gt;0, TEXT($C631, "0000000000"), $D631), 'Form Presensi SCC'!$C:$C, "Hadir")</f>
        <v>0</v>
      </c>
      <c r="Y631" s="26"/>
    </row>
    <row r="632" ht="22.5" customHeight="1">
      <c r="A632" s="18">
        <v>555.0</v>
      </c>
      <c r="B632" s="31">
        <v>4.0</v>
      </c>
      <c r="C632" s="27" t="s">
        <v>3383</v>
      </c>
      <c r="D632" s="31" t="s">
        <v>3384</v>
      </c>
      <c r="E632" s="32" t="s">
        <v>227</v>
      </c>
      <c r="F632" s="12">
        <v>32.0</v>
      </c>
      <c r="G632" s="12" t="s">
        <v>3369</v>
      </c>
      <c r="H632" s="28"/>
      <c r="I632" s="20"/>
      <c r="J632" s="10"/>
      <c r="K632" s="10" t="s">
        <v>3369</v>
      </c>
      <c r="L632" s="10"/>
      <c r="M632" s="33"/>
      <c r="N632" s="34"/>
      <c r="O632" s="34"/>
      <c r="P632" s="12" t="str">
        <f t="shared" si="1"/>
        <v>https://docs.google.com/forms/d/e/1FAIpQLSeZ-R1GrWlAPkfaThGqxeTj0QTtrARw4rroxIIepf2kipn1nw/formResponse?usp=pp_url&amp;entry.1313582257=0085437129 / 242510070&amp;entry.1578404635=Hadir</v>
      </c>
      <c r="Q632" s="23" t="s">
        <v>3385</v>
      </c>
      <c r="R632" s="12" t="s">
        <v>3386</v>
      </c>
      <c r="S632" s="24" t="s">
        <v>3387</v>
      </c>
      <c r="T632" s="23" t="str">
        <f>HYPERLINK("https://drive.google.com/file/d/1c1iqIMkG7fBxLprUvUiYFUm_I_Pusjqh/view?usp=drivesdk","32 - XI B-1 - Aura Humaira Putri Gunawan")</f>
        <v>32 - XI B-1 - Aura Humaira Putri Gunawan</v>
      </c>
      <c r="U632" s="12" t="s">
        <v>3361</v>
      </c>
      <c r="W632" s="25">
        <f>COUNTIFS('Form Presensi SCC'!$B:$B, IF($C632&lt;&gt;0, TEXT($C632, "0000000000"), $D632), 'Form Presensi SCC'!$C:$C, "Hadir")</f>
        <v>0</v>
      </c>
      <c r="Y632" s="26"/>
    </row>
    <row r="633" ht="22.5" customHeight="1">
      <c r="A633" s="18">
        <v>555.0</v>
      </c>
      <c r="B633" s="31">
        <v>5.0</v>
      </c>
      <c r="C633" s="27" t="s">
        <v>3388</v>
      </c>
      <c r="D633" s="31" t="s">
        <v>3389</v>
      </c>
      <c r="E633" s="32" t="s">
        <v>227</v>
      </c>
      <c r="F633" s="12">
        <v>32.0</v>
      </c>
      <c r="G633" s="12" t="s">
        <v>3369</v>
      </c>
      <c r="H633" s="28"/>
      <c r="I633" s="20"/>
      <c r="J633" s="10"/>
      <c r="K633" s="10" t="s">
        <v>3369</v>
      </c>
      <c r="L633" s="10"/>
      <c r="M633" s="33"/>
      <c r="N633" s="34"/>
      <c r="O633" s="34"/>
      <c r="P633" s="12" t="str">
        <f t="shared" si="1"/>
        <v>https://docs.google.com/forms/d/e/1FAIpQLSeZ-R1GrWlAPkfaThGqxeTj0QTtrARw4rroxIIepf2kipn1nw/formResponse?usp=pp_url&amp;entry.1313582257=0098656322 / 242510113&amp;entry.1578404635=Hadir</v>
      </c>
      <c r="Q633" s="23" t="s">
        <v>3390</v>
      </c>
      <c r="R633" s="12" t="s">
        <v>3391</v>
      </c>
      <c r="S633" s="24" t="s">
        <v>3392</v>
      </c>
      <c r="T633" s="23" t="str">
        <f>HYPERLINK("https://drive.google.com/file/d/1vNEpKnZArgOk_i4oC0SP_C9BTKP0Zt_P/view?usp=drivesdk","32 - XI B-1 - Dinda Syafana Alfatiha .N .R .K")</f>
        <v>32 - XI B-1 - Dinda Syafana Alfatiha .N .R .K</v>
      </c>
      <c r="U633" s="12" t="s">
        <v>3393</v>
      </c>
      <c r="W633" s="25">
        <f>COUNTIFS('Form Presensi SCC'!$B:$B, IF($C633&lt;&gt;0, TEXT($C633, "0000000000"), $D633), 'Form Presensi SCC'!$C:$C, "Hadir")</f>
        <v>0</v>
      </c>
      <c r="Y633" s="26"/>
    </row>
    <row r="634" ht="22.5" customHeight="1">
      <c r="A634" s="18">
        <v>555.0</v>
      </c>
      <c r="B634" s="31">
        <v>6.0</v>
      </c>
      <c r="C634" s="27" t="s">
        <v>3394</v>
      </c>
      <c r="D634" s="31" t="s">
        <v>3395</v>
      </c>
      <c r="E634" s="32" t="s">
        <v>227</v>
      </c>
      <c r="F634" s="12">
        <v>32.0</v>
      </c>
      <c r="G634" s="12" t="s">
        <v>3369</v>
      </c>
      <c r="H634" s="28"/>
      <c r="I634" s="20"/>
      <c r="J634" s="10"/>
      <c r="K634" s="10" t="s">
        <v>3369</v>
      </c>
      <c r="L634" s="10"/>
      <c r="M634" s="33"/>
      <c r="N634" s="34"/>
      <c r="O634" s="34"/>
      <c r="P634" s="12" t="str">
        <f t="shared" si="1"/>
        <v>https://docs.google.com/forms/d/e/1FAIpQLSeZ-R1GrWlAPkfaThGqxeTj0QTtrARw4rroxIIepf2kipn1nw/formResponse?usp=pp_url&amp;entry.1313582257=0096763243 / 242510120&amp;entry.1578404635=Hadir</v>
      </c>
      <c r="Q634" s="23" t="s">
        <v>3396</v>
      </c>
      <c r="R634" s="12" t="s">
        <v>3397</v>
      </c>
      <c r="S634" s="24" t="s">
        <v>3398</v>
      </c>
      <c r="T634" s="23" t="str">
        <f>HYPERLINK("https://drive.google.com/file/d/1aiARtgiGSmWn9WluRhoPdHuesdvFjIYi/view?usp=drivesdk","32 - XI B-1 - Elizabeth Fransiska Siregar")</f>
        <v>32 - XI B-1 - Elizabeth Fransiska Siregar</v>
      </c>
      <c r="U634" s="12" t="s">
        <v>3393</v>
      </c>
      <c r="W634" s="25">
        <f>COUNTIFS('Form Presensi SCC'!$B:$B, IF($C634&lt;&gt;0, TEXT($C634, "0000000000"), $D634), 'Form Presensi SCC'!$C:$C, "Hadir")</f>
        <v>0</v>
      </c>
      <c r="Y634" s="26"/>
    </row>
    <row r="635" ht="22.5" customHeight="1">
      <c r="A635" s="18">
        <v>555.0</v>
      </c>
      <c r="B635" s="31">
        <v>7.0</v>
      </c>
      <c r="C635" s="27" t="s">
        <v>3399</v>
      </c>
      <c r="D635" s="31" t="s">
        <v>3400</v>
      </c>
      <c r="E635" s="32" t="s">
        <v>227</v>
      </c>
      <c r="F635" s="12">
        <v>32.0</v>
      </c>
      <c r="G635" s="12" t="s">
        <v>3369</v>
      </c>
      <c r="H635" s="28"/>
      <c r="I635" s="20"/>
      <c r="J635" s="10"/>
      <c r="K635" s="10" t="s">
        <v>3369</v>
      </c>
      <c r="L635" s="10"/>
      <c r="M635" s="33"/>
      <c r="N635" s="34"/>
      <c r="O635" s="34"/>
      <c r="P635" s="12" t="str">
        <f t="shared" si="1"/>
        <v>https://docs.google.com/forms/d/e/1FAIpQLSeZ-R1GrWlAPkfaThGqxeTj0QTtrARw4rroxIIepf2kipn1nw/formResponse?usp=pp_url&amp;entry.1313582257=0098951883 / 242510136&amp;entry.1578404635=Hadir</v>
      </c>
      <c r="Q635" s="23" t="s">
        <v>3401</v>
      </c>
      <c r="R635" s="12" t="s">
        <v>3402</v>
      </c>
      <c r="S635" s="24" t="s">
        <v>3403</v>
      </c>
      <c r="T635" s="23" t="str">
        <f>HYPERLINK("https://drive.google.com/file/d/10KVTqJOkj4cC-xkm1cks0lLJ23C6zfzl/view?usp=drivesdk","32 - XI B-1 - Fariha Tiara Jinaani")</f>
        <v>32 - XI B-1 - Fariha Tiara Jinaani</v>
      </c>
      <c r="U635" s="12" t="s">
        <v>3393</v>
      </c>
      <c r="W635" s="25">
        <f>COUNTIFS('Form Presensi SCC'!$B:$B, IF($C635&lt;&gt;0, TEXT($C635, "0000000000"), $D635), 'Form Presensi SCC'!$C:$C, "Hadir")</f>
        <v>0</v>
      </c>
      <c r="Y635" s="26"/>
    </row>
    <row r="636" ht="22.5" customHeight="1">
      <c r="A636" s="18">
        <v>555.0</v>
      </c>
      <c r="B636" s="31">
        <v>8.0</v>
      </c>
      <c r="C636" s="27" t="s">
        <v>3404</v>
      </c>
      <c r="D636" s="31" t="s">
        <v>3405</v>
      </c>
      <c r="E636" s="32" t="s">
        <v>220</v>
      </c>
      <c r="F636" s="12">
        <v>32.0</v>
      </c>
      <c r="G636" s="12" t="s">
        <v>3369</v>
      </c>
      <c r="H636" s="28"/>
      <c r="I636" s="20"/>
      <c r="J636" s="10"/>
      <c r="K636" s="10" t="s">
        <v>3369</v>
      </c>
      <c r="L636" s="10"/>
      <c r="M636" s="33"/>
      <c r="N636" s="34"/>
      <c r="O636" s="34"/>
      <c r="P636" s="12" t="str">
        <f t="shared" si="1"/>
        <v>https://docs.google.com/forms/d/e/1FAIpQLSeZ-R1GrWlAPkfaThGqxeTj0QTtrARw4rroxIIepf2kipn1nw/formResponse?usp=pp_url&amp;entry.1313582257=0094722345 / 242510180&amp;entry.1578404635=Hadir</v>
      </c>
      <c r="Q636" s="23" t="s">
        <v>3406</v>
      </c>
      <c r="R636" s="12" t="s">
        <v>3407</v>
      </c>
      <c r="S636" s="24" t="s">
        <v>3408</v>
      </c>
      <c r="T636" s="23" t="str">
        <f>HYPERLINK("https://drive.google.com/file/d/1jhTaoo4VI4R_TfqphyO4MZXwvAh1rZkX/view?usp=drivesdk","32 - XI B-1 - Juan Tri Alexandro Immanuel")</f>
        <v>32 - XI B-1 - Juan Tri Alexandro Immanuel</v>
      </c>
      <c r="U636" s="12" t="s">
        <v>3393</v>
      </c>
      <c r="W636" s="25">
        <f>COUNTIFS('Form Presensi SCC'!$B:$B, IF($C636&lt;&gt;0, TEXT($C636, "0000000000"), $D636), 'Form Presensi SCC'!$C:$C, "Hadir")</f>
        <v>0</v>
      </c>
      <c r="Y636" s="26"/>
    </row>
    <row r="637" ht="22.5" customHeight="1">
      <c r="A637" s="18">
        <v>555.0</v>
      </c>
      <c r="B637" s="31">
        <v>9.0</v>
      </c>
      <c r="C637" s="27" t="s">
        <v>3409</v>
      </c>
      <c r="D637" s="31" t="s">
        <v>3410</v>
      </c>
      <c r="E637" s="32" t="s">
        <v>227</v>
      </c>
      <c r="F637" s="12">
        <v>32.0</v>
      </c>
      <c r="G637" s="12" t="s">
        <v>3369</v>
      </c>
      <c r="H637" s="28"/>
      <c r="I637" s="20"/>
      <c r="J637" s="10"/>
      <c r="K637" s="10" t="s">
        <v>3369</v>
      </c>
      <c r="L637" s="10"/>
      <c r="M637" s="33"/>
      <c r="N637" s="34"/>
      <c r="O637" s="34"/>
      <c r="P637" s="12" t="str">
        <f t="shared" si="1"/>
        <v>https://docs.google.com/forms/d/e/1FAIpQLSeZ-R1GrWlAPkfaThGqxeTj0QTtrARw4rroxIIepf2kipn1nw/formResponse?usp=pp_url&amp;entry.1313582257=0097193046 / 242510184&amp;entry.1578404635=Hadir</v>
      </c>
      <c r="Q637" s="23" t="s">
        <v>3411</v>
      </c>
      <c r="R637" s="12" t="s">
        <v>3412</v>
      </c>
      <c r="S637" s="24" t="s">
        <v>3413</v>
      </c>
      <c r="T637" s="23" t="str">
        <f>HYPERLINK("https://drive.google.com/file/d/1O61AQGQmCwxVAJI2em_HT8MJqMT6Op0j/view?usp=drivesdk","32 - XI B-1 - Karimah Bassam Faris Sawaftah")</f>
        <v>32 - XI B-1 - Karimah Bassam Faris Sawaftah</v>
      </c>
      <c r="U637" s="12" t="s">
        <v>3393</v>
      </c>
      <c r="W637" s="25">
        <f>COUNTIFS('Form Presensi SCC'!$B:$B, IF($C637&lt;&gt;0, TEXT($C637, "0000000000"), $D637), 'Form Presensi SCC'!$C:$C, "Hadir")</f>
        <v>0</v>
      </c>
      <c r="Y637" s="26"/>
    </row>
    <row r="638" ht="22.5" customHeight="1">
      <c r="A638" s="18">
        <v>555.0</v>
      </c>
      <c r="B638" s="31">
        <v>10.0</v>
      </c>
      <c r="C638" s="27" t="s">
        <v>3414</v>
      </c>
      <c r="D638" s="31" t="s">
        <v>3415</v>
      </c>
      <c r="E638" s="32" t="s">
        <v>227</v>
      </c>
      <c r="F638" s="12">
        <v>32.0</v>
      </c>
      <c r="G638" s="12" t="s">
        <v>3369</v>
      </c>
      <c r="H638" s="28"/>
      <c r="I638" s="20"/>
      <c r="J638" s="10"/>
      <c r="K638" s="10" t="s">
        <v>3369</v>
      </c>
      <c r="L638" s="10"/>
      <c r="M638" s="33"/>
      <c r="N638" s="34"/>
      <c r="O638" s="34"/>
      <c r="P638" s="12" t="str">
        <f t="shared" si="1"/>
        <v>https://docs.google.com/forms/d/e/1FAIpQLSeZ-R1GrWlAPkfaThGqxeTj0QTtrARw4rroxIIepf2kipn1nw/formResponse?usp=pp_url&amp;entry.1313582257=0093505380 / 242510187&amp;entry.1578404635=Hadir</v>
      </c>
      <c r="Q638" s="23" t="s">
        <v>3416</v>
      </c>
      <c r="R638" s="12" t="s">
        <v>3417</v>
      </c>
      <c r="S638" s="24" t="s">
        <v>3418</v>
      </c>
      <c r="T638" s="23" t="str">
        <f>HYPERLINK("https://drive.google.com/file/d/1XBiUQHfb3lnaODsl24Rr3RmPza5fdwpr/view?usp=drivesdk","32 - XI B-1 - Kayla Rahmah Mumtazah")</f>
        <v>32 - XI B-1 - Kayla Rahmah Mumtazah</v>
      </c>
      <c r="U638" s="12" t="s">
        <v>3419</v>
      </c>
      <c r="W638" s="25">
        <f>COUNTIFS('Form Presensi SCC'!$B:$B, IF($C638&lt;&gt;0, TEXT($C638, "0000000000"), $D638), 'Form Presensi SCC'!$C:$C, "Hadir")</f>
        <v>0</v>
      </c>
      <c r="Y638" s="26"/>
    </row>
    <row r="639" ht="22.5" customHeight="1">
      <c r="A639" s="18">
        <v>555.0</v>
      </c>
      <c r="B639" s="31">
        <v>11.0</v>
      </c>
      <c r="C639" s="27" t="s">
        <v>3420</v>
      </c>
      <c r="D639" s="31" t="s">
        <v>3421</v>
      </c>
      <c r="E639" s="32" t="s">
        <v>227</v>
      </c>
      <c r="F639" s="12">
        <v>32.0</v>
      </c>
      <c r="G639" s="12" t="s">
        <v>3369</v>
      </c>
      <c r="H639" s="28"/>
      <c r="I639" s="20"/>
      <c r="J639" s="10"/>
      <c r="K639" s="10" t="s">
        <v>3369</v>
      </c>
      <c r="L639" s="10"/>
      <c r="M639" s="33"/>
      <c r="N639" s="34"/>
      <c r="O639" s="34"/>
      <c r="P639" s="12" t="str">
        <f t="shared" si="1"/>
        <v>https://docs.google.com/forms/d/e/1FAIpQLSeZ-R1GrWlAPkfaThGqxeTj0QTtrARw4rroxIIepf2kipn1nw/formResponse?usp=pp_url&amp;entry.1313582257=0084361496 / 242510193&amp;entry.1578404635=Hadir</v>
      </c>
      <c r="Q639" s="23" t="s">
        <v>3422</v>
      </c>
      <c r="R639" s="12" t="s">
        <v>3423</v>
      </c>
      <c r="S639" s="24" t="s">
        <v>3424</v>
      </c>
      <c r="T639" s="23" t="str">
        <f>HYPERLINK("https://drive.google.com/file/d/1s1s1U02tSCetgb8gv83rqH-e5DmnygWR/view?usp=drivesdk","32 - XI B-1 - Kesya Rashan Syilbiyy Firdaus")</f>
        <v>32 - XI B-1 - Kesya Rashan Syilbiyy Firdaus</v>
      </c>
      <c r="U639" s="12" t="s">
        <v>3419</v>
      </c>
      <c r="W639" s="25">
        <f>COUNTIFS('Form Presensi SCC'!$B:$B, IF($C639&lt;&gt;0, TEXT($C639, "0000000000"), $D639), 'Form Presensi SCC'!$C:$C, "Hadir")</f>
        <v>0</v>
      </c>
      <c r="Y639" s="26"/>
    </row>
    <row r="640" ht="22.5" customHeight="1">
      <c r="A640" s="18">
        <v>555.0</v>
      </c>
      <c r="B640" s="31">
        <v>12.0</v>
      </c>
      <c r="C640" s="27" t="s">
        <v>3425</v>
      </c>
      <c r="D640" s="31" t="s">
        <v>3426</v>
      </c>
      <c r="E640" s="32" t="s">
        <v>227</v>
      </c>
      <c r="F640" s="12">
        <v>32.0</v>
      </c>
      <c r="G640" s="12" t="s">
        <v>3369</v>
      </c>
      <c r="H640" s="28"/>
      <c r="I640" s="20"/>
      <c r="J640" s="10"/>
      <c r="K640" s="10" t="s">
        <v>3369</v>
      </c>
      <c r="L640" s="10"/>
      <c r="M640" s="33"/>
      <c r="N640" s="34"/>
      <c r="O640" s="34"/>
      <c r="P640" s="12" t="str">
        <f t="shared" si="1"/>
        <v>https://docs.google.com/forms/d/e/1FAIpQLSeZ-R1GrWlAPkfaThGqxeTj0QTtrARw4rroxIIepf2kipn1nw/formResponse?usp=pp_url&amp;entry.1313582257=0093778675 / 242510197&amp;entry.1578404635=Hadir</v>
      </c>
      <c r="Q640" s="23" t="s">
        <v>3427</v>
      </c>
      <c r="R640" s="12" t="s">
        <v>3428</v>
      </c>
      <c r="S640" s="24" t="s">
        <v>3429</v>
      </c>
      <c r="T640" s="23" t="str">
        <f>HYPERLINK("https://drive.google.com/file/d/1yqJG-BeFNpbuyFNWFOPKyogESvDjyeEZ/view?usp=drivesdk","32 - XI B-1 - Kezia Feodora Simarnala Ciberro")</f>
        <v>32 - XI B-1 - Kezia Feodora Simarnala Ciberro</v>
      </c>
      <c r="U640" s="12" t="s">
        <v>3419</v>
      </c>
      <c r="W640" s="25">
        <f>COUNTIFS('Form Presensi SCC'!$B:$B, IF($C640&lt;&gt;0, TEXT($C640, "0000000000"), $D640), 'Form Presensi SCC'!$C:$C, "Hadir")</f>
        <v>0</v>
      </c>
      <c r="Y640" s="26"/>
    </row>
    <row r="641" ht="22.5" customHeight="1">
      <c r="A641" s="18">
        <v>555.0</v>
      </c>
      <c r="B641" s="31">
        <v>13.0</v>
      </c>
      <c r="C641" s="27" t="s">
        <v>3430</v>
      </c>
      <c r="D641" s="31" t="s">
        <v>3431</v>
      </c>
      <c r="E641" s="32" t="s">
        <v>227</v>
      </c>
      <c r="F641" s="12">
        <v>32.0</v>
      </c>
      <c r="G641" s="12" t="s">
        <v>3369</v>
      </c>
      <c r="H641" s="28"/>
      <c r="I641" s="20"/>
      <c r="J641" s="10"/>
      <c r="K641" s="10" t="s">
        <v>3369</v>
      </c>
      <c r="L641" s="10"/>
      <c r="M641" s="33"/>
      <c r="N641" s="34"/>
      <c r="O641" s="34"/>
      <c r="P641" s="12" t="str">
        <f t="shared" si="1"/>
        <v>https://docs.google.com/forms/d/e/1FAIpQLSeZ-R1GrWlAPkfaThGqxeTj0QTtrARw4rroxIIepf2kipn1nw/formResponse?usp=pp_url&amp;entry.1313582257=0094698679 / 242510213&amp;entry.1578404635=Hadir</v>
      </c>
      <c r="Q641" s="23" t="s">
        <v>3432</v>
      </c>
      <c r="R641" s="12" t="s">
        <v>3433</v>
      </c>
      <c r="S641" s="24" t="s">
        <v>3434</v>
      </c>
      <c r="T641" s="23" t="str">
        <f>HYPERLINK("https://drive.google.com/file/d/178X05-naYzjJb7ZAw6Sil7EdNSxlc1KM/view?usp=drivesdk","32 - XI B-1 - Lina Amelia Dwi Anjani")</f>
        <v>32 - XI B-1 - Lina Amelia Dwi Anjani</v>
      </c>
      <c r="U641" s="12" t="s">
        <v>3419</v>
      </c>
      <c r="W641" s="25">
        <f>COUNTIFS('Form Presensi SCC'!$B:$B, IF($C641&lt;&gt;0, TEXT($C641, "0000000000"), $D641), 'Form Presensi SCC'!$C:$C, "Hadir")</f>
        <v>0</v>
      </c>
      <c r="Y641" s="26"/>
    </row>
    <row r="642" ht="22.5" customHeight="1">
      <c r="A642" s="18">
        <v>555.0</v>
      </c>
      <c r="B642" s="31">
        <v>14.0</v>
      </c>
      <c r="C642" s="27" t="s">
        <v>3435</v>
      </c>
      <c r="D642" s="31" t="s">
        <v>3436</v>
      </c>
      <c r="E642" s="32" t="s">
        <v>227</v>
      </c>
      <c r="F642" s="12">
        <v>32.0</v>
      </c>
      <c r="G642" s="12" t="s">
        <v>3369</v>
      </c>
      <c r="H642" s="28"/>
      <c r="I642" s="20"/>
      <c r="J642" s="10"/>
      <c r="K642" s="10" t="s">
        <v>3369</v>
      </c>
      <c r="L642" s="10"/>
      <c r="M642" s="33"/>
      <c r="N642" s="34"/>
      <c r="O642" s="34"/>
      <c r="P642" s="12" t="str">
        <f t="shared" si="1"/>
        <v>https://docs.google.com/forms/d/e/1FAIpQLSeZ-R1GrWlAPkfaThGqxeTj0QTtrARw4rroxIIepf2kipn1nw/formResponse?usp=pp_url&amp;entry.1313582257=3095285309 / 242510216&amp;entry.1578404635=Hadir</v>
      </c>
      <c r="Q642" s="23" t="s">
        <v>3437</v>
      </c>
      <c r="R642" s="12" t="s">
        <v>3438</v>
      </c>
      <c r="S642" s="24" t="s">
        <v>3439</v>
      </c>
      <c r="T642" s="23" t="str">
        <f>HYPERLINK("https://drive.google.com/file/d/1gKATXB57Z9Xfl0rbHvJy5ASorqji6eic/view?usp=drivesdk","32 - XI B-1 - Luviyani")</f>
        <v>32 - XI B-1 - Luviyani</v>
      </c>
      <c r="U642" s="12" t="s">
        <v>3419</v>
      </c>
      <c r="W642" s="25">
        <f>COUNTIFS('Form Presensi SCC'!$B:$B, IF($C642&lt;&gt;0, TEXT($C642, "0000000000"), $D642), 'Form Presensi SCC'!$C:$C, "Hadir")</f>
        <v>0</v>
      </c>
      <c r="Y642" s="26"/>
    </row>
    <row r="643" ht="22.5" customHeight="1">
      <c r="A643" s="18">
        <v>555.0</v>
      </c>
      <c r="B643" s="31">
        <v>15.0</v>
      </c>
      <c r="C643" s="27" t="s">
        <v>3440</v>
      </c>
      <c r="D643" s="31" t="s">
        <v>3441</v>
      </c>
      <c r="E643" s="32" t="s">
        <v>227</v>
      </c>
      <c r="F643" s="12">
        <v>32.0</v>
      </c>
      <c r="G643" s="12" t="s">
        <v>3369</v>
      </c>
      <c r="H643" s="28"/>
      <c r="I643" s="20"/>
      <c r="J643" s="10"/>
      <c r="K643" s="10" t="s">
        <v>3369</v>
      </c>
      <c r="L643" s="10"/>
      <c r="M643" s="33"/>
      <c r="N643" s="34"/>
      <c r="O643" s="34"/>
      <c r="P643" s="12" t="str">
        <f t="shared" si="1"/>
        <v>https://docs.google.com/forms/d/e/1FAIpQLSeZ-R1GrWlAPkfaThGqxeTj0QTtrARw4rroxIIepf2kipn1nw/formResponse?usp=pp_url&amp;entry.1313582257=0081476668 / 242510222&amp;entry.1578404635=Hadir</v>
      </c>
      <c r="Q643" s="23" t="s">
        <v>3442</v>
      </c>
      <c r="R643" s="12" t="s">
        <v>3443</v>
      </c>
      <c r="S643" s="24" t="s">
        <v>3444</v>
      </c>
      <c r="T643" s="23" t="str">
        <f>HYPERLINK("https://drive.google.com/file/d/1Pd23SVesechBi49aeqmCP1ti6iPNoeTH/view?usp=drivesdk","32 - XI B-1 - Malika Nurzahira")</f>
        <v>32 - XI B-1 - Malika Nurzahira</v>
      </c>
      <c r="U643" s="12" t="s">
        <v>3445</v>
      </c>
      <c r="W643" s="25">
        <f>COUNTIFS('Form Presensi SCC'!$B:$B, IF($C643&lt;&gt;0, TEXT($C643, "0000000000"), $D643), 'Form Presensi SCC'!$C:$C, "Hadir")</f>
        <v>0</v>
      </c>
      <c r="Y643" s="26"/>
    </row>
    <row r="644" ht="22.5" customHeight="1">
      <c r="A644" s="18">
        <v>555.0</v>
      </c>
      <c r="B644" s="31">
        <v>16.0</v>
      </c>
      <c r="C644" s="27" t="s">
        <v>3446</v>
      </c>
      <c r="D644" s="31" t="s">
        <v>3447</v>
      </c>
      <c r="E644" s="32" t="s">
        <v>227</v>
      </c>
      <c r="F644" s="12">
        <v>32.0</v>
      </c>
      <c r="G644" s="12" t="s">
        <v>3369</v>
      </c>
      <c r="H644" s="28"/>
      <c r="I644" s="20"/>
      <c r="J644" s="10"/>
      <c r="K644" s="10" t="s">
        <v>3369</v>
      </c>
      <c r="L644" s="10"/>
      <c r="M644" s="33"/>
      <c r="N644" s="34"/>
      <c r="O644" s="34"/>
      <c r="P644" s="12" t="str">
        <f t="shared" si="1"/>
        <v>https://docs.google.com/forms/d/e/1FAIpQLSeZ-R1GrWlAPkfaThGqxeTj0QTtrARw4rroxIIepf2kipn1nw/formResponse?usp=pp_url&amp;entry.1313582257=0098908539 / 242510230&amp;entry.1578404635=Hadir</v>
      </c>
      <c r="Q644" s="23" t="s">
        <v>3448</v>
      </c>
      <c r="R644" s="12" t="s">
        <v>3449</v>
      </c>
      <c r="S644" s="24" t="s">
        <v>3450</v>
      </c>
      <c r="T644" s="23" t="str">
        <f>HYPERLINK("https://drive.google.com/file/d/1RpBOb7YJjkXZAKLhEB7Lgm7QNgR1FG2m/view?usp=drivesdk","32 - XI B-1 - Maysa Khumaira")</f>
        <v>32 - XI B-1 - Maysa Khumaira</v>
      </c>
      <c r="U644" s="12" t="s">
        <v>3445</v>
      </c>
      <c r="W644" s="25">
        <f>COUNTIFS('Form Presensi SCC'!$B:$B, IF($C644&lt;&gt;0, TEXT($C644, "0000000000"), $D644), 'Form Presensi SCC'!$C:$C, "Hadir")</f>
        <v>0</v>
      </c>
      <c r="Y644" s="26"/>
    </row>
    <row r="645" ht="22.5" customHeight="1">
      <c r="A645" s="18">
        <v>555.0</v>
      </c>
      <c r="B645" s="31">
        <v>17.0</v>
      </c>
      <c r="C645" s="27" t="s">
        <v>3451</v>
      </c>
      <c r="D645" s="31" t="s">
        <v>3452</v>
      </c>
      <c r="E645" s="32" t="s">
        <v>227</v>
      </c>
      <c r="F645" s="12">
        <v>32.0</v>
      </c>
      <c r="G645" s="12" t="s">
        <v>3369</v>
      </c>
      <c r="H645" s="28"/>
      <c r="I645" s="20"/>
      <c r="J645" s="10"/>
      <c r="K645" s="10" t="s">
        <v>3369</v>
      </c>
      <c r="L645" s="10"/>
      <c r="M645" s="33"/>
      <c r="N645" s="34"/>
      <c r="O645" s="34"/>
      <c r="P645" s="12" t="str">
        <f t="shared" si="1"/>
        <v>https://docs.google.com/forms/d/e/1FAIpQLSeZ-R1GrWlAPkfaThGqxeTj0QTtrARw4rroxIIepf2kipn1nw/formResponse?usp=pp_url&amp;entry.1313582257=3095174589 / 242510231&amp;entry.1578404635=Hadir</v>
      </c>
      <c r="Q645" s="23" t="s">
        <v>3453</v>
      </c>
      <c r="R645" s="12" t="s">
        <v>3454</v>
      </c>
      <c r="S645" s="24" t="s">
        <v>3455</v>
      </c>
      <c r="T645" s="23" t="str">
        <f>HYPERLINK("https://drive.google.com/file/d/1DTrvxRr2myWDtCZntXS3bK4cI2hAydQe/view?usp=drivesdk","32 - XI B-1 - Mazaya Kamilah Manik")</f>
        <v>32 - XI B-1 - Mazaya Kamilah Manik</v>
      </c>
      <c r="U645" s="12" t="s">
        <v>3445</v>
      </c>
      <c r="W645" s="25">
        <f>COUNTIFS('Form Presensi SCC'!$B:$B, IF($C645&lt;&gt;0, TEXT($C645, "0000000000"), $D645), 'Form Presensi SCC'!$C:$C, "Hadir")</f>
        <v>0</v>
      </c>
      <c r="Y645" s="26"/>
    </row>
    <row r="646" ht="22.5" customHeight="1">
      <c r="A646" s="18">
        <v>555.0</v>
      </c>
      <c r="B646" s="31">
        <v>18.0</v>
      </c>
      <c r="C646" s="27" t="s">
        <v>3456</v>
      </c>
      <c r="D646" s="31" t="s">
        <v>3457</v>
      </c>
      <c r="E646" s="32" t="s">
        <v>227</v>
      </c>
      <c r="F646" s="12">
        <v>32.0</v>
      </c>
      <c r="G646" s="12" t="s">
        <v>3369</v>
      </c>
      <c r="H646" s="28"/>
      <c r="I646" s="20"/>
      <c r="J646" s="10"/>
      <c r="K646" s="10" t="s">
        <v>3369</v>
      </c>
      <c r="L646" s="10"/>
      <c r="M646" s="33"/>
      <c r="N646" s="34"/>
      <c r="O646" s="34"/>
      <c r="P646" s="12" t="str">
        <f t="shared" si="1"/>
        <v>https://docs.google.com/forms/d/e/1FAIpQLSeZ-R1GrWlAPkfaThGqxeTj0QTtrARw4rroxIIepf2kipn1nw/formResponse?usp=pp_url&amp;entry.1313582257=0099030651 / 242510232&amp;entry.1578404635=Hadir</v>
      </c>
      <c r="Q646" s="23" t="s">
        <v>3458</v>
      </c>
      <c r="R646" s="12" t="s">
        <v>3459</v>
      </c>
      <c r="S646" s="24" t="s">
        <v>3460</v>
      </c>
      <c r="T646" s="23" t="str">
        <f>HYPERLINK("https://drive.google.com/file/d/1A2eV6Sz08ScSbqzEFyohtS0bEz-fovM7/view?usp=drivesdk","32 - XI B-1 - Meydina Khaliilah Bramantya")</f>
        <v>32 - XI B-1 - Meydina Khaliilah Bramantya</v>
      </c>
      <c r="U646" s="12" t="s">
        <v>3445</v>
      </c>
      <c r="W646" s="25">
        <f>COUNTIFS('Form Presensi SCC'!$B:$B, IF($C646&lt;&gt;0, TEXT($C646, "0000000000"), $D646), 'Form Presensi SCC'!$C:$C, "Hadir")</f>
        <v>0</v>
      </c>
      <c r="Y646" s="26"/>
    </row>
    <row r="647" ht="22.5" customHeight="1">
      <c r="A647" s="18">
        <v>555.0</v>
      </c>
      <c r="B647" s="31">
        <v>19.0</v>
      </c>
      <c r="C647" s="27" t="s">
        <v>3461</v>
      </c>
      <c r="D647" s="31" t="s">
        <v>3462</v>
      </c>
      <c r="E647" s="32" t="s">
        <v>227</v>
      </c>
      <c r="F647" s="12">
        <v>32.0</v>
      </c>
      <c r="G647" s="12" t="s">
        <v>3369</v>
      </c>
      <c r="H647" s="28"/>
      <c r="I647" s="20"/>
      <c r="J647" s="10"/>
      <c r="K647" s="10" t="s">
        <v>3369</v>
      </c>
      <c r="L647" s="10"/>
      <c r="M647" s="33"/>
      <c r="N647" s="34"/>
      <c r="O647" s="34"/>
      <c r="P647" s="12" t="str">
        <f t="shared" si="1"/>
        <v>https://docs.google.com/forms/d/e/1FAIpQLSeZ-R1GrWlAPkfaThGqxeTj0QTtrARw4rroxIIepf2kipn1nw/formResponse?usp=pp_url&amp;entry.1313582257=0098437864 / 242510233&amp;entry.1578404635=Hadir</v>
      </c>
      <c r="Q647" s="23" t="s">
        <v>3463</v>
      </c>
      <c r="R647" s="12" t="s">
        <v>3464</v>
      </c>
      <c r="S647" s="24" t="s">
        <v>3465</v>
      </c>
      <c r="T647" s="23" t="str">
        <f>HYPERLINK("https://drive.google.com/file/d/1JFR8OVLVZ-FaJ00yApDpzKLzHLgd9Vs5/view?usp=drivesdk","32 - XI B-1 - Meysa Yosi Salsabila")</f>
        <v>32 - XI B-1 - Meysa Yosi Salsabila</v>
      </c>
      <c r="U647" s="12" t="s">
        <v>3466</v>
      </c>
      <c r="W647" s="25">
        <f>COUNTIFS('Form Presensi SCC'!$B:$B, IF($C647&lt;&gt;0, TEXT($C647, "0000000000"), $D647), 'Form Presensi SCC'!$C:$C, "Hadir")</f>
        <v>0</v>
      </c>
      <c r="Y647" s="26"/>
    </row>
    <row r="648" ht="22.5" customHeight="1">
      <c r="A648" s="18">
        <v>555.0</v>
      </c>
      <c r="B648" s="31">
        <v>20.0</v>
      </c>
      <c r="C648" s="27" t="s">
        <v>3467</v>
      </c>
      <c r="D648" s="31" t="s">
        <v>3468</v>
      </c>
      <c r="E648" s="32" t="s">
        <v>220</v>
      </c>
      <c r="F648" s="12">
        <v>32.0</v>
      </c>
      <c r="G648" s="12" t="s">
        <v>3369</v>
      </c>
      <c r="H648" s="28"/>
      <c r="I648" s="20"/>
      <c r="J648" s="10"/>
      <c r="K648" s="10" t="s">
        <v>3369</v>
      </c>
      <c r="L648" s="10"/>
      <c r="M648" s="33"/>
      <c r="N648" s="34"/>
      <c r="O648" s="34"/>
      <c r="P648" s="12" t="str">
        <f t="shared" si="1"/>
        <v>https://docs.google.com/forms/d/e/1FAIpQLSeZ-R1GrWlAPkfaThGqxeTj0QTtrARw4rroxIIepf2kipn1nw/formResponse?usp=pp_url&amp;entry.1313582257=0088976294 / 242510244&amp;entry.1578404635=Hadir</v>
      </c>
      <c r="Q648" s="23" t="s">
        <v>3469</v>
      </c>
      <c r="R648" s="12" t="s">
        <v>3470</v>
      </c>
      <c r="S648" s="24" t="s">
        <v>3471</v>
      </c>
      <c r="T648" s="23" t="str">
        <f>HYPERLINK("https://drive.google.com/file/d/1vNDDSSnQ3EloipaIqCDiCCKSutm7577D/view?usp=drivesdk","32 - XI B-1 - Muhamad Riski Aditiya")</f>
        <v>32 - XI B-1 - Muhamad Riski Aditiya</v>
      </c>
      <c r="U648" s="12" t="s">
        <v>3466</v>
      </c>
      <c r="W648" s="25">
        <f>COUNTIFS('Form Presensi SCC'!$B:$B, IF($C648&lt;&gt;0, TEXT($C648, "0000000000"), $D648), 'Form Presensi SCC'!$C:$C, "Hadir")</f>
        <v>0</v>
      </c>
      <c r="Y648" s="26"/>
    </row>
    <row r="649" ht="22.5" customHeight="1">
      <c r="A649" s="18">
        <v>555.0</v>
      </c>
      <c r="B649" s="31">
        <v>21.0</v>
      </c>
      <c r="C649" s="27" t="s">
        <v>3472</v>
      </c>
      <c r="D649" s="31" t="s">
        <v>3473</v>
      </c>
      <c r="E649" s="32" t="s">
        <v>220</v>
      </c>
      <c r="F649" s="12">
        <v>32.0</v>
      </c>
      <c r="G649" s="12" t="s">
        <v>3369</v>
      </c>
      <c r="H649" s="28"/>
      <c r="I649" s="20"/>
      <c r="J649" s="10"/>
      <c r="K649" s="10" t="s">
        <v>3369</v>
      </c>
      <c r="L649" s="10"/>
      <c r="M649" s="33"/>
      <c r="N649" s="34"/>
      <c r="O649" s="34"/>
      <c r="P649" s="12" t="str">
        <f t="shared" si="1"/>
        <v>https://docs.google.com/forms/d/e/1FAIpQLSeZ-R1GrWlAPkfaThGqxeTj0QTtrARw4rroxIIepf2kipn1nw/formResponse?usp=pp_url&amp;entry.1313582257=0094412664 / 242510278&amp;entry.1578404635=Hadir</v>
      </c>
      <c r="Q649" s="23" t="s">
        <v>3474</v>
      </c>
      <c r="R649" s="12" t="s">
        <v>3475</v>
      </c>
      <c r="S649" s="24" t="s">
        <v>3476</v>
      </c>
      <c r="T649" s="23" t="str">
        <f>HYPERLINK("https://drive.google.com/file/d/1mo-eAYd8Bq4t_3L4Xe2B_LkHEDRs-QON/view?usp=drivesdk","32 - XI B-1 - Muhammad Shafa")</f>
        <v>32 - XI B-1 - Muhammad Shafa</v>
      </c>
      <c r="U649" s="12" t="s">
        <v>3466</v>
      </c>
      <c r="W649" s="25">
        <f>COUNTIFS('Form Presensi SCC'!$B:$B, IF($C649&lt;&gt;0, TEXT($C649, "0000000000"), $D649), 'Form Presensi SCC'!$C:$C, "Hadir")</f>
        <v>0</v>
      </c>
      <c r="Y649" s="26"/>
    </row>
    <row r="650" ht="22.5" customHeight="1">
      <c r="A650" s="18">
        <v>555.0</v>
      </c>
      <c r="B650" s="31">
        <v>22.0</v>
      </c>
      <c r="C650" s="27" t="s">
        <v>3477</v>
      </c>
      <c r="D650" s="31" t="s">
        <v>3478</v>
      </c>
      <c r="E650" s="32" t="s">
        <v>227</v>
      </c>
      <c r="F650" s="12">
        <v>32.0</v>
      </c>
      <c r="G650" s="12" t="s">
        <v>3369</v>
      </c>
      <c r="H650" s="28"/>
      <c r="I650" s="20"/>
      <c r="J650" s="10"/>
      <c r="K650" s="10" t="s">
        <v>3369</v>
      </c>
      <c r="L650" s="10"/>
      <c r="M650" s="33"/>
      <c r="N650" s="34"/>
      <c r="O650" s="34"/>
      <c r="P650" s="12" t="str">
        <f t="shared" si="1"/>
        <v>https://docs.google.com/forms/d/e/1FAIpQLSeZ-R1GrWlAPkfaThGqxeTj0QTtrARw4rroxIIepf2kipn1nw/formResponse?usp=pp_url&amp;entry.1313582257=0091524851 / 242510286&amp;entry.1578404635=Hadir</v>
      </c>
      <c r="Q650" s="23" t="s">
        <v>3479</v>
      </c>
      <c r="R650" s="12" t="s">
        <v>3480</v>
      </c>
      <c r="S650" s="24" t="s">
        <v>3481</v>
      </c>
      <c r="T650" s="23" t="str">
        <f>HYPERLINK("https://drive.google.com/file/d/1WyQmoA9QYakIKrk124hWkV4KO5T3Ul1z/view?usp=drivesdk","32 - XI B-1 - Nadian Putri Syafina")</f>
        <v>32 - XI B-1 - Nadian Putri Syafina</v>
      </c>
      <c r="U650" s="12" t="s">
        <v>3466</v>
      </c>
      <c r="W650" s="25">
        <f>COUNTIFS('Form Presensi SCC'!$B:$B, IF($C650&lt;&gt;0, TEXT($C650, "0000000000"), $D650), 'Form Presensi SCC'!$C:$C, "Hadir")</f>
        <v>0</v>
      </c>
      <c r="Y650" s="26"/>
    </row>
    <row r="651" ht="22.5" customHeight="1">
      <c r="A651" s="18">
        <v>555.0</v>
      </c>
      <c r="B651" s="31">
        <v>23.0</v>
      </c>
      <c r="C651" s="27" t="s">
        <v>3482</v>
      </c>
      <c r="D651" s="31" t="s">
        <v>3483</v>
      </c>
      <c r="E651" s="32" t="s">
        <v>227</v>
      </c>
      <c r="F651" s="12">
        <v>32.0</v>
      </c>
      <c r="G651" s="12" t="s">
        <v>3369</v>
      </c>
      <c r="H651" s="28"/>
      <c r="I651" s="20"/>
      <c r="J651" s="10"/>
      <c r="K651" s="10" t="s">
        <v>3369</v>
      </c>
      <c r="L651" s="10"/>
      <c r="M651" s="33"/>
      <c r="N651" s="34"/>
      <c r="O651" s="34"/>
      <c r="P651" s="12" t="str">
        <f t="shared" si="1"/>
        <v>https://docs.google.com/forms/d/e/1FAIpQLSeZ-R1GrWlAPkfaThGqxeTj0QTtrARw4rroxIIepf2kipn1nw/formResponse?usp=pp_url&amp;entry.1313582257=3099271994 / 242510297&amp;entry.1578404635=Hadir</v>
      </c>
      <c r="Q651" s="23" t="s">
        <v>3484</v>
      </c>
      <c r="R651" s="12" t="s">
        <v>3485</v>
      </c>
      <c r="S651" s="24" t="s">
        <v>3486</v>
      </c>
      <c r="T651" s="23" t="str">
        <f>HYPERLINK("https://drive.google.com/file/d/1A9ftqcJUto8yXWSGbo6FLHFuw2UwWcUO/view?usp=drivesdk","32 - XI B-1 - Nayshila Dhiya Adzkia")</f>
        <v>32 - XI B-1 - Nayshila Dhiya Adzkia</v>
      </c>
      <c r="U651" s="12" t="s">
        <v>3487</v>
      </c>
      <c r="W651" s="25">
        <f>COUNTIFS('Form Presensi SCC'!$B:$B, IF($C651&lt;&gt;0, TEXT($C651, "0000000000"), $D651), 'Form Presensi SCC'!$C:$C, "Hadir")</f>
        <v>0</v>
      </c>
      <c r="Y651" s="26"/>
    </row>
    <row r="652" ht="22.5" customHeight="1">
      <c r="A652" s="18">
        <v>555.0</v>
      </c>
      <c r="B652" s="31">
        <v>24.0</v>
      </c>
      <c r="C652" s="27" t="s">
        <v>3488</v>
      </c>
      <c r="D652" s="31" t="s">
        <v>3489</v>
      </c>
      <c r="E652" s="32" t="s">
        <v>227</v>
      </c>
      <c r="F652" s="12">
        <v>32.0</v>
      </c>
      <c r="G652" s="12" t="s">
        <v>3369</v>
      </c>
      <c r="H652" s="28"/>
      <c r="I652" s="20"/>
      <c r="J652" s="10"/>
      <c r="K652" s="10" t="s">
        <v>3369</v>
      </c>
      <c r="L652" s="10"/>
      <c r="M652" s="33"/>
      <c r="N652" s="34"/>
      <c r="O652" s="34"/>
      <c r="P652" s="12" t="str">
        <f t="shared" si="1"/>
        <v>https://docs.google.com/forms/d/e/1FAIpQLSeZ-R1GrWlAPkfaThGqxeTj0QTtrARw4rroxIIepf2kipn1nw/formResponse?usp=pp_url&amp;entry.1313582257=0083974334 / 242510298&amp;entry.1578404635=Hadir</v>
      </c>
      <c r="Q652" s="23" t="s">
        <v>3490</v>
      </c>
      <c r="R652" s="12" t="s">
        <v>3491</v>
      </c>
      <c r="S652" s="24" t="s">
        <v>3492</v>
      </c>
      <c r="T652" s="23" t="str">
        <f>HYPERLINK("https://drive.google.com/file/d/1W3zVDSF6RWI5mXOLIlslG5sjlh6TMXSi/view?usp=drivesdk","32 - XI B-1 - Nazhera Irba Iwel")</f>
        <v>32 - XI B-1 - Nazhera Irba Iwel</v>
      </c>
      <c r="U652" s="12" t="s">
        <v>3487</v>
      </c>
      <c r="W652" s="25">
        <f>COUNTIFS('Form Presensi SCC'!$B:$B, IF($C652&lt;&gt;0, TEXT($C652, "0000000000"), $D652), 'Form Presensi SCC'!$C:$C, "Hadir")</f>
        <v>0</v>
      </c>
      <c r="Y652" s="26"/>
    </row>
    <row r="653" ht="22.5" customHeight="1">
      <c r="A653" s="18">
        <v>555.0</v>
      </c>
      <c r="B653" s="31">
        <v>25.0</v>
      </c>
      <c r="C653" s="27" t="s">
        <v>3493</v>
      </c>
      <c r="D653" s="31" t="s">
        <v>3494</v>
      </c>
      <c r="E653" s="32" t="s">
        <v>227</v>
      </c>
      <c r="F653" s="12">
        <v>32.0</v>
      </c>
      <c r="G653" s="12" t="s">
        <v>3369</v>
      </c>
      <c r="H653" s="28"/>
      <c r="I653" s="20"/>
      <c r="J653" s="10"/>
      <c r="K653" s="10" t="s">
        <v>3369</v>
      </c>
      <c r="L653" s="10"/>
      <c r="M653" s="33"/>
      <c r="N653" s="34"/>
      <c r="O653" s="34"/>
      <c r="P653" s="12" t="str">
        <f t="shared" si="1"/>
        <v>https://docs.google.com/forms/d/e/1FAIpQLSeZ-R1GrWlAPkfaThGqxeTj0QTtrARw4rroxIIepf2kipn1nw/formResponse?usp=pp_url&amp;entry.1313582257=0084584228 / 242510313&amp;entry.1578404635=Hadir</v>
      </c>
      <c r="Q653" s="23" t="s">
        <v>3495</v>
      </c>
      <c r="R653" s="12" t="s">
        <v>3496</v>
      </c>
      <c r="S653" s="24" t="s">
        <v>3497</v>
      </c>
      <c r="T653" s="23" t="str">
        <f>HYPERLINK("https://drive.google.com/file/d/1Ki5OkK-xEPJ8ozG7VCV1jHRnas6xbQvC/view?usp=drivesdk","32 - XI B-1 - Piona Abigail Zamar Sinaga")</f>
        <v>32 - XI B-1 - Piona Abigail Zamar Sinaga</v>
      </c>
      <c r="U653" s="12" t="s">
        <v>3487</v>
      </c>
      <c r="W653" s="25">
        <f>COUNTIFS('Form Presensi SCC'!$B:$B, IF($C653&lt;&gt;0, TEXT($C653, "0000000000"), $D653), 'Form Presensi SCC'!$C:$C, "Hadir")</f>
        <v>0</v>
      </c>
      <c r="Y653" s="26"/>
    </row>
    <row r="654" ht="22.5" customHeight="1">
      <c r="A654" s="18">
        <v>555.0</v>
      </c>
      <c r="B654" s="31">
        <v>26.0</v>
      </c>
      <c r="C654" s="27" t="s">
        <v>3498</v>
      </c>
      <c r="D654" s="31" t="s">
        <v>3499</v>
      </c>
      <c r="E654" s="32" t="s">
        <v>227</v>
      </c>
      <c r="F654" s="12">
        <v>32.0</v>
      </c>
      <c r="G654" s="12" t="s">
        <v>3369</v>
      </c>
      <c r="H654" s="28"/>
      <c r="I654" s="20"/>
      <c r="J654" s="10"/>
      <c r="K654" s="10" t="s">
        <v>3369</v>
      </c>
      <c r="L654" s="10"/>
      <c r="M654" s="33"/>
      <c r="N654" s="34"/>
      <c r="O654" s="34"/>
      <c r="P654" s="12" t="str">
        <f t="shared" si="1"/>
        <v>https://docs.google.com/forms/d/e/1FAIpQLSeZ-R1GrWlAPkfaThGqxeTj0QTtrARw4rroxIIepf2kipn1nw/formResponse?usp=pp_url&amp;entry.1313582257=0093556204 / 242510328&amp;entry.1578404635=Hadir</v>
      </c>
      <c r="Q654" s="23" t="s">
        <v>3500</v>
      </c>
      <c r="R654" s="12" t="s">
        <v>3501</v>
      </c>
      <c r="S654" s="24" t="s">
        <v>3502</v>
      </c>
      <c r="T654" s="23" t="str">
        <f>HYPERLINK("https://drive.google.com/file/d/1Ss63wjm1SP_Hz5qq1skyGab4I1kjit2o/view?usp=drivesdk","32 - XI B-1 - Quintania Aura Putri")</f>
        <v>32 - XI B-1 - Quintania Aura Putri</v>
      </c>
      <c r="U654" s="12" t="s">
        <v>3487</v>
      </c>
      <c r="W654" s="25">
        <f>COUNTIFS('Form Presensi SCC'!$B:$B, IF($C654&lt;&gt;0, TEXT($C654, "0000000000"), $D654), 'Form Presensi SCC'!$C:$C, "Hadir")</f>
        <v>0</v>
      </c>
      <c r="Y654" s="26"/>
    </row>
    <row r="655" ht="22.5" customHeight="1">
      <c r="A655" s="18">
        <v>555.0</v>
      </c>
      <c r="B655" s="31">
        <v>27.0</v>
      </c>
      <c r="C655" s="27" t="s">
        <v>3503</v>
      </c>
      <c r="D655" s="31" t="s">
        <v>3504</v>
      </c>
      <c r="E655" s="32" t="s">
        <v>227</v>
      </c>
      <c r="F655" s="12">
        <v>32.0</v>
      </c>
      <c r="G655" s="12" t="s">
        <v>3369</v>
      </c>
      <c r="H655" s="28"/>
      <c r="I655" s="20"/>
      <c r="J655" s="10"/>
      <c r="K655" s="10" t="s">
        <v>3369</v>
      </c>
      <c r="L655" s="10"/>
      <c r="M655" s="33"/>
      <c r="N655" s="34"/>
      <c r="O655" s="34"/>
      <c r="P655" s="12" t="str">
        <f t="shared" si="1"/>
        <v>https://docs.google.com/forms/d/e/1FAIpQLSeZ-R1GrWlAPkfaThGqxeTj0QTtrARw4rroxIIepf2kipn1nw/formResponse?usp=pp_url&amp;entry.1313582257=0099332666 / 242510343&amp;entry.1578404635=Hadir</v>
      </c>
      <c r="Q655" s="23" t="s">
        <v>3505</v>
      </c>
      <c r="R655" s="12" t="s">
        <v>3506</v>
      </c>
      <c r="S655" s="24" t="s">
        <v>3507</v>
      </c>
      <c r="T655" s="23" t="str">
        <f>HYPERLINK("https://drive.google.com/file/d/15128YcnEfRojny3hA8b19m0zxzJQC3HG/view?usp=drivesdk","32 - XI B-1 - Rania Salsabilla")</f>
        <v>32 - XI B-1 - Rania Salsabilla</v>
      </c>
      <c r="U655" s="12" t="s">
        <v>3487</v>
      </c>
      <c r="W655" s="25">
        <f>COUNTIFS('Form Presensi SCC'!$B:$B, IF($C655&lt;&gt;0, TEXT($C655, "0000000000"), $D655), 'Form Presensi SCC'!$C:$C, "Hadir")</f>
        <v>0</v>
      </c>
      <c r="Y655" s="26"/>
    </row>
    <row r="656" ht="22.5" customHeight="1">
      <c r="A656" s="18">
        <v>555.0</v>
      </c>
      <c r="B656" s="31">
        <v>28.0</v>
      </c>
      <c r="C656" s="27" t="s">
        <v>3508</v>
      </c>
      <c r="D656" s="31" t="s">
        <v>3509</v>
      </c>
      <c r="E656" s="32" t="s">
        <v>220</v>
      </c>
      <c r="F656" s="12">
        <v>32.0</v>
      </c>
      <c r="G656" s="12" t="s">
        <v>3369</v>
      </c>
      <c r="H656" s="28"/>
      <c r="I656" s="20"/>
      <c r="J656" s="10"/>
      <c r="K656" s="10" t="s">
        <v>3369</v>
      </c>
      <c r="L656" s="10"/>
      <c r="M656" s="33"/>
      <c r="N656" s="34"/>
      <c r="O656" s="34"/>
      <c r="P656" s="12" t="str">
        <f t="shared" si="1"/>
        <v>https://docs.google.com/forms/d/e/1FAIpQLSeZ-R1GrWlAPkfaThGqxeTj0QTtrARw4rroxIIepf2kipn1nw/formResponse?usp=pp_url&amp;entry.1313582257=0087745551 / 242510350&amp;entry.1578404635=Hadir</v>
      </c>
      <c r="Q656" s="23" t="s">
        <v>3510</v>
      </c>
      <c r="R656" s="12" t="s">
        <v>3511</v>
      </c>
      <c r="S656" s="24" t="s">
        <v>3512</v>
      </c>
      <c r="T656" s="23" t="str">
        <f>HYPERLINK("https://drive.google.com/file/d/11zPiQR-Fp9vCasAduHisrx6F0qjDILEt/view?usp=drivesdk","32 - XI B-1 - Rhaditia Fajar Kasyahvani")</f>
        <v>32 - XI B-1 - Rhaditia Fajar Kasyahvani</v>
      </c>
      <c r="U656" s="12" t="s">
        <v>3513</v>
      </c>
      <c r="W656" s="25">
        <f>COUNTIFS('Form Presensi SCC'!$B:$B, IF($C656&lt;&gt;0, TEXT($C656, "0000000000"), $D656), 'Form Presensi SCC'!$C:$C, "Hadir")</f>
        <v>0</v>
      </c>
      <c r="Y656" s="26"/>
    </row>
    <row r="657" ht="22.5" customHeight="1">
      <c r="A657" s="18">
        <v>555.0</v>
      </c>
      <c r="B657" s="31">
        <v>29.0</v>
      </c>
      <c r="C657" s="27" t="s">
        <v>3514</v>
      </c>
      <c r="D657" s="31" t="s">
        <v>3515</v>
      </c>
      <c r="E657" s="32" t="s">
        <v>220</v>
      </c>
      <c r="F657" s="12">
        <v>32.0</v>
      </c>
      <c r="G657" s="12" t="s">
        <v>3369</v>
      </c>
      <c r="H657" s="28"/>
      <c r="I657" s="20"/>
      <c r="J657" s="10"/>
      <c r="K657" s="10" t="s">
        <v>3369</v>
      </c>
      <c r="L657" s="10"/>
      <c r="M657" s="33"/>
      <c r="N657" s="34"/>
      <c r="O657" s="34"/>
      <c r="P657" s="12" t="str">
        <f t="shared" si="1"/>
        <v>https://docs.google.com/forms/d/e/1FAIpQLSeZ-R1GrWlAPkfaThGqxeTj0QTtrARw4rroxIIepf2kipn1nw/formResponse?usp=pp_url&amp;entry.1313582257=0085930059 / 242510371&amp;entry.1578404635=Hadir</v>
      </c>
      <c r="Q657" s="23" t="s">
        <v>3516</v>
      </c>
      <c r="R657" s="12" t="s">
        <v>3517</v>
      </c>
      <c r="S657" s="24" t="s">
        <v>3518</v>
      </c>
      <c r="T657" s="23" t="str">
        <f>HYPERLINK("https://drive.google.com/file/d/1123VoSw-rQXOZ9CYnjzZ805bULdzWWim/view?usp=drivesdk","32 - XI B-1 - Samy Abdurrahman Romdhony")</f>
        <v>32 - XI B-1 - Samy Abdurrahman Romdhony</v>
      </c>
      <c r="U657" s="12" t="s">
        <v>3513</v>
      </c>
      <c r="W657" s="25">
        <f>COUNTIFS('Form Presensi SCC'!$B:$B, IF($C657&lt;&gt;0, TEXT($C657, "0000000000"), $D657), 'Form Presensi SCC'!$C:$C, "Hadir")</f>
        <v>0</v>
      </c>
      <c r="Y657" s="26"/>
    </row>
    <row r="658" ht="22.5" customHeight="1">
      <c r="A658" s="18">
        <v>555.0</v>
      </c>
      <c r="B658" s="31">
        <v>30.0</v>
      </c>
      <c r="C658" s="27" t="s">
        <v>3519</v>
      </c>
      <c r="D658" s="31" t="s">
        <v>3520</v>
      </c>
      <c r="E658" s="32" t="s">
        <v>227</v>
      </c>
      <c r="F658" s="12">
        <v>32.0</v>
      </c>
      <c r="G658" s="12" t="s">
        <v>3369</v>
      </c>
      <c r="H658" s="28"/>
      <c r="I658" s="20"/>
      <c r="J658" s="10"/>
      <c r="K658" s="10" t="s">
        <v>3369</v>
      </c>
      <c r="L658" s="10"/>
      <c r="M658" s="33"/>
      <c r="N658" s="34"/>
      <c r="O658" s="34"/>
      <c r="P658" s="12" t="str">
        <f t="shared" si="1"/>
        <v>https://docs.google.com/forms/d/e/1FAIpQLSeZ-R1GrWlAPkfaThGqxeTj0QTtrARw4rroxIIepf2kipn1nw/formResponse?usp=pp_url&amp;entry.1313582257=0096344538 / 242510373&amp;entry.1578404635=Hadir</v>
      </c>
      <c r="Q658" s="23" t="s">
        <v>3521</v>
      </c>
      <c r="R658" s="12" t="s">
        <v>3522</v>
      </c>
      <c r="S658" s="24" t="s">
        <v>3523</v>
      </c>
      <c r="T658" s="23" t="str">
        <f>HYPERLINK("https://drive.google.com/file/d/1mH9xob9REmOK3AbxCSFCfqHoWzzqaUpH/view?usp=drivesdk","32 - XI B-1 - Sanlia Moranda Br Silaban")</f>
        <v>32 - XI B-1 - Sanlia Moranda Br Silaban</v>
      </c>
      <c r="U658" s="12" t="s">
        <v>3513</v>
      </c>
      <c r="W658" s="25">
        <f>COUNTIFS('Form Presensi SCC'!$B:$B, IF($C658&lt;&gt;0, TEXT($C658, "0000000000"), $D658), 'Form Presensi SCC'!$C:$C, "Hadir")</f>
        <v>0</v>
      </c>
      <c r="Y658" s="26"/>
    </row>
    <row r="659" ht="22.5" customHeight="1">
      <c r="A659" s="18">
        <v>555.0</v>
      </c>
      <c r="B659" s="31">
        <v>31.0</v>
      </c>
      <c r="C659" s="27" t="s">
        <v>3524</v>
      </c>
      <c r="D659" s="31" t="s">
        <v>3525</v>
      </c>
      <c r="E659" s="32" t="s">
        <v>227</v>
      </c>
      <c r="F659" s="12">
        <v>32.0</v>
      </c>
      <c r="G659" s="12" t="s">
        <v>3369</v>
      </c>
      <c r="H659" s="28"/>
      <c r="I659" s="20"/>
      <c r="J659" s="10"/>
      <c r="K659" s="10" t="s">
        <v>3369</v>
      </c>
      <c r="L659" s="10"/>
      <c r="M659" s="33"/>
      <c r="N659" s="34"/>
      <c r="O659" s="34"/>
      <c r="P659" s="12" t="str">
        <f t="shared" si="1"/>
        <v>https://docs.google.com/forms/d/e/1FAIpQLSeZ-R1GrWlAPkfaThGqxeTj0QTtrARw4rroxIIepf2kipn1nw/formResponse?usp=pp_url&amp;entry.1313582257=0096480588 / 242510395&amp;entry.1578404635=Hadir</v>
      </c>
      <c r="Q659" s="23" t="s">
        <v>3526</v>
      </c>
      <c r="R659" s="12" t="s">
        <v>3527</v>
      </c>
      <c r="S659" s="24" t="s">
        <v>3528</v>
      </c>
      <c r="T659" s="23" t="str">
        <f>HYPERLINK("https://drive.google.com/file/d/17l_rEXz44S7Ir7rUWKu_2Gd4w0fq5S-H/view?usp=drivesdk","32 - XI B-1 - Syifa Aprilia")</f>
        <v>32 - XI B-1 - Syifa Aprilia</v>
      </c>
      <c r="U659" s="12" t="s">
        <v>3513</v>
      </c>
      <c r="W659" s="25">
        <f>COUNTIFS('Form Presensi SCC'!$B:$B, IF($C659&lt;&gt;0, TEXT($C659, "0000000000"), $D659), 'Form Presensi SCC'!$C:$C, "Hadir")</f>
        <v>0</v>
      </c>
      <c r="Y659" s="26"/>
    </row>
    <row r="660" ht="22.5" customHeight="1">
      <c r="A660" s="18">
        <v>555.0</v>
      </c>
      <c r="B660" s="31">
        <v>32.0</v>
      </c>
      <c r="C660" s="27" t="s">
        <v>3529</v>
      </c>
      <c r="D660" s="31" t="s">
        <v>3530</v>
      </c>
      <c r="E660" s="32" t="s">
        <v>220</v>
      </c>
      <c r="F660" s="12">
        <v>32.0</v>
      </c>
      <c r="G660" s="12" t="s">
        <v>3369</v>
      </c>
      <c r="H660" s="28"/>
      <c r="I660" s="20"/>
      <c r="J660" s="10"/>
      <c r="K660" s="10" t="s">
        <v>3369</v>
      </c>
      <c r="L660" s="10"/>
      <c r="M660" s="33"/>
      <c r="N660" s="34"/>
      <c r="O660" s="34"/>
      <c r="P660" s="12" t="str">
        <f t="shared" si="1"/>
        <v>https://docs.google.com/forms/d/e/1FAIpQLSeZ-R1GrWlAPkfaThGqxeTj0QTtrARw4rroxIIepf2kipn1nw/formResponse?usp=pp_url&amp;entry.1313582257=0094958254 / 242510405&amp;entry.1578404635=Hadir</v>
      </c>
      <c r="Q660" s="23" t="s">
        <v>3531</v>
      </c>
      <c r="R660" s="12" t="s">
        <v>3532</v>
      </c>
      <c r="S660" s="24" t="s">
        <v>3533</v>
      </c>
      <c r="T660" s="23" t="str">
        <f>HYPERLINK("https://drive.google.com/file/d/1UwhZVMsftPoPs-aPtIxkLh5Pc7-WhEg9/view?usp=drivesdk","32 - XI B-1 - Valentino Azka Febrian Putra")</f>
        <v>32 - XI B-1 - Valentino Azka Febrian Putra</v>
      </c>
      <c r="U660" s="12" t="s">
        <v>3513</v>
      </c>
      <c r="W660" s="25">
        <f>COUNTIFS('Form Presensi SCC'!$B:$B, IF($C660&lt;&gt;0, TEXT($C660, "0000000000"), $D660), 'Form Presensi SCC'!$C:$C, "Hadir")</f>
        <v>0</v>
      </c>
      <c r="Y660" s="26"/>
    </row>
    <row r="661" ht="22.5" customHeight="1">
      <c r="A661" s="18">
        <v>555.0</v>
      </c>
      <c r="B661" s="31">
        <v>33.0</v>
      </c>
      <c r="C661" s="27" t="s">
        <v>3534</v>
      </c>
      <c r="D661" s="31" t="s">
        <v>3535</v>
      </c>
      <c r="E661" s="32" t="s">
        <v>227</v>
      </c>
      <c r="F661" s="12">
        <v>32.0</v>
      </c>
      <c r="G661" s="12" t="s">
        <v>3369</v>
      </c>
      <c r="H661" s="28"/>
      <c r="I661" s="20"/>
      <c r="J661" s="10"/>
      <c r="K661" s="10" t="s">
        <v>3369</v>
      </c>
      <c r="L661" s="10"/>
      <c r="M661" s="33"/>
      <c r="N661" s="34"/>
      <c r="O661" s="34"/>
      <c r="P661" s="12" t="str">
        <f t="shared" si="1"/>
        <v>https://docs.google.com/forms/d/e/1FAIpQLSeZ-R1GrWlAPkfaThGqxeTj0QTtrARw4rroxIIepf2kipn1nw/formResponse?usp=pp_url&amp;entry.1313582257=0085108715 / 242510408&amp;entry.1578404635=Hadir</v>
      </c>
      <c r="Q661" s="23" t="s">
        <v>3536</v>
      </c>
      <c r="R661" s="12" t="s">
        <v>3537</v>
      </c>
      <c r="S661" s="24" t="s">
        <v>3538</v>
      </c>
      <c r="T661" s="23" t="str">
        <f>HYPERLINK("https://drive.google.com/file/d/1s0pzwTMfBRfQrsR94T_TuT42mo8Jp8pR/view?usp=drivesdk","32 - XI B-1 - Vinny Vionita")</f>
        <v>32 - XI B-1 - Vinny Vionita</v>
      </c>
      <c r="U661" s="12" t="s">
        <v>3539</v>
      </c>
      <c r="W661" s="25">
        <f>COUNTIFS('Form Presensi SCC'!$B:$B, IF($C661&lt;&gt;0, TEXT($C661, "0000000000"), $D661), 'Form Presensi SCC'!$C:$C, "Hadir")</f>
        <v>0</v>
      </c>
      <c r="Y661" s="26"/>
    </row>
    <row r="662" ht="22.5" customHeight="1">
      <c r="A662" s="18">
        <v>555.0</v>
      </c>
      <c r="B662" s="31">
        <v>34.0</v>
      </c>
      <c r="C662" s="27" t="s">
        <v>3540</v>
      </c>
      <c r="D662" s="31" t="s">
        <v>3541</v>
      </c>
      <c r="E662" s="32" t="s">
        <v>227</v>
      </c>
      <c r="F662" s="12">
        <v>32.0</v>
      </c>
      <c r="G662" s="12" t="s">
        <v>3369</v>
      </c>
      <c r="H662" s="28"/>
      <c r="I662" s="20"/>
      <c r="J662" s="10"/>
      <c r="K662" s="10" t="s">
        <v>3369</v>
      </c>
      <c r="L662" s="10"/>
      <c r="M662" s="33"/>
      <c r="N662" s="34"/>
      <c r="O662" s="34"/>
      <c r="P662" s="12" t="str">
        <f t="shared" si="1"/>
        <v>https://docs.google.com/forms/d/e/1FAIpQLSeZ-R1GrWlAPkfaThGqxeTj0QTtrARw4rroxIIepf2kipn1nw/formResponse?usp=pp_url&amp;entry.1313582257=0089237233 / 242510409&amp;entry.1578404635=Hadir</v>
      </c>
      <c r="Q662" s="23" t="s">
        <v>3542</v>
      </c>
      <c r="R662" s="12" t="s">
        <v>3543</v>
      </c>
      <c r="S662" s="24" t="s">
        <v>3544</v>
      </c>
      <c r="T662" s="23" t="str">
        <f>HYPERLINK("https://drive.google.com/file/d/1gvE0j3LwDE-vS4xSJISMJIlM8FCJ61sZ/view?usp=drivesdk","32 - XI B-1 - Viola Anindita Kurniawan")</f>
        <v>32 - XI B-1 - Viola Anindita Kurniawan</v>
      </c>
      <c r="U662" s="12" t="s">
        <v>3539</v>
      </c>
      <c r="W662" s="25">
        <f>COUNTIFS('Form Presensi SCC'!$B:$B, IF($C662&lt;&gt;0, TEXT($C662, "0000000000"), $D662), 'Form Presensi SCC'!$C:$C, "Hadir")</f>
        <v>0</v>
      </c>
      <c r="Y662" s="26"/>
    </row>
    <row r="663" ht="22.5" customHeight="1">
      <c r="A663" s="18">
        <v>555.0</v>
      </c>
      <c r="B663" s="31">
        <v>35.0</v>
      </c>
      <c r="C663" s="27" t="s">
        <v>3545</v>
      </c>
      <c r="D663" s="31" t="s">
        <v>3546</v>
      </c>
      <c r="E663" s="32" t="s">
        <v>227</v>
      </c>
      <c r="F663" s="12">
        <v>32.0</v>
      </c>
      <c r="G663" s="12" t="s">
        <v>3369</v>
      </c>
      <c r="H663" s="28"/>
      <c r="I663" s="20"/>
      <c r="J663" s="10"/>
      <c r="K663" s="10" t="s">
        <v>3369</v>
      </c>
      <c r="L663" s="10"/>
      <c r="M663" s="33"/>
      <c r="N663" s="34"/>
      <c r="O663" s="34"/>
      <c r="P663" s="12" t="str">
        <f t="shared" si="1"/>
        <v>https://docs.google.com/forms/d/e/1FAIpQLSeZ-R1GrWlAPkfaThGqxeTj0QTtrARw4rroxIIepf2kipn1nw/formResponse?usp=pp_url&amp;entry.1313582257=0098438052 / 242510417&amp;entry.1578404635=Hadir</v>
      </c>
      <c r="Q663" s="23" t="s">
        <v>3547</v>
      </c>
      <c r="R663" s="12" t="s">
        <v>3548</v>
      </c>
      <c r="S663" s="24" t="s">
        <v>3549</v>
      </c>
      <c r="T663" s="23" t="str">
        <f>HYPERLINK("https://drive.google.com/file/d/12sB6QVPqJsQqbiz_meDJeY1gpEFarZ0E/view?usp=drivesdk","32 - XI B-1 - Yasmin Diva Nurfiqra")</f>
        <v>32 - XI B-1 - Yasmin Diva Nurfiqra</v>
      </c>
      <c r="U663" s="12" t="s">
        <v>3539</v>
      </c>
      <c r="W663" s="25">
        <f>COUNTIFS('Form Presensi SCC'!$B:$B, IF($C663&lt;&gt;0, TEXT($C663, "0000000000"), $D663), 'Form Presensi SCC'!$C:$C, "Hadir")</f>
        <v>0</v>
      </c>
      <c r="Y663" s="26"/>
    </row>
    <row r="664" ht="22.5" customHeight="1">
      <c r="A664" s="18">
        <v>555.0</v>
      </c>
      <c r="B664" s="31">
        <v>36.0</v>
      </c>
      <c r="C664" s="27" t="s">
        <v>3550</v>
      </c>
      <c r="D664" s="31" t="s">
        <v>3551</v>
      </c>
      <c r="E664" s="32" t="s">
        <v>227</v>
      </c>
      <c r="F664" s="12">
        <v>32.0</v>
      </c>
      <c r="G664" s="12" t="s">
        <v>3369</v>
      </c>
      <c r="H664" s="28"/>
      <c r="I664" s="20"/>
      <c r="J664" s="10"/>
      <c r="K664" s="10" t="s">
        <v>3369</v>
      </c>
      <c r="L664" s="10"/>
      <c r="M664" s="33"/>
      <c r="N664" s="34"/>
      <c r="O664" s="34"/>
      <c r="P664" s="12" t="str">
        <f t="shared" si="1"/>
        <v>https://docs.google.com/forms/d/e/1FAIpQLSeZ-R1GrWlAPkfaThGqxeTj0QTtrARw4rroxIIepf2kipn1nw/formResponse?usp=pp_url&amp;entry.1313582257=0082801587 / 242510421&amp;entry.1578404635=Hadir</v>
      </c>
      <c r="Q664" s="23" t="s">
        <v>3552</v>
      </c>
      <c r="R664" s="12" t="s">
        <v>3553</v>
      </c>
      <c r="S664" s="24" t="s">
        <v>3554</v>
      </c>
      <c r="T664" s="23" t="str">
        <f>HYPERLINK("https://drive.google.com/file/d/1iljQwOk8LwT13xguKu8RHuo-SdPEIVWF/view?usp=drivesdk","32 - XI B-1 - Zahisa Raudhatul Jannah")</f>
        <v>32 - XI B-1 - Zahisa Raudhatul Jannah</v>
      </c>
      <c r="U664" s="12" t="s">
        <v>3539</v>
      </c>
      <c r="W664" s="25">
        <f>COUNTIFS('Form Presensi SCC'!$B:$B, IF($C664&lt;&gt;0, TEXT($C664, "0000000000"), $D664), 'Form Presensi SCC'!$C:$C, "Hadir")</f>
        <v>0</v>
      </c>
      <c r="Y664" s="26"/>
    </row>
    <row r="665" ht="22.5" customHeight="1">
      <c r="A665" s="18">
        <v>555.0</v>
      </c>
      <c r="B665" s="31">
        <v>1.0</v>
      </c>
      <c r="C665" s="27" t="s">
        <v>3555</v>
      </c>
      <c r="D665" s="31" t="s">
        <v>3556</v>
      </c>
      <c r="E665" s="32" t="s">
        <v>227</v>
      </c>
      <c r="F665" s="12">
        <v>32.0</v>
      </c>
      <c r="G665" s="12" t="s">
        <v>3557</v>
      </c>
      <c r="H665" s="28"/>
      <c r="I665" s="20"/>
      <c r="J665" s="10"/>
      <c r="K665" s="10" t="s">
        <v>3557</v>
      </c>
      <c r="L665" s="10"/>
      <c r="M665" s="33"/>
      <c r="N665" s="34"/>
      <c r="O665" s="34"/>
      <c r="P665" s="12" t="str">
        <f t="shared" si="1"/>
        <v>https://docs.google.com/forms/d/e/1FAIpQLSeZ-R1GrWlAPkfaThGqxeTj0QTtrARw4rroxIIepf2kipn1nw/formResponse?usp=pp_url&amp;entry.1313582257=0091989218 / 242510017&amp;entry.1578404635=Hadir</v>
      </c>
      <c r="Q665" s="23" t="s">
        <v>3558</v>
      </c>
      <c r="R665" s="12" t="s">
        <v>3559</v>
      </c>
      <c r="S665" s="24" t="s">
        <v>3560</v>
      </c>
      <c r="T665" s="23" t="str">
        <f>HYPERLINK("https://drive.google.com/file/d/1KRxFYh37aantIyJ-DrSDoORYEEaBvyVp/view?usp=drivesdk","32 - XI B-2 - Aisyah Nur Izzah")</f>
        <v>32 - XI B-2 - Aisyah Nur Izzah</v>
      </c>
      <c r="U665" s="12" t="s">
        <v>3539</v>
      </c>
      <c r="W665" s="25">
        <f>COUNTIFS('Form Presensi SCC'!$B:$B, IF($C665&lt;&gt;0, TEXT($C665, "0000000000"), $D665), 'Form Presensi SCC'!$C:$C, "Hadir")</f>
        <v>0</v>
      </c>
      <c r="Y665" s="26"/>
    </row>
    <row r="666" ht="22.5" customHeight="1">
      <c r="A666" s="18">
        <v>555.0</v>
      </c>
      <c r="B666" s="31">
        <v>2.0</v>
      </c>
      <c r="C666" s="27" t="s">
        <v>3561</v>
      </c>
      <c r="D666" s="31" t="s">
        <v>3562</v>
      </c>
      <c r="E666" s="32" t="s">
        <v>227</v>
      </c>
      <c r="F666" s="12">
        <v>32.0</v>
      </c>
      <c r="G666" s="12" t="s">
        <v>3557</v>
      </c>
      <c r="H666" s="28"/>
      <c r="I666" s="20"/>
      <c r="J666" s="10"/>
      <c r="K666" s="10" t="s">
        <v>3557</v>
      </c>
      <c r="L666" s="10"/>
      <c r="M666" s="33"/>
      <c r="N666" s="34"/>
      <c r="O666" s="34"/>
      <c r="P666" s="12" t="str">
        <f t="shared" si="1"/>
        <v>https://docs.google.com/forms/d/e/1FAIpQLSeZ-R1GrWlAPkfaThGqxeTj0QTtrARw4rroxIIepf2kipn1nw/formResponse?usp=pp_url&amp;entry.1313582257=0087766031 / 252611568&amp;entry.1578404635=Hadir</v>
      </c>
      <c r="Q666" s="23" t="s">
        <v>3563</v>
      </c>
      <c r="R666" s="12" t="s">
        <v>3564</v>
      </c>
      <c r="S666" s="24" t="s">
        <v>3565</v>
      </c>
      <c r="T666" s="23" t="str">
        <f>HYPERLINK("https://drive.google.com/file/d/1zy_Tb5tueQGMh-MiHUQxYo8wJY1o3WxA/view?usp=drivesdk","32 - XI B-2 - Alexandria Prameswari Prawira")</f>
        <v>32 - XI B-2 - Alexandria Prameswari Prawira</v>
      </c>
      <c r="U666" s="12" t="s">
        <v>3566</v>
      </c>
      <c r="W666" s="25">
        <f>COUNTIFS('Form Presensi SCC'!$B:$B, IF($C666&lt;&gt;0, TEXT($C666, "0000000000"), $D666), 'Form Presensi SCC'!$C:$C, "Hadir")</f>
        <v>0</v>
      </c>
      <c r="Y666" s="26"/>
    </row>
    <row r="667" ht="22.5" customHeight="1">
      <c r="A667" s="18">
        <v>555.0</v>
      </c>
      <c r="B667" s="31">
        <v>3.0</v>
      </c>
      <c r="C667" s="27" t="s">
        <v>3567</v>
      </c>
      <c r="D667" s="31" t="s">
        <v>3568</v>
      </c>
      <c r="E667" s="32" t="s">
        <v>227</v>
      </c>
      <c r="F667" s="12">
        <v>32.0</v>
      </c>
      <c r="G667" s="12" t="s">
        <v>3557</v>
      </c>
      <c r="H667" s="28"/>
      <c r="I667" s="20"/>
      <c r="J667" s="10"/>
      <c r="K667" s="10" t="s">
        <v>3557</v>
      </c>
      <c r="L667" s="10"/>
      <c r="M667" s="33"/>
      <c r="N667" s="34"/>
      <c r="O667" s="34"/>
      <c r="P667" s="12" t="str">
        <f t="shared" si="1"/>
        <v>https://docs.google.com/forms/d/e/1FAIpQLSeZ-R1GrWlAPkfaThGqxeTj0QTtrARw4rroxIIepf2kipn1nw/formResponse?usp=pp_url&amp;entry.1313582257=0098715904 / 242510023&amp;entry.1578404635=Hadir</v>
      </c>
      <c r="Q667" s="23" t="s">
        <v>3569</v>
      </c>
      <c r="R667" s="12" t="s">
        <v>3570</v>
      </c>
      <c r="S667" s="24" t="s">
        <v>3571</v>
      </c>
      <c r="T667" s="23" t="str">
        <f>HYPERLINK("https://drive.google.com/file/d/1YotAU3gE8y5p-3-WXuGdIYWZEnT-MNck/view?usp=drivesdk","32 - XI B-2 - Alexia Luigi Lian")</f>
        <v>32 - XI B-2 - Alexia Luigi Lian</v>
      </c>
      <c r="U667" s="12" t="s">
        <v>3566</v>
      </c>
      <c r="W667" s="25">
        <f>COUNTIFS('Form Presensi SCC'!$B:$B, IF($C667&lt;&gt;0, TEXT($C667, "0000000000"), $D667), 'Form Presensi SCC'!$C:$C, "Hadir")</f>
        <v>0</v>
      </c>
      <c r="Y667" s="26"/>
    </row>
    <row r="668" ht="22.5" customHeight="1">
      <c r="A668" s="18">
        <v>555.0</v>
      </c>
      <c r="B668" s="31">
        <v>4.0</v>
      </c>
      <c r="C668" s="27" t="s">
        <v>3572</v>
      </c>
      <c r="D668" s="31" t="s">
        <v>3573</v>
      </c>
      <c r="E668" s="32" t="s">
        <v>220</v>
      </c>
      <c r="F668" s="12">
        <v>32.0</v>
      </c>
      <c r="G668" s="12" t="s">
        <v>3557</v>
      </c>
      <c r="H668" s="28"/>
      <c r="I668" s="20"/>
      <c r="J668" s="10"/>
      <c r="K668" s="10" t="s">
        <v>3557</v>
      </c>
      <c r="L668" s="10"/>
      <c r="M668" s="33"/>
      <c r="N668" s="34"/>
      <c r="O668" s="34"/>
      <c r="P668" s="12" t="str">
        <f t="shared" si="1"/>
        <v>https://docs.google.com/forms/d/e/1FAIpQLSeZ-R1GrWlAPkfaThGqxeTj0QTtrARw4rroxIIepf2kipn1nw/formResponse?usp=pp_url&amp;entry.1313582257=0081501338 / 242510042&amp;entry.1578404635=Hadir</v>
      </c>
      <c r="Q668" s="23" t="s">
        <v>3574</v>
      </c>
      <c r="R668" s="12" t="s">
        <v>3575</v>
      </c>
      <c r="S668" s="24" t="s">
        <v>3576</v>
      </c>
      <c r="T668" s="23" t="str">
        <f>HYPERLINK("https://drive.google.com/file/d/1bB2Z9rd9VksmlYzY8k3VdzIo0a7xrIuB/view?usp=drivesdk","32 - XI B-2 - Andi Almaghfira Shabila Sawerigading")</f>
        <v>32 - XI B-2 - Andi Almaghfira Shabila Sawerigading</v>
      </c>
      <c r="U668" s="12" t="s">
        <v>3566</v>
      </c>
      <c r="W668" s="25">
        <f>COUNTIFS('Form Presensi SCC'!$B:$B, IF($C668&lt;&gt;0, TEXT($C668, "0000000000"), $D668), 'Form Presensi SCC'!$C:$C, "Hadir")</f>
        <v>0</v>
      </c>
      <c r="Y668" s="26"/>
    </row>
    <row r="669" ht="22.5" customHeight="1">
      <c r="A669" s="18">
        <v>555.0</v>
      </c>
      <c r="B669" s="31">
        <v>5.0</v>
      </c>
      <c r="C669" s="27" t="s">
        <v>3577</v>
      </c>
      <c r="D669" s="31" t="s">
        <v>3578</v>
      </c>
      <c r="E669" s="32" t="s">
        <v>227</v>
      </c>
      <c r="F669" s="12">
        <v>32.0</v>
      </c>
      <c r="G669" s="12" t="s">
        <v>3557</v>
      </c>
      <c r="H669" s="28"/>
      <c r="I669" s="20"/>
      <c r="J669" s="10"/>
      <c r="K669" s="10" t="s">
        <v>3557</v>
      </c>
      <c r="L669" s="10"/>
      <c r="M669" s="33"/>
      <c r="N669" s="34"/>
      <c r="O669" s="34"/>
      <c r="P669" s="12" t="str">
        <f t="shared" si="1"/>
        <v>https://docs.google.com/forms/d/e/1FAIpQLSeZ-R1GrWlAPkfaThGqxeTj0QTtrARw4rroxIIepf2kipn1nw/formResponse?usp=pp_url&amp;entry.1313582257=0085534034 / 242510086&amp;entry.1578404635=Hadir</v>
      </c>
      <c r="Q669" s="23" t="s">
        <v>3579</v>
      </c>
      <c r="R669" s="12" t="s">
        <v>3580</v>
      </c>
      <c r="S669" s="24" t="s">
        <v>3581</v>
      </c>
      <c r="T669" s="23" t="str">
        <f>HYPERLINK("https://drive.google.com/file/d/1w40iXLtxzCjedo2118_c0LbtEEvIxEaU/view?usp=drivesdk","32 - XI B-2 - Bintang Alif Putra Satriya")</f>
        <v>32 - XI B-2 - Bintang Alif Putra Satriya</v>
      </c>
      <c r="U669" s="12" t="s">
        <v>3566</v>
      </c>
      <c r="W669" s="25">
        <f>COUNTIFS('Form Presensi SCC'!$B:$B, IF($C669&lt;&gt;0, TEXT($C669, "0000000000"), $D669), 'Form Presensi SCC'!$C:$C, "Hadir")</f>
        <v>0</v>
      </c>
      <c r="Y669" s="26"/>
    </row>
    <row r="670" ht="22.5" customHeight="1">
      <c r="A670" s="18">
        <v>555.0</v>
      </c>
      <c r="B670" s="31">
        <v>6.0</v>
      </c>
      <c r="C670" s="27" t="s">
        <v>3582</v>
      </c>
      <c r="D670" s="31" t="s">
        <v>3583</v>
      </c>
      <c r="E670" s="32" t="s">
        <v>227</v>
      </c>
      <c r="F670" s="12">
        <v>32.0</v>
      </c>
      <c r="G670" s="12" t="s">
        <v>3557</v>
      </c>
      <c r="H670" s="28"/>
      <c r="I670" s="20"/>
      <c r="J670" s="10"/>
      <c r="K670" s="10" t="s">
        <v>3557</v>
      </c>
      <c r="L670" s="10"/>
      <c r="M670" s="33"/>
      <c r="N670" s="34"/>
      <c r="O670" s="34"/>
      <c r="P670" s="12" t="str">
        <f t="shared" si="1"/>
        <v>https://docs.google.com/forms/d/e/1FAIpQLSeZ-R1GrWlAPkfaThGqxeTj0QTtrARw4rroxIIepf2kipn1nw/formResponse?usp=pp_url&amp;entry.1313582257=0084745418 / 242510091&amp;entry.1578404635=Hadir</v>
      </c>
      <c r="Q670" s="23" t="s">
        <v>3584</v>
      </c>
      <c r="R670" s="12" t="s">
        <v>3585</v>
      </c>
      <c r="S670" s="24" t="s">
        <v>3586</v>
      </c>
      <c r="T670" s="23" t="str">
        <f>HYPERLINK("https://drive.google.com/file/d/1ckgG57xEMjICzyFt1t6jxBwjobRF-hcH/view?usp=drivesdk","32 - XI B-2 - Chaerani Yulianti")</f>
        <v>32 - XI B-2 - Chaerani Yulianti</v>
      </c>
      <c r="U670" s="12" t="s">
        <v>3566</v>
      </c>
      <c r="W670" s="25">
        <f>COUNTIFS('Form Presensi SCC'!$B:$B, IF($C670&lt;&gt;0, TEXT($C670, "0000000000"), $D670), 'Form Presensi SCC'!$C:$C, "Hadir")</f>
        <v>0</v>
      </c>
      <c r="Y670" s="26"/>
    </row>
    <row r="671" ht="22.5" customHeight="1">
      <c r="A671" s="18">
        <v>555.0</v>
      </c>
      <c r="B671" s="31">
        <v>7.0</v>
      </c>
      <c r="C671" s="27" t="s">
        <v>3587</v>
      </c>
      <c r="D671" s="31" t="s">
        <v>3588</v>
      </c>
      <c r="E671" s="32" t="s">
        <v>227</v>
      </c>
      <c r="F671" s="12">
        <v>32.0</v>
      </c>
      <c r="G671" s="12" t="s">
        <v>3557</v>
      </c>
      <c r="H671" s="28"/>
      <c r="I671" s="20"/>
      <c r="J671" s="10"/>
      <c r="K671" s="10" t="s">
        <v>3557</v>
      </c>
      <c r="L671" s="10"/>
      <c r="M671" s="33"/>
      <c r="N671" s="34"/>
      <c r="O671" s="34"/>
      <c r="P671" s="12" t="str">
        <f t="shared" si="1"/>
        <v>https://docs.google.com/forms/d/e/1FAIpQLSeZ-R1GrWlAPkfaThGqxeTj0QTtrARw4rroxIIepf2kipn1nw/formResponse?usp=pp_url&amp;entry.1313582257=0095136014 / 242510102&amp;entry.1578404635=Hadir</v>
      </c>
      <c r="Q671" s="23" t="s">
        <v>3589</v>
      </c>
      <c r="R671" s="12" t="s">
        <v>3590</v>
      </c>
      <c r="S671" s="24" t="s">
        <v>3591</v>
      </c>
      <c r="T671" s="23" t="str">
        <f>HYPERLINK("https://drive.google.com/file/d/1kNm2FJHkDsCg3iiG9Ra3i_CBd7vufmtW/view?usp=drivesdk","32 - XI B-2 - Davina Mutiara Arfi")</f>
        <v>32 - XI B-2 - Davina Mutiara Arfi</v>
      </c>
      <c r="U671" s="12" t="s">
        <v>3592</v>
      </c>
      <c r="W671" s="25">
        <f>COUNTIFS('Form Presensi SCC'!$B:$B, IF($C671&lt;&gt;0, TEXT($C671, "0000000000"), $D671), 'Form Presensi SCC'!$C:$C, "Hadir")</f>
        <v>0</v>
      </c>
      <c r="Y671" s="26"/>
    </row>
    <row r="672" ht="22.5" customHeight="1">
      <c r="A672" s="18">
        <v>555.0</v>
      </c>
      <c r="B672" s="31">
        <v>8.0</v>
      </c>
      <c r="C672" s="27" t="s">
        <v>3593</v>
      </c>
      <c r="D672" s="31" t="s">
        <v>3594</v>
      </c>
      <c r="E672" s="32" t="s">
        <v>227</v>
      </c>
      <c r="F672" s="12">
        <v>32.0</v>
      </c>
      <c r="G672" s="12" t="s">
        <v>3557</v>
      </c>
      <c r="H672" s="28"/>
      <c r="I672" s="20"/>
      <c r="J672" s="10"/>
      <c r="K672" s="10" t="s">
        <v>3557</v>
      </c>
      <c r="L672" s="10"/>
      <c r="M672" s="35"/>
      <c r="N672" s="34"/>
      <c r="O672" s="34"/>
      <c r="P672" s="12" t="str">
        <f t="shared" si="1"/>
        <v>https://docs.google.com/forms/d/e/1FAIpQLSeZ-R1GrWlAPkfaThGqxeTj0QTtrARw4rroxIIepf2kipn1nw/formResponse?usp=pp_url&amp;entry.1313582257=0098889247 / 242510133&amp;entry.1578404635=Hadir</v>
      </c>
      <c r="Q672" s="23" t="s">
        <v>3595</v>
      </c>
      <c r="R672" s="12" t="s">
        <v>3596</v>
      </c>
      <c r="S672" s="24" t="s">
        <v>3597</v>
      </c>
      <c r="T672" s="23" t="str">
        <f>HYPERLINK("https://drive.google.com/file/d/17LSPCBMufN0Oa7HwYsCr7vnP0i_drNVL/view?usp=drivesdk","32 - XI B-2 - Faiza Zalfa Nadifa")</f>
        <v>32 - XI B-2 - Faiza Zalfa Nadifa</v>
      </c>
      <c r="U672" s="12" t="s">
        <v>3592</v>
      </c>
      <c r="W672" s="25">
        <f>COUNTIFS('Form Presensi SCC'!$B:$B, IF($C672&lt;&gt;0, TEXT($C672, "0000000000"), $D672), 'Form Presensi SCC'!$C:$C, "Hadir")</f>
        <v>0</v>
      </c>
      <c r="Y672" s="26"/>
    </row>
    <row r="673" ht="22.5" customHeight="1">
      <c r="A673" s="18">
        <v>555.0</v>
      </c>
      <c r="B673" s="31">
        <v>9.0</v>
      </c>
      <c r="C673" s="27" t="s">
        <v>3598</v>
      </c>
      <c r="D673" s="31" t="s">
        <v>3599</v>
      </c>
      <c r="E673" s="32" t="s">
        <v>227</v>
      </c>
      <c r="F673" s="12">
        <v>32.0</v>
      </c>
      <c r="G673" s="12" t="s">
        <v>3557</v>
      </c>
      <c r="H673" s="28"/>
      <c r="I673" s="20"/>
      <c r="J673" s="10"/>
      <c r="K673" s="10" t="s">
        <v>3557</v>
      </c>
      <c r="L673" s="10"/>
      <c r="M673" s="33"/>
      <c r="N673" s="34"/>
      <c r="O673" s="34"/>
      <c r="P673" s="12" t="str">
        <f t="shared" si="1"/>
        <v>https://docs.google.com/forms/d/e/1FAIpQLSeZ-R1GrWlAPkfaThGqxeTj0QTtrARw4rroxIIepf2kipn1nw/formResponse?usp=pp_url&amp;entry.1313582257=0094252138 / 242510134&amp;entry.1578404635=Hadir</v>
      </c>
      <c r="Q673" s="23" t="s">
        <v>3600</v>
      </c>
      <c r="R673" s="12" t="s">
        <v>3601</v>
      </c>
      <c r="S673" s="24" t="s">
        <v>3602</v>
      </c>
      <c r="T673" s="23" t="str">
        <f>HYPERLINK("https://drive.google.com/file/d/1OqLNnrMTVJDNqGU87BL6DRtZ3KoUZu9E/view?usp=drivesdk","32 - XI B-2 - Fajra Aniq Khalisha")</f>
        <v>32 - XI B-2 - Fajra Aniq Khalisha</v>
      </c>
      <c r="U673" s="12" t="s">
        <v>3603</v>
      </c>
      <c r="W673" s="25">
        <f>COUNTIFS('Form Presensi SCC'!$B:$B, IF($C673&lt;&gt;0, TEXT($C673, "0000000000"), $D673), 'Form Presensi SCC'!$C:$C, "Hadir")</f>
        <v>0</v>
      </c>
      <c r="Y673" s="26"/>
    </row>
    <row r="674" ht="22.5" customHeight="1">
      <c r="A674" s="18">
        <v>555.0</v>
      </c>
      <c r="B674" s="31">
        <v>10.0</v>
      </c>
      <c r="C674" s="27" t="s">
        <v>3604</v>
      </c>
      <c r="D674" s="31" t="s">
        <v>3605</v>
      </c>
      <c r="E674" s="32" t="s">
        <v>227</v>
      </c>
      <c r="F674" s="12">
        <v>32.0</v>
      </c>
      <c r="G674" s="12" t="s">
        <v>3557</v>
      </c>
      <c r="H674" s="28"/>
      <c r="I674" s="20"/>
      <c r="J674" s="10"/>
      <c r="K674" s="10" t="s">
        <v>3557</v>
      </c>
      <c r="L674" s="10"/>
      <c r="M674" s="33"/>
      <c r="N674" s="34"/>
      <c r="O674" s="34"/>
      <c r="P674" s="12" t="str">
        <f t="shared" si="1"/>
        <v>https://docs.google.com/forms/d/e/1FAIpQLSeZ-R1GrWlAPkfaThGqxeTj0QTtrARw4rroxIIepf2kipn1nw/formResponse?usp=pp_url&amp;entry.1313582257=0086688060 / 242510135&amp;entry.1578404635=Hadir</v>
      </c>
      <c r="Q674" s="23" t="s">
        <v>3606</v>
      </c>
      <c r="R674" s="12" t="s">
        <v>3607</v>
      </c>
      <c r="S674" s="24" t="s">
        <v>3608</v>
      </c>
      <c r="T674" s="23" t="str">
        <f>HYPERLINK("https://drive.google.com/file/d/1PpOR9x4Q_mWKQ273alsPUFhJ0bV5PHIP/view?usp=drivesdk","32 - XI B-2 - Faliqa Haq Hasanah")</f>
        <v>32 - XI B-2 - Faliqa Haq Hasanah</v>
      </c>
      <c r="U674" s="12" t="s">
        <v>3603</v>
      </c>
      <c r="W674" s="25">
        <f>COUNTIFS('Form Presensi SCC'!$B:$B, IF($C674&lt;&gt;0, TEXT($C674, "0000000000"), $D674), 'Form Presensi SCC'!$C:$C, "Hadir")</f>
        <v>0</v>
      </c>
      <c r="Y674" s="26"/>
    </row>
    <row r="675" ht="22.5" customHeight="1">
      <c r="A675" s="18">
        <v>555.0</v>
      </c>
      <c r="B675" s="31">
        <v>11.0</v>
      </c>
      <c r="C675" s="27" t="s">
        <v>3609</v>
      </c>
      <c r="D675" s="31" t="s">
        <v>3610</v>
      </c>
      <c r="E675" s="32" t="s">
        <v>227</v>
      </c>
      <c r="F675" s="12">
        <v>32.0</v>
      </c>
      <c r="G675" s="12" t="s">
        <v>3557</v>
      </c>
      <c r="H675" s="28"/>
      <c r="I675" s="20"/>
      <c r="J675" s="10"/>
      <c r="K675" s="10" t="s">
        <v>3557</v>
      </c>
      <c r="L675" s="10"/>
      <c r="M675" s="33"/>
      <c r="N675" s="34"/>
      <c r="O675" s="34"/>
      <c r="P675" s="12" t="str">
        <f t="shared" si="1"/>
        <v>https://docs.google.com/forms/d/e/1FAIpQLSeZ-R1GrWlAPkfaThGqxeTj0QTtrARw4rroxIIepf2kipn1nw/formResponse?usp=pp_url&amp;entry.1313582257=0092223653 / 242510142&amp;entry.1578404635=Hadir</v>
      </c>
      <c r="Q675" s="23" t="s">
        <v>3611</v>
      </c>
      <c r="R675" s="12" t="s">
        <v>3612</v>
      </c>
      <c r="S675" s="24" t="s">
        <v>3613</v>
      </c>
      <c r="T675" s="23" t="str">
        <f>HYPERLINK("https://drive.google.com/file/d/18117Gft4rArKzynyIHaZ6FgeV0RfGIu2/view?usp=drivesdk","32 - XI B-2 - Feyza Alya Mukhbita")</f>
        <v>32 - XI B-2 - Feyza Alya Mukhbita</v>
      </c>
      <c r="U675" s="12" t="s">
        <v>3603</v>
      </c>
      <c r="W675" s="25">
        <f>COUNTIFS('Form Presensi SCC'!$B:$B, IF($C675&lt;&gt;0, TEXT($C675, "0000000000"), $D675), 'Form Presensi SCC'!$C:$C, "Hadir")</f>
        <v>0</v>
      </c>
      <c r="Y675" s="26"/>
    </row>
    <row r="676" ht="22.5" customHeight="1">
      <c r="A676" s="18">
        <v>555.0</v>
      </c>
      <c r="B676" s="31">
        <v>12.0</v>
      </c>
      <c r="C676" s="27" t="s">
        <v>3614</v>
      </c>
      <c r="D676" s="31" t="s">
        <v>3615</v>
      </c>
      <c r="E676" s="32" t="s">
        <v>227</v>
      </c>
      <c r="F676" s="12">
        <v>32.0</v>
      </c>
      <c r="G676" s="12" t="s">
        <v>3557</v>
      </c>
      <c r="H676" s="28"/>
      <c r="I676" s="20"/>
      <c r="J676" s="10"/>
      <c r="K676" s="10" t="s">
        <v>3557</v>
      </c>
      <c r="L676" s="10"/>
      <c r="M676" s="33"/>
      <c r="N676" s="34"/>
      <c r="O676" s="34"/>
      <c r="P676" s="12" t="str">
        <f t="shared" si="1"/>
        <v>https://docs.google.com/forms/d/e/1FAIpQLSeZ-R1GrWlAPkfaThGqxeTj0QTtrARw4rroxIIepf2kipn1nw/formResponse?usp=pp_url&amp;entry.1313582257=0085278931 / 242510165&amp;entry.1578404635=Hadir</v>
      </c>
      <c r="Q676" s="23" t="s">
        <v>3616</v>
      </c>
      <c r="R676" s="12" t="s">
        <v>3617</v>
      </c>
      <c r="S676" s="24" t="s">
        <v>3618</v>
      </c>
      <c r="T676" s="23" t="str">
        <f>HYPERLINK("https://drive.google.com/file/d/1GOm9TpJobyTg4EqmU8bdud1FtCadNR9p/view?usp=drivesdk","32 - XI B-2 - Hilma Sandria")</f>
        <v>32 - XI B-2 - Hilma Sandria</v>
      </c>
      <c r="U676" s="12" t="s">
        <v>3603</v>
      </c>
      <c r="W676" s="25">
        <f>COUNTIFS('Form Presensi SCC'!$B:$B, IF($C676&lt;&gt;0, TEXT($C676, "0000000000"), $D676), 'Form Presensi SCC'!$C:$C, "Hadir")</f>
        <v>0</v>
      </c>
      <c r="Y676" s="26"/>
    </row>
    <row r="677" ht="22.5" customHeight="1">
      <c r="A677" s="18">
        <v>555.0</v>
      </c>
      <c r="B677" s="31">
        <v>13.0</v>
      </c>
      <c r="C677" s="27" t="s">
        <v>3619</v>
      </c>
      <c r="D677" s="31" t="s">
        <v>3620</v>
      </c>
      <c r="E677" s="32" t="s">
        <v>227</v>
      </c>
      <c r="F677" s="12">
        <v>32.0</v>
      </c>
      <c r="G677" s="12" t="s">
        <v>3557</v>
      </c>
      <c r="H677" s="28"/>
      <c r="I677" s="20"/>
      <c r="J677" s="10"/>
      <c r="K677" s="10" t="s">
        <v>3557</v>
      </c>
      <c r="L677" s="10"/>
      <c r="M677" s="33"/>
      <c r="N677" s="34"/>
      <c r="O677" s="34"/>
      <c r="P677" s="12" t="str">
        <f t="shared" si="1"/>
        <v>https://docs.google.com/forms/d/e/1FAIpQLSeZ-R1GrWlAPkfaThGqxeTj0QTtrARw4rroxIIepf2kipn1nw/formResponse?usp=pp_url&amp;entry.1313582257=0084614966 / 242510167&amp;entry.1578404635=Hadir</v>
      </c>
      <c r="Q677" s="23" t="s">
        <v>3621</v>
      </c>
      <c r="R677" s="12" t="s">
        <v>3622</v>
      </c>
      <c r="S677" s="24" t="s">
        <v>3623</v>
      </c>
      <c r="T677" s="23" t="str">
        <f>HYPERLINK("https://drive.google.com/file/d/1Fae-AWhk0pJ2OZt2XxNkypQ7xGAcAjpn/view?usp=drivesdk","32 - XI B-2 - Hinezta Nailah Sanmaghfirah")</f>
        <v>32 - XI B-2 - Hinezta Nailah Sanmaghfirah</v>
      </c>
      <c r="U677" s="12" t="s">
        <v>3603</v>
      </c>
      <c r="W677" s="25">
        <f>COUNTIFS('Form Presensi SCC'!$B:$B, IF($C677&lt;&gt;0, TEXT($C677, "0000000000"), $D677), 'Form Presensi SCC'!$C:$C, "Hadir")</f>
        <v>0</v>
      </c>
      <c r="Y677" s="26"/>
    </row>
    <row r="678" ht="22.5" customHeight="1">
      <c r="A678" s="18">
        <v>555.0</v>
      </c>
      <c r="B678" s="31">
        <v>14.0</v>
      </c>
      <c r="C678" s="27" t="s">
        <v>3624</v>
      </c>
      <c r="D678" s="31" t="s">
        <v>3625</v>
      </c>
      <c r="E678" s="32" t="s">
        <v>227</v>
      </c>
      <c r="F678" s="12">
        <v>32.0</v>
      </c>
      <c r="G678" s="12" t="s">
        <v>3557</v>
      </c>
      <c r="H678" s="28"/>
      <c r="I678" s="20"/>
      <c r="J678" s="10"/>
      <c r="K678" s="10" t="s">
        <v>3557</v>
      </c>
      <c r="L678" s="10"/>
      <c r="M678" s="33"/>
      <c r="N678" s="34"/>
      <c r="O678" s="34"/>
      <c r="P678" s="12" t="str">
        <f t="shared" si="1"/>
        <v>https://docs.google.com/forms/d/e/1FAIpQLSeZ-R1GrWlAPkfaThGqxeTj0QTtrARw4rroxIIepf2kipn1nw/formResponse?usp=pp_url&amp;entry.1313582257=0097408336 / 242510169&amp;entry.1578404635=Hadir</v>
      </c>
      <c r="Q678" s="23" t="s">
        <v>3626</v>
      </c>
      <c r="R678" s="12" t="s">
        <v>3627</v>
      </c>
      <c r="S678" s="24" t="s">
        <v>3628</v>
      </c>
      <c r="T678" s="23" t="str">
        <f>HYPERLINK("https://drive.google.com/file/d/1mXjaVC0LQ-aWsKaMA-6s6CBkHFtq216l/view?usp=drivesdk","32 - XI B-2 - Ilma Nur Agnia")</f>
        <v>32 - XI B-2 - Ilma Nur Agnia</v>
      </c>
      <c r="U678" s="12" t="s">
        <v>3629</v>
      </c>
      <c r="W678" s="25">
        <f>COUNTIFS('Form Presensi SCC'!$B:$B, IF($C678&lt;&gt;0, TEXT($C678, "0000000000"), $D678), 'Form Presensi SCC'!$C:$C, "Hadir")</f>
        <v>0</v>
      </c>
      <c r="Y678" s="26"/>
    </row>
    <row r="679" ht="22.5" customHeight="1">
      <c r="A679" s="18">
        <v>555.0</v>
      </c>
      <c r="B679" s="31">
        <v>15.0</v>
      </c>
      <c r="C679" s="27" t="s">
        <v>3630</v>
      </c>
      <c r="D679" s="31" t="s">
        <v>3631</v>
      </c>
      <c r="E679" s="32" t="s">
        <v>220</v>
      </c>
      <c r="F679" s="12">
        <v>32.0</v>
      </c>
      <c r="G679" s="12" t="s">
        <v>3557</v>
      </c>
      <c r="H679" s="28"/>
      <c r="I679" s="20"/>
      <c r="J679" s="10"/>
      <c r="K679" s="10" t="s">
        <v>3557</v>
      </c>
      <c r="L679" s="10"/>
      <c r="M679" s="33"/>
      <c r="N679" s="34"/>
      <c r="O679" s="34"/>
      <c r="P679" s="12" t="str">
        <f t="shared" si="1"/>
        <v>https://docs.google.com/forms/d/e/1FAIpQLSeZ-R1GrWlAPkfaThGqxeTj0QTtrARw4rroxIIepf2kipn1nw/formResponse?usp=pp_url&amp;entry.1313582257=3094028221 / 242510171&amp;entry.1578404635=Hadir</v>
      </c>
      <c r="Q679" s="23" t="s">
        <v>3632</v>
      </c>
      <c r="R679" s="12" t="s">
        <v>3633</v>
      </c>
      <c r="S679" s="24" t="s">
        <v>3634</v>
      </c>
      <c r="T679" s="23" t="str">
        <f>HYPERLINK("https://drive.google.com/file/d/1Ea1OMREMpvK-0hsE7U1NhhuhFZaWPULD/view?usp=drivesdk","32 - XI B-2 - Intan Tania")</f>
        <v>32 - XI B-2 - Intan Tania</v>
      </c>
      <c r="U679" s="12" t="s">
        <v>3629</v>
      </c>
      <c r="W679" s="25">
        <f>COUNTIFS('Form Presensi SCC'!$B:$B, IF($C679&lt;&gt;0, TEXT($C679, "0000000000"), $D679), 'Form Presensi SCC'!$C:$C, "Hadir")</f>
        <v>0</v>
      </c>
      <c r="Y679" s="26"/>
    </row>
    <row r="680" ht="22.5" customHeight="1">
      <c r="A680" s="18">
        <v>555.0</v>
      </c>
      <c r="B680" s="31">
        <v>16.0</v>
      </c>
      <c r="C680" s="27" t="s">
        <v>3635</v>
      </c>
      <c r="D680" s="31" t="s">
        <v>3636</v>
      </c>
      <c r="E680" s="32" t="s">
        <v>227</v>
      </c>
      <c r="F680" s="12">
        <v>32.0</v>
      </c>
      <c r="G680" s="12" t="s">
        <v>3557</v>
      </c>
      <c r="H680" s="28"/>
      <c r="I680" s="20"/>
      <c r="J680" s="10"/>
      <c r="K680" s="10" t="s">
        <v>3557</v>
      </c>
      <c r="L680" s="10"/>
      <c r="M680" s="33"/>
      <c r="N680" s="34"/>
      <c r="O680" s="34"/>
      <c r="P680" s="12" t="str">
        <f t="shared" si="1"/>
        <v>https://docs.google.com/forms/d/e/1FAIpQLSeZ-R1GrWlAPkfaThGqxeTj0QTtrARw4rroxIIepf2kipn1nw/formResponse?usp=pp_url&amp;entry.1313582257=0094995394 / 242510176&amp;entry.1578404635=Hadir</v>
      </c>
      <c r="Q680" s="23" t="s">
        <v>3637</v>
      </c>
      <c r="R680" s="12" t="s">
        <v>3638</v>
      </c>
      <c r="S680" s="24" t="s">
        <v>3639</v>
      </c>
      <c r="T680" s="23" t="str">
        <f>HYPERLINK("https://drive.google.com/file/d/1S8QMS6IKFpKqnFU4AvZKplS9Fg1WyHRZ/view?usp=drivesdk","32 - XI B-2 - Januar Obed Holand Sitopu")</f>
        <v>32 - XI B-2 - Januar Obed Holand Sitopu</v>
      </c>
      <c r="U680" s="12" t="s">
        <v>3629</v>
      </c>
      <c r="W680" s="25">
        <f>COUNTIFS('Form Presensi SCC'!$B:$B, IF($C680&lt;&gt;0, TEXT($C680, "0000000000"), $D680), 'Form Presensi SCC'!$C:$C, "Hadir")</f>
        <v>0</v>
      </c>
      <c r="Y680" s="26"/>
    </row>
    <row r="681" ht="22.5" customHeight="1">
      <c r="A681" s="18">
        <v>555.0</v>
      </c>
      <c r="B681" s="31">
        <v>17.0</v>
      </c>
      <c r="C681" s="27" t="s">
        <v>3640</v>
      </c>
      <c r="D681" s="31" t="s">
        <v>3641</v>
      </c>
      <c r="E681" s="32" t="s">
        <v>227</v>
      </c>
      <c r="F681" s="12">
        <v>32.0</v>
      </c>
      <c r="G681" s="12" t="s">
        <v>3557</v>
      </c>
      <c r="H681" s="28"/>
      <c r="I681" s="20"/>
      <c r="J681" s="10"/>
      <c r="K681" s="10" t="s">
        <v>3557</v>
      </c>
      <c r="L681" s="10"/>
      <c r="M681" s="33"/>
      <c r="N681" s="34"/>
      <c r="O681" s="34"/>
      <c r="P681" s="12" t="str">
        <f t="shared" si="1"/>
        <v>https://docs.google.com/forms/d/e/1FAIpQLSeZ-R1GrWlAPkfaThGqxeTj0QTtrARw4rroxIIepf2kipn1nw/formResponse?usp=pp_url&amp;entry.1313582257=0081936585 / 242510185&amp;entry.1578404635=Hadir</v>
      </c>
      <c r="Q681" s="23" t="s">
        <v>3642</v>
      </c>
      <c r="R681" s="12" t="s">
        <v>3643</v>
      </c>
      <c r="S681" s="24" t="s">
        <v>3644</v>
      </c>
      <c r="T681" s="23" t="str">
        <f>HYPERLINK("https://drive.google.com/file/d/1EVJsreOe9DVM6zd949JxbuUdFpY1h1op/view?usp=drivesdk","32 - XI B-2 - Kayla Dhea Nurma Fauziah")</f>
        <v>32 - XI B-2 - Kayla Dhea Nurma Fauziah</v>
      </c>
      <c r="U681" s="12" t="s">
        <v>3629</v>
      </c>
      <c r="W681" s="25">
        <f>COUNTIFS('Form Presensi SCC'!$B:$B, IF($C681&lt;&gt;0, TEXT($C681, "0000000000"), $D681), 'Form Presensi SCC'!$C:$C, "Hadir")</f>
        <v>0</v>
      </c>
      <c r="Y681" s="26"/>
    </row>
    <row r="682" ht="22.5" customHeight="1">
      <c r="A682" s="18">
        <v>555.0</v>
      </c>
      <c r="B682" s="31">
        <v>18.0</v>
      </c>
      <c r="C682" s="27" t="s">
        <v>3645</v>
      </c>
      <c r="D682" s="31" t="s">
        <v>3646</v>
      </c>
      <c r="E682" s="32" t="s">
        <v>227</v>
      </c>
      <c r="F682" s="12">
        <v>32.0</v>
      </c>
      <c r="G682" s="12" t="s">
        <v>3557</v>
      </c>
      <c r="H682" s="28"/>
      <c r="I682" s="20"/>
      <c r="J682" s="10"/>
      <c r="K682" s="10" t="s">
        <v>3557</v>
      </c>
      <c r="L682" s="10"/>
      <c r="M682" s="33"/>
      <c r="N682" s="34"/>
      <c r="O682" s="34"/>
      <c r="P682" s="12" t="str">
        <f t="shared" si="1"/>
        <v>https://docs.google.com/forms/d/e/1FAIpQLSeZ-R1GrWlAPkfaThGqxeTj0QTtrARw4rroxIIepf2kipn1nw/formResponse?usp=pp_url&amp;entry.1313582257=0098191015 / 242510191&amp;entry.1578404635=Hadir</v>
      </c>
      <c r="Q682" s="23" t="s">
        <v>3647</v>
      </c>
      <c r="R682" s="12" t="s">
        <v>3648</v>
      </c>
      <c r="S682" s="24" t="s">
        <v>3649</v>
      </c>
      <c r="T682" s="23" t="str">
        <f>HYPERLINK("https://drive.google.com/file/d/1uTdSTawpWfUp1o2cF4-QxLCTPfZN5vOF/view?usp=drivesdk","32 - XI B-2 - Kesya Ardelia Kusuma")</f>
        <v>32 - XI B-2 - Kesya Ardelia Kusuma</v>
      </c>
      <c r="U682" s="12" t="s">
        <v>3629</v>
      </c>
      <c r="W682" s="25">
        <f>COUNTIFS('Form Presensi SCC'!$B:$B, IF($C682&lt;&gt;0, TEXT($C682, "0000000000"), $D682), 'Form Presensi SCC'!$C:$C, "Hadir")</f>
        <v>0</v>
      </c>
      <c r="Y682" s="26"/>
    </row>
    <row r="683" ht="22.5" customHeight="1">
      <c r="A683" s="18">
        <v>555.0</v>
      </c>
      <c r="B683" s="31">
        <v>19.0</v>
      </c>
      <c r="C683" s="27" t="s">
        <v>3650</v>
      </c>
      <c r="D683" s="31" t="s">
        <v>3651</v>
      </c>
      <c r="E683" s="32" t="s">
        <v>227</v>
      </c>
      <c r="F683" s="12">
        <v>32.0</v>
      </c>
      <c r="G683" s="12" t="s">
        <v>3557</v>
      </c>
      <c r="H683" s="28"/>
      <c r="I683" s="20"/>
      <c r="J683" s="10"/>
      <c r="K683" s="10" t="s">
        <v>3557</v>
      </c>
      <c r="L683" s="10"/>
      <c r="M683" s="33"/>
      <c r="N683" s="34"/>
      <c r="O683" s="34"/>
      <c r="P683" s="12" t="str">
        <f t="shared" si="1"/>
        <v>https://docs.google.com/forms/d/e/1FAIpQLSeZ-R1GrWlAPkfaThGqxeTj0QTtrARw4rroxIIepf2kipn1nw/formResponse?usp=pp_url&amp;entry.1313582257=0094057771 / 242510199&amp;entry.1578404635=Hadir</v>
      </c>
      <c r="Q683" s="23" t="s">
        <v>3652</v>
      </c>
      <c r="R683" s="12" t="s">
        <v>3653</v>
      </c>
      <c r="S683" s="24" t="s">
        <v>3654</v>
      </c>
      <c r="T683" s="23" t="str">
        <f>HYPERLINK("https://drive.google.com/file/d/1HNvns4JgPDIZ948bacPQAYfj6O_6l0Ie/view?usp=drivesdk","32 - XI B-2 - Khairunnisa Rahadatul Aisy")</f>
        <v>32 - XI B-2 - Khairunnisa Rahadatul Aisy</v>
      </c>
      <c r="U683" s="12" t="s">
        <v>3655</v>
      </c>
      <c r="W683" s="25">
        <f>COUNTIFS('Form Presensi SCC'!$B:$B, IF($C683&lt;&gt;0, TEXT($C683, "0000000000"), $D683), 'Form Presensi SCC'!$C:$C, "Hadir")</f>
        <v>0</v>
      </c>
      <c r="Y683" s="26"/>
    </row>
    <row r="684" ht="22.5" customHeight="1">
      <c r="A684" s="18">
        <v>555.0</v>
      </c>
      <c r="B684" s="31">
        <v>20.0</v>
      </c>
      <c r="C684" s="27" t="s">
        <v>3656</v>
      </c>
      <c r="D684" s="31" t="s">
        <v>3657</v>
      </c>
      <c r="E684" s="32" t="s">
        <v>220</v>
      </c>
      <c r="F684" s="12">
        <v>32.0</v>
      </c>
      <c r="G684" s="12" t="s">
        <v>3557</v>
      </c>
      <c r="H684" s="28"/>
      <c r="I684" s="20"/>
      <c r="J684" s="10"/>
      <c r="K684" s="10" t="s">
        <v>3557</v>
      </c>
      <c r="L684" s="10"/>
      <c r="M684" s="33"/>
      <c r="N684" s="34"/>
      <c r="O684" s="34"/>
      <c r="P684" s="12" t="str">
        <f t="shared" si="1"/>
        <v>https://docs.google.com/forms/d/e/1FAIpQLSeZ-R1GrWlAPkfaThGqxeTj0QTtrARw4rroxIIepf2kipn1nw/formResponse?usp=pp_url&amp;entry.1313582257=0095872117 / 242510207&amp;entry.1578404635=Hadir</v>
      </c>
      <c r="Q684" s="23" t="s">
        <v>3658</v>
      </c>
      <c r="R684" s="12" t="s">
        <v>3659</v>
      </c>
      <c r="S684" s="24" t="s">
        <v>3660</v>
      </c>
      <c r="T684" s="23" t="str">
        <f>HYPERLINK("https://drive.google.com/file/d/1lE8Uys9nMDOoooyXpAdypTZcW53uY7eQ/view?usp=drivesdk","32 - XI B-2 - Kirana Nur'Aini")</f>
        <v>32 - XI B-2 - Kirana Nur'Aini</v>
      </c>
      <c r="U684" s="12" t="s">
        <v>3655</v>
      </c>
      <c r="W684" s="25">
        <f>COUNTIFS('Form Presensi SCC'!$B:$B, IF($C684&lt;&gt;0, TEXT($C684, "0000000000"), $D684), 'Form Presensi SCC'!$C:$C, "Hadir")</f>
        <v>0</v>
      </c>
      <c r="Y684" s="26"/>
    </row>
    <row r="685" ht="22.5" customHeight="1">
      <c r="A685" s="18">
        <v>555.0</v>
      </c>
      <c r="B685" s="31">
        <v>21.0</v>
      </c>
      <c r="C685" s="27" t="s">
        <v>3661</v>
      </c>
      <c r="D685" s="31" t="s">
        <v>3662</v>
      </c>
      <c r="E685" s="32" t="s">
        <v>220</v>
      </c>
      <c r="F685" s="12">
        <v>32.0</v>
      </c>
      <c r="G685" s="12" t="s">
        <v>3557</v>
      </c>
      <c r="H685" s="28"/>
      <c r="I685" s="20"/>
      <c r="J685" s="10"/>
      <c r="K685" s="10" t="s">
        <v>3557</v>
      </c>
      <c r="L685" s="10"/>
      <c r="M685" s="33"/>
      <c r="N685" s="34"/>
      <c r="O685" s="34"/>
      <c r="P685" s="12" t="str">
        <f t="shared" si="1"/>
        <v>https://docs.google.com/forms/d/e/1FAIpQLSeZ-R1GrWlAPkfaThGqxeTj0QTtrARw4rroxIIepf2kipn1nw/formResponse?usp=pp_url&amp;entry.1313582257=0098268916 / 242510239&amp;entry.1578404635=Hadir</v>
      </c>
      <c r="Q685" s="23" t="s">
        <v>3663</v>
      </c>
      <c r="R685" s="12" t="s">
        <v>3664</v>
      </c>
      <c r="S685" s="24" t="s">
        <v>3665</v>
      </c>
      <c r="T685" s="23" t="str">
        <f>HYPERLINK("https://drive.google.com/file/d/1ly_3-LKz-x-WMVlkgGxUuKlz-xsKyl_k/view?usp=drivesdk","32 - XI B-2 - Mohammed Alvaro Fauzan Purnomo")</f>
        <v>32 - XI B-2 - Mohammed Alvaro Fauzan Purnomo</v>
      </c>
      <c r="U685" s="12" t="s">
        <v>3655</v>
      </c>
      <c r="W685" s="25">
        <f>COUNTIFS('Form Presensi SCC'!$B:$B, IF($C685&lt;&gt;0, TEXT($C685, "0000000000"), $D685), 'Form Presensi SCC'!$C:$C, "Hadir")</f>
        <v>0</v>
      </c>
      <c r="Y685" s="26"/>
    </row>
    <row r="686" ht="22.5" customHeight="1">
      <c r="A686" s="18">
        <v>555.0</v>
      </c>
      <c r="B686" s="31">
        <v>22.0</v>
      </c>
      <c r="C686" s="27" t="s">
        <v>3666</v>
      </c>
      <c r="D686" s="31" t="s">
        <v>3667</v>
      </c>
      <c r="E686" s="32" t="s">
        <v>220</v>
      </c>
      <c r="F686" s="12">
        <v>32.0</v>
      </c>
      <c r="G686" s="12" t="s">
        <v>3557</v>
      </c>
      <c r="H686" s="28"/>
      <c r="I686" s="20"/>
      <c r="J686" s="10"/>
      <c r="K686" s="10" t="s">
        <v>3557</v>
      </c>
      <c r="L686" s="10"/>
      <c r="M686" s="33"/>
      <c r="N686" s="34"/>
      <c r="O686" s="34"/>
      <c r="P686" s="12" t="str">
        <f t="shared" si="1"/>
        <v>https://docs.google.com/forms/d/e/1FAIpQLSeZ-R1GrWlAPkfaThGqxeTj0QTtrARw4rroxIIepf2kipn1nw/formResponse?usp=pp_url&amp;entry.1313582257=0086508497 / 242510241&amp;entry.1578404635=Hadir</v>
      </c>
      <c r="Q686" s="23" t="s">
        <v>3668</v>
      </c>
      <c r="R686" s="12" t="s">
        <v>3669</v>
      </c>
      <c r="S686" s="24" t="s">
        <v>3670</v>
      </c>
      <c r="T686" s="23" t="str">
        <f>HYPERLINK("https://drive.google.com/file/d/1y4MMn7HOMCqW7f1Ifiiyj71tmIyfcQnr/view?usp=drivesdk","32 - XI B-2 - Muhamad Daffa Sugianto")</f>
        <v>32 - XI B-2 - Muhamad Daffa Sugianto</v>
      </c>
      <c r="U686" s="12" t="s">
        <v>3655</v>
      </c>
      <c r="W686" s="25">
        <f>COUNTIFS('Form Presensi SCC'!$B:$B, IF($C686&lt;&gt;0, TEXT($C686, "0000000000"), $D686), 'Form Presensi SCC'!$C:$C, "Hadir")</f>
        <v>0</v>
      </c>
      <c r="Y686" s="26"/>
    </row>
    <row r="687" ht="22.5" customHeight="1">
      <c r="A687" s="18">
        <v>555.0</v>
      </c>
      <c r="B687" s="31">
        <v>23.0</v>
      </c>
      <c r="C687" s="27" t="s">
        <v>3671</v>
      </c>
      <c r="D687" s="31" t="s">
        <v>3672</v>
      </c>
      <c r="E687" s="32" t="s">
        <v>220</v>
      </c>
      <c r="F687" s="12">
        <v>32.0</v>
      </c>
      <c r="G687" s="12" t="s">
        <v>3557</v>
      </c>
      <c r="H687" s="28"/>
      <c r="I687" s="20"/>
      <c r="J687" s="10"/>
      <c r="K687" s="10" t="s">
        <v>3557</v>
      </c>
      <c r="L687" s="10"/>
      <c r="M687" s="33"/>
      <c r="N687" s="34"/>
      <c r="O687" s="34"/>
      <c r="P687" s="12" t="str">
        <f t="shared" si="1"/>
        <v>https://docs.google.com/forms/d/e/1FAIpQLSeZ-R1GrWlAPkfaThGqxeTj0QTtrARw4rroxIIepf2kipn1nw/formResponse?usp=pp_url&amp;entry.1313582257=0091626296 / 242510254&amp;entry.1578404635=Hadir</v>
      </c>
      <c r="Q687" s="23" t="s">
        <v>3673</v>
      </c>
      <c r="R687" s="12" t="s">
        <v>3674</v>
      </c>
      <c r="S687" s="24" t="s">
        <v>3675</v>
      </c>
      <c r="T687" s="23" t="str">
        <f>HYPERLINK("https://drive.google.com/file/d/1tktnHDyCJ-ndOyBMOGsOpe4ZoGWF8C52/view?usp=drivesdk","32 - XI B-2 - Muhammad Daffa Khairy Mufid")</f>
        <v>32 - XI B-2 - Muhammad Daffa Khairy Mufid</v>
      </c>
      <c r="U687" s="12" t="s">
        <v>3655</v>
      </c>
      <c r="W687" s="25">
        <f>COUNTIFS('Form Presensi SCC'!$B:$B, IF($C687&lt;&gt;0, TEXT($C687, "0000000000"), $D687), 'Form Presensi SCC'!$C:$C, "Hadir")</f>
        <v>0</v>
      </c>
      <c r="Y687" s="26"/>
    </row>
    <row r="688" ht="22.5" customHeight="1">
      <c r="A688" s="18">
        <v>555.0</v>
      </c>
      <c r="B688" s="31">
        <v>24.0</v>
      </c>
      <c r="C688" s="27" t="s">
        <v>3676</v>
      </c>
      <c r="D688" s="31" t="s">
        <v>3677</v>
      </c>
      <c r="E688" s="32" t="s">
        <v>227</v>
      </c>
      <c r="F688" s="12">
        <v>32.0</v>
      </c>
      <c r="G688" s="12" t="s">
        <v>3557</v>
      </c>
      <c r="H688" s="28"/>
      <c r="I688" s="20"/>
      <c r="J688" s="10"/>
      <c r="K688" s="10" t="s">
        <v>3557</v>
      </c>
      <c r="L688" s="10"/>
      <c r="M688" s="33"/>
      <c r="N688" s="34"/>
      <c r="O688" s="34"/>
      <c r="P688" s="12" t="str">
        <f t="shared" si="1"/>
        <v>https://docs.google.com/forms/d/e/1FAIpQLSeZ-R1GrWlAPkfaThGqxeTj0QTtrARw4rroxIIepf2kipn1nw/formResponse?usp=pp_url&amp;entry.1313582257=3092559431 / 242510282&amp;entry.1578404635=Hadir</v>
      </c>
      <c r="Q688" s="23" t="s">
        <v>3678</v>
      </c>
      <c r="R688" s="12" t="s">
        <v>3679</v>
      </c>
      <c r="S688" s="24" t="s">
        <v>3680</v>
      </c>
      <c r="T688" s="23" t="str">
        <f>HYPERLINK("https://drive.google.com/file/d/1O0TTuHp63plAAJZ1LdKRzZ2eLZdkvTSa/view?usp=drivesdk","32 - XI B-2 - Musyaffa Nureshan Pahlevi")</f>
        <v>32 - XI B-2 - Musyaffa Nureshan Pahlevi</v>
      </c>
      <c r="U688" s="12" t="s">
        <v>3655</v>
      </c>
      <c r="W688" s="25">
        <f>COUNTIFS('Form Presensi SCC'!$B:$B, IF($C688&lt;&gt;0, TEXT($C688, "0000000000"), $D688), 'Form Presensi SCC'!$C:$C, "Hadir")</f>
        <v>0</v>
      </c>
      <c r="Y688" s="26"/>
    </row>
    <row r="689" ht="22.5" customHeight="1">
      <c r="A689" s="18">
        <v>555.0</v>
      </c>
      <c r="B689" s="31">
        <v>25.0</v>
      </c>
      <c r="C689" s="27" t="s">
        <v>49</v>
      </c>
      <c r="D689" s="31" t="s">
        <v>3681</v>
      </c>
      <c r="E689" s="32" t="s">
        <v>227</v>
      </c>
      <c r="F689" s="12">
        <v>32.0</v>
      </c>
      <c r="G689" s="12" t="s">
        <v>3557</v>
      </c>
      <c r="H689" s="28"/>
      <c r="I689" s="20"/>
      <c r="J689" s="10"/>
      <c r="K689" s="10" t="s">
        <v>3557</v>
      </c>
      <c r="L689" s="10"/>
      <c r="M689" s="33"/>
      <c r="N689" s="34"/>
      <c r="O689" s="34"/>
      <c r="P689" s="12" t="str">
        <f t="shared" si="1"/>
        <v>https://docs.google.com/forms/d/e/1FAIpQLSeZ-R1GrWlAPkfaThGqxeTj0QTtrARw4rroxIIepf2kipn1nw/formResponse?usp=pp_url&amp;entry.1313582257=0083634869 / 242510301&amp;entry.1578404635=Hadir</v>
      </c>
      <c r="Q689" s="23" t="s">
        <v>3682</v>
      </c>
      <c r="R689" s="12" t="s">
        <v>3683</v>
      </c>
      <c r="S689" s="24" t="s">
        <v>3684</v>
      </c>
      <c r="T689" s="23" t="str">
        <f>HYPERLINK("https://drive.google.com/file/d/1mM5GAjF7lBodDi7oHZL9k0GyPwWW05KA/view?usp=drivesdk","32 - XI B-2 - Nazwa Mufida")</f>
        <v>32 - XI B-2 - Nazwa Mufida</v>
      </c>
      <c r="U689" s="12" t="s">
        <v>3685</v>
      </c>
      <c r="W689" s="25">
        <f>COUNTIFS('Form Presensi SCC'!$B:$B, IF($C689&lt;&gt;0, TEXT($C689, "0000000000"), $D689), 'Form Presensi SCC'!$C:$C, "Hadir")</f>
        <v>2</v>
      </c>
      <c r="Y689" s="26"/>
    </row>
    <row r="690" ht="22.5" customHeight="1">
      <c r="A690" s="18">
        <v>555.0</v>
      </c>
      <c r="B690" s="31">
        <v>26.0</v>
      </c>
      <c r="C690" s="27" t="s">
        <v>3686</v>
      </c>
      <c r="D690" s="31" t="s">
        <v>3687</v>
      </c>
      <c r="E690" s="32" t="s">
        <v>227</v>
      </c>
      <c r="F690" s="12">
        <v>32.0</v>
      </c>
      <c r="G690" s="12" t="s">
        <v>3557</v>
      </c>
      <c r="H690" s="28"/>
      <c r="I690" s="20"/>
      <c r="J690" s="10"/>
      <c r="K690" s="10" t="s">
        <v>3557</v>
      </c>
      <c r="L690" s="10"/>
      <c r="M690" s="33"/>
      <c r="N690" s="34"/>
      <c r="O690" s="34"/>
      <c r="P690" s="12" t="str">
        <f t="shared" si="1"/>
        <v>https://docs.google.com/forms/d/e/1FAIpQLSeZ-R1GrWlAPkfaThGqxeTj0QTtrARw4rroxIIepf2kipn1nw/formResponse?usp=pp_url&amp;entry.1313582257=0091257095 / 242510312&amp;entry.1578404635=Hadir</v>
      </c>
      <c r="Q690" s="23" t="s">
        <v>3688</v>
      </c>
      <c r="R690" s="12" t="s">
        <v>3689</v>
      </c>
      <c r="S690" s="24" t="s">
        <v>3690</v>
      </c>
      <c r="T690" s="23" t="str">
        <f>HYPERLINK("https://drive.google.com/file/d/1d3TNpEpZpFAk5jbBoY_sbgNH5Cab8r3z/view?usp=drivesdk","32 - XI B-2 - Oshe Bilqis Nadhifah")</f>
        <v>32 - XI B-2 - Oshe Bilqis Nadhifah</v>
      </c>
      <c r="U690" s="12" t="s">
        <v>3685</v>
      </c>
      <c r="W690" s="25">
        <f>COUNTIFS('Form Presensi SCC'!$B:$B, IF($C690&lt;&gt;0, TEXT($C690, "0000000000"), $D690), 'Form Presensi SCC'!$C:$C, "Hadir")</f>
        <v>0</v>
      </c>
      <c r="Y690" s="26"/>
    </row>
    <row r="691" ht="22.5" customHeight="1">
      <c r="A691" s="18">
        <v>555.0</v>
      </c>
      <c r="B691" s="31">
        <v>27.0</v>
      </c>
      <c r="C691" s="27" t="s">
        <v>3691</v>
      </c>
      <c r="D691" s="31" t="s">
        <v>3692</v>
      </c>
      <c r="E691" s="32" t="s">
        <v>227</v>
      </c>
      <c r="F691" s="12">
        <v>32.0</v>
      </c>
      <c r="G691" s="12" t="s">
        <v>3557</v>
      </c>
      <c r="H691" s="28"/>
      <c r="I691" s="20"/>
      <c r="J691" s="10"/>
      <c r="K691" s="10" t="s">
        <v>3557</v>
      </c>
      <c r="L691" s="10"/>
      <c r="M691" s="33"/>
      <c r="N691" s="34"/>
      <c r="O691" s="34"/>
      <c r="P691" s="12" t="str">
        <f t="shared" si="1"/>
        <v>https://docs.google.com/forms/d/e/1FAIpQLSeZ-R1GrWlAPkfaThGqxeTj0QTtrARw4rroxIIepf2kipn1nw/formResponse?usp=pp_url&amp;entry.1313582257=0093570911 / 242510321&amp;entry.1578404635=Hadir</v>
      </c>
      <c r="Q691" s="23" t="s">
        <v>3693</v>
      </c>
      <c r="R691" s="12" t="s">
        <v>3694</v>
      </c>
      <c r="S691" s="24" t="s">
        <v>3695</v>
      </c>
      <c r="T691" s="23" t="str">
        <f>HYPERLINK("https://drive.google.com/file/d/1G7ErbS43XkVkCsYT4hyIVwVDbii8jVO_/view?usp=drivesdk","32 - XI B-2 - Putri Khaila Azzahra")</f>
        <v>32 - XI B-2 - Putri Khaila Azzahra</v>
      </c>
      <c r="U691" s="12" t="s">
        <v>3685</v>
      </c>
      <c r="W691" s="25">
        <f>COUNTIFS('Form Presensi SCC'!$B:$B, IF($C691&lt;&gt;0, TEXT($C691, "0000000000"), $D691), 'Form Presensi SCC'!$C:$C, "Hadir")</f>
        <v>0</v>
      </c>
      <c r="Y691" s="26"/>
    </row>
    <row r="692" ht="22.5" customHeight="1">
      <c r="A692" s="18">
        <v>555.0</v>
      </c>
      <c r="B692" s="31">
        <v>28.0</v>
      </c>
      <c r="C692" s="27" t="s">
        <v>3696</v>
      </c>
      <c r="D692" s="31" t="s">
        <v>3697</v>
      </c>
      <c r="E692" s="32" t="s">
        <v>220</v>
      </c>
      <c r="F692" s="12">
        <v>32.0</v>
      </c>
      <c r="G692" s="12" t="s">
        <v>3557</v>
      </c>
      <c r="H692" s="28"/>
      <c r="I692" s="20"/>
      <c r="J692" s="10"/>
      <c r="K692" s="10" t="s">
        <v>3557</v>
      </c>
      <c r="L692" s="10"/>
      <c r="M692" s="33"/>
      <c r="N692" s="34"/>
      <c r="O692" s="34"/>
      <c r="P692" s="12" t="str">
        <f t="shared" si="1"/>
        <v>https://docs.google.com/forms/d/e/1FAIpQLSeZ-R1GrWlAPkfaThGqxeTj0QTtrARw4rroxIIepf2kipn1nw/formResponse?usp=pp_url&amp;entry.1313582257=0099524653 / 242510324&amp;entry.1578404635=Hadir</v>
      </c>
      <c r="Q692" s="23" t="s">
        <v>3698</v>
      </c>
      <c r="R692" s="12" t="s">
        <v>3699</v>
      </c>
      <c r="S692" s="24" t="s">
        <v>3700</v>
      </c>
      <c r="T692" s="23" t="str">
        <f>HYPERLINK("https://drive.google.com/file/d/1xbKFUImGPQgoj7GgpsZOz7UZcOPDrjPj/view?usp=drivesdk","32 - XI B-2 - Queen Aqila Althafunnisa")</f>
        <v>32 - XI B-2 - Queen Aqila Althafunnisa</v>
      </c>
      <c r="U692" s="12" t="s">
        <v>3685</v>
      </c>
      <c r="W692" s="25">
        <f>COUNTIFS('Form Presensi SCC'!$B:$B, IF($C692&lt;&gt;0, TEXT($C692, "0000000000"), $D692), 'Form Presensi SCC'!$C:$C, "Hadir")</f>
        <v>0</v>
      </c>
      <c r="Y692" s="26"/>
    </row>
    <row r="693" ht="22.5" customHeight="1">
      <c r="A693" s="18">
        <v>555.0</v>
      </c>
      <c r="B693" s="31">
        <v>29.0</v>
      </c>
      <c r="C693" s="27" t="s">
        <v>3701</v>
      </c>
      <c r="D693" s="31" t="s">
        <v>3702</v>
      </c>
      <c r="E693" s="32" t="s">
        <v>227</v>
      </c>
      <c r="F693" s="12">
        <v>32.0</v>
      </c>
      <c r="G693" s="12" t="s">
        <v>3557</v>
      </c>
      <c r="H693" s="28"/>
      <c r="I693" s="20"/>
      <c r="J693" s="10"/>
      <c r="K693" s="10" t="s">
        <v>3557</v>
      </c>
      <c r="L693" s="10"/>
      <c r="M693" s="33"/>
      <c r="N693" s="34"/>
      <c r="O693" s="34"/>
      <c r="P693" s="12" t="str">
        <f t="shared" si="1"/>
        <v>https://docs.google.com/forms/d/e/1FAIpQLSeZ-R1GrWlAPkfaThGqxeTj0QTtrARw4rroxIIepf2kipn1nw/formResponse?usp=pp_url&amp;entry.1313582257=0096689975 / 242510341&amp;entry.1578404635=Hadir</v>
      </c>
      <c r="Q693" s="23" t="s">
        <v>3703</v>
      </c>
      <c r="R693" s="12" t="s">
        <v>3704</v>
      </c>
      <c r="S693" s="24" t="s">
        <v>3705</v>
      </c>
      <c r="T693" s="23" t="str">
        <f>HYPERLINK("https://drive.google.com/file/d/19bIA9UysghCPL5ZqmtrwNzWnXqxbB19L/view?usp=drivesdk","32 - XI B-2 - Ramaditya Tangguh Alfian")</f>
        <v>32 - XI B-2 - Ramaditya Tangguh Alfian</v>
      </c>
      <c r="U693" s="12" t="s">
        <v>3685</v>
      </c>
      <c r="W693" s="25">
        <f>COUNTIFS('Form Presensi SCC'!$B:$B, IF($C693&lt;&gt;0, TEXT($C693, "0000000000"), $D693), 'Form Presensi SCC'!$C:$C, "Hadir")</f>
        <v>0</v>
      </c>
      <c r="Y693" s="26"/>
    </row>
    <row r="694" ht="22.5" customHeight="1">
      <c r="A694" s="18">
        <v>555.0</v>
      </c>
      <c r="B694" s="31">
        <v>30.0</v>
      </c>
      <c r="C694" s="27" t="s">
        <v>3706</v>
      </c>
      <c r="D694" s="31" t="s">
        <v>3707</v>
      </c>
      <c r="E694" s="32" t="s">
        <v>227</v>
      </c>
      <c r="F694" s="12">
        <v>32.0</v>
      </c>
      <c r="G694" s="12" t="s">
        <v>3557</v>
      </c>
      <c r="H694" s="28"/>
      <c r="I694" s="20"/>
      <c r="J694" s="10"/>
      <c r="K694" s="10" t="s">
        <v>3557</v>
      </c>
      <c r="L694" s="10"/>
      <c r="M694" s="33"/>
      <c r="N694" s="34"/>
      <c r="O694" s="34"/>
      <c r="P694" s="12" t="str">
        <f t="shared" si="1"/>
        <v>https://docs.google.com/forms/d/e/1FAIpQLSeZ-R1GrWlAPkfaThGqxeTj0QTtrARw4rroxIIepf2kipn1nw/formResponse?usp=pp_url&amp;entry.1313582257=0087172262 / 242510346&amp;entry.1578404635=Hadir</v>
      </c>
      <c r="Q694" s="23" t="s">
        <v>3708</v>
      </c>
      <c r="R694" s="12" t="s">
        <v>3709</v>
      </c>
      <c r="S694" s="24" t="s">
        <v>3710</v>
      </c>
      <c r="T694" s="23" t="str">
        <f>HYPERLINK("https://drive.google.com/file/d/1EVmHHnF9ZKXipg6xz-2MeAI0oVRg3qzp/view?usp=drivesdk","32 - XI B-2 - Raya Fitri Anjaini")</f>
        <v>32 - XI B-2 - Raya Fitri Anjaini</v>
      </c>
      <c r="U694" s="12" t="s">
        <v>3711</v>
      </c>
      <c r="W694" s="25">
        <f>COUNTIFS('Form Presensi SCC'!$B:$B, IF($C694&lt;&gt;0, TEXT($C694, "0000000000"), $D694), 'Form Presensi SCC'!$C:$C, "Hadir")</f>
        <v>0</v>
      </c>
      <c r="Y694" s="26"/>
    </row>
    <row r="695" ht="22.5" customHeight="1">
      <c r="A695" s="18">
        <v>555.0</v>
      </c>
      <c r="B695" s="31">
        <v>31.0</v>
      </c>
      <c r="C695" s="27" t="s">
        <v>3712</v>
      </c>
      <c r="D695" s="31" t="s">
        <v>3713</v>
      </c>
      <c r="E695" s="32" t="s">
        <v>220</v>
      </c>
      <c r="F695" s="12">
        <v>32.0</v>
      </c>
      <c r="G695" s="12" t="s">
        <v>3557</v>
      </c>
      <c r="H695" s="28"/>
      <c r="I695" s="20"/>
      <c r="J695" s="10"/>
      <c r="K695" s="10" t="s">
        <v>3557</v>
      </c>
      <c r="L695" s="10"/>
      <c r="M695" s="33"/>
      <c r="N695" s="34"/>
      <c r="O695" s="34"/>
      <c r="P695" s="12" t="str">
        <f t="shared" si="1"/>
        <v>https://docs.google.com/forms/d/e/1FAIpQLSeZ-R1GrWlAPkfaThGqxeTj0QTtrARw4rroxIIepf2kipn1nw/formResponse?usp=pp_url&amp;entry.1313582257=0089992734 / 242510348&amp;entry.1578404635=Hadir</v>
      </c>
      <c r="Q695" s="23" t="s">
        <v>3714</v>
      </c>
      <c r="R695" s="12" t="s">
        <v>3715</v>
      </c>
      <c r="S695" s="24" t="s">
        <v>3716</v>
      </c>
      <c r="T695" s="23" t="str">
        <f>HYPERLINK("https://drive.google.com/file/d/1togJtEIn3xTiQ86PY5r964-R5ls4KO9r/view?usp=drivesdk","32 - XI B-2 - Revalia Sabrina Safa")</f>
        <v>32 - XI B-2 - Revalia Sabrina Safa</v>
      </c>
      <c r="U695" s="12" t="s">
        <v>3711</v>
      </c>
      <c r="W695" s="25">
        <f>COUNTIFS('Form Presensi SCC'!$B:$B, IF($C695&lt;&gt;0, TEXT($C695, "0000000000"), $D695), 'Form Presensi SCC'!$C:$C, "Hadir")</f>
        <v>0</v>
      </c>
      <c r="Y695" s="26"/>
    </row>
    <row r="696" ht="22.5" customHeight="1">
      <c r="A696" s="18">
        <v>555.0</v>
      </c>
      <c r="B696" s="31">
        <v>32.0</v>
      </c>
      <c r="C696" s="27" t="s">
        <v>3717</v>
      </c>
      <c r="D696" s="31" t="s">
        <v>3718</v>
      </c>
      <c r="E696" s="32" t="s">
        <v>227</v>
      </c>
      <c r="F696" s="12">
        <v>32.0</v>
      </c>
      <c r="G696" s="12" t="s">
        <v>3557</v>
      </c>
      <c r="H696" s="28"/>
      <c r="I696" s="20"/>
      <c r="J696" s="10"/>
      <c r="K696" s="10" t="s">
        <v>3557</v>
      </c>
      <c r="L696" s="10"/>
      <c r="M696" s="33"/>
      <c r="N696" s="34"/>
      <c r="O696" s="34"/>
      <c r="P696" s="12" t="str">
        <f t="shared" si="1"/>
        <v>https://docs.google.com/forms/d/e/1FAIpQLSeZ-R1GrWlAPkfaThGqxeTj0QTtrARw4rroxIIepf2kipn1nw/formResponse?usp=pp_url&amp;entry.1313582257=0094272879 / 242510349&amp;entry.1578404635=Hadir</v>
      </c>
      <c r="Q696" s="23" t="s">
        <v>3719</v>
      </c>
      <c r="R696" s="12" t="s">
        <v>3720</v>
      </c>
      <c r="S696" s="24" t="s">
        <v>3721</v>
      </c>
      <c r="T696" s="23" t="str">
        <f>HYPERLINK("https://drive.google.com/file/d/1yfevUELZb7cPic_90nSfs4wgroi7mzqD/view?usp=drivesdk","32 - XI B-2 - Reyhan Saputra")</f>
        <v>32 - XI B-2 - Reyhan Saputra</v>
      </c>
      <c r="U696" s="12" t="s">
        <v>3711</v>
      </c>
      <c r="W696" s="25">
        <f>COUNTIFS('Form Presensi SCC'!$B:$B, IF($C696&lt;&gt;0, TEXT($C696, "0000000000"), $D696), 'Form Presensi SCC'!$C:$C, "Hadir")</f>
        <v>0</v>
      </c>
      <c r="Y696" s="26"/>
    </row>
    <row r="697" ht="22.5" customHeight="1">
      <c r="A697" s="18">
        <v>555.0</v>
      </c>
      <c r="B697" s="31">
        <v>33.0</v>
      </c>
      <c r="C697" s="27" t="s">
        <v>3722</v>
      </c>
      <c r="D697" s="31" t="s">
        <v>3723</v>
      </c>
      <c r="E697" s="32" t="s">
        <v>227</v>
      </c>
      <c r="F697" s="12">
        <v>32.0</v>
      </c>
      <c r="G697" s="12" t="s">
        <v>3557</v>
      </c>
      <c r="H697" s="28"/>
      <c r="I697" s="20"/>
      <c r="J697" s="10"/>
      <c r="K697" s="10" t="s">
        <v>3557</v>
      </c>
      <c r="L697" s="10"/>
      <c r="M697" s="33"/>
      <c r="N697" s="34"/>
      <c r="O697" s="34"/>
      <c r="P697" s="12" t="str">
        <f t="shared" si="1"/>
        <v>https://docs.google.com/forms/d/e/1FAIpQLSeZ-R1GrWlAPkfaThGqxeTj0QTtrARw4rroxIIepf2kipn1nw/formResponse?usp=pp_url&amp;entry.1313582257=0094686903 / 242510362&amp;entry.1578404635=Hadir</v>
      </c>
      <c r="Q697" s="23" t="s">
        <v>3724</v>
      </c>
      <c r="R697" s="12" t="s">
        <v>3725</v>
      </c>
      <c r="S697" s="24" t="s">
        <v>3726</v>
      </c>
      <c r="T697" s="23" t="str">
        <f>HYPERLINK("https://drive.google.com/file/d/15UjSrPR-BAE-foui5sV6pQf4OAMUh3Hc/view?usp=drivesdk","32 - XI B-2 - Safa Adalia")</f>
        <v>32 - XI B-2 - Safa Adalia</v>
      </c>
      <c r="U697" s="12" t="s">
        <v>3711</v>
      </c>
      <c r="W697" s="25">
        <f>COUNTIFS('Form Presensi SCC'!$B:$B, IF($C697&lt;&gt;0, TEXT($C697, "0000000000"), $D697), 'Form Presensi SCC'!$C:$C, "Hadir")</f>
        <v>0</v>
      </c>
      <c r="Y697" s="26"/>
    </row>
    <row r="698" ht="22.5" customHeight="1">
      <c r="A698" s="18">
        <v>555.0</v>
      </c>
      <c r="B698" s="31">
        <v>34.0</v>
      </c>
      <c r="C698" s="27" t="s">
        <v>3727</v>
      </c>
      <c r="D698" s="31" t="s">
        <v>3728</v>
      </c>
      <c r="E698" s="32" t="s">
        <v>227</v>
      </c>
      <c r="F698" s="12">
        <v>32.0</v>
      </c>
      <c r="G698" s="12" t="s">
        <v>3557</v>
      </c>
      <c r="H698" s="28"/>
      <c r="I698" s="20"/>
      <c r="J698" s="10"/>
      <c r="K698" s="10" t="s">
        <v>3557</v>
      </c>
      <c r="L698" s="10"/>
      <c r="M698" s="33"/>
      <c r="N698" s="34"/>
      <c r="O698" s="34"/>
      <c r="P698" s="12" t="str">
        <f t="shared" si="1"/>
        <v>https://docs.google.com/forms/d/e/1FAIpQLSeZ-R1GrWlAPkfaThGqxeTj0QTtrARw4rroxIIepf2kipn1nw/formResponse?usp=pp_url&amp;entry.1313582257=0096820534 / 242510382&amp;entry.1578404635=Hadir</v>
      </c>
      <c r="Q698" s="23" t="s">
        <v>3729</v>
      </c>
      <c r="R698" s="12" t="s">
        <v>3730</v>
      </c>
      <c r="S698" s="24" t="s">
        <v>3731</v>
      </c>
      <c r="T698" s="23" t="str">
        <f>HYPERLINK("https://drive.google.com/file/d/1RHvD-Gy8h9sWY2Jj6a2bh-pplME9MnuK/view?usp=drivesdk","32 - XI B-2 - Sheryn Valentia")</f>
        <v>32 - XI B-2 - Sheryn Valentia</v>
      </c>
      <c r="U698" s="12" t="s">
        <v>3711</v>
      </c>
      <c r="W698" s="25">
        <f>COUNTIFS('Form Presensi SCC'!$B:$B, IF($C698&lt;&gt;0, TEXT($C698, "0000000000"), $D698), 'Form Presensi SCC'!$C:$C, "Hadir")</f>
        <v>0</v>
      </c>
      <c r="Y698" s="26"/>
    </row>
    <row r="699" ht="22.5" customHeight="1">
      <c r="A699" s="18">
        <v>555.0</v>
      </c>
      <c r="B699" s="31">
        <v>35.0</v>
      </c>
      <c r="C699" s="27" t="s">
        <v>3732</v>
      </c>
      <c r="D699" s="31" t="s">
        <v>3733</v>
      </c>
      <c r="E699" s="32" t="s">
        <v>227</v>
      </c>
      <c r="F699" s="12">
        <v>32.0</v>
      </c>
      <c r="G699" s="12" t="s">
        <v>3557</v>
      </c>
      <c r="H699" s="28"/>
      <c r="I699" s="20"/>
      <c r="J699" s="10"/>
      <c r="K699" s="10" t="s">
        <v>3557</v>
      </c>
      <c r="L699" s="10"/>
      <c r="M699" s="33"/>
      <c r="N699" s="34"/>
      <c r="O699" s="34"/>
      <c r="P699" s="12" t="str">
        <f t="shared" si="1"/>
        <v>https://docs.google.com/forms/d/e/1FAIpQLSeZ-R1GrWlAPkfaThGqxeTj0QTtrARw4rroxIIepf2kipn1nw/formResponse?usp=pp_url&amp;entry.1313582257=0091356987 / 242510392&amp;entry.1578404635=Hadir</v>
      </c>
      <c r="Q699" s="23" t="s">
        <v>3734</v>
      </c>
      <c r="R699" s="12" t="s">
        <v>3735</v>
      </c>
      <c r="S699" s="24" t="s">
        <v>3736</v>
      </c>
      <c r="T699" s="23" t="str">
        <f>HYPERLINK("https://drive.google.com/file/d/16QJJ1QPFNO0bxfwv-cwss1mEfooHEK6_/view?usp=drivesdk","32 - XI B-2 - Syakira")</f>
        <v>32 - XI B-2 - Syakira</v>
      </c>
      <c r="U699" s="12" t="s">
        <v>3737</v>
      </c>
      <c r="W699" s="25">
        <f>COUNTIFS('Form Presensi SCC'!$B:$B, IF($C699&lt;&gt;0, TEXT($C699, "0000000000"), $D699), 'Form Presensi SCC'!$C:$C, "Hadir")</f>
        <v>0</v>
      </c>
      <c r="Y699" s="26"/>
    </row>
    <row r="700" ht="22.5" customHeight="1">
      <c r="A700" s="18">
        <v>555.0</v>
      </c>
      <c r="B700" s="31">
        <v>36.0</v>
      </c>
      <c r="C700" s="27" t="s">
        <v>3738</v>
      </c>
      <c r="D700" s="31" t="s">
        <v>3739</v>
      </c>
      <c r="E700" s="32" t="s">
        <v>227</v>
      </c>
      <c r="F700" s="12">
        <v>32.0</v>
      </c>
      <c r="G700" s="12" t="s">
        <v>3557</v>
      </c>
      <c r="H700" s="28"/>
      <c r="I700" s="20"/>
      <c r="J700" s="10"/>
      <c r="K700" s="10" t="s">
        <v>3557</v>
      </c>
      <c r="L700" s="10"/>
      <c r="M700" s="33"/>
      <c r="N700" s="34"/>
      <c r="O700" s="34"/>
      <c r="P700" s="12" t="str">
        <f t="shared" si="1"/>
        <v>https://docs.google.com/forms/d/e/1FAIpQLSeZ-R1GrWlAPkfaThGqxeTj0QTtrARw4rroxIIepf2kipn1nw/formResponse?usp=pp_url&amp;entry.1313582257=0084616257 / 242510420&amp;entry.1578404635=Hadir</v>
      </c>
      <c r="Q700" s="23" t="s">
        <v>3740</v>
      </c>
      <c r="R700" s="12" t="s">
        <v>3741</v>
      </c>
      <c r="S700" s="24" t="s">
        <v>3742</v>
      </c>
      <c r="T700" s="23" t="str">
        <f>HYPERLINK("https://drive.google.com/file/d/1AaFZy3z_Rti1yV5UFDlmYWl9ltS6QFf_/view?usp=drivesdk","32 - XI B-2 - Zahara Romadhona")</f>
        <v>32 - XI B-2 - Zahara Romadhona</v>
      </c>
      <c r="U700" s="12" t="s">
        <v>3737</v>
      </c>
      <c r="W700" s="25">
        <f>COUNTIFS('Form Presensi SCC'!$B:$B, IF($C700&lt;&gt;0, TEXT($C700, "0000000000"), $D700), 'Form Presensi SCC'!$C:$C, "Hadir")</f>
        <v>0</v>
      </c>
      <c r="Y700" s="26"/>
    </row>
    <row r="701" ht="22.5" customHeight="1">
      <c r="A701" s="18">
        <v>555.0</v>
      </c>
      <c r="B701" s="31">
        <v>1.0</v>
      </c>
      <c r="C701" s="27" t="s">
        <v>3743</v>
      </c>
      <c r="D701" s="31" t="s">
        <v>3744</v>
      </c>
      <c r="E701" s="32" t="s">
        <v>220</v>
      </c>
      <c r="F701" s="12">
        <v>32.0</v>
      </c>
      <c r="G701" s="12" t="s">
        <v>3745</v>
      </c>
      <c r="H701" s="28"/>
      <c r="I701" s="20"/>
      <c r="J701" s="10"/>
      <c r="K701" s="10" t="s">
        <v>3745</v>
      </c>
      <c r="L701" s="10"/>
      <c r="M701" s="33"/>
      <c r="N701" s="34"/>
      <c r="O701" s="34"/>
      <c r="P701" s="12" t="str">
        <f t="shared" si="1"/>
        <v>https://docs.google.com/forms/d/e/1FAIpQLSeZ-R1GrWlAPkfaThGqxeTj0QTtrARw4rroxIIepf2kipn1nw/formResponse?usp=pp_url&amp;entry.1313582257=0097029152 / 242510001&amp;entry.1578404635=Hadir</v>
      </c>
      <c r="Q701" s="23" t="s">
        <v>3746</v>
      </c>
      <c r="R701" s="12" t="s">
        <v>3747</v>
      </c>
      <c r="S701" s="24" t="s">
        <v>3748</v>
      </c>
      <c r="T701" s="23" t="str">
        <f>HYPERLINK("https://drive.google.com/file/d/18ZfbsXZKev6IvmDMvidwZficRkU0mmlz/view?usp=drivesdk","32 - XI C - Abdurrahman Syauqi")</f>
        <v>32 - XI C - Abdurrahman Syauqi</v>
      </c>
      <c r="U701" s="12" t="s">
        <v>3749</v>
      </c>
      <c r="W701" s="25">
        <f>COUNTIFS('Form Presensi SCC'!$B:$B, IF($C701&lt;&gt;0, TEXT($C701, "0000000000"), $D701), 'Form Presensi SCC'!$C:$C, "Hadir")</f>
        <v>0</v>
      </c>
      <c r="Y701" s="26"/>
    </row>
    <row r="702" ht="22.5" customHeight="1">
      <c r="A702" s="18">
        <v>555.0</v>
      </c>
      <c r="B702" s="31">
        <v>2.0</v>
      </c>
      <c r="C702" s="27" t="s">
        <v>3750</v>
      </c>
      <c r="D702" s="31" t="s">
        <v>3751</v>
      </c>
      <c r="E702" s="32" t="s">
        <v>227</v>
      </c>
      <c r="F702" s="12">
        <v>32.0</v>
      </c>
      <c r="G702" s="12" t="s">
        <v>3745</v>
      </c>
      <c r="H702" s="28"/>
      <c r="I702" s="20"/>
      <c r="J702" s="10"/>
      <c r="K702" s="10" t="s">
        <v>3745</v>
      </c>
      <c r="L702" s="10"/>
      <c r="M702" s="33"/>
      <c r="N702" s="34"/>
      <c r="O702" s="34"/>
      <c r="P702" s="12" t="str">
        <f t="shared" si="1"/>
        <v>https://docs.google.com/forms/d/e/1FAIpQLSeZ-R1GrWlAPkfaThGqxeTj0QTtrARw4rroxIIepf2kipn1nw/formResponse?usp=pp_url&amp;entry.1313582257=0096738562 / 242510014&amp;entry.1578404635=Hadir</v>
      </c>
      <c r="Q702" s="23" t="s">
        <v>3752</v>
      </c>
      <c r="R702" s="12" t="s">
        <v>3753</v>
      </c>
      <c r="S702" s="24" t="s">
        <v>3754</v>
      </c>
      <c r="T702" s="23" t="str">
        <f>HYPERLINK("https://drive.google.com/file/d/1m19Dhw1Ww__IFN70Yd63wTB1IqMWVKrg/view?usp=drivesdk","32 - XI C - Aira Eva Fajarina")</f>
        <v>32 - XI C - Aira Eva Fajarina</v>
      </c>
      <c r="U702" s="12" t="s">
        <v>3749</v>
      </c>
      <c r="W702" s="25">
        <f>COUNTIFS('Form Presensi SCC'!$B:$B, IF($C702&lt;&gt;0, TEXT($C702, "0000000000"), $D702), 'Form Presensi SCC'!$C:$C, "Hadir")</f>
        <v>0</v>
      </c>
      <c r="Y702" s="26"/>
    </row>
    <row r="703" ht="22.5" customHeight="1">
      <c r="A703" s="18">
        <v>555.0</v>
      </c>
      <c r="B703" s="31">
        <v>3.0</v>
      </c>
      <c r="C703" s="27" t="s">
        <v>3755</v>
      </c>
      <c r="D703" s="31" t="s">
        <v>3756</v>
      </c>
      <c r="E703" s="32" t="s">
        <v>220</v>
      </c>
      <c r="F703" s="12">
        <v>32.0</v>
      </c>
      <c r="G703" s="12" t="s">
        <v>3745</v>
      </c>
      <c r="H703" s="28"/>
      <c r="I703" s="20"/>
      <c r="J703" s="10"/>
      <c r="K703" s="10" t="s">
        <v>3745</v>
      </c>
      <c r="L703" s="10"/>
      <c r="M703" s="33"/>
      <c r="N703" s="34"/>
      <c r="O703" s="34"/>
      <c r="P703" s="12" t="str">
        <f t="shared" si="1"/>
        <v>https://docs.google.com/forms/d/e/1FAIpQLSeZ-R1GrWlAPkfaThGqxeTj0QTtrARw4rroxIIepf2kipn1nw/formResponse?usp=pp_url&amp;entry.1313582257=0099375029 / 242510019&amp;entry.1578404635=Hadir</v>
      </c>
      <c r="Q703" s="23" t="s">
        <v>3757</v>
      </c>
      <c r="R703" s="12" t="s">
        <v>3758</v>
      </c>
      <c r="S703" s="24" t="s">
        <v>3759</v>
      </c>
      <c r="T703" s="23" t="str">
        <f>HYPERLINK("https://drive.google.com/file/d/13gsiO4uoVzbMuJoPreZQ14r8fBxXYAuJ/view?usp=drivesdk","32 - XI C - Akram Dika Setiawan")</f>
        <v>32 - XI C - Akram Dika Setiawan</v>
      </c>
      <c r="U703" s="12" t="s">
        <v>3749</v>
      </c>
      <c r="W703" s="25">
        <f>COUNTIFS('Form Presensi SCC'!$B:$B, IF($C703&lt;&gt;0, TEXT($C703, "0000000000"), $D703), 'Form Presensi SCC'!$C:$C, "Hadir")</f>
        <v>0</v>
      </c>
      <c r="Y703" s="26"/>
    </row>
    <row r="704" ht="22.5" customHeight="1">
      <c r="A704" s="18">
        <v>555.0</v>
      </c>
      <c r="B704" s="31">
        <v>4.0</v>
      </c>
      <c r="C704" s="27" t="s">
        <v>3760</v>
      </c>
      <c r="D704" s="31" t="s">
        <v>3761</v>
      </c>
      <c r="E704" s="32" t="s">
        <v>220</v>
      </c>
      <c r="F704" s="12">
        <v>32.0</v>
      </c>
      <c r="G704" s="12" t="s">
        <v>3745</v>
      </c>
      <c r="H704" s="28"/>
      <c r="I704" s="20"/>
      <c r="J704" s="10"/>
      <c r="K704" s="10" t="s">
        <v>3745</v>
      </c>
      <c r="L704" s="10"/>
      <c r="M704" s="33"/>
      <c r="N704" s="34"/>
      <c r="O704" s="34"/>
      <c r="P704" s="12" t="str">
        <f t="shared" si="1"/>
        <v>https://docs.google.com/forms/d/e/1FAIpQLSeZ-R1GrWlAPkfaThGqxeTj0QTtrARw4rroxIIepf2kipn1nw/formResponse?usp=pp_url&amp;entry.1313582257=0085348468 / 242510024&amp;entry.1578404635=Hadir</v>
      </c>
      <c r="Q704" s="23" t="s">
        <v>3762</v>
      </c>
      <c r="R704" s="12" t="s">
        <v>3763</v>
      </c>
      <c r="S704" s="24" t="s">
        <v>3764</v>
      </c>
      <c r="T704" s="23" t="str">
        <f>HYPERLINK("https://drive.google.com/file/d/1BKd3DMu9VT55lPDPzSDUE233Ag23weMU/view?usp=drivesdk","32 - XI C - Al-Habi Syehar Irawan")</f>
        <v>32 - XI C - Al-Habi Syehar Irawan</v>
      </c>
      <c r="U704" s="12" t="s">
        <v>3749</v>
      </c>
      <c r="W704" s="25">
        <f>COUNTIFS('Form Presensi SCC'!$B:$B, IF($C704&lt;&gt;0, TEXT($C704, "0000000000"), $D704), 'Form Presensi SCC'!$C:$C, "Hadir")</f>
        <v>0</v>
      </c>
      <c r="Y704" s="26"/>
    </row>
    <row r="705" ht="22.5" customHeight="1">
      <c r="A705" s="18">
        <v>555.0</v>
      </c>
      <c r="B705" s="31">
        <v>5.0</v>
      </c>
      <c r="C705" s="27" t="s">
        <v>3765</v>
      </c>
      <c r="D705" s="31" t="s">
        <v>3766</v>
      </c>
      <c r="E705" s="32" t="s">
        <v>227</v>
      </c>
      <c r="F705" s="12">
        <v>32.0</v>
      </c>
      <c r="G705" s="12" t="s">
        <v>3745</v>
      </c>
      <c r="H705" s="28"/>
      <c r="I705" s="20"/>
      <c r="J705" s="10"/>
      <c r="K705" s="10" t="s">
        <v>3745</v>
      </c>
      <c r="L705" s="10"/>
      <c r="M705" s="33"/>
      <c r="N705" s="34"/>
      <c r="O705" s="34"/>
      <c r="P705" s="12" t="str">
        <f t="shared" si="1"/>
        <v>https://docs.google.com/forms/d/e/1FAIpQLSeZ-R1GrWlAPkfaThGqxeTj0QTtrARw4rroxIIepf2kipn1nw/formResponse?usp=pp_url&amp;entry.1313582257=0095154966 / 242510036&amp;entry.1578404635=Hadir</v>
      </c>
      <c r="Q705" s="23" t="s">
        <v>3767</v>
      </c>
      <c r="R705" s="12" t="s">
        <v>3768</v>
      </c>
      <c r="S705" s="24" t="s">
        <v>3769</v>
      </c>
      <c r="T705" s="23" t="str">
        <f>HYPERLINK("https://drive.google.com/file/d/1WxeXD-60KcQK2zKpylhFpyYws8CXYMDx/view?usp=drivesdk","32 - XI C - Alya Atifa Edfiyanti")</f>
        <v>32 - XI C - Alya Atifa Edfiyanti</v>
      </c>
      <c r="U705" s="12" t="s">
        <v>3749</v>
      </c>
      <c r="W705" s="25">
        <f>COUNTIFS('Form Presensi SCC'!$B:$B, IF($C705&lt;&gt;0, TEXT($C705, "0000000000"), $D705), 'Form Presensi SCC'!$C:$C, "Hadir")</f>
        <v>0</v>
      </c>
      <c r="Y705" s="26"/>
    </row>
    <row r="706" ht="22.5" customHeight="1">
      <c r="A706" s="18">
        <v>555.0</v>
      </c>
      <c r="B706" s="31">
        <v>6.0</v>
      </c>
      <c r="C706" s="27" t="s">
        <v>3770</v>
      </c>
      <c r="D706" s="31" t="s">
        <v>3771</v>
      </c>
      <c r="E706" s="32" t="s">
        <v>227</v>
      </c>
      <c r="F706" s="12">
        <v>32.0</v>
      </c>
      <c r="G706" s="12" t="s">
        <v>3745</v>
      </c>
      <c r="H706" s="28"/>
      <c r="I706" s="20"/>
      <c r="J706" s="10"/>
      <c r="K706" s="10" t="s">
        <v>3745</v>
      </c>
      <c r="L706" s="10"/>
      <c r="M706" s="33"/>
      <c r="N706" s="34"/>
      <c r="O706" s="34"/>
      <c r="P706" s="12" t="str">
        <f t="shared" si="1"/>
        <v>https://docs.google.com/forms/d/e/1FAIpQLSeZ-R1GrWlAPkfaThGqxeTj0QTtrARw4rroxIIepf2kipn1nw/formResponse?usp=pp_url&amp;entry.1313582257=0096990480 / 242510044&amp;entry.1578404635=Hadir</v>
      </c>
      <c r="Q706" s="23" t="s">
        <v>3772</v>
      </c>
      <c r="R706" s="12" t="s">
        <v>3773</v>
      </c>
      <c r="S706" s="24" t="s">
        <v>3774</v>
      </c>
      <c r="T706" s="23" t="str">
        <f>HYPERLINK("https://drive.google.com/file/d/1FKqu0IwFBATQBywD6xCLyBKwH4sl8_E0/view?usp=drivesdk","32 - XI C - Andrea Kaira Nezza")</f>
        <v>32 - XI C - Andrea Kaira Nezza</v>
      </c>
      <c r="U706" s="12" t="s">
        <v>3749</v>
      </c>
      <c r="W706" s="25">
        <f>COUNTIFS('Form Presensi SCC'!$B:$B, IF($C706&lt;&gt;0, TEXT($C706, "0000000000"), $D706), 'Form Presensi SCC'!$C:$C, "Hadir")</f>
        <v>0</v>
      </c>
      <c r="Y706" s="26"/>
    </row>
    <row r="707" ht="22.5" customHeight="1">
      <c r="A707" s="18">
        <v>555.0</v>
      </c>
      <c r="B707" s="31">
        <v>7.0</v>
      </c>
      <c r="C707" s="27" t="s">
        <v>3775</v>
      </c>
      <c r="D707" s="31" t="s">
        <v>3776</v>
      </c>
      <c r="E707" s="32" t="s">
        <v>220</v>
      </c>
      <c r="F707" s="12">
        <v>32.0</v>
      </c>
      <c r="G707" s="12" t="s">
        <v>3745</v>
      </c>
      <c r="H707" s="28"/>
      <c r="I707" s="20"/>
      <c r="J707" s="10"/>
      <c r="K707" s="10" t="s">
        <v>3745</v>
      </c>
      <c r="L707" s="10"/>
      <c r="M707" s="33"/>
      <c r="N707" s="34"/>
      <c r="O707" s="34"/>
      <c r="P707" s="12" t="str">
        <f t="shared" si="1"/>
        <v>https://docs.google.com/forms/d/e/1FAIpQLSeZ-R1GrWlAPkfaThGqxeTj0QTtrARw4rroxIIepf2kipn1nw/formResponse?usp=pp_url&amp;entry.1313582257=0081271561 / 242510054&amp;entry.1578404635=Hadir</v>
      </c>
      <c r="Q707" s="23" t="s">
        <v>3777</v>
      </c>
      <c r="R707" s="12" t="s">
        <v>3778</v>
      </c>
      <c r="S707" s="24" t="s">
        <v>3779</v>
      </c>
      <c r="T707" s="23" t="str">
        <f>HYPERLINK("https://drive.google.com/file/d/1QdRxwISmmMtWBUWUkJdP-3bXmV8rLFUH/view?usp=drivesdk","32 - XI C - Ardhito Himawan Dwantara")</f>
        <v>32 - XI C - Ardhito Himawan Dwantara</v>
      </c>
      <c r="U707" s="12" t="s">
        <v>3780</v>
      </c>
      <c r="W707" s="25">
        <f>COUNTIFS('Form Presensi SCC'!$B:$B, IF($C707&lt;&gt;0, TEXT($C707, "0000000000"), $D707), 'Form Presensi SCC'!$C:$C, "Hadir")</f>
        <v>0</v>
      </c>
      <c r="Y707" s="26"/>
    </row>
    <row r="708" ht="22.5" customHeight="1">
      <c r="A708" s="18">
        <v>555.0</v>
      </c>
      <c r="B708" s="31">
        <v>8.0</v>
      </c>
      <c r="C708" s="27" t="s">
        <v>3781</v>
      </c>
      <c r="D708" s="31" t="s">
        <v>3782</v>
      </c>
      <c r="E708" s="32" t="s">
        <v>227</v>
      </c>
      <c r="F708" s="12">
        <v>32.0</v>
      </c>
      <c r="G708" s="12" t="s">
        <v>3745</v>
      </c>
      <c r="H708" s="28"/>
      <c r="I708" s="20"/>
      <c r="J708" s="10"/>
      <c r="K708" s="10" t="s">
        <v>3745</v>
      </c>
      <c r="L708" s="10"/>
      <c r="M708" s="33"/>
      <c r="N708" s="34"/>
      <c r="O708" s="34"/>
      <c r="P708" s="12" t="str">
        <f t="shared" si="1"/>
        <v>https://docs.google.com/forms/d/e/1FAIpQLSeZ-R1GrWlAPkfaThGqxeTj0QTtrARw4rroxIIepf2kipn1nw/formResponse?usp=pp_url&amp;entry.1313582257=0099561898 / 242510071&amp;entry.1578404635=Hadir</v>
      </c>
      <c r="Q708" s="23" t="s">
        <v>3783</v>
      </c>
      <c r="R708" s="12" t="s">
        <v>3784</v>
      </c>
      <c r="S708" s="24" t="s">
        <v>3785</v>
      </c>
      <c r="T708" s="23" t="str">
        <f>HYPERLINK("https://drive.google.com/file/d/1BJRzcIgyROBd_gZynzda_sAA0hKCFV0n/view?usp=drivesdk","32 - XI C - Aureli Valency Achiles")</f>
        <v>32 - XI C - Aureli Valency Achiles</v>
      </c>
      <c r="U708" s="12" t="s">
        <v>3780</v>
      </c>
      <c r="W708" s="25">
        <f>COUNTIFS('Form Presensi SCC'!$B:$B, IF($C708&lt;&gt;0, TEXT($C708, "0000000000"), $D708), 'Form Presensi SCC'!$C:$C, "Hadir")</f>
        <v>0</v>
      </c>
      <c r="Y708" s="26"/>
    </row>
    <row r="709" ht="22.5" customHeight="1">
      <c r="A709" s="18">
        <v>555.0</v>
      </c>
      <c r="B709" s="31">
        <v>9.0</v>
      </c>
      <c r="C709" s="27" t="s">
        <v>3786</v>
      </c>
      <c r="D709" s="31" t="s">
        <v>3787</v>
      </c>
      <c r="E709" s="32" t="s">
        <v>227</v>
      </c>
      <c r="F709" s="12">
        <v>32.0</v>
      </c>
      <c r="G709" s="12" t="s">
        <v>3745</v>
      </c>
      <c r="H709" s="28"/>
      <c r="I709" s="20"/>
      <c r="J709" s="10"/>
      <c r="K709" s="10" t="s">
        <v>3745</v>
      </c>
      <c r="L709" s="10"/>
      <c r="M709" s="33"/>
      <c r="N709" s="34"/>
      <c r="O709" s="34"/>
      <c r="P709" s="12" t="str">
        <f t="shared" si="1"/>
        <v>https://docs.google.com/forms/d/e/1FAIpQLSeZ-R1GrWlAPkfaThGqxeTj0QTtrARw4rroxIIepf2kipn1nw/formResponse?usp=pp_url&amp;entry.1313582257=0091681862 / 242510088&amp;entry.1578404635=Hadir</v>
      </c>
      <c r="Q709" s="23" t="s">
        <v>3788</v>
      </c>
      <c r="R709" s="12" t="s">
        <v>3789</v>
      </c>
      <c r="S709" s="24" t="s">
        <v>3790</v>
      </c>
      <c r="T709" s="23" t="str">
        <f>HYPERLINK("https://drive.google.com/file/d/1sxeQHIjjwStiSqNur5hFkT-LxeTwxdui/view?usp=drivesdk","32 - XI C - Caesy Aprilia Bausir")</f>
        <v>32 - XI C - Caesy Aprilia Bausir</v>
      </c>
      <c r="U709" s="12" t="s">
        <v>3780</v>
      </c>
      <c r="W709" s="25">
        <f>COUNTIFS('Form Presensi SCC'!$B:$B, IF($C709&lt;&gt;0, TEXT($C709, "0000000000"), $D709), 'Form Presensi SCC'!$C:$C, "Hadir")</f>
        <v>0</v>
      </c>
      <c r="Y709" s="26"/>
    </row>
    <row r="710" ht="22.5" customHeight="1">
      <c r="A710" s="18">
        <v>555.0</v>
      </c>
      <c r="B710" s="31">
        <v>10.0</v>
      </c>
      <c r="C710" s="27" t="s">
        <v>3791</v>
      </c>
      <c r="D710" s="31" t="s">
        <v>3792</v>
      </c>
      <c r="E710" s="32" t="s">
        <v>227</v>
      </c>
      <c r="F710" s="12">
        <v>32.0</v>
      </c>
      <c r="G710" s="12" t="s">
        <v>3745</v>
      </c>
      <c r="H710" s="28"/>
      <c r="I710" s="20"/>
      <c r="J710" s="10"/>
      <c r="K710" s="10" t="s">
        <v>3745</v>
      </c>
      <c r="L710" s="10"/>
      <c r="M710" s="33"/>
      <c r="N710" s="34"/>
      <c r="O710" s="34"/>
      <c r="P710" s="12" t="str">
        <f t="shared" si="1"/>
        <v>https://docs.google.com/forms/d/e/1FAIpQLSeZ-R1GrWlAPkfaThGqxeTj0QTtrARw4rroxIIepf2kipn1nw/formResponse?usp=pp_url&amp;entry.1313582257=0098451979 / 242510161&amp;entry.1578404635=Hadir</v>
      </c>
      <c r="Q710" s="23" t="s">
        <v>3793</v>
      </c>
      <c r="R710" s="12" t="s">
        <v>3794</v>
      </c>
      <c r="S710" s="24" t="s">
        <v>3795</v>
      </c>
      <c r="T710" s="23" t="str">
        <f>HYPERLINK("https://drive.google.com/file/d/1fdknbril4WmsUhNlR6O8caCDK7Q5N4iQ/view?usp=drivesdk","32 - XI C - Hasna Azmalea Radhina Santosa")</f>
        <v>32 - XI C - Hasna Azmalea Radhina Santosa</v>
      </c>
      <c r="U710" s="12" t="s">
        <v>3780</v>
      </c>
      <c r="W710" s="25">
        <f>COUNTIFS('Form Presensi SCC'!$B:$B, IF($C710&lt;&gt;0, TEXT($C710, "0000000000"), $D710), 'Form Presensi SCC'!$C:$C, "Hadir")</f>
        <v>0</v>
      </c>
      <c r="Y710" s="26"/>
    </row>
    <row r="711" ht="22.5" customHeight="1">
      <c r="A711" s="18">
        <v>555.0</v>
      </c>
      <c r="B711" s="31">
        <v>11.0</v>
      </c>
      <c r="C711" s="27" t="s">
        <v>3796</v>
      </c>
      <c r="D711" s="31" t="s">
        <v>3797</v>
      </c>
      <c r="E711" s="32" t="s">
        <v>227</v>
      </c>
      <c r="F711" s="12">
        <v>32.0</v>
      </c>
      <c r="G711" s="12" t="s">
        <v>3745</v>
      </c>
      <c r="H711" s="28"/>
      <c r="I711" s="20"/>
      <c r="J711" s="10"/>
      <c r="K711" s="10" t="s">
        <v>3745</v>
      </c>
      <c r="L711" s="10"/>
      <c r="M711" s="33"/>
      <c r="N711" s="34"/>
      <c r="O711" s="34"/>
      <c r="P711" s="12" t="str">
        <f t="shared" si="1"/>
        <v>https://docs.google.com/forms/d/e/1FAIpQLSeZ-R1GrWlAPkfaThGqxeTj0QTtrARw4rroxIIepf2kipn1nw/formResponse?usp=pp_url&amp;entry.1313582257=0084845522 / 242510200&amp;entry.1578404635=Hadir</v>
      </c>
      <c r="Q711" s="23" t="s">
        <v>3798</v>
      </c>
      <c r="R711" s="12" t="s">
        <v>3799</v>
      </c>
      <c r="S711" s="24" t="s">
        <v>3800</v>
      </c>
      <c r="T711" s="23" t="str">
        <f>HYPERLINK("https://drive.google.com/file/d/16qvEw0CYgN-_idq6_UCiBxUdb58l7Gtj/view?usp=drivesdk","32 - XI C - Khalista Bisi Elmyra")</f>
        <v>32 - XI C - Khalista Bisi Elmyra</v>
      </c>
      <c r="U711" s="12" t="s">
        <v>3780</v>
      </c>
      <c r="W711" s="25">
        <f>COUNTIFS('Form Presensi SCC'!$B:$B, IF($C711&lt;&gt;0, TEXT($C711, "0000000000"), $D711), 'Form Presensi SCC'!$C:$C, "Hadir")</f>
        <v>0</v>
      </c>
      <c r="Y711" s="26"/>
    </row>
    <row r="712" ht="22.5" customHeight="1">
      <c r="A712" s="18">
        <v>555.0</v>
      </c>
      <c r="B712" s="31">
        <v>12.0</v>
      </c>
      <c r="C712" s="27" t="s">
        <v>3801</v>
      </c>
      <c r="D712" s="31" t="s">
        <v>3802</v>
      </c>
      <c r="E712" s="32" t="s">
        <v>227</v>
      </c>
      <c r="F712" s="12">
        <v>32.0</v>
      </c>
      <c r="G712" s="12" t="s">
        <v>3745</v>
      </c>
      <c r="H712" s="28"/>
      <c r="I712" s="20"/>
      <c r="J712" s="10"/>
      <c r="K712" s="10" t="s">
        <v>3745</v>
      </c>
      <c r="L712" s="10"/>
      <c r="M712" s="33"/>
      <c r="N712" s="34"/>
      <c r="O712" s="34"/>
      <c r="P712" s="12" t="str">
        <f t="shared" si="1"/>
        <v>https://docs.google.com/forms/d/e/1FAIpQLSeZ-R1GrWlAPkfaThGqxeTj0QTtrARw4rroxIIepf2kipn1nw/formResponse?usp=pp_url&amp;entry.1313582257=0083434779 / 252611571&amp;entry.1578404635=Hadir</v>
      </c>
      <c r="Q712" s="23" t="s">
        <v>3803</v>
      </c>
      <c r="R712" s="12" t="s">
        <v>3804</v>
      </c>
      <c r="S712" s="24" t="s">
        <v>3805</v>
      </c>
      <c r="T712" s="23" t="str">
        <f>HYPERLINK("https://drive.google.com/file/d/1kTAPoyE6kdxUfEDQgZLhBwxZ9_MBHTT4/view?usp=drivesdk","32 - XI C - Khansa Nadya Rahman")</f>
        <v>32 - XI C - Khansa Nadya Rahman</v>
      </c>
      <c r="U712" s="12" t="s">
        <v>3806</v>
      </c>
      <c r="W712" s="25">
        <f>COUNTIFS('Form Presensi SCC'!$B:$B, IF($C712&lt;&gt;0, TEXT($C712, "0000000000"), $D712), 'Form Presensi SCC'!$C:$C, "Hadir")</f>
        <v>0</v>
      </c>
      <c r="Y712" s="26"/>
    </row>
    <row r="713" ht="22.5" customHeight="1">
      <c r="A713" s="18">
        <v>555.0</v>
      </c>
      <c r="B713" s="31">
        <v>13.0</v>
      </c>
      <c r="C713" s="27" t="s">
        <v>3807</v>
      </c>
      <c r="D713" s="31" t="s">
        <v>3808</v>
      </c>
      <c r="E713" s="32" t="s">
        <v>227</v>
      </c>
      <c r="F713" s="12">
        <v>32.0</v>
      </c>
      <c r="G713" s="12" t="s">
        <v>3745</v>
      </c>
      <c r="H713" s="28"/>
      <c r="I713" s="20"/>
      <c r="J713" s="10"/>
      <c r="K713" s="10" t="s">
        <v>3745</v>
      </c>
      <c r="L713" s="10"/>
      <c r="M713" s="33"/>
      <c r="N713" s="34"/>
      <c r="O713" s="34"/>
      <c r="P713" s="12" t="str">
        <f t="shared" si="1"/>
        <v>https://docs.google.com/forms/d/e/1FAIpQLSeZ-R1GrWlAPkfaThGqxeTj0QTtrARw4rroxIIepf2kipn1nw/formResponse?usp=pp_url&amp;entry.1313582257=0094551974 / 242510212&amp;entry.1578404635=Hadir</v>
      </c>
      <c r="Q713" s="23" t="s">
        <v>3809</v>
      </c>
      <c r="R713" s="12" t="s">
        <v>3810</v>
      </c>
      <c r="S713" s="24" t="s">
        <v>3811</v>
      </c>
      <c r="T713" s="23" t="str">
        <f>HYPERLINK("https://drive.google.com/file/d/1B3C_1-y36AfCxLmW1qtU963Uh6qh-6lp/view?usp=drivesdk","32 - XI C - Lexa El Sohbia")</f>
        <v>32 - XI C - Lexa El Sohbia</v>
      </c>
      <c r="U713" s="12" t="s">
        <v>3806</v>
      </c>
      <c r="W713" s="25">
        <f>COUNTIFS('Form Presensi SCC'!$B:$B, IF($C713&lt;&gt;0, TEXT($C713, "0000000000"), $D713), 'Form Presensi SCC'!$C:$C, "Hadir")</f>
        <v>0</v>
      </c>
      <c r="Y713" s="26"/>
    </row>
    <row r="714" ht="22.5" customHeight="1">
      <c r="A714" s="18">
        <v>555.0</v>
      </c>
      <c r="B714" s="31">
        <v>14.0</v>
      </c>
      <c r="C714" s="27" t="s">
        <v>3812</v>
      </c>
      <c r="D714" s="31" t="s">
        <v>3813</v>
      </c>
      <c r="E714" s="32" t="s">
        <v>227</v>
      </c>
      <c r="F714" s="12">
        <v>32.0</v>
      </c>
      <c r="G714" s="12" t="s">
        <v>3745</v>
      </c>
      <c r="H714" s="28"/>
      <c r="I714" s="20"/>
      <c r="J714" s="10"/>
      <c r="K714" s="10" t="s">
        <v>3745</v>
      </c>
      <c r="L714" s="10"/>
      <c r="M714" s="33"/>
      <c r="N714" s="34"/>
      <c r="O714" s="34"/>
      <c r="P714" s="12" t="str">
        <f t="shared" si="1"/>
        <v>https://docs.google.com/forms/d/e/1FAIpQLSeZ-R1GrWlAPkfaThGqxeTj0QTtrARw4rroxIIepf2kipn1nw/formResponse?usp=pp_url&amp;entry.1313582257=0081855086 / 242510220&amp;entry.1578404635=Hadir</v>
      </c>
      <c r="Q714" s="23" t="s">
        <v>3814</v>
      </c>
      <c r="R714" s="12" t="s">
        <v>3815</v>
      </c>
      <c r="S714" s="24" t="s">
        <v>3816</v>
      </c>
      <c r="T714" s="23" t="str">
        <f>HYPERLINK("https://drive.google.com/file/d/1ie25e9jXMIdGl3bWmA5UbBS7kQ2PCVam/view?usp=drivesdk","32 - XI C - Madina Silvana Dewi")</f>
        <v>32 - XI C - Madina Silvana Dewi</v>
      </c>
      <c r="U714" s="12" t="s">
        <v>3806</v>
      </c>
      <c r="W714" s="25">
        <f>COUNTIFS('Form Presensi SCC'!$B:$B, IF($C714&lt;&gt;0, TEXT($C714, "0000000000"), $D714), 'Form Presensi SCC'!$C:$C, "Hadir")</f>
        <v>0</v>
      </c>
      <c r="Y714" s="26"/>
    </row>
    <row r="715" ht="22.5" customHeight="1">
      <c r="A715" s="18">
        <v>555.0</v>
      </c>
      <c r="B715" s="31">
        <v>15.0</v>
      </c>
      <c r="C715" s="27" t="s">
        <v>128</v>
      </c>
      <c r="D715" s="31" t="s">
        <v>3817</v>
      </c>
      <c r="E715" s="32" t="s">
        <v>227</v>
      </c>
      <c r="F715" s="12">
        <v>32.0</v>
      </c>
      <c r="G715" s="12" t="s">
        <v>3745</v>
      </c>
      <c r="H715" s="28"/>
      <c r="I715" s="20"/>
      <c r="J715" s="10"/>
      <c r="K715" s="10" t="s">
        <v>3745</v>
      </c>
      <c r="L715" s="10"/>
      <c r="M715" s="33"/>
      <c r="N715" s="34"/>
      <c r="O715" s="34"/>
      <c r="P715" s="12" t="str">
        <f t="shared" si="1"/>
        <v>https://docs.google.com/forms/d/e/1FAIpQLSeZ-R1GrWlAPkfaThGqxeTj0QTtrARw4rroxIIepf2kipn1nw/formResponse?usp=pp_url&amp;entry.1313582257=0083951567 / 242510221&amp;entry.1578404635=Hadir</v>
      </c>
      <c r="Q715" s="23" t="s">
        <v>3818</v>
      </c>
      <c r="R715" s="12" t="s">
        <v>3819</v>
      </c>
      <c r="S715" s="24" t="s">
        <v>3820</v>
      </c>
      <c r="T715" s="23" t="str">
        <f>HYPERLINK("https://drive.google.com/file/d/1PQVjTfRDBDhc9hd9dAF_vbakhxchMtae/view?usp=drivesdk","32 - XI C - Mala Nirmala")</f>
        <v>32 - XI C - Mala Nirmala</v>
      </c>
      <c r="U715" s="12" t="s">
        <v>3806</v>
      </c>
      <c r="W715" s="25">
        <f>COUNTIFS('Form Presensi SCC'!$B:$B, IF($C715&lt;&gt;0, TEXT($C715, "0000000000"), $D715), 'Form Presensi SCC'!$C:$C, "Hadir")</f>
        <v>1</v>
      </c>
      <c r="Y715" s="26"/>
    </row>
    <row r="716" ht="22.5" customHeight="1">
      <c r="A716" s="18">
        <v>555.0</v>
      </c>
      <c r="B716" s="31">
        <v>16.0</v>
      </c>
      <c r="C716" s="27" t="s">
        <v>3821</v>
      </c>
      <c r="D716" s="31" t="s">
        <v>3822</v>
      </c>
      <c r="E716" s="32" t="s">
        <v>220</v>
      </c>
      <c r="F716" s="12">
        <v>32.0</v>
      </c>
      <c r="G716" s="12" t="s">
        <v>3745</v>
      </c>
      <c r="H716" s="28"/>
      <c r="I716" s="20"/>
      <c r="J716" s="10"/>
      <c r="K716" s="10" t="s">
        <v>3745</v>
      </c>
      <c r="L716" s="10"/>
      <c r="M716" s="33"/>
      <c r="N716" s="34"/>
      <c r="O716" s="34"/>
      <c r="P716" s="12" t="str">
        <f t="shared" si="1"/>
        <v>https://docs.google.com/forms/d/e/1FAIpQLSeZ-R1GrWlAPkfaThGqxeTj0QTtrARw4rroxIIepf2kipn1nw/formResponse?usp=pp_url&amp;entry.1313582257=0093504759 / 242510251&amp;entry.1578404635=Hadir</v>
      </c>
      <c r="Q716" s="23" t="s">
        <v>3823</v>
      </c>
      <c r="R716" s="12" t="s">
        <v>3824</v>
      </c>
      <c r="S716" s="24" t="s">
        <v>3825</v>
      </c>
      <c r="T716" s="23" t="str">
        <f>HYPERLINK("https://drive.google.com/file/d/18tAxM4teDLTbdgBVO-AyvHo8trG0v7xF/view?usp=drivesdk","32 - XI C - Muhammad Aqila Zhafran Khair")</f>
        <v>32 - XI C - Muhammad Aqila Zhafran Khair</v>
      </c>
      <c r="U716" s="12" t="s">
        <v>3806</v>
      </c>
      <c r="W716" s="25">
        <f>COUNTIFS('Form Presensi SCC'!$B:$B, IF($C716&lt;&gt;0, TEXT($C716, "0000000000"), $D716), 'Form Presensi SCC'!$C:$C, "Hadir")</f>
        <v>0</v>
      </c>
      <c r="Y716" s="26"/>
    </row>
    <row r="717" ht="22.5" customHeight="1">
      <c r="A717" s="18">
        <v>555.0</v>
      </c>
      <c r="B717" s="31">
        <v>17.0</v>
      </c>
      <c r="C717" s="27" t="s">
        <v>3826</v>
      </c>
      <c r="D717" s="31" t="s">
        <v>3827</v>
      </c>
      <c r="E717" s="32" t="s">
        <v>220</v>
      </c>
      <c r="F717" s="12">
        <v>32.0</v>
      </c>
      <c r="G717" s="12" t="s">
        <v>3745</v>
      </c>
      <c r="H717" s="28"/>
      <c r="I717" s="20"/>
      <c r="J717" s="10"/>
      <c r="K717" s="10" t="s">
        <v>3745</v>
      </c>
      <c r="L717" s="10"/>
      <c r="M717" s="33"/>
      <c r="N717" s="34"/>
      <c r="O717" s="34"/>
      <c r="P717" s="12" t="str">
        <f t="shared" si="1"/>
        <v>https://docs.google.com/forms/d/e/1FAIpQLSeZ-R1GrWlAPkfaThGqxeTj0QTtrARw4rroxIIepf2kipn1nw/formResponse?usp=pp_url&amp;entry.1313582257=0086270372 / 242510271&amp;entry.1578404635=Hadir</v>
      </c>
      <c r="Q717" s="23" t="s">
        <v>3828</v>
      </c>
      <c r="R717" s="12" t="s">
        <v>3829</v>
      </c>
      <c r="S717" s="24" t="s">
        <v>3830</v>
      </c>
      <c r="T717" s="23" t="str">
        <f>HYPERLINK("https://drive.google.com/file/d/1DKicOs_jjEpX0NTlmHqpOeB9scIvTBR3/view?usp=drivesdk","32 - XI C - Muhammad Noval Irfandi")</f>
        <v>32 - XI C - Muhammad Noval Irfandi</v>
      </c>
      <c r="U717" s="12" t="s">
        <v>3831</v>
      </c>
      <c r="W717" s="25">
        <f>COUNTIFS('Form Presensi SCC'!$B:$B, IF($C717&lt;&gt;0, TEXT($C717, "0000000000"), $D717), 'Form Presensi SCC'!$C:$C, "Hadir")</f>
        <v>0</v>
      </c>
      <c r="Y717" s="26"/>
    </row>
    <row r="718" ht="22.5" customHeight="1">
      <c r="A718" s="18">
        <v>555.0</v>
      </c>
      <c r="B718" s="31">
        <v>18.0</v>
      </c>
      <c r="C718" s="27" t="s">
        <v>3832</v>
      </c>
      <c r="D718" s="31" t="s">
        <v>3833</v>
      </c>
      <c r="E718" s="32" t="s">
        <v>220</v>
      </c>
      <c r="F718" s="12">
        <v>32.0</v>
      </c>
      <c r="G718" s="12" t="s">
        <v>3745</v>
      </c>
      <c r="H718" s="28"/>
      <c r="I718" s="20"/>
      <c r="J718" s="10"/>
      <c r="K718" s="10" t="s">
        <v>3745</v>
      </c>
      <c r="L718" s="10"/>
      <c r="M718" s="33"/>
      <c r="N718" s="34"/>
      <c r="O718" s="34"/>
      <c r="P718" s="12" t="str">
        <f t="shared" si="1"/>
        <v>https://docs.google.com/forms/d/e/1FAIpQLSeZ-R1GrWlAPkfaThGqxeTj0QTtrARw4rroxIIepf2kipn1nw/formResponse?usp=pp_url&amp;entry.1313582257=0096643467 / 242510272&amp;entry.1578404635=Hadir</v>
      </c>
      <c r="Q718" s="23" t="s">
        <v>3834</v>
      </c>
      <c r="R718" s="12" t="s">
        <v>3835</v>
      </c>
      <c r="S718" s="24" t="s">
        <v>3836</v>
      </c>
      <c r="T718" s="23" t="str">
        <f>HYPERLINK("https://drive.google.com/file/d/1ODXKp0ZK5Qf4mFW57j-GXI70D2HmxORO/view?usp=drivesdk","32 - XI C - Muhammad Rayza Ijudin")</f>
        <v>32 - XI C - Muhammad Rayza Ijudin</v>
      </c>
      <c r="U718" s="12" t="s">
        <v>3831</v>
      </c>
      <c r="W718" s="25">
        <f>COUNTIFS('Form Presensi SCC'!$B:$B, IF($C718&lt;&gt;0, TEXT($C718, "0000000000"), $D718), 'Form Presensi SCC'!$C:$C, "Hadir")</f>
        <v>0</v>
      </c>
      <c r="Y718" s="26"/>
    </row>
    <row r="719" ht="22.5" customHeight="1">
      <c r="A719" s="18">
        <v>555.0</v>
      </c>
      <c r="B719" s="31">
        <v>19.0</v>
      </c>
      <c r="C719" s="27" t="s">
        <v>3837</v>
      </c>
      <c r="D719" s="31" t="s">
        <v>3838</v>
      </c>
      <c r="E719" s="32" t="s">
        <v>227</v>
      </c>
      <c r="F719" s="12">
        <v>32.0</v>
      </c>
      <c r="G719" s="12" t="s">
        <v>3745</v>
      </c>
      <c r="H719" s="28"/>
      <c r="I719" s="20"/>
      <c r="J719" s="10"/>
      <c r="K719" s="10" t="s">
        <v>3745</v>
      </c>
      <c r="L719" s="10"/>
      <c r="M719" s="33"/>
      <c r="N719" s="34"/>
      <c r="O719" s="34"/>
      <c r="P719" s="12" t="str">
        <f t="shared" si="1"/>
        <v>https://docs.google.com/forms/d/e/1FAIpQLSeZ-R1GrWlAPkfaThGqxeTj0QTtrARw4rroxIIepf2kipn1nw/formResponse?usp=pp_url&amp;entry.1313582257=0091089933 / 242510284&amp;entry.1578404635=Hadir</v>
      </c>
      <c r="Q719" s="23" t="s">
        <v>3839</v>
      </c>
      <c r="R719" s="12" t="s">
        <v>3840</v>
      </c>
      <c r="S719" s="24" t="s">
        <v>3841</v>
      </c>
      <c r="T719" s="23" t="str">
        <f>HYPERLINK("https://drive.google.com/file/d/1g6-QICt_Zny8VTeRSA66FIyOtcJdzEHm/view?usp=drivesdk","32 - XI C - Nabilah Khoirunnisaa")</f>
        <v>32 - XI C - Nabilah Khoirunnisaa</v>
      </c>
      <c r="U719" s="12" t="s">
        <v>3831</v>
      </c>
      <c r="W719" s="25">
        <f>COUNTIFS('Form Presensi SCC'!$B:$B, IF($C719&lt;&gt;0, TEXT($C719, "0000000000"), $D719), 'Form Presensi SCC'!$C:$C, "Hadir")</f>
        <v>0</v>
      </c>
      <c r="Y719" s="26"/>
    </row>
    <row r="720" ht="22.5" customHeight="1">
      <c r="A720" s="18">
        <v>555.0</v>
      </c>
      <c r="B720" s="31">
        <v>20.0</v>
      </c>
      <c r="C720" s="27" t="s">
        <v>3842</v>
      </c>
      <c r="D720" s="31" t="s">
        <v>3843</v>
      </c>
      <c r="E720" s="32" t="s">
        <v>227</v>
      </c>
      <c r="F720" s="12">
        <v>32.0</v>
      </c>
      <c r="G720" s="12" t="s">
        <v>3745</v>
      </c>
      <c r="H720" s="28"/>
      <c r="I720" s="20"/>
      <c r="J720" s="10"/>
      <c r="K720" s="10" t="s">
        <v>3745</v>
      </c>
      <c r="L720" s="10"/>
      <c r="M720" s="33"/>
      <c r="N720" s="34"/>
      <c r="O720" s="34"/>
      <c r="P720" s="12" t="str">
        <f t="shared" si="1"/>
        <v>https://docs.google.com/forms/d/e/1FAIpQLSeZ-R1GrWlAPkfaThGqxeTj0QTtrARw4rroxIIepf2kipn1nw/formResponse?usp=pp_url&amp;entry.1313582257=0096304188 / 242510289&amp;entry.1578404635=Hadir</v>
      </c>
      <c r="Q720" s="23" t="s">
        <v>3844</v>
      </c>
      <c r="R720" s="12" t="s">
        <v>3845</v>
      </c>
      <c r="S720" s="24" t="s">
        <v>3846</v>
      </c>
      <c r="T720" s="23" t="str">
        <f>HYPERLINK("https://drive.google.com/file/d/1KAhcg8Ghm6AIkf6Zj28i8e46nacM3DP5/view?usp=drivesdk","32 - XI C - Nadya Putri")</f>
        <v>32 - XI C - Nadya Putri</v>
      </c>
      <c r="U720" s="12" t="s">
        <v>3831</v>
      </c>
      <c r="W720" s="25">
        <f>COUNTIFS('Form Presensi SCC'!$B:$B, IF($C720&lt;&gt;0, TEXT($C720, "0000000000"), $D720), 'Form Presensi SCC'!$C:$C, "Hadir")</f>
        <v>0</v>
      </c>
      <c r="Y720" s="26"/>
    </row>
    <row r="721" ht="22.5" customHeight="1">
      <c r="A721" s="18">
        <v>555.0</v>
      </c>
      <c r="B721" s="31">
        <v>21.0</v>
      </c>
      <c r="C721" s="27" t="s">
        <v>3847</v>
      </c>
      <c r="D721" s="31" t="s">
        <v>3848</v>
      </c>
      <c r="E721" s="32" t="s">
        <v>227</v>
      </c>
      <c r="F721" s="12">
        <v>32.0</v>
      </c>
      <c r="G721" s="12" t="s">
        <v>3745</v>
      </c>
      <c r="H721" s="28"/>
      <c r="I721" s="20"/>
      <c r="J721" s="10"/>
      <c r="K721" s="10" t="s">
        <v>3745</v>
      </c>
      <c r="L721" s="10"/>
      <c r="M721" s="33"/>
      <c r="N721" s="34"/>
      <c r="O721" s="34"/>
      <c r="P721" s="12" t="str">
        <f t="shared" si="1"/>
        <v>https://docs.google.com/forms/d/e/1FAIpQLSeZ-R1GrWlAPkfaThGqxeTj0QTtrARw4rroxIIepf2kipn1nw/formResponse?usp=pp_url&amp;entry.1313582257=0097295872 / 242510292&amp;entry.1578404635=Hadir</v>
      </c>
      <c r="Q721" s="23" t="s">
        <v>3849</v>
      </c>
      <c r="R721" s="12" t="s">
        <v>3850</v>
      </c>
      <c r="S721" s="24" t="s">
        <v>3851</v>
      </c>
      <c r="T721" s="23" t="str">
        <f>HYPERLINK("https://drive.google.com/file/d/1iyokPqYkPmqbNzrtz6I5lHDNgM2P3wAa/view?usp=drivesdk","32 - XI C - Nasywa Neno Fauziah")</f>
        <v>32 - XI C - Nasywa Neno Fauziah</v>
      </c>
      <c r="U721" s="12" t="s">
        <v>3831</v>
      </c>
      <c r="W721" s="25">
        <f>COUNTIFS('Form Presensi SCC'!$B:$B, IF($C721&lt;&gt;0, TEXT($C721, "0000000000"), $D721), 'Form Presensi SCC'!$C:$C, "Hadir")</f>
        <v>0</v>
      </c>
      <c r="Y721" s="26"/>
    </row>
    <row r="722" ht="22.5" customHeight="1">
      <c r="A722" s="18">
        <v>555.0</v>
      </c>
      <c r="B722" s="31">
        <v>22.0</v>
      </c>
      <c r="C722" s="27" t="s">
        <v>3852</v>
      </c>
      <c r="D722" s="31" t="s">
        <v>3853</v>
      </c>
      <c r="E722" s="32" t="s">
        <v>227</v>
      </c>
      <c r="F722" s="12">
        <v>32.0</v>
      </c>
      <c r="G722" s="12" t="s">
        <v>3745</v>
      </c>
      <c r="H722" s="28"/>
      <c r="I722" s="20"/>
      <c r="J722" s="10"/>
      <c r="K722" s="10" t="s">
        <v>3745</v>
      </c>
      <c r="L722" s="10"/>
      <c r="M722" s="33"/>
      <c r="N722" s="34"/>
      <c r="O722" s="34"/>
      <c r="P722" s="12" t="str">
        <f t="shared" si="1"/>
        <v>https://docs.google.com/forms/d/e/1FAIpQLSeZ-R1GrWlAPkfaThGqxeTj0QTtrARw4rroxIIepf2kipn1nw/formResponse?usp=pp_url&amp;entry.1313582257=0096224183 / 242510299&amp;entry.1578404635=Hadir</v>
      </c>
      <c r="Q722" s="23" t="s">
        <v>3854</v>
      </c>
      <c r="R722" s="12" t="s">
        <v>3855</v>
      </c>
      <c r="S722" s="24" t="s">
        <v>3856</v>
      </c>
      <c r="T722" s="23" t="str">
        <f>HYPERLINK("https://drive.google.com/file/d/1jeQYTFIjBT9uw1PR1y24TK6bv9WQMvDa/view?usp=drivesdk","32 - XI C - Nazira Meisa")</f>
        <v>32 - XI C - Nazira Meisa</v>
      </c>
      <c r="U722" s="12" t="s">
        <v>3831</v>
      </c>
      <c r="W722" s="25">
        <f>COUNTIFS('Form Presensi SCC'!$B:$B, IF($C722&lt;&gt;0, TEXT($C722, "0000000000"), $D722), 'Form Presensi SCC'!$C:$C, "Hadir")</f>
        <v>0</v>
      </c>
      <c r="Y722" s="26"/>
    </row>
    <row r="723" ht="22.5" customHeight="1">
      <c r="A723" s="18">
        <v>555.0</v>
      </c>
      <c r="B723" s="31">
        <v>23.0</v>
      </c>
      <c r="C723" s="27" t="s">
        <v>3857</v>
      </c>
      <c r="D723" s="31" t="s">
        <v>3858</v>
      </c>
      <c r="E723" s="32" t="s">
        <v>227</v>
      </c>
      <c r="F723" s="12">
        <v>32.0</v>
      </c>
      <c r="G723" s="12" t="s">
        <v>3745</v>
      </c>
      <c r="H723" s="28"/>
      <c r="I723" s="20"/>
      <c r="J723" s="10"/>
      <c r="K723" s="10" t="s">
        <v>3745</v>
      </c>
      <c r="L723" s="10"/>
      <c r="M723" s="33"/>
      <c r="N723" s="34"/>
      <c r="O723" s="34"/>
      <c r="P723" s="12" t="str">
        <f t="shared" si="1"/>
        <v>https://docs.google.com/forms/d/e/1FAIpQLSeZ-R1GrWlAPkfaThGqxeTj0QTtrARw4rroxIIepf2kipn1nw/formResponse?usp=pp_url&amp;entry.1313582257=0083048491 / 242510303&amp;entry.1578404635=Hadir</v>
      </c>
      <c r="Q723" s="23" t="s">
        <v>3859</v>
      </c>
      <c r="R723" s="12" t="s">
        <v>3860</v>
      </c>
      <c r="S723" s="24" t="s">
        <v>3861</v>
      </c>
      <c r="T723" s="23" t="str">
        <f>HYPERLINK("https://drive.google.com/file/d/1vW8cBFqldfh2fwDUSieSm_g_-Ju6whnL/view?usp=drivesdk","32 - XI C - Ni Kadek Masayu Savitar Handayani")</f>
        <v>32 - XI C - Ni Kadek Masayu Savitar Handayani</v>
      </c>
      <c r="U723" s="12" t="s">
        <v>3862</v>
      </c>
      <c r="W723" s="25">
        <f>COUNTIFS('Form Presensi SCC'!$B:$B, IF($C723&lt;&gt;0, TEXT($C723, "0000000000"), $D723), 'Form Presensi SCC'!$C:$C, "Hadir")</f>
        <v>0</v>
      </c>
      <c r="Y723" s="26"/>
    </row>
    <row r="724" ht="22.5" customHeight="1">
      <c r="A724" s="18">
        <v>555.0</v>
      </c>
      <c r="B724" s="31">
        <v>24.0</v>
      </c>
      <c r="C724" s="27" t="s">
        <v>3863</v>
      </c>
      <c r="D724" s="31" t="s">
        <v>3864</v>
      </c>
      <c r="E724" s="32" t="s">
        <v>227</v>
      </c>
      <c r="F724" s="12">
        <v>32.0</v>
      </c>
      <c r="G724" s="12" t="s">
        <v>3745</v>
      </c>
      <c r="H724" s="28"/>
      <c r="I724" s="20"/>
      <c r="J724" s="10"/>
      <c r="K724" s="10" t="s">
        <v>3745</v>
      </c>
      <c r="L724" s="10"/>
      <c r="M724" s="33"/>
      <c r="N724" s="34"/>
      <c r="O724" s="34"/>
      <c r="P724" s="12" t="str">
        <f t="shared" si="1"/>
        <v>https://docs.google.com/forms/d/e/1FAIpQLSeZ-R1GrWlAPkfaThGqxeTj0QTtrARw4rroxIIepf2kipn1nw/formResponse?usp=pp_url&amp;entry.1313582257=0094414485 / 242510315&amp;entry.1578404635=Hadir</v>
      </c>
      <c r="Q724" s="23" t="s">
        <v>3865</v>
      </c>
      <c r="R724" s="12" t="s">
        <v>3866</v>
      </c>
      <c r="S724" s="24" t="s">
        <v>3867</v>
      </c>
      <c r="T724" s="23" t="str">
        <f>HYPERLINK("https://drive.google.com/file/d/1VFQvEyfIT8L_-v3ZmYPPXgFuRWAUcat7/view?usp=drivesdk","32 - XI C - Prita Seliana")</f>
        <v>32 - XI C - Prita Seliana</v>
      </c>
      <c r="U724" s="12" t="s">
        <v>3862</v>
      </c>
      <c r="W724" s="25">
        <f>COUNTIFS('Form Presensi SCC'!$B:$B, IF($C724&lt;&gt;0, TEXT($C724, "0000000000"), $D724), 'Form Presensi SCC'!$C:$C, "Hadir")</f>
        <v>0</v>
      </c>
      <c r="Y724" s="26"/>
    </row>
    <row r="725" ht="22.5" customHeight="1">
      <c r="A725" s="18">
        <v>555.0</v>
      </c>
      <c r="B725" s="31">
        <v>25.0</v>
      </c>
      <c r="C725" s="27" t="s">
        <v>3868</v>
      </c>
      <c r="D725" s="31" t="s">
        <v>3869</v>
      </c>
      <c r="E725" s="32" t="s">
        <v>227</v>
      </c>
      <c r="F725" s="12">
        <v>32.0</v>
      </c>
      <c r="G725" s="12" t="s">
        <v>3745</v>
      </c>
      <c r="H725" s="28"/>
      <c r="I725" s="20"/>
      <c r="J725" s="10"/>
      <c r="K725" s="10" t="s">
        <v>3745</v>
      </c>
      <c r="L725" s="10"/>
      <c r="M725" s="33"/>
      <c r="N725" s="34"/>
      <c r="O725" s="34"/>
      <c r="P725" s="12" t="str">
        <f t="shared" si="1"/>
        <v>https://docs.google.com/forms/d/e/1FAIpQLSeZ-R1GrWlAPkfaThGqxeTj0QTtrARw4rroxIIepf2kipn1nw/formResponse?usp=pp_url&amp;entry.1313582257=0095501589 / 242510318&amp;entry.1578404635=Hadir</v>
      </c>
      <c r="Q725" s="23" t="s">
        <v>3870</v>
      </c>
      <c r="R725" s="12" t="s">
        <v>3871</v>
      </c>
      <c r="S725" s="24" t="s">
        <v>3872</v>
      </c>
      <c r="T725" s="23" t="str">
        <f>HYPERLINK("https://drive.google.com/file/d/17NWvAlrYabycfAn4pSD8ME1V2IJNPLV2/view?usp=drivesdk","32 - XI C - Putri Allysia Yusup")</f>
        <v>32 - XI C - Putri Allysia Yusup</v>
      </c>
      <c r="U725" s="12" t="s">
        <v>3862</v>
      </c>
      <c r="W725" s="25">
        <f>COUNTIFS('Form Presensi SCC'!$B:$B, IF($C725&lt;&gt;0, TEXT($C725, "0000000000"), $D725), 'Form Presensi SCC'!$C:$C, "Hadir")</f>
        <v>0</v>
      </c>
      <c r="Y725" s="26"/>
    </row>
    <row r="726" ht="22.5" customHeight="1">
      <c r="A726" s="18">
        <v>555.0</v>
      </c>
      <c r="B726" s="31">
        <v>26.0</v>
      </c>
      <c r="C726" s="27" t="s">
        <v>3873</v>
      </c>
      <c r="D726" s="31" t="s">
        <v>3874</v>
      </c>
      <c r="E726" s="32" t="s">
        <v>227</v>
      </c>
      <c r="F726" s="12">
        <v>32.0</v>
      </c>
      <c r="G726" s="12" t="s">
        <v>3745</v>
      </c>
      <c r="H726" s="28"/>
      <c r="I726" s="20"/>
      <c r="J726" s="10"/>
      <c r="K726" s="10" t="s">
        <v>3745</v>
      </c>
      <c r="L726" s="10"/>
      <c r="M726" s="33"/>
      <c r="N726" s="34"/>
      <c r="O726" s="34"/>
      <c r="P726" s="12" t="str">
        <f t="shared" si="1"/>
        <v>https://docs.google.com/forms/d/e/1FAIpQLSeZ-R1GrWlAPkfaThGqxeTj0QTtrARw4rroxIIepf2kipn1nw/formResponse?usp=pp_url&amp;entry.1313582257=0093298242 / 242510319&amp;entry.1578404635=Hadir</v>
      </c>
      <c r="Q726" s="23" t="s">
        <v>3875</v>
      </c>
      <c r="R726" s="12" t="s">
        <v>3876</v>
      </c>
      <c r="S726" s="24" t="s">
        <v>3877</v>
      </c>
      <c r="T726" s="23" t="str">
        <f>HYPERLINK("https://drive.google.com/file/d/1uMX1WBNSgjs7TYeUyu1f49TZuESfxdUK/view?usp=drivesdk","32 - XI C - Putri Dita Apriliya")</f>
        <v>32 - XI C - Putri Dita Apriliya</v>
      </c>
      <c r="U726" s="12" t="s">
        <v>3862</v>
      </c>
      <c r="W726" s="25">
        <f>COUNTIFS('Form Presensi SCC'!$B:$B, IF($C726&lt;&gt;0, TEXT($C726, "0000000000"), $D726), 'Form Presensi SCC'!$C:$C, "Hadir")</f>
        <v>0</v>
      </c>
      <c r="Y726" s="26"/>
    </row>
    <row r="727" ht="22.5" customHeight="1">
      <c r="A727" s="18">
        <v>555.0</v>
      </c>
      <c r="B727" s="31">
        <v>27.0</v>
      </c>
      <c r="C727" s="27" t="s">
        <v>3878</v>
      </c>
      <c r="D727" s="31" t="s">
        <v>3879</v>
      </c>
      <c r="E727" s="32" t="s">
        <v>227</v>
      </c>
      <c r="F727" s="12">
        <v>32.0</v>
      </c>
      <c r="G727" s="12" t="s">
        <v>3745</v>
      </c>
      <c r="H727" s="28"/>
      <c r="I727" s="20"/>
      <c r="J727" s="10"/>
      <c r="K727" s="10" t="s">
        <v>3745</v>
      </c>
      <c r="L727" s="10"/>
      <c r="M727" s="33"/>
      <c r="N727" s="34"/>
      <c r="O727" s="34"/>
      <c r="P727" s="12" t="str">
        <f t="shared" si="1"/>
        <v>https://docs.google.com/forms/d/e/1FAIpQLSeZ-R1GrWlAPkfaThGqxeTj0QTtrARw4rroxIIepf2kipn1nw/formResponse?usp=pp_url&amp;entry.1313582257=0093266742 / 242510320&amp;entry.1578404635=Hadir</v>
      </c>
      <c r="Q727" s="23" t="s">
        <v>3880</v>
      </c>
      <c r="R727" s="12" t="s">
        <v>3881</v>
      </c>
      <c r="S727" s="24" t="s">
        <v>3882</v>
      </c>
      <c r="T727" s="23" t="str">
        <f>HYPERLINK("https://drive.google.com/file/d/1IVs1mgv3MVpBlaFf1_DFP0A9574RJ9Lo/view?usp=drivesdk","32 - XI C - Putri Keysha M. C")</f>
        <v>32 - XI C - Putri Keysha M. C</v>
      </c>
      <c r="U727" s="12" t="s">
        <v>3883</v>
      </c>
      <c r="W727" s="25">
        <f>COUNTIFS('Form Presensi SCC'!$B:$B, IF($C727&lt;&gt;0, TEXT($C727, "0000000000"), $D727), 'Form Presensi SCC'!$C:$C, "Hadir")</f>
        <v>0</v>
      </c>
      <c r="Y727" s="26"/>
    </row>
    <row r="728" ht="22.5" customHeight="1">
      <c r="A728" s="18">
        <v>555.0</v>
      </c>
      <c r="B728" s="31">
        <v>28.0</v>
      </c>
      <c r="C728" s="27" t="s">
        <v>3884</v>
      </c>
      <c r="D728" s="31" t="s">
        <v>3885</v>
      </c>
      <c r="E728" s="32" t="s">
        <v>227</v>
      </c>
      <c r="F728" s="12">
        <v>32.0</v>
      </c>
      <c r="G728" s="12" t="s">
        <v>3745</v>
      </c>
      <c r="H728" s="28"/>
      <c r="I728" s="20"/>
      <c r="J728" s="10"/>
      <c r="K728" s="10" t="s">
        <v>3745</v>
      </c>
      <c r="L728" s="10"/>
      <c r="M728" s="33"/>
      <c r="N728" s="34"/>
      <c r="O728" s="34"/>
      <c r="P728" s="12" t="str">
        <f t="shared" si="1"/>
        <v>https://docs.google.com/forms/d/e/1FAIpQLSeZ-R1GrWlAPkfaThGqxeTj0QTtrARw4rroxIIepf2kipn1nw/formResponse?usp=pp_url&amp;entry.1313582257=0092205557 / 242510345&amp;entry.1578404635=Hadir</v>
      </c>
      <c r="Q728" s="23" t="s">
        <v>3886</v>
      </c>
      <c r="R728" s="12" t="s">
        <v>3887</v>
      </c>
      <c r="S728" s="24" t="s">
        <v>3888</v>
      </c>
      <c r="T728" s="23" t="str">
        <f>HYPERLINK("https://drive.google.com/file/d/1NYaV2ByQFyONNDZAK3JhyXc_dAMwuqq0/view?usp=drivesdk","32 - XI C - Ray Anita Natasya")</f>
        <v>32 - XI C - Ray Anita Natasya</v>
      </c>
      <c r="U728" s="12" t="s">
        <v>3889</v>
      </c>
      <c r="W728" s="25">
        <f>COUNTIFS('Form Presensi SCC'!$B:$B, IF($C728&lt;&gt;0, TEXT($C728, "0000000000"), $D728), 'Form Presensi SCC'!$C:$C, "Hadir")</f>
        <v>0</v>
      </c>
      <c r="Y728" s="26"/>
    </row>
    <row r="729" ht="22.5" customHeight="1">
      <c r="A729" s="18">
        <v>555.0</v>
      </c>
      <c r="B729" s="31">
        <v>29.0</v>
      </c>
      <c r="C729" s="27" t="s">
        <v>3890</v>
      </c>
      <c r="D729" s="31" t="s">
        <v>3891</v>
      </c>
      <c r="E729" s="32" t="s">
        <v>220</v>
      </c>
      <c r="F729" s="12">
        <v>32.0</v>
      </c>
      <c r="G729" s="12" t="s">
        <v>3745</v>
      </c>
      <c r="H729" s="28"/>
      <c r="I729" s="20"/>
      <c r="J729" s="10"/>
      <c r="K729" s="10" t="s">
        <v>3745</v>
      </c>
      <c r="L729" s="10"/>
      <c r="M729" s="33"/>
      <c r="N729" s="34"/>
      <c r="O729" s="34"/>
      <c r="P729" s="12" t="str">
        <f t="shared" si="1"/>
        <v>https://docs.google.com/forms/d/e/1FAIpQLSeZ-R1GrWlAPkfaThGqxeTj0QTtrARw4rroxIIepf2kipn1nw/formResponse?usp=pp_url&amp;entry.1313582257=0073027831 / 242510356&amp;entry.1578404635=Hadir</v>
      </c>
      <c r="Q729" s="23" t="s">
        <v>3892</v>
      </c>
      <c r="R729" s="12" t="s">
        <v>3893</v>
      </c>
      <c r="S729" s="24" t="s">
        <v>3894</v>
      </c>
      <c r="T729" s="23" t="str">
        <f>HYPERLINK("https://drive.google.com/file/d/1bwDa5URBl6j7Ubw_OB9jZt5X9GyeTnkc/view?usp=drivesdk","32 - XI C - Rizki Maulana Fadillah")</f>
        <v>32 - XI C - Rizki Maulana Fadillah</v>
      </c>
      <c r="U729" s="12" t="s">
        <v>3889</v>
      </c>
      <c r="W729" s="25">
        <f>COUNTIFS('Form Presensi SCC'!$B:$B, IF($C729&lt;&gt;0, TEXT($C729, "0000000000"), $D729), 'Form Presensi SCC'!$C:$C, "Hadir")</f>
        <v>0</v>
      </c>
      <c r="Y729" s="26"/>
    </row>
    <row r="730" ht="22.5" customHeight="1">
      <c r="A730" s="18">
        <v>555.0</v>
      </c>
      <c r="B730" s="31">
        <v>30.0</v>
      </c>
      <c r="C730" s="27" t="s">
        <v>3895</v>
      </c>
      <c r="D730" s="31" t="s">
        <v>3896</v>
      </c>
      <c r="E730" s="32" t="s">
        <v>227</v>
      </c>
      <c r="F730" s="12">
        <v>32.0</v>
      </c>
      <c r="G730" s="12" t="s">
        <v>3745</v>
      </c>
      <c r="H730" s="28"/>
      <c r="I730" s="20"/>
      <c r="J730" s="10"/>
      <c r="K730" s="10" t="s">
        <v>3745</v>
      </c>
      <c r="L730" s="10"/>
      <c r="M730" s="33"/>
      <c r="N730" s="34"/>
      <c r="O730" s="34"/>
      <c r="P730" s="12" t="str">
        <f t="shared" si="1"/>
        <v>https://docs.google.com/forms/d/e/1FAIpQLSeZ-R1GrWlAPkfaThGqxeTj0QTtrARw4rroxIIepf2kipn1nw/formResponse?usp=pp_url&amp;entry.1313582257=0091228007 / 242510363&amp;entry.1578404635=Hadir</v>
      </c>
      <c r="Q730" s="23" t="s">
        <v>3897</v>
      </c>
      <c r="R730" s="12" t="s">
        <v>3898</v>
      </c>
      <c r="S730" s="24" t="s">
        <v>3899</v>
      </c>
      <c r="T730" s="23" t="str">
        <f>HYPERLINK("https://drive.google.com/file/d/16a8tl7IsC9ow4dsXyk9a_OULUrZjE8gt/view?usp=drivesdk","32 - XI C - Sakila Nasution")</f>
        <v>32 - XI C - Sakila Nasution</v>
      </c>
      <c r="U730" s="12" t="s">
        <v>3900</v>
      </c>
      <c r="W730" s="25">
        <f>COUNTIFS('Form Presensi SCC'!$B:$B, IF($C730&lt;&gt;0, TEXT($C730, "0000000000"), $D730), 'Form Presensi SCC'!$C:$C, "Hadir")</f>
        <v>0</v>
      </c>
      <c r="Y730" s="26"/>
    </row>
    <row r="731" ht="22.5" customHeight="1">
      <c r="A731" s="18">
        <v>555.0</v>
      </c>
      <c r="B731" s="31">
        <v>31.0</v>
      </c>
      <c r="C731" s="27" t="s">
        <v>3901</v>
      </c>
      <c r="D731" s="31" t="s">
        <v>3902</v>
      </c>
      <c r="E731" s="32" t="s">
        <v>227</v>
      </c>
      <c r="F731" s="12">
        <v>32.0</v>
      </c>
      <c r="G731" s="12" t="s">
        <v>3745</v>
      </c>
      <c r="H731" s="28"/>
      <c r="I731" s="20"/>
      <c r="J731" s="10"/>
      <c r="K731" s="10" t="s">
        <v>3745</v>
      </c>
      <c r="L731" s="10"/>
      <c r="M731" s="33"/>
      <c r="N731" s="34"/>
      <c r="O731" s="34"/>
      <c r="P731" s="12" t="str">
        <f t="shared" si="1"/>
        <v>https://docs.google.com/forms/d/e/1FAIpQLSeZ-R1GrWlAPkfaThGqxeTj0QTtrARw4rroxIIepf2kipn1nw/formResponse?usp=pp_url&amp;entry.1313582257=0089954401 / 242510367&amp;entry.1578404635=Hadir</v>
      </c>
      <c r="Q731" s="23" t="s">
        <v>3903</v>
      </c>
      <c r="R731" s="12" t="s">
        <v>3904</v>
      </c>
      <c r="S731" s="24" t="s">
        <v>3905</v>
      </c>
      <c r="T731" s="23" t="str">
        <f>HYPERLINK("https://drive.google.com/file/d/1joEyy3WUul-tUP2vMNhpseKSGF800DDg/view?usp=drivesdk","32 - XI C - Salsabila Putri")</f>
        <v>32 - XI C - Salsabila Putri</v>
      </c>
      <c r="U731" s="12" t="s">
        <v>3900</v>
      </c>
      <c r="W731" s="25">
        <f>COUNTIFS('Form Presensi SCC'!$B:$B, IF($C731&lt;&gt;0, TEXT($C731, "0000000000"), $D731), 'Form Presensi SCC'!$C:$C, "Hadir")</f>
        <v>0</v>
      </c>
      <c r="Y731" s="26"/>
    </row>
    <row r="732" ht="22.5" customHeight="1">
      <c r="A732" s="18">
        <v>555.0</v>
      </c>
      <c r="B732" s="31">
        <v>32.0</v>
      </c>
      <c r="C732" s="27" t="s">
        <v>3906</v>
      </c>
      <c r="D732" s="31" t="s">
        <v>3907</v>
      </c>
      <c r="E732" s="32" t="s">
        <v>227</v>
      </c>
      <c r="F732" s="12">
        <v>32.0</v>
      </c>
      <c r="G732" s="12" t="s">
        <v>3745</v>
      </c>
      <c r="H732" s="28"/>
      <c r="I732" s="20"/>
      <c r="J732" s="10"/>
      <c r="K732" s="10" t="s">
        <v>3745</v>
      </c>
      <c r="L732" s="10"/>
      <c r="M732" s="33"/>
      <c r="N732" s="34"/>
      <c r="O732" s="34"/>
      <c r="P732" s="12" t="str">
        <f t="shared" si="1"/>
        <v>https://docs.google.com/forms/d/e/1FAIpQLSeZ-R1GrWlAPkfaThGqxeTj0QTtrARw4rroxIIepf2kipn1nw/formResponse?usp=pp_url&amp;entry.1313582257=0089191714 / 242510372&amp;entry.1578404635=Hadir</v>
      </c>
      <c r="Q732" s="23" t="s">
        <v>3908</v>
      </c>
      <c r="R732" s="12" t="s">
        <v>3909</v>
      </c>
      <c r="S732" s="24" t="s">
        <v>3910</v>
      </c>
      <c r="T732" s="23" t="str">
        <f>HYPERLINK("https://drive.google.com/file/d/13kEWNoFSGqmLg6crNHt_i5DTT1mPOoJD/view?usp=drivesdk","32 - XI C - Sandria Salsalina Sembiring Kembaren")</f>
        <v>32 - XI C - Sandria Salsalina Sembiring Kembaren</v>
      </c>
      <c r="U732" s="12" t="s">
        <v>3900</v>
      </c>
      <c r="W732" s="25">
        <f>COUNTIFS('Form Presensi SCC'!$B:$B, IF($C732&lt;&gt;0, TEXT($C732, "0000000000"), $D732), 'Form Presensi SCC'!$C:$C, "Hadir")</f>
        <v>0</v>
      </c>
      <c r="Y732" s="26"/>
    </row>
    <row r="733" ht="22.5" customHeight="1">
      <c r="A733" s="18">
        <v>555.0</v>
      </c>
      <c r="B733" s="31">
        <v>33.0</v>
      </c>
      <c r="C733" s="27" t="s">
        <v>3911</v>
      </c>
      <c r="D733" s="31" t="s">
        <v>3912</v>
      </c>
      <c r="E733" s="32" t="s">
        <v>227</v>
      </c>
      <c r="F733" s="12">
        <v>32.0</v>
      </c>
      <c r="G733" s="12" t="s">
        <v>3745</v>
      </c>
      <c r="H733" s="28"/>
      <c r="I733" s="20"/>
      <c r="J733" s="10"/>
      <c r="K733" s="10" t="s">
        <v>3745</v>
      </c>
      <c r="L733" s="10"/>
      <c r="M733" s="33"/>
      <c r="N733" s="34"/>
      <c r="O733" s="34"/>
      <c r="P733" s="12" t="str">
        <f t="shared" si="1"/>
        <v>https://docs.google.com/forms/d/e/1FAIpQLSeZ-R1GrWlAPkfaThGqxeTj0QTtrARw4rroxIIepf2kipn1nw/formResponse?usp=pp_url&amp;entry.1313582257=0095117423 / 242510380&amp;entry.1578404635=Hadir</v>
      </c>
      <c r="Q733" s="23" t="s">
        <v>3913</v>
      </c>
      <c r="R733" s="12" t="s">
        <v>3914</v>
      </c>
      <c r="S733" s="24" t="s">
        <v>3915</v>
      </c>
      <c r="T733" s="23" t="str">
        <f>HYPERLINK("https://drive.google.com/file/d/1d2L1wZMi11Y_XWvmWn4pRqbwX7-sNb1s/view?usp=drivesdk","32 - XI C - Shanaz Mufida")</f>
        <v>32 - XI C - Shanaz Mufida</v>
      </c>
      <c r="U733" s="12" t="s">
        <v>3900</v>
      </c>
      <c r="W733" s="25">
        <f>COUNTIFS('Form Presensi SCC'!$B:$B, IF($C733&lt;&gt;0, TEXT($C733, "0000000000"), $D733), 'Form Presensi SCC'!$C:$C, "Hadir")</f>
        <v>0</v>
      </c>
      <c r="Y733" s="26"/>
    </row>
    <row r="734" ht="22.5" customHeight="1">
      <c r="A734" s="18">
        <v>555.0</v>
      </c>
      <c r="B734" s="31">
        <v>34.0</v>
      </c>
      <c r="C734" s="27" t="s">
        <v>3916</v>
      </c>
      <c r="D734" s="31" t="s">
        <v>3917</v>
      </c>
      <c r="E734" s="32" t="s">
        <v>227</v>
      </c>
      <c r="F734" s="12">
        <v>32.0</v>
      </c>
      <c r="G734" s="12" t="s">
        <v>3745</v>
      </c>
      <c r="H734" s="28"/>
      <c r="I734" s="20"/>
      <c r="J734" s="10"/>
      <c r="K734" s="10" t="s">
        <v>3745</v>
      </c>
      <c r="L734" s="10"/>
      <c r="M734" s="33"/>
      <c r="N734" s="34"/>
      <c r="O734" s="34"/>
      <c r="P734" s="12" t="str">
        <f t="shared" si="1"/>
        <v>https://docs.google.com/forms/d/e/1FAIpQLSeZ-R1GrWlAPkfaThGqxeTj0QTtrARw4rroxIIepf2kipn1nw/formResponse?usp=pp_url&amp;entry.1313582257=0088535031 / 242510391&amp;entry.1578404635=Hadir</v>
      </c>
      <c r="Q734" s="23" t="s">
        <v>3918</v>
      </c>
      <c r="R734" s="12" t="s">
        <v>3919</v>
      </c>
      <c r="S734" s="24" t="s">
        <v>3920</v>
      </c>
      <c r="T734" s="23" t="str">
        <f>HYPERLINK("https://drive.google.com/file/d/1y_Qp1_pl_x0GvoBodL7DUC0MXW75lHS9/view?usp=drivesdk","32 - XI C - Syaira Fakhrudina Putri")</f>
        <v>32 - XI C - Syaira Fakhrudina Putri</v>
      </c>
      <c r="U734" s="12" t="s">
        <v>3900</v>
      </c>
      <c r="W734" s="25">
        <f>COUNTIFS('Form Presensi SCC'!$B:$B, IF($C734&lt;&gt;0, TEXT($C734, "0000000000"), $D734), 'Form Presensi SCC'!$C:$C, "Hadir")</f>
        <v>0</v>
      </c>
      <c r="Y734" s="26"/>
    </row>
    <row r="735" ht="22.5" customHeight="1">
      <c r="A735" s="18">
        <v>555.0</v>
      </c>
      <c r="B735" s="31">
        <v>35.0</v>
      </c>
      <c r="C735" s="27" t="s">
        <v>3921</v>
      </c>
      <c r="D735" s="31" t="s">
        <v>3922</v>
      </c>
      <c r="E735" s="32" t="s">
        <v>220</v>
      </c>
      <c r="F735" s="12">
        <v>32.0</v>
      </c>
      <c r="G735" s="12" t="s">
        <v>3745</v>
      </c>
      <c r="H735" s="28"/>
      <c r="I735" s="20"/>
      <c r="J735" s="10"/>
      <c r="K735" s="10" t="s">
        <v>3745</v>
      </c>
      <c r="L735" s="10"/>
      <c r="M735" s="33"/>
      <c r="N735" s="34"/>
      <c r="O735" s="34"/>
      <c r="P735" s="12" t="str">
        <f t="shared" si="1"/>
        <v>https://docs.google.com/forms/d/e/1FAIpQLSeZ-R1GrWlAPkfaThGqxeTj0QTtrARw4rroxIIepf2kipn1nw/formResponse?usp=pp_url&amp;entry.1313582257=0087500688 / 242510399&amp;entry.1578404635=Hadir</v>
      </c>
      <c r="Q735" s="23" t="s">
        <v>3923</v>
      </c>
      <c r="R735" s="12" t="s">
        <v>3924</v>
      </c>
      <c r="S735" s="24" t="s">
        <v>3925</v>
      </c>
      <c r="T735" s="23" t="str">
        <f>HYPERLINK("https://drive.google.com/file/d/1hw5QuEViQfThScYrUxpJWlxMeWi7_919/view?usp=drivesdk","32 - XI C - Tegar Hermawan Anggoro")</f>
        <v>32 - XI C - Tegar Hermawan Anggoro</v>
      </c>
      <c r="U735" s="12" t="s">
        <v>3900</v>
      </c>
      <c r="W735" s="25">
        <f>COUNTIFS('Form Presensi SCC'!$B:$B, IF($C735&lt;&gt;0, TEXT($C735, "0000000000"), $D735), 'Form Presensi SCC'!$C:$C, "Hadir")</f>
        <v>0</v>
      </c>
      <c r="Y735" s="26"/>
    </row>
    <row r="736" ht="22.5" customHeight="1">
      <c r="A736" s="18">
        <v>555.0</v>
      </c>
      <c r="B736" s="31">
        <v>36.0</v>
      </c>
      <c r="C736" s="27" t="s">
        <v>3926</v>
      </c>
      <c r="D736" s="31" t="s">
        <v>3927</v>
      </c>
      <c r="E736" s="32" t="s">
        <v>227</v>
      </c>
      <c r="F736" s="12">
        <v>32.0</v>
      </c>
      <c r="G736" s="12" t="s">
        <v>3745</v>
      </c>
      <c r="H736" s="28"/>
      <c r="I736" s="20"/>
      <c r="J736" s="10"/>
      <c r="K736" s="10" t="s">
        <v>3745</v>
      </c>
      <c r="L736" s="10"/>
      <c r="M736" s="33"/>
      <c r="N736" s="34"/>
      <c r="O736" s="34"/>
      <c r="P736" s="12" t="str">
        <f t="shared" si="1"/>
        <v>https://docs.google.com/forms/d/e/1FAIpQLSeZ-R1GrWlAPkfaThGqxeTj0QTtrARw4rroxIIepf2kipn1nw/formResponse?usp=pp_url&amp;entry.1313582257=0092434039 / 242510410&amp;entry.1578404635=Hadir</v>
      </c>
      <c r="Q736" s="23" t="s">
        <v>3928</v>
      </c>
      <c r="R736" s="12" t="s">
        <v>3929</v>
      </c>
      <c r="S736" s="24" t="s">
        <v>3930</v>
      </c>
      <c r="T736" s="23" t="str">
        <f>HYPERLINK("https://drive.google.com/file/d/1IhZh6VlpMH756XG538DksOeCmrzeUaVx/view?usp=drivesdk","32 - XI C - Vira Aprilia Putri")</f>
        <v>32 - XI C - Vira Aprilia Putri</v>
      </c>
      <c r="U736" s="12" t="s">
        <v>3931</v>
      </c>
      <c r="W736" s="25">
        <f>COUNTIFS('Form Presensi SCC'!$B:$B, IF($C736&lt;&gt;0, TEXT($C736, "0000000000"), $D736), 'Form Presensi SCC'!$C:$C, "Hadir")</f>
        <v>0</v>
      </c>
      <c r="Y736" s="26"/>
    </row>
    <row r="737" ht="22.5" customHeight="1">
      <c r="A737" s="18">
        <v>555.0</v>
      </c>
      <c r="B737" s="31">
        <v>1.0</v>
      </c>
      <c r="C737" s="27" t="s">
        <v>3932</v>
      </c>
      <c r="D737" s="31" t="s">
        <v>3933</v>
      </c>
      <c r="E737" s="32" t="s">
        <v>227</v>
      </c>
      <c r="F737" s="12">
        <v>32.0</v>
      </c>
      <c r="G737" s="12" t="s">
        <v>3934</v>
      </c>
      <c r="H737" s="28"/>
      <c r="I737" s="20"/>
      <c r="J737" s="10"/>
      <c r="K737" s="10" t="s">
        <v>3934</v>
      </c>
      <c r="L737" s="10"/>
      <c r="M737" s="33"/>
      <c r="N737" s="34"/>
      <c r="O737" s="34"/>
      <c r="P737" s="12" t="str">
        <f t="shared" si="1"/>
        <v>https://docs.google.com/forms/d/e/1FAIpQLSeZ-R1GrWlAPkfaThGqxeTj0QTtrARw4rroxIIepf2kipn1nw/formResponse?usp=pp_url&amp;entry.1313582257=0098762657 / 242510048&amp;entry.1578404635=Hadir</v>
      </c>
      <c r="Q737" s="23" t="s">
        <v>3935</v>
      </c>
      <c r="R737" s="12" t="s">
        <v>3936</v>
      </c>
      <c r="S737" s="24" t="s">
        <v>3937</v>
      </c>
      <c r="T737" s="23" t="str">
        <f>HYPERLINK("https://drive.google.com/file/d/1eA22Og4NZMS_TD2ZugYclA0R3i7GYvon/view?usp=drivesdk","32 - XI D-1 - Anindya Zhafira Sani")</f>
        <v>32 - XI D-1 - Anindya Zhafira Sani</v>
      </c>
      <c r="U737" s="12" t="s">
        <v>3931</v>
      </c>
      <c r="W737" s="25">
        <f>COUNTIFS('Form Presensi SCC'!$B:$B, IF($C737&lt;&gt;0, TEXT($C737, "0000000000"), $D737), 'Form Presensi SCC'!$C:$C, "Hadir")</f>
        <v>0</v>
      </c>
      <c r="Y737" s="26"/>
    </row>
    <row r="738" ht="22.5" customHeight="1">
      <c r="A738" s="18">
        <v>555.0</v>
      </c>
      <c r="B738" s="31">
        <v>2.0</v>
      </c>
      <c r="C738" s="27" t="s">
        <v>3938</v>
      </c>
      <c r="D738" s="31" t="s">
        <v>3939</v>
      </c>
      <c r="E738" s="32" t="s">
        <v>227</v>
      </c>
      <c r="F738" s="12">
        <v>32.0</v>
      </c>
      <c r="G738" s="12" t="s">
        <v>3934</v>
      </c>
      <c r="H738" s="28"/>
      <c r="I738" s="20"/>
      <c r="J738" s="10"/>
      <c r="K738" s="10" t="s">
        <v>3934</v>
      </c>
      <c r="L738" s="10"/>
      <c r="M738" s="33"/>
      <c r="N738" s="34"/>
      <c r="O738" s="34"/>
      <c r="P738" s="12" t="str">
        <f t="shared" si="1"/>
        <v>https://docs.google.com/forms/d/e/1FAIpQLSeZ-R1GrWlAPkfaThGqxeTj0QTtrARw4rroxIIepf2kipn1nw/formResponse?usp=pp_url&amp;entry.1313582257=0089202112 / 242510055&amp;entry.1578404635=Hadir</v>
      </c>
      <c r="Q738" s="23" t="s">
        <v>3940</v>
      </c>
      <c r="R738" s="12" t="s">
        <v>3941</v>
      </c>
      <c r="S738" s="24" t="s">
        <v>3942</v>
      </c>
      <c r="T738" s="23" t="str">
        <f>HYPERLINK("https://drive.google.com/file/d/16N9ioTcVWiVY67W0GNXWoXlY-zRGpfCg/view?usp=drivesdk","32 - XI D-1 - Ariij Arriyad")</f>
        <v>32 - XI D-1 - Ariij Arriyad</v>
      </c>
      <c r="U738" s="12" t="s">
        <v>3931</v>
      </c>
      <c r="W738" s="25">
        <f>COUNTIFS('Form Presensi SCC'!$B:$B, IF($C738&lt;&gt;0, TEXT($C738, "0000000000"), $D738), 'Form Presensi SCC'!$C:$C, "Hadir")</f>
        <v>0</v>
      </c>
      <c r="Y738" s="26"/>
    </row>
    <row r="739" ht="22.5" customHeight="1">
      <c r="A739" s="18">
        <v>555.0</v>
      </c>
      <c r="B739" s="31">
        <v>3.0</v>
      </c>
      <c r="C739" s="27" t="s">
        <v>3943</v>
      </c>
      <c r="D739" s="31" t="s">
        <v>3944</v>
      </c>
      <c r="E739" s="32" t="s">
        <v>227</v>
      </c>
      <c r="F739" s="12">
        <v>32.0</v>
      </c>
      <c r="G739" s="12" t="s">
        <v>3934</v>
      </c>
      <c r="H739" s="28"/>
      <c r="I739" s="20"/>
      <c r="J739" s="10"/>
      <c r="K739" s="10" t="s">
        <v>3934</v>
      </c>
      <c r="L739" s="10"/>
      <c r="M739" s="33"/>
      <c r="N739" s="34"/>
      <c r="O739" s="34"/>
      <c r="P739" s="12" t="str">
        <f t="shared" si="1"/>
        <v>https://docs.google.com/forms/d/e/1FAIpQLSeZ-R1GrWlAPkfaThGqxeTj0QTtrARw4rroxIIepf2kipn1nw/formResponse?usp=pp_url&amp;entry.1313582257=0088260272 / 242510056&amp;entry.1578404635=Hadir</v>
      </c>
      <c r="Q739" s="23" t="s">
        <v>3945</v>
      </c>
      <c r="R739" s="12" t="s">
        <v>3946</v>
      </c>
      <c r="S739" s="24" t="s">
        <v>3947</v>
      </c>
      <c r="T739" s="23" t="str">
        <f>HYPERLINK("https://drive.google.com/file/d/1qchcYQgOPn2aDy63YNxpFhILjqf5d1kA/view?usp=drivesdk","32 - XI D-1 - Arinda Khalisha Pambudi")</f>
        <v>32 - XI D-1 - Arinda Khalisha Pambudi</v>
      </c>
      <c r="U739" s="12" t="s">
        <v>3931</v>
      </c>
      <c r="W739" s="25">
        <f>COUNTIFS('Form Presensi SCC'!$B:$B, IF($C739&lt;&gt;0, TEXT($C739, "0000000000"), $D739), 'Form Presensi SCC'!$C:$C, "Hadir")</f>
        <v>0</v>
      </c>
      <c r="Y739" s="26"/>
    </row>
    <row r="740" ht="22.5" customHeight="1">
      <c r="A740" s="18">
        <v>555.0</v>
      </c>
      <c r="B740" s="31">
        <v>4.0</v>
      </c>
      <c r="C740" s="27" t="s">
        <v>3948</v>
      </c>
      <c r="D740" s="31" t="s">
        <v>3949</v>
      </c>
      <c r="E740" s="32" t="s">
        <v>220</v>
      </c>
      <c r="F740" s="12">
        <v>32.0</v>
      </c>
      <c r="G740" s="12" t="s">
        <v>3934</v>
      </c>
      <c r="H740" s="28"/>
      <c r="I740" s="20"/>
      <c r="J740" s="10"/>
      <c r="K740" s="10" t="s">
        <v>3934</v>
      </c>
      <c r="L740" s="10"/>
      <c r="M740" s="33"/>
      <c r="N740" s="34"/>
      <c r="O740" s="34"/>
      <c r="P740" s="12" t="str">
        <f t="shared" si="1"/>
        <v>https://docs.google.com/forms/d/e/1FAIpQLSeZ-R1GrWlAPkfaThGqxeTj0QTtrARw4rroxIIepf2kipn1nw/formResponse?usp=pp_url&amp;entry.1313582257=0097111779 / 242510058&amp;entry.1578404635=Hadir</v>
      </c>
      <c r="Q740" s="23" t="s">
        <v>3950</v>
      </c>
      <c r="R740" s="12" t="s">
        <v>3951</v>
      </c>
      <c r="S740" s="24" t="s">
        <v>3952</v>
      </c>
      <c r="T740" s="23" t="str">
        <f>HYPERLINK("https://drive.google.com/file/d/1G1S3rqHYQyrPRdwldg8iN9C9032L8tEo/view?usp=drivesdk","32 - XI D-1 - Arya Muhammad Raihan")</f>
        <v>32 - XI D-1 - Arya Muhammad Raihan</v>
      </c>
      <c r="U740" s="12" t="s">
        <v>3931</v>
      </c>
      <c r="W740" s="25">
        <f>COUNTIFS('Form Presensi SCC'!$B:$B, IF($C740&lt;&gt;0, TEXT($C740, "0000000000"), $D740), 'Form Presensi SCC'!$C:$C, "Hadir")</f>
        <v>0</v>
      </c>
      <c r="Y740" s="26"/>
    </row>
    <row r="741" ht="22.5" customHeight="1">
      <c r="A741" s="18">
        <v>555.0</v>
      </c>
      <c r="B741" s="31">
        <v>5.0</v>
      </c>
      <c r="C741" s="27" t="s">
        <v>3953</v>
      </c>
      <c r="D741" s="31" t="s">
        <v>3954</v>
      </c>
      <c r="E741" s="32" t="s">
        <v>227</v>
      </c>
      <c r="F741" s="12">
        <v>32.0</v>
      </c>
      <c r="G741" s="12" t="s">
        <v>3934</v>
      </c>
      <c r="H741" s="28"/>
      <c r="I741" s="20"/>
      <c r="J741" s="10"/>
      <c r="K741" s="10" t="s">
        <v>3934</v>
      </c>
      <c r="L741" s="10"/>
      <c r="M741" s="33"/>
      <c r="N741" s="34"/>
      <c r="O741" s="34"/>
      <c r="P741" s="12" t="str">
        <f t="shared" si="1"/>
        <v>https://docs.google.com/forms/d/e/1FAIpQLSeZ-R1GrWlAPkfaThGqxeTj0QTtrARw4rroxIIepf2kipn1nw/formResponse?usp=pp_url&amp;entry.1313582257=0093831279 / 242510066&amp;entry.1578404635=Hadir</v>
      </c>
      <c r="Q741" s="23" t="s">
        <v>3955</v>
      </c>
      <c r="R741" s="12" t="s">
        <v>3956</v>
      </c>
      <c r="S741" s="24" t="s">
        <v>3957</v>
      </c>
      <c r="T741" s="23" t="str">
        <f>HYPERLINK("https://drive.google.com/file/d/1BYETF36y-uO2XmTihRxo7XKu03rnLCJh/view?usp=drivesdk","32 - XI D-1 - Aulia Erlin Mummaizah")</f>
        <v>32 - XI D-1 - Aulia Erlin Mummaizah</v>
      </c>
      <c r="U741" s="12" t="s">
        <v>3958</v>
      </c>
      <c r="W741" s="25">
        <f>COUNTIFS('Form Presensi SCC'!$B:$B, IF($C741&lt;&gt;0, TEXT($C741, "0000000000"), $D741), 'Form Presensi SCC'!$C:$C, "Hadir")</f>
        <v>0</v>
      </c>
      <c r="Y741" s="26"/>
    </row>
    <row r="742" ht="22.5" customHeight="1">
      <c r="A742" s="18">
        <v>555.0</v>
      </c>
      <c r="B742" s="31">
        <v>6.0</v>
      </c>
      <c r="C742" s="27" t="s">
        <v>3959</v>
      </c>
      <c r="D742" s="31" t="s">
        <v>3960</v>
      </c>
      <c r="E742" s="32" t="s">
        <v>227</v>
      </c>
      <c r="F742" s="12">
        <v>32.0</v>
      </c>
      <c r="G742" s="12" t="s">
        <v>3934</v>
      </c>
      <c r="H742" s="28"/>
      <c r="I742" s="20"/>
      <c r="J742" s="10"/>
      <c r="K742" s="10" t="s">
        <v>3934</v>
      </c>
      <c r="L742" s="10"/>
      <c r="M742" s="33"/>
      <c r="N742" s="34"/>
      <c r="O742" s="34"/>
      <c r="P742" s="12" t="str">
        <f t="shared" si="1"/>
        <v>https://docs.google.com/forms/d/e/1FAIpQLSeZ-R1GrWlAPkfaThGqxeTj0QTtrARw4rroxIIepf2kipn1nw/formResponse?usp=pp_url&amp;entry.1313582257=0096065165 / 242510072&amp;entry.1578404635=Hadir</v>
      </c>
      <c r="Q742" s="23" t="s">
        <v>3961</v>
      </c>
      <c r="R742" s="12" t="s">
        <v>3962</v>
      </c>
      <c r="S742" s="24" t="s">
        <v>3963</v>
      </c>
      <c r="T742" s="23" t="str">
        <f>HYPERLINK("https://drive.google.com/file/d/1ZYsiB7KisfsiBfbGe2g4-dA1Iq_hczmT/view?usp=drivesdk","32 - XI D-1 - Aurelia Syifa Fiandra")</f>
        <v>32 - XI D-1 - Aurelia Syifa Fiandra</v>
      </c>
      <c r="U742" s="12" t="s">
        <v>3958</v>
      </c>
      <c r="W742" s="25">
        <f>COUNTIFS('Form Presensi SCC'!$B:$B, IF($C742&lt;&gt;0, TEXT($C742, "0000000000"), $D742), 'Form Presensi SCC'!$C:$C, "Hadir")</f>
        <v>0</v>
      </c>
      <c r="Y742" s="26"/>
    </row>
    <row r="743" ht="22.5" customHeight="1">
      <c r="A743" s="18">
        <v>555.0</v>
      </c>
      <c r="B743" s="31">
        <v>7.0</v>
      </c>
      <c r="C743" s="27" t="s">
        <v>3964</v>
      </c>
      <c r="D743" s="31" t="s">
        <v>3965</v>
      </c>
      <c r="E743" s="32" t="s">
        <v>227</v>
      </c>
      <c r="F743" s="12">
        <v>32.0</v>
      </c>
      <c r="G743" s="12" t="s">
        <v>3934</v>
      </c>
      <c r="H743" s="28"/>
      <c r="I743" s="20"/>
      <c r="J743" s="10"/>
      <c r="K743" s="10" t="s">
        <v>3934</v>
      </c>
      <c r="L743" s="10"/>
      <c r="M743" s="33"/>
      <c r="N743" s="34"/>
      <c r="O743" s="34"/>
      <c r="P743" s="12" t="str">
        <f t="shared" si="1"/>
        <v>https://docs.google.com/forms/d/e/1FAIpQLSeZ-R1GrWlAPkfaThGqxeTj0QTtrARw4rroxIIepf2kipn1nw/formResponse?usp=pp_url&amp;entry.1313582257=0099851224 / 242510085&amp;entry.1578404635=Hadir</v>
      </c>
      <c r="Q743" s="23" t="s">
        <v>3966</v>
      </c>
      <c r="R743" s="12" t="s">
        <v>3967</v>
      </c>
      <c r="S743" s="24" t="s">
        <v>3968</v>
      </c>
      <c r="T743" s="23" t="str">
        <f>HYPERLINK("https://drive.google.com/file/d/1rM8TaC-7TF2zFgPsxczsleUlXPpALwQB/view?usp=drivesdk","32 - XI D-1 - Bilqist Ayu Wulandari")</f>
        <v>32 - XI D-1 - Bilqist Ayu Wulandari</v>
      </c>
      <c r="U743" s="12" t="s">
        <v>3958</v>
      </c>
      <c r="W743" s="25">
        <f>COUNTIFS('Form Presensi SCC'!$B:$B, IF($C743&lt;&gt;0, TEXT($C743, "0000000000"), $D743), 'Form Presensi SCC'!$C:$C, "Hadir")</f>
        <v>0</v>
      </c>
      <c r="Y743" s="26"/>
    </row>
    <row r="744" ht="22.5" customHeight="1">
      <c r="A744" s="18">
        <v>555.0</v>
      </c>
      <c r="B744" s="31">
        <v>8.0</v>
      </c>
      <c r="C744" s="27" t="s">
        <v>3969</v>
      </c>
      <c r="D744" s="31" t="s">
        <v>3970</v>
      </c>
      <c r="E744" s="32" t="s">
        <v>227</v>
      </c>
      <c r="F744" s="12">
        <v>32.0</v>
      </c>
      <c r="G744" s="12" t="s">
        <v>3934</v>
      </c>
      <c r="H744" s="28"/>
      <c r="I744" s="20"/>
      <c r="J744" s="10"/>
      <c r="K744" s="10" t="s">
        <v>3934</v>
      </c>
      <c r="L744" s="10"/>
      <c r="M744" s="33"/>
      <c r="N744" s="34"/>
      <c r="O744" s="34"/>
      <c r="P744" s="12" t="str">
        <f t="shared" si="1"/>
        <v>https://docs.google.com/forms/d/e/1FAIpQLSeZ-R1GrWlAPkfaThGqxeTj0QTtrARw4rroxIIepf2kipn1nw/formResponse?usp=pp_url&amp;entry.1313582257=0092348709 / 242510096&amp;entry.1578404635=Hadir</v>
      </c>
      <c r="Q744" s="23" t="s">
        <v>3971</v>
      </c>
      <c r="R744" s="12" t="s">
        <v>3972</v>
      </c>
      <c r="S744" s="24" t="s">
        <v>3973</v>
      </c>
      <c r="T744" s="23" t="str">
        <f>HYPERLINK("https://drive.google.com/file/d/116fKF8itwqcwoMpq5wOwV0QkDNS6xEX2/view?usp=drivesdk","32 - XI D-1 - Cintia Zahfirah Asyiah Siregar")</f>
        <v>32 - XI D-1 - Cintia Zahfirah Asyiah Siregar</v>
      </c>
      <c r="U744" s="12" t="s">
        <v>3958</v>
      </c>
      <c r="W744" s="25">
        <f>COUNTIFS('Form Presensi SCC'!$B:$B, IF($C744&lt;&gt;0, TEXT($C744, "0000000000"), $D744), 'Form Presensi SCC'!$C:$C, "Hadir")</f>
        <v>0</v>
      </c>
      <c r="Y744" s="26"/>
    </row>
    <row r="745" ht="22.5" customHeight="1">
      <c r="A745" s="18">
        <v>555.0</v>
      </c>
      <c r="B745" s="31">
        <v>9.0</v>
      </c>
      <c r="C745" s="27" t="s">
        <v>3974</v>
      </c>
      <c r="D745" s="31" t="s">
        <v>3975</v>
      </c>
      <c r="E745" s="32" t="s">
        <v>227</v>
      </c>
      <c r="F745" s="12">
        <v>32.0</v>
      </c>
      <c r="G745" s="12" t="s">
        <v>3934</v>
      </c>
      <c r="H745" s="28"/>
      <c r="I745" s="20"/>
      <c r="J745" s="10"/>
      <c r="K745" s="10" t="s">
        <v>3934</v>
      </c>
      <c r="L745" s="10"/>
      <c r="M745" s="33"/>
      <c r="N745" s="34"/>
      <c r="O745" s="34"/>
      <c r="P745" s="12" t="str">
        <f t="shared" si="1"/>
        <v>https://docs.google.com/forms/d/e/1FAIpQLSeZ-R1GrWlAPkfaThGqxeTj0QTtrARw4rroxIIepf2kipn1nw/formResponse?usp=pp_url&amp;entry.1313582257=0099087317 / 242510099&amp;entry.1578404635=Hadir</v>
      </c>
      <c r="Q745" s="23" t="s">
        <v>3976</v>
      </c>
      <c r="R745" s="12" t="s">
        <v>3977</v>
      </c>
      <c r="S745" s="24" t="s">
        <v>3978</v>
      </c>
      <c r="T745" s="23" t="str">
        <f>HYPERLINK("https://drive.google.com/file/d/1VMmhXD_yFzLy_PnfZES4CWLLtxM6eFig/view?usp=drivesdk","32 - XI D-1 - Dania Anindita Tunggadewi")</f>
        <v>32 - XI D-1 - Dania Anindita Tunggadewi</v>
      </c>
      <c r="U745" s="12" t="s">
        <v>3958</v>
      </c>
      <c r="W745" s="25">
        <f>COUNTIFS('Form Presensi SCC'!$B:$B, IF($C745&lt;&gt;0, TEXT($C745, "0000000000"), $D745), 'Form Presensi SCC'!$C:$C, "Hadir")</f>
        <v>0</v>
      </c>
      <c r="Y745" s="26"/>
    </row>
    <row r="746" ht="22.5" customHeight="1">
      <c r="A746" s="18">
        <v>555.0</v>
      </c>
      <c r="B746" s="31">
        <v>10.0</v>
      </c>
      <c r="C746" s="27" t="s">
        <v>3979</v>
      </c>
      <c r="D746" s="31" t="s">
        <v>3980</v>
      </c>
      <c r="E746" s="32" t="s">
        <v>220</v>
      </c>
      <c r="F746" s="12">
        <v>32.0</v>
      </c>
      <c r="G746" s="12" t="s">
        <v>3934</v>
      </c>
      <c r="H746" s="28"/>
      <c r="I746" s="20"/>
      <c r="J746" s="10"/>
      <c r="K746" s="10" t="s">
        <v>3934</v>
      </c>
      <c r="L746" s="10"/>
      <c r="M746" s="33"/>
      <c r="N746" s="34"/>
      <c r="O746" s="34"/>
      <c r="P746" s="12" t="str">
        <f t="shared" si="1"/>
        <v>https://docs.google.com/forms/d/e/1FAIpQLSeZ-R1GrWlAPkfaThGqxeTj0QTtrARw4rroxIIepf2kipn1nw/formResponse?usp=pp_url&amp;entry.1313582257=0098666843 / 242510101&amp;entry.1578404635=Hadir</v>
      </c>
      <c r="Q746" s="23" t="s">
        <v>3981</v>
      </c>
      <c r="R746" s="12" t="s">
        <v>3982</v>
      </c>
      <c r="S746" s="24" t="s">
        <v>3983</v>
      </c>
      <c r="T746" s="23" t="str">
        <f>HYPERLINK("https://drive.google.com/file/d/1dWC7-SS7tit1z3CvhxeDcSw6XGr8DN60/view?usp=drivesdk","32 - XI D-1 - Danisy Nahdhan Pratama")</f>
        <v>32 - XI D-1 - Danisy Nahdhan Pratama</v>
      </c>
      <c r="U746" s="12" t="s">
        <v>3958</v>
      </c>
      <c r="W746" s="25">
        <f>COUNTIFS('Form Presensi SCC'!$B:$B, IF($C746&lt;&gt;0, TEXT($C746, "0000000000"), $D746), 'Form Presensi SCC'!$C:$C, "Hadir")</f>
        <v>0</v>
      </c>
      <c r="Y746" s="26"/>
    </row>
    <row r="747" ht="22.5" customHeight="1">
      <c r="A747" s="18">
        <v>555.0</v>
      </c>
      <c r="B747" s="31">
        <v>11.0</v>
      </c>
      <c r="C747" s="27" t="s">
        <v>3984</v>
      </c>
      <c r="D747" s="31" t="s">
        <v>3985</v>
      </c>
      <c r="E747" s="32" t="s">
        <v>220</v>
      </c>
      <c r="F747" s="12">
        <v>32.0</v>
      </c>
      <c r="G747" s="12" t="s">
        <v>3934</v>
      </c>
      <c r="H747" s="28"/>
      <c r="I747" s="20"/>
      <c r="J747" s="10"/>
      <c r="K747" s="10" t="s">
        <v>3934</v>
      </c>
      <c r="L747" s="10"/>
      <c r="M747" s="33"/>
      <c r="N747" s="34"/>
      <c r="O747" s="34"/>
      <c r="P747" s="12" t="str">
        <f t="shared" si="1"/>
        <v>https://docs.google.com/forms/d/e/1FAIpQLSeZ-R1GrWlAPkfaThGqxeTj0QTtrARw4rroxIIepf2kipn1nw/formResponse?usp=pp_url&amp;entry.1313582257=0087242368 / 242510112&amp;entry.1578404635=Hadir</v>
      </c>
      <c r="Q747" s="23" t="s">
        <v>3986</v>
      </c>
      <c r="R747" s="12" t="s">
        <v>3987</v>
      </c>
      <c r="S747" s="24" t="s">
        <v>3988</v>
      </c>
      <c r="T747" s="23" t="str">
        <f>HYPERLINK("https://drive.google.com/file/d/1FD5BRiRoP1wIAHMC__OYdmH3-KfuW6bX/view?usp=drivesdk","32 - XI D-1 - Dicky Maulana")</f>
        <v>32 - XI D-1 - Dicky Maulana</v>
      </c>
      <c r="U747" s="12" t="s">
        <v>3989</v>
      </c>
      <c r="W747" s="25">
        <f>COUNTIFS('Form Presensi SCC'!$B:$B, IF($C747&lt;&gt;0, TEXT($C747, "0000000000"), $D747), 'Form Presensi SCC'!$C:$C, "Hadir")</f>
        <v>0</v>
      </c>
      <c r="Y747" s="26"/>
    </row>
    <row r="748" ht="22.5" customHeight="1">
      <c r="A748" s="18">
        <v>555.0</v>
      </c>
      <c r="B748" s="31">
        <v>12.0</v>
      </c>
      <c r="C748" s="27" t="s">
        <v>3990</v>
      </c>
      <c r="D748" s="31" t="s">
        <v>3991</v>
      </c>
      <c r="E748" s="32" t="s">
        <v>227</v>
      </c>
      <c r="F748" s="12">
        <v>32.0</v>
      </c>
      <c r="G748" s="12" t="s">
        <v>3934</v>
      </c>
      <c r="H748" s="28"/>
      <c r="I748" s="20"/>
      <c r="J748" s="10"/>
      <c r="K748" s="10" t="s">
        <v>3934</v>
      </c>
      <c r="L748" s="10"/>
      <c r="M748" s="33"/>
      <c r="N748" s="34"/>
      <c r="O748" s="34"/>
      <c r="P748" s="12" t="str">
        <f t="shared" si="1"/>
        <v>https://docs.google.com/forms/d/e/1FAIpQLSeZ-R1GrWlAPkfaThGqxeTj0QTtrARw4rroxIIepf2kipn1nw/formResponse?usp=pp_url&amp;entry.1313582257=0087777223 / 242510130&amp;entry.1578404635=Hadir</v>
      </c>
      <c r="Q748" s="23" t="s">
        <v>3992</v>
      </c>
      <c r="R748" s="12" t="s">
        <v>3993</v>
      </c>
      <c r="S748" s="24" t="s">
        <v>3994</v>
      </c>
      <c r="T748" s="23" t="str">
        <f>HYPERLINK("https://drive.google.com/file/d/1OGgIfjg4R9vjcGMBBhc99H4tohG3p21Q/view?usp=drivesdk","32 - XI D-1 - Faida Annaila Zahra")</f>
        <v>32 - XI D-1 - Faida Annaila Zahra</v>
      </c>
      <c r="U748" s="12" t="s">
        <v>3989</v>
      </c>
      <c r="W748" s="25">
        <f>COUNTIFS('Form Presensi SCC'!$B:$B, IF($C748&lt;&gt;0, TEXT($C748, "0000000000"), $D748), 'Form Presensi SCC'!$C:$C, "Hadir")</f>
        <v>0</v>
      </c>
      <c r="Y748" s="26"/>
    </row>
    <row r="749" ht="22.5" customHeight="1">
      <c r="A749" s="18">
        <v>555.0</v>
      </c>
      <c r="B749" s="31">
        <v>13.0</v>
      </c>
      <c r="C749" s="27" t="s">
        <v>3995</v>
      </c>
      <c r="D749" s="31" t="s">
        <v>3996</v>
      </c>
      <c r="E749" s="32" t="s">
        <v>220</v>
      </c>
      <c r="F749" s="12">
        <v>32.0</v>
      </c>
      <c r="G749" s="12" t="s">
        <v>3934</v>
      </c>
      <c r="H749" s="28"/>
      <c r="I749" s="20"/>
      <c r="J749" s="10"/>
      <c r="K749" s="10" t="s">
        <v>3934</v>
      </c>
      <c r="L749" s="10"/>
      <c r="M749" s="33"/>
      <c r="N749" s="34"/>
      <c r="O749" s="34"/>
      <c r="P749" s="12" t="str">
        <f t="shared" si="1"/>
        <v>https://docs.google.com/forms/d/e/1FAIpQLSeZ-R1GrWlAPkfaThGqxeTj0QTtrARw4rroxIIepf2kipn1nw/formResponse?usp=pp_url&amp;entry.1313582257=0096321568 / 242510148&amp;entry.1578404635=Hadir</v>
      </c>
      <c r="Q749" s="23" t="s">
        <v>3997</v>
      </c>
      <c r="R749" s="12" t="s">
        <v>3998</v>
      </c>
      <c r="S749" s="24" t="s">
        <v>3999</v>
      </c>
      <c r="T749" s="23" t="str">
        <f>HYPERLINK("https://drive.google.com/file/d/13iIIVvy96o-2MwBxnbjEOyvnaKnitxk4/view?usp=drivesdk","32 - XI D-1 - Gan Muhammad Rizky")</f>
        <v>32 - XI D-1 - Gan Muhammad Rizky</v>
      </c>
      <c r="U749" s="12" t="s">
        <v>3989</v>
      </c>
      <c r="W749" s="25">
        <f>COUNTIFS('Form Presensi SCC'!$B:$B, IF($C749&lt;&gt;0, TEXT($C749, "0000000000"), $D749), 'Form Presensi SCC'!$C:$C, "Hadir")</f>
        <v>0</v>
      </c>
      <c r="Y749" s="26"/>
    </row>
    <row r="750" ht="22.5" customHeight="1">
      <c r="A750" s="18">
        <v>555.0</v>
      </c>
      <c r="B750" s="31">
        <v>14.0</v>
      </c>
      <c r="C750" s="27" t="s">
        <v>4000</v>
      </c>
      <c r="D750" s="31" t="s">
        <v>4001</v>
      </c>
      <c r="E750" s="32" t="s">
        <v>220</v>
      </c>
      <c r="F750" s="12">
        <v>32.0</v>
      </c>
      <c r="G750" s="12" t="s">
        <v>3934</v>
      </c>
      <c r="H750" s="28"/>
      <c r="I750" s="20"/>
      <c r="J750" s="10"/>
      <c r="K750" s="10" t="s">
        <v>3934</v>
      </c>
      <c r="L750" s="10"/>
      <c r="M750" s="33"/>
      <c r="N750" s="34"/>
      <c r="O750" s="34"/>
      <c r="P750" s="12" t="str">
        <f t="shared" si="1"/>
        <v>https://docs.google.com/forms/d/e/1FAIpQLSeZ-R1GrWlAPkfaThGqxeTj0QTtrARw4rroxIIepf2kipn1nw/formResponse?usp=pp_url&amp;entry.1313582257=0084693493 / 242510158&amp;entry.1578404635=Hadir</v>
      </c>
      <c r="Q750" s="23" t="s">
        <v>4002</v>
      </c>
      <c r="R750" s="12" t="s">
        <v>4003</v>
      </c>
      <c r="S750" s="24" t="s">
        <v>4004</v>
      </c>
      <c r="T750" s="23" t="str">
        <f>HYPERLINK("https://drive.google.com/file/d/1v8w2o4viqVhtZBTrbe7Wvq1MakdzWB77/view?usp=drivesdk","32 - XI D-1 - Haidar Al Fathin")</f>
        <v>32 - XI D-1 - Haidar Al Fathin</v>
      </c>
      <c r="U750" s="12" t="s">
        <v>3989</v>
      </c>
      <c r="W750" s="25">
        <f>COUNTIFS('Form Presensi SCC'!$B:$B, IF($C750&lt;&gt;0, TEXT($C750, "0000000000"), $D750), 'Form Presensi SCC'!$C:$C, "Hadir")</f>
        <v>0</v>
      </c>
      <c r="Y750" s="26"/>
    </row>
    <row r="751" ht="22.5" customHeight="1">
      <c r="A751" s="18">
        <v>555.0</v>
      </c>
      <c r="B751" s="31">
        <v>15.0</v>
      </c>
      <c r="C751" s="27" t="s">
        <v>4005</v>
      </c>
      <c r="D751" s="31" t="s">
        <v>4006</v>
      </c>
      <c r="E751" s="32" t="s">
        <v>227</v>
      </c>
      <c r="F751" s="12">
        <v>32.0</v>
      </c>
      <c r="G751" s="12" t="s">
        <v>3934</v>
      </c>
      <c r="H751" s="28"/>
      <c r="I751" s="20"/>
      <c r="J751" s="10"/>
      <c r="K751" s="10" t="s">
        <v>3934</v>
      </c>
      <c r="L751" s="10"/>
      <c r="M751" s="33"/>
      <c r="N751" s="34"/>
      <c r="O751" s="34"/>
      <c r="P751" s="12" t="str">
        <f t="shared" si="1"/>
        <v>https://docs.google.com/forms/d/e/1FAIpQLSeZ-R1GrWlAPkfaThGqxeTj0QTtrARw4rroxIIepf2kipn1nw/formResponse?usp=pp_url&amp;entry.1313582257=0088791024 / 242510172&amp;entry.1578404635=Hadir</v>
      </c>
      <c r="Q751" s="23" t="s">
        <v>4007</v>
      </c>
      <c r="R751" s="12" t="s">
        <v>4008</v>
      </c>
      <c r="S751" s="24" t="s">
        <v>4009</v>
      </c>
      <c r="T751" s="23" t="str">
        <f>HYPERLINK("https://drive.google.com/file/d/1Xqwd202ZznUPRzfNIgF3rXyoaOxpMnhQ/view?usp=drivesdk","32 - XI D-1 - Intan Zahira Aulia")</f>
        <v>32 - XI D-1 - Intan Zahira Aulia</v>
      </c>
      <c r="U751" s="12" t="s">
        <v>3989</v>
      </c>
      <c r="W751" s="25">
        <f>COUNTIFS('Form Presensi SCC'!$B:$B, IF($C751&lt;&gt;0, TEXT($C751, "0000000000"), $D751), 'Form Presensi SCC'!$C:$C, "Hadir")</f>
        <v>0</v>
      </c>
      <c r="Y751" s="26"/>
    </row>
    <row r="752" ht="22.5" customHeight="1">
      <c r="A752" s="18">
        <v>555.0</v>
      </c>
      <c r="B752" s="31">
        <v>16.0</v>
      </c>
      <c r="C752" s="27" t="s">
        <v>4010</v>
      </c>
      <c r="D752" s="31" t="s">
        <v>4011</v>
      </c>
      <c r="E752" s="32" t="s">
        <v>227</v>
      </c>
      <c r="F752" s="12">
        <v>32.0</v>
      </c>
      <c r="G752" s="12" t="s">
        <v>3934</v>
      </c>
      <c r="H752" s="28"/>
      <c r="I752" s="20"/>
      <c r="J752" s="10"/>
      <c r="K752" s="10" t="s">
        <v>3934</v>
      </c>
      <c r="L752" s="10"/>
      <c r="M752" s="33"/>
      <c r="N752" s="34"/>
      <c r="O752" s="34"/>
      <c r="P752" s="12" t="str">
        <f t="shared" si="1"/>
        <v>https://docs.google.com/forms/d/e/1FAIpQLSeZ-R1GrWlAPkfaThGqxeTj0QTtrARw4rroxIIepf2kipn1nw/formResponse?usp=pp_url&amp;entry.1313582257=0083440916 / 242510182&amp;entry.1578404635=Hadir</v>
      </c>
      <c r="Q752" s="23" t="s">
        <v>4012</v>
      </c>
      <c r="R752" s="12" t="s">
        <v>4013</v>
      </c>
      <c r="S752" s="24" t="s">
        <v>4014</v>
      </c>
      <c r="T752" s="23" t="str">
        <f>HYPERLINK("https://drive.google.com/file/d/1tZ7xx8rZcJZyLNUjuSPwZYVIlawycsLC/view?usp=drivesdk","32 - XI D-1 - Kahla Mulia")</f>
        <v>32 - XI D-1 - Kahla Mulia</v>
      </c>
      <c r="U752" s="12" t="s">
        <v>4015</v>
      </c>
      <c r="W752" s="25">
        <f>COUNTIFS('Form Presensi SCC'!$B:$B, IF($C752&lt;&gt;0, TEXT($C752, "0000000000"), $D752), 'Form Presensi SCC'!$C:$C, "Hadir")</f>
        <v>0</v>
      </c>
      <c r="Y752" s="26"/>
    </row>
    <row r="753" ht="22.5" customHeight="1">
      <c r="A753" s="18">
        <v>555.0</v>
      </c>
      <c r="B753" s="31">
        <v>17.0</v>
      </c>
      <c r="C753" s="27" t="s">
        <v>4016</v>
      </c>
      <c r="D753" s="31" t="s">
        <v>4017</v>
      </c>
      <c r="E753" s="32" t="s">
        <v>227</v>
      </c>
      <c r="F753" s="12">
        <v>32.0</v>
      </c>
      <c r="G753" s="12" t="s">
        <v>3934</v>
      </c>
      <c r="H753" s="28"/>
      <c r="I753" s="20"/>
      <c r="J753" s="10"/>
      <c r="K753" s="10" t="s">
        <v>3934</v>
      </c>
      <c r="L753" s="10"/>
      <c r="M753" s="33"/>
      <c r="N753" s="34"/>
      <c r="O753" s="34"/>
      <c r="P753" s="12" t="str">
        <f t="shared" si="1"/>
        <v>https://docs.google.com/forms/d/e/1FAIpQLSeZ-R1GrWlAPkfaThGqxeTj0QTtrARw4rroxIIepf2kipn1nw/formResponse?usp=pp_url&amp;entry.1313582257=0097101002 / 242510186&amp;entry.1578404635=Hadir</v>
      </c>
      <c r="Q753" s="23" t="s">
        <v>4018</v>
      </c>
      <c r="R753" s="12" t="s">
        <v>4019</v>
      </c>
      <c r="S753" s="24" t="s">
        <v>4020</v>
      </c>
      <c r="T753" s="23" t="str">
        <f>HYPERLINK("https://drive.google.com/file/d/1eV2JvQ4DA9i5QB8CCYBOw5vPSRmY0Emo/view?usp=drivesdk","32 - XI D-1 - Kayla Pelangi Harupi")</f>
        <v>32 - XI D-1 - Kayla Pelangi Harupi</v>
      </c>
      <c r="U753" s="12" t="s">
        <v>4015</v>
      </c>
      <c r="W753" s="25">
        <f>COUNTIFS('Form Presensi SCC'!$B:$B, IF($C753&lt;&gt;0, TEXT($C753, "0000000000"), $D753), 'Form Presensi SCC'!$C:$C, "Hadir")</f>
        <v>0</v>
      </c>
      <c r="Y753" s="26"/>
    </row>
    <row r="754" ht="22.5" customHeight="1">
      <c r="A754" s="18">
        <v>555.0</v>
      </c>
      <c r="B754" s="31">
        <v>18.0</v>
      </c>
      <c r="C754" s="27" t="s">
        <v>4021</v>
      </c>
      <c r="D754" s="31" t="s">
        <v>4022</v>
      </c>
      <c r="E754" s="32" t="s">
        <v>227</v>
      </c>
      <c r="F754" s="12">
        <v>32.0</v>
      </c>
      <c r="G754" s="12" t="s">
        <v>3934</v>
      </c>
      <c r="H754" s="28"/>
      <c r="I754" s="20"/>
      <c r="J754" s="10"/>
      <c r="K754" s="10" t="s">
        <v>3934</v>
      </c>
      <c r="L754" s="10"/>
      <c r="M754" s="33"/>
      <c r="N754" s="34"/>
      <c r="O754" s="34"/>
      <c r="P754" s="12" t="str">
        <f t="shared" si="1"/>
        <v>https://docs.google.com/forms/d/e/1FAIpQLSeZ-R1GrWlAPkfaThGqxeTj0QTtrARw4rroxIIepf2kipn1nw/formResponse?usp=pp_url&amp;entry.1313582257=0083510857 / 242510205&amp;entry.1578404635=Hadir</v>
      </c>
      <c r="Q754" s="23" t="s">
        <v>4023</v>
      </c>
      <c r="R754" s="12" t="s">
        <v>4024</v>
      </c>
      <c r="S754" s="24" t="s">
        <v>4025</v>
      </c>
      <c r="T754" s="23" t="str">
        <f>HYPERLINK("https://drive.google.com/file/d/17AGtEOhwFNZHAyEeIaBCtECQQQ0z0p0t/view?usp=drivesdk","32 - XI D-1 - Khomairah")</f>
        <v>32 - XI D-1 - Khomairah</v>
      </c>
      <c r="U754" s="12" t="s">
        <v>4015</v>
      </c>
      <c r="W754" s="25">
        <f>COUNTIFS('Form Presensi SCC'!$B:$B, IF($C754&lt;&gt;0, TEXT($C754, "0000000000"), $D754), 'Form Presensi SCC'!$C:$C, "Hadir")</f>
        <v>0</v>
      </c>
      <c r="Y754" s="26"/>
    </row>
    <row r="755" ht="22.5" customHeight="1">
      <c r="A755" s="18">
        <v>555.0</v>
      </c>
      <c r="B755" s="31">
        <v>19.0</v>
      </c>
      <c r="C755" s="27" t="s">
        <v>4026</v>
      </c>
      <c r="D755" s="31" t="s">
        <v>4027</v>
      </c>
      <c r="E755" s="32" t="s">
        <v>220</v>
      </c>
      <c r="F755" s="12">
        <v>32.0</v>
      </c>
      <c r="G755" s="12" t="s">
        <v>3934</v>
      </c>
      <c r="H755" s="28"/>
      <c r="I755" s="20"/>
      <c r="J755" s="10"/>
      <c r="K755" s="10" t="s">
        <v>3934</v>
      </c>
      <c r="L755" s="10"/>
      <c r="M755" s="33"/>
      <c r="N755" s="34"/>
      <c r="O755" s="34"/>
      <c r="P755" s="12" t="str">
        <f t="shared" si="1"/>
        <v>https://docs.google.com/forms/d/e/1FAIpQLSeZ-R1GrWlAPkfaThGqxeTj0QTtrARw4rroxIIepf2kipn1nw/formResponse?usp=pp_url&amp;entry.1313582257=0099224342 / 242510214&amp;entry.1578404635=Hadir</v>
      </c>
      <c r="Q755" s="23" t="s">
        <v>4028</v>
      </c>
      <c r="R755" s="12" t="s">
        <v>4029</v>
      </c>
      <c r="S755" s="24" t="s">
        <v>4030</v>
      </c>
      <c r="T755" s="23" t="str">
        <f>HYPERLINK("https://drive.google.com/file/d/1-nq3iCF65KkpO8WEGnOhHxXQcki3FB5l/view?usp=drivesdk","32 - XI D-1 - Lingga Argan Zinggara")</f>
        <v>32 - XI D-1 - Lingga Argan Zinggara</v>
      </c>
      <c r="U755" s="12" t="s">
        <v>4015</v>
      </c>
      <c r="W755" s="25">
        <f>COUNTIFS('Form Presensi SCC'!$B:$B, IF($C755&lt;&gt;0, TEXT($C755, "0000000000"), $D755), 'Form Presensi SCC'!$C:$C, "Hadir")</f>
        <v>0</v>
      </c>
      <c r="Y755" s="26"/>
    </row>
    <row r="756" ht="22.5" customHeight="1">
      <c r="A756" s="18">
        <v>555.0</v>
      </c>
      <c r="B756" s="31">
        <v>20.0</v>
      </c>
      <c r="C756" s="27" t="s">
        <v>4031</v>
      </c>
      <c r="D756" s="31" t="s">
        <v>4032</v>
      </c>
      <c r="E756" s="32" t="s">
        <v>220</v>
      </c>
      <c r="F756" s="12">
        <v>32.0</v>
      </c>
      <c r="G756" s="12" t="s">
        <v>3934</v>
      </c>
      <c r="H756" s="28"/>
      <c r="I756" s="20"/>
      <c r="J756" s="10"/>
      <c r="K756" s="10" t="s">
        <v>3934</v>
      </c>
      <c r="L756" s="10"/>
      <c r="M756" s="33"/>
      <c r="N756" s="34"/>
      <c r="O756" s="34"/>
      <c r="P756" s="12" t="str">
        <f t="shared" si="1"/>
        <v>https://docs.google.com/forms/d/e/1FAIpQLSeZ-R1GrWlAPkfaThGqxeTj0QTtrARw4rroxIIepf2kipn1nw/formResponse?usp=pp_url&amp;entry.1313582257=0087441371 / 242510226&amp;entry.1578404635=Hadir</v>
      </c>
      <c r="Q756" s="23" t="s">
        <v>4033</v>
      </c>
      <c r="R756" s="12" t="s">
        <v>4034</v>
      </c>
      <c r="S756" s="24" t="s">
        <v>4035</v>
      </c>
      <c r="T756" s="23" t="str">
        <f>HYPERLINK("https://drive.google.com/file/d/1eLyhakQqy9uttyjxTASHuJSa6OSljpKa/view?usp=drivesdk","32 - XI D-1 - Maulana Yusuf Purnama")</f>
        <v>32 - XI D-1 - Maulana Yusuf Purnama</v>
      </c>
      <c r="U756" s="12" t="s">
        <v>4015</v>
      </c>
      <c r="W756" s="25">
        <f>COUNTIFS('Form Presensi SCC'!$B:$B, IF($C756&lt;&gt;0, TEXT($C756, "0000000000"), $D756), 'Form Presensi SCC'!$C:$C, "Hadir")</f>
        <v>0</v>
      </c>
      <c r="Y756" s="26"/>
    </row>
    <row r="757" ht="22.5" customHeight="1">
      <c r="A757" s="18">
        <v>555.0</v>
      </c>
      <c r="B757" s="31">
        <v>21.0</v>
      </c>
      <c r="C757" s="27" t="s">
        <v>4036</v>
      </c>
      <c r="D757" s="31" t="s">
        <v>4037</v>
      </c>
      <c r="E757" s="32" t="s">
        <v>220</v>
      </c>
      <c r="F757" s="12">
        <v>32.0</v>
      </c>
      <c r="G757" s="12" t="s">
        <v>3934</v>
      </c>
      <c r="H757" s="28"/>
      <c r="I757" s="20"/>
      <c r="J757" s="10"/>
      <c r="K757" s="10" t="s">
        <v>3934</v>
      </c>
      <c r="L757" s="10"/>
      <c r="M757" s="33"/>
      <c r="N757" s="34"/>
      <c r="O757" s="34"/>
      <c r="P757" s="12" t="str">
        <f t="shared" si="1"/>
        <v>https://docs.google.com/forms/d/e/1FAIpQLSeZ-R1GrWlAPkfaThGqxeTj0QTtrARw4rroxIIepf2kipn1nw/formResponse?usp=pp_url&amp;entry.1313582257=0092053150 / 242510248&amp;entry.1578404635=Hadir</v>
      </c>
      <c r="Q757" s="23" t="s">
        <v>4038</v>
      </c>
      <c r="R757" s="12" t="s">
        <v>4039</v>
      </c>
      <c r="S757" s="24" t="s">
        <v>4040</v>
      </c>
      <c r="T757" s="23" t="str">
        <f>HYPERLINK("https://drive.google.com/file/d/1e0VZTDaahe7jOz6soJUxxKZ3PeG0Lrfz/view?usp=drivesdk","32 - XI D-1 - Muhammad Abidzar")</f>
        <v>32 - XI D-1 - Muhammad Abidzar</v>
      </c>
      <c r="U757" s="12" t="s">
        <v>4041</v>
      </c>
      <c r="W757" s="25">
        <f>COUNTIFS('Form Presensi SCC'!$B:$B, IF($C757&lt;&gt;0, TEXT($C757, "0000000000"), $D757), 'Form Presensi SCC'!$C:$C, "Hadir")</f>
        <v>0</v>
      </c>
      <c r="Y757" s="26"/>
    </row>
    <row r="758" ht="22.5" customHeight="1">
      <c r="A758" s="18">
        <v>555.0</v>
      </c>
      <c r="B758" s="31">
        <v>22.0</v>
      </c>
      <c r="C758" s="27" t="s">
        <v>4042</v>
      </c>
      <c r="D758" s="31" t="s">
        <v>4043</v>
      </c>
      <c r="E758" s="32" t="s">
        <v>220</v>
      </c>
      <c r="F758" s="12">
        <v>32.0</v>
      </c>
      <c r="G758" s="12" t="s">
        <v>3934</v>
      </c>
      <c r="H758" s="28"/>
      <c r="I758" s="20"/>
      <c r="J758" s="10"/>
      <c r="K758" s="10" t="s">
        <v>3934</v>
      </c>
      <c r="L758" s="10"/>
      <c r="M758" s="33"/>
      <c r="N758" s="34"/>
      <c r="O758" s="34"/>
      <c r="P758" s="12" t="str">
        <f t="shared" si="1"/>
        <v>https://docs.google.com/forms/d/e/1FAIpQLSeZ-R1GrWlAPkfaThGqxeTj0QTtrARw4rroxIIepf2kipn1nw/formResponse?usp=pp_url&amp;entry.1313582257=0099674979 / 242510268&amp;entry.1578404635=Hadir</v>
      </c>
      <c r="Q758" s="23" t="s">
        <v>4044</v>
      </c>
      <c r="R758" s="12" t="s">
        <v>4045</v>
      </c>
      <c r="S758" s="24" t="s">
        <v>4046</v>
      </c>
      <c r="T758" s="23" t="str">
        <f>HYPERLINK("https://drive.google.com/file/d/1DwfepLGyqDbVCMz2vu4sHx4th5_0Qclj/view?usp=drivesdk","32 - XI D-1 - Muhammad Irgi Avicenna Fachridho Putra")</f>
        <v>32 - XI D-1 - Muhammad Irgi Avicenna Fachridho Putra</v>
      </c>
      <c r="U758" s="12" t="s">
        <v>4041</v>
      </c>
      <c r="W758" s="25">
        <f>COUNTIFS('Form Presensi SCC'!$B:$B, IF($C758&lt;&gt;0, TEXT($C758, "0000000000"), $D758), 'Form Presensi SCC'!$C:$C, "Hadir")</f>
        <v>0</v>
      </c>
      <c r="Y758" s="26"/>
    </row>
    <row r="759" ht="22.5" customHeight="1">
      <c r="A759" s="18">
        <v>555.0</v>
      </c>
      <c r="B759" s="31">
        <v>23.0</v>
      </c>
      <c r="C759" s="27" t="s">
        <v>4047</v>
      </c>
      <c r="D759" s="31" t="s">
        <v>4048</v>
      </c>
      <c r="E759" s="32" t="s">
        <v>227</v>
      </c>
      <c r="F759" s="12">
        <v>32.0</v>
      </c>
      <c r="G759" s="12" t="s">
        <v>3934</v>
      </c>
      <c r="H759" s="28"/>
      <c r="I759" s="20"/>
      <c r="J759" s="10"/>
      <c r="K759" s="10" t="s">
        <v>3934</v>
      </c>
      <c r="L759" s="10"/>
      <c r="M759" s="33"/>
      <c r="N759" s="34"/>
      <c r="O759" s="34"/>
      <c r="P759" s="12" t="str">
        <f t="shared" si="1"/>
        <v>https://docs.google.com/forms/d/e/1FAIpQLSeZ-R1GrWlAPkfaThGqxeTj0QTtrARw4rroxIIepf2kipn1nw/formResponse?usp=pp_url&amp;entry.1313582257=0094087712 / 242510287&amp;entry.1578404635=Hadir</v>
      </c>
      <c r="Q759" s="23" t="s">
        <v>4049</v>
      </c>
      <c r="R759" s="12" t="s">
        <v>4050</v>
      </c>
      <c r="S759" s="24" t="s">
        <v>4051</v>
      </c>
      <c r="T759" s="23" t="str">
        <f>HYPERLINK("https://drive.google.com/file/d/1M6PpG1qOz8P3TslC7PP7PE98ozY7cqaV/view?usp=drivesdk","32 - XI D-1 - Nadine Kirana Saraswati")</f>
        <v>32 - XI D-1 - Nadine Kirana Saraswati</v>
      </c>
      <c r="U759" s="12" t="s">
        <v>4041</v>
      </c>
      <c r="W759" s="25">
        <f>COUNTIFS('Form Presensi SCC'!$B:$B, IF($C759&lt;&gt;0, TEXT($C759, "0000000000"), $D759), 'Form Presensi SCC'!$C:$C, "Hadir")</f>
        <v>0</v>
      </c>
      <c r="Y759" s="26"/>
    </row>
    <row r="760" ht="22.5" customHeight="1">
      <c r="A760" s="18">
        <v>555.0</v>
      </c>
      <c r="B760" s="31">
        <v>24.0</v>
      </c>
      <c r="C760" s="27" t="s">
        <v>4052</v>
      </c>
      <c r="D760" s="31" t="s">
        <v>4053</v>
      </c>
      <c r="E760" s="32" t="s">
        <v>227</v>
      </c>
      <c r="F760" s="12">
        <v>32.0</v>
      </c>
      <c r="G760" s="12" t="s">
        <v>3934</v>
      </c>
      <c r="H760" s="28"/>
      <c r="I760" s="20"/>
      <c r="J760" s="10"/>
      <c r="K760" s="10" t="s">
        <v>3934</v>
      </c>
      <c r="L760" s="10"/>
      <c r="M760" s="33"/>
      <c r="N760" s="34"/>
      <c r="O760" s="34"/>
      <c r="P760" s="12" t="str">
        <f t="shared" si="1"/>
        <v>https://docs.google.com/forms/d/e/1FAIpQLSeZ-R1GrWlAPkfaThGqxeTj0QTtrARw4rroxIIepf2kipn1nw/formResponse?usp=pp_url&amp;entry.1313582257=0096704827 / 242510295&amp;entry.1578404635=Hadir</v>
      </c>
      <c r="Q760" s="23" t="s">
        <v>4054</v>
      </c>
      <c r="R760" s="12" t="s">
        <v>4055</v>
      </c>
      <c r="S760" s="24" t="s">
        <v>4056</v>
      </c>
      <c r="T760" s="23" t="str">
        <f>HYPERLINK("https://drive.google.com/file/d/1EUhWk8o9QgkvteSccDnGbyCBz404hXKO/view?usp=drivesdk","32 - XI D-1 - Naura Praprincess Ananda Anbiya")</f>
        <v>32 - XI D-1 - Naura Praprincess Ananda Anbiya</v>
      </c>
      <c r="U760" s="12" t="s">
        <v>4041</v>
      </c>
      <c r="W760" s="25">
        <f>COUNTIFS('Form Presensi SCC'!$B:$B, IF($C760&lt;&gt;0, TEXT($C760, "0000000000"), $D760), 'Form Presensi SCC'!$C:$C, "Hadir")</f>
        <v>0</v>
      </c>
      <c r="Y760" s="26"/>
    </row>
    <row r="761" ht="22.5" customHeight="1">
      <c r="A761" s="18">
        <v>555.0</v>
      </c>
      <c r="B761" s="31">
        <v>25.0</v>
      </c>
      <c r="C761" s="27" t="s">
        <v>4057</v>
      </c>
      <c r="D761" s="31" t="s">
        <v>4058</v>
      </c>
      <c r="E761" s="32" t="s">
        <v>227</v>
      </c>
      <c r="F761" s="12">
        <v>32.0</v>
      </c>
      <c r="G761" s="12" t="s">
        <v>3934</v>
      </c>
      <c r="H761" s="28"/>
      <c r="I761" s="20"/>
      <c r="J761" s="10"/>
      <c r="K761" s="10" t="s">
        <v>3934</v>
      </c>
      <c r="L761" s="10"/>
      <c r="M761" s="33"/>
      <c r="N761" s="34"/>
      <c r="O761" s="34"/>
      <c r="P761" s="12" t="str">
        <f t="shared" si="1"/>
        <v>https://docs.google.com/forms/d/e/1FAIpQLSeZ-R1GrWlAPkfaThGqxeTj0QTtrARw4rroxIIepf2kipn1nw/formResponse?usp=pp_url&amp;entry.1313582257=0082766789 / 242510317&amp;entry.1578404635=Hadir</v>
      </c>
      <c r="Q761" s="23" t="s">
        <v>4059</v>
      </c>
      <c r="R761" s="12" t="s">
        <v>4060</v>
      </c>
      <c r="S761" s="24" t="s">
        <v>4061</v>
      </c>
      <c r="T761" s="23" t="str">
        <f>HYPERLINK("https://drive.google.com/file/d/1LvkyHqDHfSK14ZEWLt7hlhxDIdyZDr7M/view?usp=drivesdk","32 - XI D-1 - Puti Pelangi Maharani")</f>
        <v>32 - XI D-1 - Puti Pelangi Maharani</v>
      </c>
      <c r="U761" s="12" t="s">
        <v>4062</v>
      </c>
      <c r="W761" s="25">
        <f>COUNTIFS('Form Presensi SCC'!$B:$B, IF($C761&lt;&gt;0, TEXT($C761, "0000000000"), $D761), 'Form Presensi SCC'!$C:$C, "Hadir")</f>
        <v>0</v>
      </c>
      <c r="Y761" s="26"/>
    </row>
    <row r="762" ht="22.5" customHeight="1">
      <c r="A762" s="18">
        <v>555.0</v>
      </c>
      <c r="B762" s="31">
        <v>26.0</v>
      </c>
      <c r="C762" s="27" t="s">
        <v>4063</v>
      </c>
      <c r="D762" s="31" t="s">
        <v>4064</v>
      </c>
      <c r="E762" s="32" t="s">
        <v>227</v>
      </c>
      <c r="F762" s="12">
        <v>32.0</v>
      </c>
      <c r="G762" s="12" t="s">
        <v>3934</v>
      </c>
      <c r="H762" s="28"/>
      <c r="I762" s="20"/>
      <c r="J762" s="10"/>
      <c r="K762" s="10" t="s">
        <v>3934</v>
      </c>
      <c r="L762" s="10"/>
      <c r="M762" s="33"/>
      <c r="N762" s="34"/>
      <c r="O762" s="34"/>
      <c r="P762" s="12" t="str">
        <f t="shared" si="1"/>
        <v>https://docs.google.com/forms/d/e/1FAIpQLSeZ-R1GrWlAPkfaThGqxeTj0QTtrARw4rroxIIepf2kipn1nw/formResponse?usp=pp_url&amp;entry.1313582257=0087189022 / 242510326&amp;entry.1578404635=Hadir</v>
      </c>
      <c r="Q762" s="23" t="s">
        <v>4065</v>
      </c>
      <c r="R762" s="12" t="s">
        <v>4066</v>
      </c>
      <c r="S762" s="24" t="s">
        <v>4067</v>
      </c>
      <c r="T762" s="23" t="str">
        <f>HYPERLINK("https://drive.google.com/file/d/1zk9EOeEL2errs_Duel3Glyo66o5Onxj5/view?usp=drivesdk","32 - XI D-1 - Quenna Valencia")</f>
        <v>32 - XI D-1 - Quenna Valencia</v>
      </c>
      <c r="U762" s="12" t="s">
        <v>4062</v>
      </c>
      <c r="W762" s="25">
        <f>COUNTIFS('Form Presensi SCC'!$B:$B, IF($C762&lt;&gt;0, TEXT($C762, "0000000000"), $D762), 'Form Presensi SCC'!$C:$C, "Hadir")</f>
        <v>0</v>
      </c>
      <c r="Y762" s="26"/>
    </row>
    <row r="763" ht="22.5" customHeight="1">
      <c r="A763" s="18">
        <v>555.0</v>
      </c>
      <c r="B763" s="31">
        <v>27.0</v>
      </c>
      <c r="C763" s="27" t="s">
        <v>4068</v>
      </c>
      <c r="D763" s="31" t="s">
        <v>4069</v>
      </c>
      <c r="E763" s="32" t="s">
        <v>220</v>
      </c>
      <c r="F763" s="12">
        <v>32.0</v>
      </c>
      <c r="G763" s="12" t="s">
        <v>3934</v>
      </c>
      <c r="H763" s="28"/>
      <c r="I763" s="20"/>
      <c r="J763" s="10"/>
      <c r="K763" s="10" t="s">
        <v>3934</v>
      </c>
      <c r="L763" s="10"/>
      <c r="M763" s="33"/>
      <c r="N763" s="34"/>
      <c r="O763" s="34"/>
      <c r="P763" s="12" t="str">
        <f t="shared" si="1"/>
        <v>https://docs.google.com/forms/d/e/1FAIpQLSeZ-R1GrWlAPkfaThGqxeTj0QTtrARw4rroxIIepf2kipn1nw/formResponse?usp=pp_url&amp;entry.1313582257=0083216448 / 242510340&amp;entry.1578404635=Hadir</v>
      </c>
      <c r="Q763" s="23" t="s">
        <v>4070</v>
      </c>
      <c r="R763" s="12" t="s">
        <v>4071</v>
      </c>
      <c r="S763" s="24" t="s">
        <v>4072</v>
      </c>
      <c r="T763" s="23" t="str">
        <f>HYPERLINK("https://drive.google.com/file/d/1k9g5l6HQ4Qu_wMiP6bTcmqSL54xEdmrb/view?usp=drivesdk","32 - XI D-1 - Rama Ar Rifatul Anbiya")</f>
        <v>32 - XI D-1 - Rama Ar Rifatul Anbiya</v>
      </c>
      <c r="U763" s="12" t="s">
        <v>4062</v>
      </c>
      <c r="W763" s="25">
        <f>COUNTIFS('Form Presensi SCC'!$B:$B, IF($C763&lt;&gt;0, TEXT($C763, "0000000000"), $D763), 'Form Presensi SCC'!$C:$C, "Hadir")</f>
        <v>0</v>
      </c>
      <c r="Y763" s="26"/>
    </row>
    <row r="764" ht="22.5" customHeight="1">
      <c r="A764" s="18">
        <v>555.0</v>
      </c>
      <c r="B764" s="31">
        <v>28.0</v>
      </c>
      <c r="C764" s="27" t="s">
        <v>4073</v>
      </c>
      <c r="D764" s="31" t="s">
        <v>4074</v>
      </c>
      <c r="E764" s="32" t="s">
        <v>220</v>
      </c>
      <c r="F764" s="12">
        <v>32.0</v>
      </c>
      <c r="G764" s="12" t="s">
        <v>3934</v>
      </c>
      <c r="H764" s="28"/>
      <c r="I764" s="20"/>
      <c r="J764" s="10"/>
      <c r="K764" s="10" t="s">
        <v>3934</v>
      </c>
      <c r="L764" s="10"/>
      <c r="M764" s="33"/>
      <c r="N764" s="34"/>
      <c r="O764" s="34"/>
      <c r="P764" s="12" t="str">
        <f t="shared" si="1"/>
        <v>https://docs.google.com/forms/d/e/1FAIpQLSeZ-R1GrWlAPkfaThGqxeTj0QTtrARw4rroxIIepf2kipn1nw/formResponse?usp=pp_url&amp;entry.1313582257=0081976297 / 242510351&amp;entry.1578404635=Hadir</v>
      </c>
      <c r="Q764" s="23" t="s">
        <v>4075</v>
      </c>
      <c r="R764" s="12" t="s">
        <v>4076</v>
      </c>
      <c r="S764" s="24" t="s">
        <v>4077</v>
      </c>
      <c r="T764" s="23" t="str">
        <f>HYPERLINK("https://drive.google.com/file/d/1H37gH5oBcFKQrlt16r8xLY6Jy1BXGJqZ/view?usp=drivesdk","32 - XI D-1 - Rifky Akbar Maulana")</f>
        <v>32 - XI D-1 - Rifky Akbar Maulana</v>
      </c>
      <c r="U764" s="12" t="s">
        <v>4062</v>
      </c>
      <c r="W764" s="25">
        <f>COUNTIFS('Form Presensi SCC'!$B:$B, IF($C764&lt;&gt;0, TEXT($C764, "0000000000"), $D764), 'Form Presensi SCC'!$C:$C, "Hadir")</f>
        <v>0</v>
      </c>
      <c r="Y764" s="26"/>
    </row>
    <row r="765" ht="22.5" customHeight="1">
      <c r="A765" s="18">
        <v>555.0</v>
      </c>
      <c r="B765" s="31">
        <v>29.0</v>
      </c>
      <c r="C765" s="27" t="s">
        <v>4078</v>
      </c>
      <c r="D765" s="31" t="s">
        <v>4079</v>
      </c>
      <c r="E765" s="32" t="s">
        <v>220</v>
      </c>
      <c r="F765" s="12">
        <v>32.0</v>
      </c>
      <c r="G765" s="12" t="s">
        <v>3934</v>
      </c>
      <c r="H765" s="28"/>
      <c r="I765" s="20"/>
      <c r="J765" s="10"/>
      <c r="K765" s="10" t="s">
        <v>3934</v>
      </c>
      <c r="L765" s="10"/>
      <c r="M765" s="33"/>
      <c r="N765" s="34"/>
      <c r="O765" s="34"/>
      <c r="P765" s="12" t="str">
        <f t="shared" si="1"/>
        <v>https://docs.google.com/forms/d/e/1FAIpQLSeZ-R1GrWlAPkfaThGqxeTj0QTtrARw4rroxIIepf2kipn1nw/formResponse?usp=pp_url&amp;entry.1313582257=0087374524 / 242510358&amp;entry.1578404635=Hadir</v>
      </c>
      <c r="Q765" s="23" t="s">
        <v>4080</v>
      </c>
      <c r="R765" s="12" t="s">
        <v>4081</v>
      </c>
      <c r="S765" s="24" t="s">
        <v>4082</v>
      </c>
      <c r="T765" s="23" t="str">
        <f>HYPERLINK("https://drive.google.com/file/d/1r--HAY53j6-aeZ8W47W6cOQIhOpr1pyz/view?usp=drivesdk","32 - XI D-1 - Rizky Baihaqi")</f>
        <v>32 - XI D-1 - Rizky Baihaqi</v>
      </c>
      <c r="U765" s="12" t="s">
        <v>4062</v>
      </c>
      <c r="W765" s="25">
        <f>COUNTIFS('Form Presensi SCC'!$B:$B, IF($C765&lt;&gt;0, TEXT($C765, "0000000000"), $D765), 'Form Presensi SCC'!$C:$C, "Hadir")</f>
        <v>0</v>
      </c>
      <c r="Y765" s="26"/>
    </row>
    <row r="766" ht="22.5" customHeight="1">
      <c r="A766" s="18">
        <v>555.0</v>
      </c>
      <c r="B766" s="31">
        <v>30.0</v>
      </c>
      <c r="C766" s="27" t="s">
        <v>4083</v>
      </c>
      <c r="D766" s="31" t="s">
        <v>4084</v>
      </c>
      <c r="E766" s="32" t="s">
        <v>227</v>
      </c>
      <c r="F766" s="12">
        <v>32.0</v>
      </c>
      <c r="G766" s="12" t="s">
        <v>3934</v>
      </c>
      <c r="H766" s="28"/>
      <c r="I766" s="20"/>
      <c r="J766" s="10"/>
      <c r="K766" s="10" t="s">
        <v>3934</v>
      </c>
      <c r="L766" s="10"/>
      <c r="M766" s="33"/>
      <c r="N766" s="34"/>
      <c r="O766" s="34"/>
      <c r="P766" s="12" t="str">
        <f t="shared" si="1"/>
        <v>https://docs.google.com/forms/d/e/1FAIpQLSeZ-R1GrWlAPkfaThGqxeTj0QTtrARw4rroxIIepf2kipn1nw/formResponse?usp=pp_url&amp;entry.1313582257=0095610000 / 242510359&amp;entry.1578404635=Hadir</v>
      </c>
      <c r="Q766" s="23" t="s">
        <v>4085</v>
      </c>
      <c r="R766" s="12" t="s">
        <v>4086</v>
      </c>
      <c r="S766" s="24" t="s">
        <v>4087</v>
      </c>
      <c r="T766" s="23" t="str">
        <f>HYPERLINK("https://drive.google.com/file/d/1eEalvso6_bS1ugIoaf73CPtjF_FTf0s4/view?usp=drivesdk","32 - XI D-1 - Rosliani Sarrah")</f>
        <v>32 - XI D-1 - Rosliani Sarrah</v>
      </c>
      <c r="U766" s="12" t="s">
        <v>4088</v>
      </c>
      <c r="W766" s="25">
        <f>COUNTIFS('Form Presensi SCC'!$B:$B, IF($C766&lt;&gt;0, TEXT($C766, "0000000000"), $D766), 'Form Presensi SCC'!$C:$C, "Hadir")</f>
        <v>0</v>
      </c>
      <c r="Y766" s="26"/>
    </row>
    <row r="767" ht="22.5" customHeight="1">
      <c r="A767" s="18">
        <v>555.0</v>
      </c>
      <c r="B767" s="31">
        <v>31.0</v>
      </c>
      <c r="C767" s="27" t="s">
        <v>4089</v>
      </c>
      <c r="D767" s="31" t="s">
        <v>4090</v>
      </c>
      <c r="E767" s="32" t="s">
        <v>227</v>
      </c>
      <c r="F767" s="12">
        <v>32.0</v>
      </c>
      <c r="G767" s="12" t="s">
        <v>3934</v>
      </c>
      <c r="H767" s="28"/>
      <c r="I767" s="20"/>
      <c r="J767" s="10"/>
      <c r="K767" s="10" t="s">
        <v>3934</v>
      </c>
      <c r="L767" s="10"/>
      <c r="M767" s="33"/>
      <c r="N767" s="34"/>
      <c r="O767" s="34"/>
      <c r="P767" s="12" t="str">
        <f t="shared" si="1"/>
        <v>https://docs.google.com/forms/d/e/1FAIpQLSeZ-R1GrWlAPkfaThGqxeTj0QTtrARw4rroxIIepf2kipn1nw/formResponse?usp=pp_url&amp;entry.1313582257=3108459157 / 242510368&amp;entry.1578404635=Hadir</v>
      </c>
      <c r="Q767" s="23" t="s">
        <v>4091</v>
      </c>
      <c r="R767" s="12" t="s">
        <v>4092</v>
      </c>
      <c r="S767" s="24" t="s">
        <v>4093</v>
      </c>
      <c r="T767" s="23" t="str">
        <f>HYPERLINK("https://drive.google.com/file/d/1trrzA6kDNZPIds7XPT2iwbWYZFCRNOCb/view?usp=drivesdk","32 - XI D-1 - Salwa Aisya Putri")</f>
        <v>32 - XI D-1 - Salwa Aisya Putri</v>
      </c>
      <c r="U767" s="12" t="s">
        <v>4088</v>
      </c>
      <c r="W767" s="25">
        <f>COUNTIFS('Form Presensi SCC'!$B:$B, IF($C767&lt;&gt;0, TEXT($C767, "0000000000"), $D767), 'Form Presensi SCC'!$C:$C, "Hadir")</f>
        <v>0</v>
      </c>
      <c r="Y767" s="26"/>
    </row>
    <row r="768" ht="22.5" customHeight="1">
      <c r="A768" s="18">
        <v>555.0</v>
      </c>
      <c r="B768" s="31">
        <v>32.0</v>
      </c>
      <c r="C768" s="27" t="s">
        <v>4094</v>
      </c>
      <c r="D768" s="31" t="s">
        <v>4095</v>
      </c>
      <c r="E768" s="32" t="s">
        <v>227</v>
      </c>
      <c r="F768" s="12">
        <v>32.0</v>
      </c>
      <c r="G768" s="12" t="s">
        <v>3934</v>
      </c>
      <c r="H768" s="28"/>
      <c r="I768" s="20"/>
      <c r="J768" s="10"/>
      <c r="K768" s="10" t="s">
        <v>3934</v>
      </c>
      <c r="L768" s="10"/>
      <c r="M768" s="33"/>
      <c r="N768" s="34"/>
      <c r="O768" s="34"/>
      <c r="P768" s="12" t="str">
        <f t="shared" si="1"/>
        <v>https://docs.google.com/forms/d/e/1FAIpQLSeZ-R1GrWlAPkfaThGqxeTj0QTtrARw4rroxIIepf2kipn1nw/formResponse?usp=pp_url&amp;entry.1313582257=0092184814 / 242510369&amp;entry.1578404635=Hadir</v>
      </c>
      <c r="Q768" s="23" t="s">
        <v>4096</v>
      </c>
      <c r="R768" s="12" t="s">
        <v>4097</v>
      </c>
      <c r="S768" s="24" t="s">
        <v>4098</v>
      </c>
      <c r="T768" s="23" t="str">
        <f>HYPERLINK("https://drive.google.com/file/d/1IXQOpwfZ37RVWYT-HOALxzquZZUtaTcH/view?usp=drivesdk","32 - XI D-1 - Salwa Amanda Putri")</f>
        <v>32 - XI D-1 - Salwa Amanda Putri</v>
      </c>
      <c r="U768" s="12" t="s">
        <v>4088</v>
      </c>
      <c r="W768" s="25">
        <f>COUNTIFS('Form Presensi SCC'!$B:$B, IF($C768&lt;&gt;0, TEXT($C768, "0000000000"), $D768), 'Form Presensi SCC'!$C:$C, "Hadir")</f>
        <v>0</v>
      </c>
      <c r="Y768" s="26"/>
    </row>
    <row r="769" ht="22.5" customHeight="1">
      <c r="A769" s="18">
        <v>555.0</v>
      </c>
      <c r="B769" s="31">
        <v>33.0</v>
      </c>
      <c r="C769" s="27" t="s">
        <v>4099</v>
      </c>
      <c r="D769" s="31" t="s">
        <v>4100</v>
      </c>
      <c r="E769" s="32" t="s">
        <v>227</v>
      </c>
      <c r="F769" s="12">
        <v>32.0</v>
      </c>
      <c r="G769" s="12" t="s">
        <v>3934</v>
      </c>
      <c r="H769" s="28"/>
      <c r="I769" s="20"/>
      <c r="J769" s="10"/>
      <c r="K769" s="10" t="s">
        <v>3934</v>
      </c>
      <c r="L769" s="10"/>
      <c r="M769" s="33"/>
      <c r="N769" s="34"/>
      <c r="O769" s="34"/>
      <c r="P769" s="12" t="str">
        <f t="shared" si="1"/>
        <v>https://docs.google.com/forms/d/e/1FAIpQLSeZ-R1GrWlAPkfaThGqxeTj0QTtrARw4rroxIIepf2kipn1nw/formResponse?usp=pp_url&amp;entry.1313582257=0093513380 / 242510383&amp;entry.1578404635=Hadir</v>
      </c>
      <c r="Q769" s="23" t="s">
        <v>4101</v>
      </c>
      <c r="R769" s="12" t="s">
        <v>4102</v>
      </c>
      <c r="S769" s="24" t="s">
        <v>4103</v>
      </c>
      <c r="T769" s="23" t="str">
        <f>HYPERLINK("https://drive.google.com/file/d/1c9IESP9n-wjWjew1eMGWAQPDeTVv7_41/view?usp=drivesdk","32 - XI D-1 - Shinta Aulia")</f>
        <v>32 - XI D-1 - Shinta Aulia</v>
      </c>
      <c r="U769" s="12" t="s">
        <v>4088</v>
      </c>
      <c r="W769" s="25">
        <f>COUNTIFS('Form Presensi SCC'!$B:$B, IF($C769&lt;&gt;0, TEXT($C769, "0000000000"), $D769), 'Form Presensi SCC'!$C:$C, "Hadir")</f>
        <v>0</v>
      </c>
      <c r="Y769" s="26"/>
    </row>
    <row r="770" ht="22.5" customHeight="1">
      <c r="A770" s="18">
        <v>555.0</v>
      </c>
      <c r="B770" s="31">
        <v>34.0</v>
      </c>
      <c r="C770" s="27" t="s">
        <v>4104</v>
      </c>
      <c r="D770" s="31" t="s">
        <v>4105</v>
      </c>
      <c r="E770" s="32" t="s">
        <v>220</v>
      </c>
      <c r="F770" s="12">
        <v>32.0</v>
      </c>
      <c r="G770" s="12" t="s">
        <v>3934</v>
      </c>
      <c r="H770" s="28"/>
      <c r="I770" s="20"/>
      <c r="J770" s="10"/>
      <c r="K770" s="10" t="s">
        <v>3934</v>
      </c>
      <c r="L770" s="10"/>
      <c r="M770" s="33"/>
      <c r="N770" s="34"/>
      <c r="O770" s="34"/>
      <c r="P770" s="12" t="str">
        <f t="shared" si="1"/>
        <v>https://docs.google.com/forms/d/e/1FAIpQLSeZ-R1GrWlAPkfaThGqxeTj0QTtrARw4rroxIIepf2kipn1nw/formResponse?usp=pp_url&amp;entry.1313582257=0094484878 / 242510403&amp;entry.1578404635=Hadir</v>
      </c>
      <c r="Q770" s="23" t="s">
        <v>4106</v>
      </c>
      <c r="R770" s="12" t="s">
        <v>4107</v>
      </c>
      <c r="S770" s="24" t="s">
        <v>4108</v>
      </c>
      <c r="T770" s="23" t="str">
        <f>HYPERLINK("https://drive.google.com/file/d/1dlkLpSDt7MudD8u9Hou-7mIp1rMkdGpF/view?usp=drivesdk","32 - XI D-1 - Troy Rhezky Lembong")</f>
        <v>32 - XI D-1 - Troy Rhezky Lembong</v>
      </c>
      <c r="U770" s="12" t="s">
        <v>4088</v>
      </c>
      <c r="W770" s="25">
        <f>COUNTIFS('Form Presensi SCC'!$B:$B, IF($C770&lt;&gt;0, TEXT($C770, "0000000000"), $D770), 'Form Presensi SCC'!$C:$C, "Hadir")</f>
        <v>0</v>
      </c>
      <c r="Y770" s="26"/>
    </row>
    <row r="771" ht="22.5" customHeight="1">
      <c r="A771" s="18">
        <v>555.0</v>
      </c>
      <c r="B771" s="31">
        <v>35.0</v>
      </c>
      <c r="C771" s="27" t="s">
        <v>4109</v>
      </c>
      <c r="D771" s="31" t="s">
        <v>4110</v>
      </c>
      <c r="E771" s="32" t="s">
        <v>227</v>
      </c>
      <c r="F771" s="12">
        <v>32.0</v>
      </c>
      <c r="G771" s="12" t="s">
        <v>3934</v>
      </c>
      <c r="H771" s="28"/>
      <c r="I771" s="20"/>
      <c r="J771" s="10"/>
      <c r="K771" s="10" t="s">
        <v>3934</v>
      </c>
      <c r="L771" s="10"/>
      <c r="M771" s="33"/>
      <c r="N771" s="34"/>
      <c r="O771" s="34"/>
      <c r="P771" s="12" t="str">
        <f t="shared" si="1"/>
        <v>https://docs.google.com/forms/d/e/1FAIpQLSeZ-R1GrWlAPkfaThGqxeTj0QTtrARw4rroxIIepf2kipn1nw/formResponse?usp=pp_url&amp;entry.1313582257=0094008926 / 242510425&amp;entry.1578404635=Hadir</v>
      </c>
      <c r="Q771" s="23" t="s">
        <v>4111</v>
      </c>
      <c r="R771" s="12" t="s">
        <v>4112</v>
      </c>
      <c r="S771" s="24" t="s">
        <v>4113</v>
      </c>
      <c r="T771" s="23" t="str">
        <f>HYPERLINK("https://drive.google.com/file/d/1Cy_sVEtSB8Fr6Ng5QGuAw5T0dLESu7qZ/view?usp=drivesdk","32 - XI D-1 - Zalfa Anaya Putri")</f>
        <v>32 - XI D-1 - Zalfa Anaya Putri</v>
      </c>
      <c r="U771" s="12" t="s">
        <v>4114</v>
      </c>
      <c r="W771" s="25">
        <f>COUNTIFS('Form Presensi SCC'!$B:$B, IF($C771&lt;&gt;0, TEXT($C771, "0000000000"), $D771), 'Form Presensi SCC'!$C:$C, "Hadir")</f>
        <v>0</v>
      </c>
      <c r="Y771" s="26"/>
    </row>
    <row r="772" ht="22.5" customHeight="1">
      <c r="A772" s="18">
        <v>555.0</v>
      </c>
      <c r="B772" s="31">
        <v>36.0</v>
      </c>
      <c r="C772" s="27" t="s">
        <v>4115</v>
      </c>
      <c r="D772" s="31" t="s">
        <v>4116</v>
      </c>
      <c r="E772" s="32" t="s">
        <v>227</v>
      </c>
      <c r="F772" s="12">
        <v>32.0</v>
      </c>
      <c r="G772" s="12" t="s">
        <v>3934</v>
      </c>
      <c r="H772" s="28"/>
      <c r="I772" s="20"/>
      <c r="J772" s="10"/>
      <c r="K772" s="10" t="s">
        <v>3934</v>
      </c>
      <c r="L772" s="10"/>
      <c r="M772" s="33"/>
      <c r="N772" s="34"/>
      <c r="O772" s="34"/>
      <c r="P772" s="12" t="str">
        <f t="shared" si="1"/>
        <v>https://docs.google.com/forms/d/e/1FAIpQLSeZ-R1GrWlAPkfaThGqxeTj0QTtrARw4rroxIIepf2kipn1nw/formResponse?usp=pp_url&amp;entry.1313582257=0096998389 / 242510428&amp;entry.1578404635=Hadir</v>
      </c>
      <c r="Q772" s="23" t="s">
        <v>4117</v>
      </c>
      <c r="R772" s="12" t="s">
        <v>4118</v>
      </c>
      <c r="S772" s="24" t="s">
        <v>4119</v>
      </c>
      <c r="T772" s="23" t="str">
        <f>HYPERLINK("https://drive.google.com/file/d/1ICfecS9XO5WJoH8nmpNgSlqFwsf9QEw8/view?usp=drivesdk","32 - XI D-1 - Zhafira Fathin Ilmira")</f>
        <v>32 - XI D-1 - Zhafira Fathin Ilmira</v>
      </c>
      <c r="U772" s="12" t="s">
        <v>4114</v>
      </c>
      <c r="W772" s="25">
        <f>COUNTIFS('Form Presensi SCC'!$B:$B, IF($C772&lt;&gt;0, TEXT($C772, "0000000000"), $D772), 'Form Presensi SCC'!$C:$C, "Hadir")</f>
        <v>0</v>
      </c>
      <c r="Y772" s="26"/>
    </row>
    <row r="773" ht="22.5" customHeight="1">
      <c r="A773" s="18">
        <v>555.0</v>
      </c>
      <c r="B773" s="31">
        <v>1.0</v>
      </c>
      <c r="C773" s="27" t="s">
        <v>4120</v>
      </c>
      <c r="D773" s="31" t="s">
        <v>4121</v>
      </c>
      <c r="E773" s="32" t="s">
        <v>220</v>
      </c>
      <c r="F773" s="12">
        <v>32.0</v>
      </c>
      <c r="G773" s="12" t="s">
        <v>4122</v>
      </c>
      <c r="H773" s="28"/>
      <c r="I773" s="20"/>
      <c r="J773" s="10"/>
      <c r="K773" s="10" t="s">
        <v>4122</v>
      </c>
      <c r="L773" s="10"/>
      <c r="M773" s="33"/>
      <c r="N773" s="34"/>
      <c r="O773" s="34"/>
      <c r="P773" s="12" t="str">
        <f t="shared" si="1"/>
        <v>https://docs.google.com/forms/d/e/1FAIpQLSeZ-R1GrWlAPkfaThGqxeTj0QTtrARw4rroxIIepf2kipn1nw/formResponse?usp=pp_url&amp;entry.1313582257=0099205215 / 242510002&amp;entry.1578404635=Hadir</v>
      </c>
      <c r="Q773" s="23" t="s">
        <v>4123</v>
      </c>
      <c r="R773" s="12" t="s">
        <v>4124</v>
      </c>
      <c r="S773" s="24" t="s">
        <v>4125</v>
      </c>
      <c r="T773" s="23" t="str">
        <f>HYPERLINK("https://drive.google.com/file/d/1SxWtQsuewY_2jeQlIm_qESN7_PmAoTW_/view?usp=drivesdk","32 - XI D-2 - Abhipraya Fahim Ghazal Adhiatma")</f>
        <v>32 - XI D-2 - Abhipraya Fahim Ghazal Adhiatma</v>
      </c>
      <c r="U773" s="12" t="s">
        <v>4114</v>
      </c>
      <c r="W773" s="25">
        <f>COUNTIFS('Form Presensi SCC'!$B:$B, IF($C773&lt;&gt;0, TEXT($C773, "0000000000"), $D773), 'Form Presensi SCC'!$C:$C, "Hadir")</f>
        <v>0</v>
      </c>
      <c r="Y773" s="26"/>
    </row>
    <row r="774" ht="22.5" customHeight="1">
      <c r="A774" s="18">
        <v>555.0</v>
      </c>
      <c r="B774" s="31">
        <v>2.0</v>
      </c>
      <c r="C774" s="27" t="s">
        <v>4126</v>
      </c>
      <c r="D774" s="31" t="s">
        <v>4127</v>
      </c>
      <c r="E774" s="32" t="s">
        <v>220</v>
      </c>
      <c r="F774" s="12">
        <v>32.0</v>
      </c>
      <c r="G774" s="12" t="s">
        <v>4122</v>
      </c>
      <c r="H774" s="28"/>
      <c r="I774" s="20"/>
      <c r="J774" s="10"/>
      <c r="K774" s="10" t="s">
        <v>4122</v>
      </c>
      <c r="L774" s="10"/>
      <c r="M774" s="33"/>
      <c r="N774" s="34"/>
      <c r="O774" s="34"/>
      <c r="P774" s="12" t="str">
        <f t="shared" si="1"/>
        <v>https://docs.google.com/forms/d/e/1FAIpQLSeZ-R1GrWlAPkfaThGqxeTj0QTtrARw4rroxIIepf2kipn1nw/formResponse?usp=pp_url&amp;entry.1313582257=0096176025 / 242510004&amp;entry.1578404635=Hadir</v>
      </c>
      <c r="Q774" s="23" t="s">
        <v>4128</v>
      </c>
      <c r="R774" s="12" t="s">
        <v>4129</v>
      </c>
      <c r="S774" s="24" t="s">
        <v>4130</v>
      </c>
      <c r="T774" s="23" t="str">
        <f>HYPERLINK("https://drive.google.com/file/d/1qI0NKDzxWFnqnMP-CTyd8QXEcui2uTpc/view?usp=drivesdk","32 - XI D-2 - Abimanyu Cakraningrat")</f>
        <v>32 - XI D-2 - Abimanyu Cakraningrat</v>
      </c>
      <c r="U774" s="12" t="s">
        <v>4114</v>
      </c>
      <c r="W774" s="25">
        <f>COUNTIFS('Form Presensi SCC'!$B:$B, IF($C774&lt;&gt;0, TEXT($C774, "0000000000"), $D774), 'Form Presensi SCC'!$C:$C, "Hadir")</f>
        <v>0</v>
      </c>
      <c r="Y774" s="26"/>
    </row>
    <row r="775" ht="22.5" customHeight="1">
      <c r="A775" s="18">
        <v>555.0</v>
      </c>
      <c r="B775" s="31">
        <v>3.0</v>
      </c>
      <c r="C775" s="27" t="s">
        <v>4131</v>
      </c>
      <c r="D775" s="31" t="s">
        <v>4132</v>
      </c>
      <c r="E775" s="32" t="s">
        <v>227</v>
      </c>
      <c r="F775" s="12">
        <v>32.0</v>
      </c>
      <c r="G775" s="12" t="s">
        <v>4122</v>
      </c>
      <c r="H775" s="28"/>
      <c r="I775" s="20"/>
      <c r="J775" s="10"/>
      <c r="K775" s="10" t="s">
        <v>4122</v>
      </c>
      <c r="L775" s="10"/>
      <c r="M775" s="33"/>
      <c r="N775" s="34"/>
      <c r="O775" s="34"/>
      <c r="P775" s="12" t="str">
        <f t="shared" si="1"/>
        <v>https://docs.google.com/forms/d/e/1FAIpQLSeZ-R1GrWlAPkfaThGqxeTj0QTtrARw4rroxIIepf2kipn1nw/formResponse?usp=pp_url&amp;entry.1313582257=0083691625 / 242510013&amp;entry.1578404635=Hadir</v>
      </c>
      <c r="Q775" s="23" t="s">
        <v>4133</v>
      </c>
      <c r="R775" s="12" t="s">
        <v>4134</v>
      </c>
      <c r="S775" s="24" t="s">
        <v>4135</v>
      </c>
      <c r="T775" s="23" t="str">
        <f>HYPERLINK("https://drive.google.com/file/d/15r4Dd6Bj48qCr-ONa6yw1B-ZR4CYO5nA/view?usp=drivesdk","32 - XI D-2 - Aini Nur Fauziah Gunawan")</f>
        <v>32 - XI D-2 - Aini Nur Fauziah Gunawan</v>
      </c>
      <c r="U775" s="12" t="s">
        <v>4114</v>
      </c>
      <c r="W775" s="25">
        <f>COUNTIFS('Form Presensi SCC'!$B:$B, IF($C775&lt;&gt;0, TEXT($C775, "0000000000"), $D775), 'Form Presensi SCC'!$C:$C, "Hadir")</f>
        <v>0</v>
      </c>
      <c r="Y775" s="26"/>
    </row>
    <row r="776" ht="22.5" customHeight="1">
      <c r="A776" s="18">
        <v>555.0</v>
      </c>
      <c r="B776" s="31">
        <v>4.0</v>
      </c>
      <c r="C776" s="27" t="s">
        <v>4136</v>
      </c>
      <c r="D776" s="31" t="s">
        <v>4137</v>
      </c>
      <c r="E776" s="32" t="s">
        <v>227</v>
      </c>
      <c r="F776" s="12">
        <v>32.0</v>
      </c>
      <c r="G776" s="12" t="s">
        <v>4122</v>
      </c>
      <c r="H776" s="28"/>
      <c r="I776" s="20"/>
      <c r="J776" s="10"/>
      <c r="K776" s="10" t="s">
        <v>4122</v>
      </c>
      <c r="L776" s="10"/>
      <c r="M776" s="33"/>
      <c r="N776" s="34"/>
      <c r="O776" s="34"/>
      <c r="P776" s="12" t="str">
        <f t="shared" si="1"/>
        <v>https://docs.google.com/forms/d/e/1FAIpQLSeZ-R1GrWlAPkfaThGqxeTj0QTtrARw4rroxIIepf2kipn1nw/formResponse?usp=pp_url&amp;entry.1313582257=0093555544 / 242510030&amp;entry.1578404635=Hadir</v>
      </c>
      <c r="Q776" s="23" t="s">
        <v>4138</v>
      </c>
      <c r="R776" s="12" t="s">
        <v>4139</v>
      </c>
      <c r="S776" s="24" t="s">
        <v>4140</v>
      </c>
      <c r="T776" s="23" t="str">
        <f>HYPERLINK("https://drive.google.com/file/d/1Bs9T5mhIipg1hYp0FoJbjB47uh-OavUB/view?usp=drivesdk","32 - XI D-2 - Almira Dian Pratiwi")</f>
        <v>32 - XI D-2 - Almira Dian Pratiwi</v>
      </c>
      <c r="U776" s="12" t="s">
        <v>4141</v>
      </c>
      <c r="W776" s="25">
        <f>COUNTIFS('Form Presensi SCC'!$B:$B, IF($C776&lt;&gt;0, TEXT($C776, "0000000000"), $D776), 'Form Presensi SCC'!$C:$C, "Hadir")</f>
        <v>0</v>
      </c>
      <c r="Y776" s="26"/>
    </row>
    <row r="777" ht="22.5" customHeight="1">
      <c r="A777" s="18">
        <v>555.0</v>
      </c>
      <c r="B777" s="31">
        <v>5.0</v>
      </c>
      <c r="C777" s="27" t="s">
        <v>4142</v>
      </c>
      <c r="D777" s="31" t="s">
        <v>4143</v>
      </c>
      <c r="E777" s="32" t="s">
        <v>220</v>
      </c>
      <c r="F777" s="12">
        <v>32.0</v>
      </c>
      <c r="G777" s="12" t="s">
        <v>4122</v>
      </c>
      <c r="H777" s="28"/>
      <c r="I777" s="20"/>
      <c r="J777" s="10"/>
      <c r="K777" s="10" t="s">
        <v>4122</v>
      </c>
      <c r="L777" s="10"/>
      <c r="M777" s="33"/>
      <c r="N777" s="34"/>
      <c r="O777" s="34"/>
      <c r="P777" s="12" t="str">
        <f t="shared" si="1"/>
        <v>https://docs.google.com/forms/d/e/1FAIpQLSeZ-R1GrWlAPkfaThGqxeTj0QTtrARw4rroxIIepf2kipn1nw/formResponse?usp=pp_url&amp;entry.1313582257=0093240247 / 242510049&amp;entry.1578404635=Hadir</v>
      </c>
      <c r="Q777" s="23" t="s">
        <v>4144</v>
      </c>
      <c r="R777" s="12" t="s">
        <v>4145</v>
      </c>
      <c r="S777" s="24" t="s">
        <v>4146</v>
      </c>
      <c r="T777" s="23" t="str">
        <f>HYPERLINK("https://drive.google.com/file/d/1cG25y_LFUUXeZDJCaSqJfYnKY-_WwkZC/view?usp=drivesdk","32 - XI D-2 - Anjar Rauf Fahrizal")</f>
        <v>32 - XI D-2 - Anjar Rauf Fahrizal</v>
      </c>
      <c r="U777" s="12" t="s">
        <v>4141</v>
      </c>
      <c r="W777" s="25">
        <f>COUNTIFS('Form Presensi SCC'!$B:$B, IF($C777&lt;&gt;0, TEXT($C777, "0000000000"), $D777), 'Form Presensi SCC'!$C:$C, "Hadir")</f>
        <v>0</v>
      </c>
      <c r="Y777" s="26"/>
    </row>
    <row r="778" ht="22.5" customHeight="1">
      <c r="A778" s="18">
        <v>555.0</v>
      </c>
      <c r="B778" s="31">
        <v>6.0</v>
      </c>
      <c r="C778" s="27" t="s">
        <v>4147</v>
      </c>
      <c r="D778" s="31" t="s">
        <v>4148</v>
      </c>
      <c r="E778" s="32" t="s">
        <v>227</v>
      </c>
      <c r="F778" s="12">
        <v>32.0</v>
      </c>
      <c r="G778" s="12" t="s">
        <v>4122</v>
      </c>
      <c r="H778" s="28"/>
      <c r="I778" s="20"/>
      <c r="J778" s="10"/>
      <c r="K778" s="10" t="s">
        <v>4122</v>
      </c>
      <c r="L778" s="10"/>
      <c r="M778" s="33"/>
      <c r="N778" s="34"/>
      <c r="O778" s="34"/>
      <c r="P778" s="12" t="str">
        <f t="shared" si="1"/>
        <v>https://docs.google.com/forms/d/e/1FAIpQLSeZ-R1GrWlAPkfaThGqxeTj0QTtrARw4rroxIIepf2kipn1nw/formResponse?usp=pp_url&amp;entry.1313582257=0081177343 / 242510057&amp;entry.1578404635=Hadir</v>
      </c>
      <c r="Q778" s="23" t="s">
        <v>4149</v>
      </c>
      <c r="R778" s="12" t="s">
        <v>4150</v>
      </c>
      <c r="S778" s="24" t="s">
        <v>4151</v>
      </c>
      <c r="T778" s="23" t="str">
        <f>HYPERLINK("https://drive.google.com/file/d/1-u99eVwp8Y5ZiHIGu1wQ5tKnQyKrdEB9/view?usp=drivesdk","32 - XI D-2 - Arsyila Kayyisah Biyanto")</f>
        <v>32 - XI D-2 - Arsyila Kayyisah Biyanto</v>
      </c>
      <c r="U778" s="12" t="s">
        <v>4141</v>
      </c>
      <c r="W778" s="25">
        <f>COUNTIFS('Form Presensi SCC'!$B:$B, IF($C778&lt;&gt;0, TEXT($C778, "0000000000"), $D778), 'Form Presensi SCC'!$C:$C, "Hadir")</f>
        <v>0</v>
      </c>
      <c r="Y778" s="26"/>
    </row>
    <row r="779" ht="22.5" customHeight="1">
      <c r="A779" s="18">
        <v>555.0</v>
      </c>
      <c r="B779" s="31">
        <v>7.0</v>
      </c>
      <c r="C779" s="27" t="s">
        <v>4152</v>
      </c>
      <c r="D779" s="31" t="s">
        <v>4153</v>
      </c>
      <c r="E779" s="32" t="s">
        <v>227</v>
      </c>
      <c r="F779" s="12">
        <v>32.0</v>
      </c>
      <c r="G779" s="12" t="s">
        <v>4122</v>
      </c>
      <c r="H779" s="28"/>
      <c r="I779" s="20"/>
      <c r="J779" s="10"/>
      <c r="K779" s="10" t="s">
        <v>4122</v>
      </c>
      <c r="L779" s="10"/>
      <c r="M779" s="33"/>
      <c r="N779" s="34"/>
      <c r="O779" s="34"/>
      <c r="P779" s="12" t="str">
        <f t="shared" si="1"/>
        <v>https://docs.google.com/forms/d/e/1FAIpQLSeZ-R1GrWlAPkfaThGqxeTj0QTtrARw4rroxIIepf2kipn1nw/formResponse?usp=pp_url&amp;entry.1313582257=0097044189 / 242510065&amp;entry.1578404635=Hadir</v>
      </c>
      <c r="Q779" s="23" t="s">
        <v>4154</v>
      </c>
      <c r="R779" s="12" t="s">
        <v>4155</v>
      </c>
      <c r="S779" s="24" t="s">
        <v>4156</v>
      </c>
      <c r="T779" s="23" t="str">
        <f>HYPERLINK("https://drive.google.com/file/d/1mXbEa1H1b6TQ7xgNnLr5xpt4G4n4FHpM/view?usp=drivesdk","32 - XI D-2 - Aufa Syafiq Disastra")</f>
        <v>32 - XI D-2 - Aufa Syafiq Disastra</v>
      </c>
      <c r="U779" s="12" t="s">
        <v>4141</v>
      </c>
      <c r="W779" s="25">
        <f>COUNTIFS('Form Presensi SCC'!$B:$B, IF($C779&lt;&gt;0, TEXT($C779, "0000000000"), $D779), 'Form Presensi SCC'!$C:$C, "Hadir")</f>
        <v>0</v>
      </c>
      <c r="Y779" s="26"/>
    </row>
    <row r="780" ht="22.5" customHeight="1">
      <c r="A780" s="18">
        <v>555.0</v>
      </c>
      <c r="B780" s="31">
        <v>8.0</v>
      </c>
      <c r="C780" s="27" t="s">
        <v>4157</v>
      </c>
      <c r="D780" s="31" t="s">
        <v>4158</v>
      </c>
      <c r="E780" s="32" t="s">
        <v>227</v>
      </c>
      <c r="F780" s="12">
        <v>32.0</v>
      </c>
      <c r="G780" s="12" t="s">
        <v>4122</v>
      </c>
      <c r="H780" s="28"/>
      <c r="I780" s="20"/>
      <c r="J780" s="10"/>
      <c r="K780" s="10" t="s">
        <v>4122</v>
      </c>
      <c r="L780" s="10"/>
      <c r="M780" s="33"/>
      <c r="N780" s="34"/>
      <c r="O780" s="34"/>
      <c r="P780" s="12" t="str">
        <f t="shared" si="1"/>
        <v>https://docs.google.com/forms/d/e/1FAIpQLSeZ-R1GrWlAPkfaThGqxeTj0QTtrARw4rroxIIepf2kipn1nw/formResponse?usp=pp_url&amp;entry.1313582257=0094015905 / 242510074&amp;entry.1578404635=Hadir</v>
      </c>
      <c r="Q780" s="23" t="s">
        <v>4159</v>
      </c>
      <c r="R780" s="12" t="s">
        <v>4160</v>
      </c>
      <c r="S780" s="24" t="s">
        <v>4161</v>
      </c>
      <c r="T780" s="23" t="str">
        <f>HYPERLINK("https://drive.google.com/file/d/1E1vmPN80WEJrJfjd95wWxB9oa2AUdDWf/view?usp=drivesdk","32 - XI D-2 - Aurellia Syifa Hafianti")</f>
        <v>32 - XI D-2 - Aurellia Syifa Hafianti</v>
      </c>
      <c r="U780" s="12" t="s">
        <v>4141</v>
      </c>
      <c r="W780" s="25">
        <f>COUNTIFS('Form Presensi SCC'!$B:$B, IF($C780&lt;&gt;0, TEXT($C780, "0000000000"), $D780), 'Form Presensi SCC'!$C:$C, "Hadir")</f>
        <v>0</v>
      </c>
      <c r="Y780" s="26"/>
    </row>
    <row r="781" ht="22.5" customHeight="1">
      <c r="A781" s="18">
        <v>555.0</v>
      </c>
      <c r="B781" s="31">
        <v>9.0</v>
      </c>
      <c r="C781" s="27" t="s">
        <v>4162</v>
      </c>
      <c r="D781" s="31" t="s">
        <v>4163</v>
      </c>
      <c r="E781" s="32" t="s">
        <v>227</v>
      </c>
      <c r="F781" s="12">
        <v>32.0</v>
      </c>
      <c r="G781" s="12" t="s">
        <v>4122</v>
      </c>
      <c r="H781" s="28"/>
      <c r="I781" s="20"/>
      <c r="J781" s="10"/>
      <c r="K781" s="10" t="s">
        <v>4122</v>
      </c>
      <c r="L781" s="10"/>
      <c r="M781" s="33"/>
      <c r="N781" s="34"/>
      <c r="O781" s="34"/>
      <c r="P781" s="12" t="str">
        <f t="shared" si="1"/>
        <v>https://docs.google.com/forms/d/e/1FAIpQLSeZ-R1GrWlAPkfaThGqxeTj0QTtrARw4rroxIIepf2kipn1nw/formResponse?usp=pp_url&amp;entry.1313582257=0099056940 / 242510077&amp;entry.1578404635=Hadir</v>
      </c>
      <c r="Q781" s="23" t="s">
        <v>4164</v>
      </c>
      <c r="R781" s="12" t="s">
        <v>4165</v>
      </c>
      <c r="S781" s="24" t="s">
        <v>4166</v>
      </c>
      <c r="T781" s="23" t="str">
        <f>HYPERLINK("https://drive.google.com/file/d/1S0LK1fjSIdkiJSITRmNEu6YxFq9zkMYb/view?usp=drivesdk","32 - XI D-2 - Ayuki Nirwasita Saputro")</f>
        <v>32 - XI D-2 - Ayuki Nirwasita Saputro</v>
      </c>
      <c r="U781" s="12" t="s">
        <v>4141</v>
      </c>
      <c r="W781" s="25">
        <f>COUNTIFS('Form Presensi SCC'!$B:$B, IF($C781&lt;&gt;0, TEXT($C781, "0000000000"), $D781), 'Form Presensi SCC'!$C:$C, "Hadir")</f>
        <v>0</v>
      </c>
      <c r="Y781" s="26"/>
    </row>
    <row r="782" ht="22.5" customHeight="1">
      <c r="A782" s="18">
        <v>555.0</v>
      </c>
      <c r="B782" s="31">
        <v>10.0</v>
      </c>
      <c r="C782" s="27" t="s">
        <v>4167</v>
      </c>
      <c r="D782" s="31" t="s">
        <v>4168</v>
      </c>
      <c r="E782" s="32" t="s">
        <v>227</v>
      </c>
      <c r="F782" s="12">
        <v>32.0</v>
      </c>
      <c r="G782" s="12" t="s">
        <v>4122</v>
      </c>
      <c r="H782" s="28"/>
      <c r="I782" s="20"/>
      <c r="J782" s="10"/>
      <c r="K782" s="10" t="s">
        <v>4122</v>
      </c>
      <c r="L782" s="10"/>
      <c r="M782" s="33"/>
      <c r="N782" s="34"/>
      <c r="O782" s="34"/>
      <c r="P782" s="12" t="str">
        <f t="shared" si="1"/>
        <v>https://docs.google.com/forms/d/e/1FAIpQLSeZ-R1GrWlAPkfaThGqxeTj0QTtrARw4rroxIIepf2kipn1nw/formResponse?usp=pp_url&amp;entry.1313582257=0083503418 / 242510092&amp;entry.1578404635=Hadir</v>
      </c>
      <c r="Q782" s="23" t="s">
        <v>4169</v>
      </c>
      <c r="R782" s="12" t="s">
        <v>4170</v>
      </c>
      <c r="S782" s="24" t="s">
        <v>4171</v>
      </c>
      <c r="T782" s="23" t="str">
        <f>HYPERLINK("https://drive.google.com/file/d/1W6hcvFFGE13b-w7PCuXpY2kzA8g662Be/view?usp=drivesdk","32 - XI D-2 - Chelsy Ashyla Nafiza")</f>
        <v>32 - XI D-2 - Chelsy Ashyla Nafiza</v>
      </c>
      <c r="U782" s="12" t="s">
        <v>4172</v>
      </c>
      <c r="W782" s="25">
        <f>COUNTIFS('Form Presensi SCC'!$B:$B, IF($C782&lt;&gt;0, TEXT($C782, "0000000000"), $D782), 'Form Presensi SCC'!$C:$C, "Hadir")</f>
        <v>0</v>
      </c>
      <c r="Y782" s="26"/>
    </row>
    <row r="783" ht="22.5" customHeight="1">
      <c r="A783" s="18">
        <v>555.0</v>
      </c>
      <c r="B783" s="31">
        <v>11.0</v>
      </c>
      <c r="C783" s="27" t="s">
        <v>4173</v>
      </c>
      <c r="D783" s="31" t="s">
        <v>4174</v>
      </c>
      <c r="E783" s="32" t="s">
        <v>227</v>
      </c>
      <c r="F783" s="12">
        <v>32.0</v>
      </c>
      <c r="G783" s="12" t="s">
        <v>4122</v>
      </c>
      <c r="H783" s="28"/>
      <c r="I783" s="20"/>
      <c r="J783" s="10"/>
      <c r="K783" s="10" t="s">
        <v>4122</v>
      </c>
      <c r="L783" s="10"/>
      <c r="M783" s="33"/>
      <c r="N783" s="34"/>
      <c r="O783" s="34"/>
      <c r="P783" s="12" t="str">
        <f t="shared" si="1"/>
        <v>https://docs.google.com/forms/d/e/1FAIpQLSeZ-R1GrWlAPkfaThGqxeTj0QTtrARw4rroxIIepf2kipn1nw/formResponse?usp=pp_url&amp;entry.1313582257=0082910392 / 242510119&amp;entry.1578404635=Hadir</v>
      </c>
      <c r="Q783" s="23" t="s">
        <v>4175</v>
      </c>
      <c r="R783" s="12" t="s">
        <v>4176</v>
      </c>
      <c r="S783" s="24" t="s">
        <v>4177</v>
      </c>
      <c r="T783" s="23" t="str">
        <f>HYPERLINK("https://drive.google.com/file/d/1u0_ykYHQt21nBuEiinzHrUQ-l4eePorP/view?usp=drivesdk","32 - XI D-2 - Echa Putri Ramadhani")</f>
        <v>32 - XI D-2 - Echa Putri Ramadhani</v>
      </c>
      <c r="U783" s="12" t="s">
        <v>4172</v>
      </c>
      <c r="W783" s="25">
        <f>COUNTIFS('Form Presensi SCC'!$B:$B, IF($C783&lt;&gt;0, TEXT($C783, "0000000000"), $D783), 'Form Presensi SCC'!$C:$C, "Hadir")</f>
        <v>0</v>
      </c>
      <c r="Y783" s="26"/>
    </row>
    <row r="784" ht="22.5" customHeight="1">
      <c r="A784" s="18">
        <v>555.0</v>
      </c>
      <c r="B784" s="31">
        <v>12.0</v>
      </c>
      <c r="C784" s="27" t="s">
        <v>4178</v>
      </c>
      <c r="D784" s="31" t="s">
        <v>4179</v>
      </c>
      <c r="E784" s="32" t="s">
        <v>227</v>
      </c>
      <c r="F784" s="12">
        <v>32.0</v>
      </c>
      <c r="G784" s="12" t="s">
        <v>4122</v>
      </c>
      <c r="H784" s="28"/>
      <c r="I784" s="20"/>
      <c r="J784" s="10"/>
      <c r="K784" s="10" t="s">
        <v>4122</v>
      </c>
      <c r="L784" s="10"/>
      <c r="M784" s="33"/>
      <c r="N784" s="34"/>
      <c r="O784" s="34"/>
      <c r="P784" s="12" t="str">
        <f t="shared" si="1"/>
        <v>https://docs.google.com/forms/d/e/1FAIpQLSeZ-R1GrWlAPkfaThGqxeTj0QTtrARw4rroxIIepf2kipn1nw/formResponse?usp=pp_url&amp;entry.1313582257=0092889165 / 242510121&amp;entry.1578404635=Hadir</v>
      </c>
      <c r="Q784" s="23" t="s">
        <v>4180</v>
      </c>
      <c r="R784" s="12" t="s">
        <v>4181</v>
      </c>
      <c r="S784" s="24" t="s">
        <v>4182</v>
      </c>
      <c r="T784" s="23" t="str">
        <f>HYPERLINK("https://drive.google.com/file/d/1HwbNAk7Q_X7r4sPe3HONv6chF-gPHEYM/view?usp=drivesdk","32 - XI D-2 - Ello Sasmitha Jati")</f>
        <v>32 - XI D-2 - Ello Sasmitha Jati</v>
      </c>
      <c r="U784" s="12" t="s">
        <v>4172</v>
      </c>
      <c r="W784" s="25">
        <f>COUNTIFS('Form Presensi SCC'!$B:$B, IF($C784&lt;&gt;0, TEXT($C784, "0000000000"), $D784), 'Form Presensi SCC'!$C:$C, "Hadir")</f>
        <v>0</v>
      </c>
      <c r="Y784" s="26"/>
    </row>
    <row r="785" ht="22.5" customHeight="1">
      <c r="A785" s="18">
        <v>555.0</v>
      </c>
      <c r="B785" s="31">
        <v>13.0</v>
      </c>
      <c r="C785" s="27" t="s">
        <v>4183</v>
      </c>
      <c r="D785" s="31" t="s">
        <v>4184</v>
      </c>
      <c r="E785" s="32" t="s">
        <v>220</v>
      </c>
      <c r="F785" s="12">
        <v>32.0</v>
      </c>
      <c r="G785" s="12" t="s">
        <v>4122</v>
      </c>
      <c r="H785" s="28"/>
      <c r="I785" s="20"/>
      <c r="J785" s="10"/>
      <c r="K785" s="10" t="s">
        <v>4122</v>
      </c>
      <c r="L785" s="10"/>
      <c r="M785" s="33"/>
      <c r="N785" s="34"/>
      <c r="O785" s="34"/>
      <c r="P785" s="12" t="str">
        <f t="shared" si="1"/>
        <v>https://docs.google.com/forms/d/e/1FAIpQLSeZ-R1GrWlAPkfaThGqxeTj0QTtrARw4rroxIIepf2kipn1nw/formResponse?usp=pp_url&amp;entry.1313582257=0089925170 / 242510124&amp;entry.1578404635=Hadir</v>
      </c>
      <c r="Q785" s="23" t="s">
        <v>4185</v>
      </c>
      <c r="R785" s="12" t="s">
        <v>4186</v>
      </c>
      <c r="S785" s="24" t="s">
        <v>4187</v>
      </c>
      <c r="T785" s="23" t="str">
        <f>HYPERLINK("https://drive.google.com/file/d/1ckh6ZIChxPqmEM1LNxeu6TQ3BgFwqIAt/view?usp=drivesdk","32 - XI D-2 - Eskisan Oktri Femista")</f>
        <v>32 - XI D-2 - Eskisan Oktri Femista</v>
      </c>
      <c r="U785" s="12" t="s">
        <v>4188</v>
      </c>
      <c r="W785" s="25">
        <f>COUNTIFS('Form Presensi SCC'!$B:$B, IF($C785&lt;&gt;0, TEXT($C785, "0000000000"), $D785), 'Form Presensi SCC'!$C:$C, "Hadir")</f>
        <v>0</v>
      </c>
      <c r="Y785" s="26"/>
    </row>
    <row r="786" ht="22.5" customHeight="1">
      <c r="A786" s="18">
        <v>555.0</v>
      </c>
      <c r="B786" s="31">
        <v>14.0</v>
      </c>
      <c r="C786" s="27" t="s">
        <v>4189</v>
      </c>
      <c r="D786" s="31" t="s">
        <v>4190</v>
      </c>
      <c r="E786" s="32" t="s">
        <v>220</v>
      </c>
      <c r="F786" s="12">
        <v>32.0</v>
      </c>
      <c r="G786" s="12" t="s">
        <v>4122</v>
      </c>
      <c r="H786" s="28"/>
      <c r="I786" s="20"/>
      <c r="J786" s="10"/>
      <c r="K786" s="10" t="s">
        <v>4122</v>
      </c>
      <c r="L786" s="10"/>
      <c r="M786" s="33"/>
      <c r="N786" s="34"/>
      <c r="O786" s="34"/>
      <c r="P786" s="12" t="str">
        <f t="shared" si="1"/>
        <v>https://docs.google.com/forms/d/e/1FAIpQLSeZ-R1GrWlAPkfaThGqxeTj0QTtrARw4rroxIIepf2kipn1nw/formResponse?usp=pp_url&amp;entry.1313582257=0097500016 / 242510138&amp;entry.1578404635=Hadir</v>
      </c>
      <c r="Q786" s="23" t="s">
        <v>4191</v>
      </c>
      <c r="R786" s="12" t="s">
        <v>4192</v>
      </c>
      <c r="S786" s="24" t="s">
        <v>4193</v>
      </c>
      <c r="T786" s="23" t="str">
        <f>HYPERLINK("https://drive.google.com/file/d/1kIFXBTVuaCSdzQETmEJxlZQlmQhJHxjT/view?usp=drivesdk","32 - XI D-2 - Fathan Mubina")</f>
        <v>32 - XI D-2 - Fathan Mubina</v>
      </c>
      <c r="U786" s="12" t="s">
        <v>4188</v>
      </c>
      <c r="W786" s="25">
        <f>COUNTIFS('Form Presensi SCC'!$B:$B, IF($C786&lt;&gt;0, TEXT($C786, "0000000000"), $D786), 'Form Presensi SCC'!$C:$C, "Hadir")</f>
        <v>0</v>
      </c>
      <c r="Y786" s="26"/>
    </row>
    <row r="787" ht="22.5" customHeight="1">
      <c r="A787" s="18">
        <v>555.0</v>
      </c>
      <c r="B787" s="31">
        <v>15.0</v>
      </c>
      <c r="C787" s="27" t="s">
        <v>4194</v>
      </c>
      <c r="D787" s="31" t="s">
        <v>4195</v>
      </c>
      <c r="E787" s="32" t="s">
        <v>227</v>
      </c>
      <c r="F787" s="12">
        <v>32.0</v>
      </c>
      <c r="G787" s="12" t="s">
        <v>4122</v>
      </c>
      <c r="H787" s="28"/>
      <c r="I787" s="20"/>
      <c r="J787" s="10"/>
      <c r="K787" s="10" t="s">
        <v>4122</v>
      </c>
      <c r="L787" s="10"/>
      <c r="M787" s="33"/>
      <c r="N787" s="34"/>
      <c r="O787" s="34"/>
      <c r="P787" s="12" t="str">
        <f t="shared" si="1"/>
        <v>https://docs.google.com/forms/d/e/1FAIpQLSeZ-R1GrWlAPkfaThGqxeTj0QTtrARw4rroxIIepf2kipn1nw/formResponse?usp=pp_url&amp;entry.1313582257=0091736459 / 242510143&amp;entry.1578404635=Hadir</v>
      </c>
      <c r="Q787" s="23" t="s">
        <v>4196</v>
      </c>
      <c r="R787" s="12" t="s">
        <v>4197</v>
      </c>
      <c r="S787" s="24" t="s">
        <v>4198</v>
      </c>
      <c r="T787" s="23" t="str">
        <f>HYPERLINK("https://drive.google.com/file/d/1iJBWJxdQG5loNXAv5fBY-lZLR_3hDukp/view?usp=drivesdk","32 - XI D-2 - Fiona Wahidah Salsabila")</f>
        <v>32 - XI D-2 - Fiona Wahidah Salsabila</v>
      </c>
      <c r="U787" s="12" t="s">
        <v>4188</v>
      </c>
      <c r="W787" s="25">
        <f>COUNTIFS('Form Presensi SCC'!$B:$B, IF($C787&lt;&gt;0, TEXT($C787, "0000000000"), $D787), 'Form Presensi SCC'!$C:$C, "Hadir")</f>
        <v>0</v>
      </c>
      <c r="Y787" s="26"/>
    </row>
    <row r="788" ht="22.5" customHeight="1">
      <c r="A788" s="18">
        <v>555.0</v>
      </c>
      <c r="B788" s="31">
        <v>16.0</v>
      </c>
      <c r="C788" s="27" t="s">
        <v>4199</v>
      </c>
      <c r="D788" s="31" t="s">
        <v>4200</v>
      </c>
      <c r="E788" s="32" t="s">
        <v>220</v>
      </c>
      <c r="F788" s="12">
        <v>32.0</v>
      </c>
      <c r="G788" s="12" t="s">
        <v>4122</v>
      </c>
      <c r="H788" s="28"/>
      <c r="I788" s="20"/>
      <c r="J788" s="10"/>
      <c r="K788" s="10" t="s">
        <v>4122</v>
      </c>
      <c r="L788" s="10"/>
      <c r="M788" s="33"/>
      <c r="N788" s="34"/>
      <c r="O788" s="34"/>
      <c r="P788" s="12" t="str">
        <f t="shared" si="1"/>
        <v>https://docs.google.com/forms/d/e/1FAIpQLSeZ-R1GrWlAPkfaThGqxeTj0QTtrARw4rroxIIepf2kipn1nw/formResponse?usp=pp_url&amp;entry.1313582257=0083473619 / 242510151&amp;entry.1578404635=Hadir</v>
      </c>
      <c r="Q788" s="23" t="s">
        <v>4201</v>
      </c>
      <c r="R788" s="12" t="s">
        <v>4202</v>
      </c>
      <c r="S788" s="24" t="s">
        <v>4203</v>
      </c>
      <c r="T788" s="23" t="str">
        <f>HYPERLINK("https://drive.google.com/file/d/1ImmkI7-Jxu0YC_gPuF_JpthcSI1JQAPo/view?usp=drivesdk","32 - XI D-2 - Gian Fabrizio")</f>
        <v>32 - XI D-2 - Gian Fabrizio</v>
      </c>
      <c r="U788" s="12" t="s">
        <v>4188</v>
      </c>
      <c r="W788" s="25">
        <f>COUNTIFS('Form Presensi SCC'!$B:$B, IF($C788&lt;&gt;0, TEXT($C788, "0000000000"), $D788), 'Form Presensi SCC'!$C:$C, "Hadir")</f>
        <v>0</v>
      </c>
      <c r="Y788" s="26"/>
    </row>
    <row r="789" ht="22.5" customHeight="1">
      <c r="A789" s="18">
        <v>555.0</v>
      </c>
      <c r="B789" s="31">
        <v>17.0</v>
      </c>
      <c r="C789" s="27" t="s">
        <v>4204</v>
      </c>
      <c r="D789" s="31" t="s">
        <v>4205</v>
      </c>
      <c r="E789" s="32" t="s">
        <v>227</v>
      </c>
      <c r="F789" s="12">
        <v>32.0</v>
      </c>
      <c r="G789" s="12" t="s">
        <v>4122</v>
      </c>
      <c r="H789" s="28"/>
      <c r="I789" s="20"/>
      <c r="J789" s="10"/>
      <c r="K789" s="10" t="s">
        <v>4122</v>
      </c>
      <c r="L789" s="10"/>
      <c r="M789" s="33"/>
      <c r="N789" s="34"/>
      <c r="O789" s="34"/>
      <c r="P789" s="12" t="str">
        <f t="shared" si="1"/>
        <v>https://docs.google.com/forms/d/e/1FAIpQLSeZ-R1GrWlAPkfaThGqxeTj0QTtrARw4rroxIIepf2kipn1nw/formResponse?usp=pp_url&amp;entry.1313582257=0095965332 / 242510202&amp;entry.1578404635=Hadir</v>
      </c>
      <c r="Q789" s="23" t="s">
        <v>4206</v>
      </c>
      <c r="R789" s="12" t="s">
        <v>4207</v>
      </c>
      <c r="S789" s="24" t="s">
        <v>4208</v>
      </c>
      <c r="T789" s="23" t="str">
        <f>HYPERLINK("https://drive.google.com/file/d/1LKU0xtGC6EEHCb4a_bgJmEFBNB11NRS2/view?usp=drivesdk","32 - XI D-2 - Khansa Nabilah Fatin")</f>
        <v>32 - XI D-2 - Khansa Nabilah Fatin</v>
      </c>
      <c r="U789" s="12" t="s">
        <v>4188</v>
      </c>
      <c r="W789" s="25">
        <f>COUNTIFS('Form Presensi SCC'!$B:$B, IF($C789&lt;&gt;0, TEXT($C789, "0000000000"), $D789), 'Form Presensi SCC'!$C:$C, "Hadir")</f>
        <v>0</v>
      </c>
      <c r="Y789" s="26"/>
    </row>
    <row r="790" ht="22.5" customHeight="1">
      <c r="A790" s="18">
        <v>555.0</v>
      </c>
      <c r="B790" s="31">
        <v>18.0</v>
      </c>
      <c r="C790" s="27" t="s">
        <v>4209</v>
      </c>
      <c r="D790" s="31" t="s">
        <v>4210</v>
      </c>
      <c r="E790" s="32" t="s">
        <v>227</v>
      </c>
      <c r="F790" s="12">
        <v>32.0</v>
      </c>
      <c r="G790" s="12" t="s">
        <v>4122</v>
      </c>
      <c r="H790" s="28"/>
      <c r="I790" s="20"/>
      <c r="J790" s="10"/>
      <c r="K790" s="10" t="s">
        <v>4122</v>
      </c>
      <c r="L790" s="10"/>
      <c r="M790" s="33"/>
      <c r="N790" s="34"/>
      <c r="O790" s="34"/>
      <c r="P790" s="12" t="str">
        <f t="shared" si="1"/>
        <v>https://docs.google.com/forms/d/e/1FAIpQLSeZ-R1GrWlAPkfaThGqxeTj0QTtrARw4rroxIIepf2kipn1nw/formResponse?usp=pp_url&amp;entry.1313582257=3089802088 / 242510204&amp;entry.1578404635=Hadir</v>
      </c>
      <c r="Q790" s="23" t="s">
        <v>4211</v>
      </c>
      <c r="R790" s="12" t="s">
        <v>4212</v>
      </c>
      <c r="S790" s="24" t="s">
        <v>4213</v>
      </c>
      <c r="T790" s="23" t="str">
        <f>HYPERLINK("https://drive.google.com/file/d/1ZOuH1t-hnv-hLlJjPjJO5HrnfQKKykDK/view?usp=drivesdk","32 - XI D-2 - Khofifah Asrining Pangastuti")</f>
        <v>32 - XI D-2 - Khofifah Asrining Pangastuti</v>
      </c>
      <c r="U790" s="12" t="s">
        <v>4188</v>
      </c>
      <c r="W790" s="25">
        <f>COUNTIFS('Form Presensi SCC'!$B:$B, IF($C790&lt;&gt;0, TEXT($C790, "0000000000"), $D790), 'Form Presensi SCC'!$C:$C, "Hadir")</f>
        <v>0</v>
      </c>
      <c r="Y790" s="26"/>
    </row>
    <row r="791" ht="22.5" customHeight="1">
      <c r="A791" s="18">
        <v>555.0</v>
      </c>
      <c r="B791" s="31">
        <v>19.0</v>
      </c>
      <c r="C791" s="27" t="s">
        <v>4214</v>
      </c>
      <c r="D791" s="31" t="s">
        <v>4215</v>
      </c>
      <c r="E791" s="32" t="s">
        <v>220</v>
      </c>
      <c r="F791" s="12">
        <v>32.0</v>
      </c>
      <c r="G791" s="12" t="s">
        <v>4122</v>
      </c>
      <c r="H791" s="28"/>
      <c r="I791" s="20"/>
      <c r="J791" s="10"/>
      <c r="K791" s="10" t="s">
        <v>4122</v>
      </c>
      <c r="L791" s="10"/>
      <c r="M791" s="33"/>
      <c r="N791" s="34"/>
      <c r="O791" s="34"/>
      <c r="P791" s="12" t="str">
        <f t="shared" si="1"/>
        <v>https://docs.google.com/forms/d/e/1FAIpQLSeZ-R1GrWlAPkfaThGqxeTj0QTtrARw4rroxIIepf2kipn1nw/formResponse?usp=pp_url&amp;entry.1313582257=0083558880 / 242510215&amp;entry.1578404635=Hadir</v>
      </c>
      <c r="Q791" s="23" t="s">
        <v>4216</v>
      </c>
      <c r="R791" s="12" t="s">
        <v>4217</v>
      </c>
      <c r="S791" s="24" t="s">
        <v>4218</v>
      </c>
      <c r="T791" s="23" t="str">
        <f>HYPERLINK("https://drive.google.com/file/d/1Oq9-7ATig2Gkh9dA4VhKQ40Ucjj3Bzea/view?usp=drivesdk","32 - XI D-2 - Lukman Harun Aditya")</f>
        <v>32 - XI D-2 - Lukman Harun Aditya</v>
      </c>
      <c r="U791" s="12" t="s">
        <v>4219</v>
      </c>
      <c r="W791" s="25">
        <f>COUNTIFS('Form Presensi SCC'!$B:$B, IF($C791&lt;&gt;0, TEXT($C791, "0000000000"), $D791), 'Form Presensi SCC'!$C:$C, "Hadir")</f>
        <v>0</v>
      </c>
      <c r="Y791" s="26"/>
    </row>
    <row r="792" ht="22.5" customHeight="1">
      <c r="A792" s="18">
        <v>555.0</v>
      </c>
      <c r="B792" s="31">
        <v>20.0</v>
      </c>
      <c r="C792" s="27" t="s">
        <v>4220</v>
      </c>
      <c r="D792" s="31" t="s">
        <v>4221</v>
      </c>
      <c r="E792" s="32" t="s">
        <v>220</v>
      </c>
      <c r="F792" s="12">
        <v>32.0</v>
      </c>
      <c r="G792" s="12" t="s">
        <v>4122</v>
      </c>
      <c r="H792" s="28"/>
      <c r="I792" s="20"/>
      <c r="J792" s="10"/>
      <c r="K792" s="10" t="s">
        <v>4122</v>
      </c>
      <c r="L792" s="10"/>
      <c r="M792" s="33"/>
      <c r="N792" s="34"/>
      <c r="O792" s="34"/>
      <c r="P792" s="12" t="str">
        <f t="shared" si="1"/>
        <v>https://docs.google.com/forms/d/e/1FAIpQLSeZ-R1GrWlAPkfaThGqxeTj0QTtrARw4rroxIIepf2kipn1nw/formResponse?usp=pp_url&amp;entry.1313582257=0087939718 / 242510217&amp;entry.1578404635=Hadir</v>
      </c>
      <c r="Q792" s="23" t="s">
        <v>4222</v>
      </c>
      <c r="R792" s="12" t="s">
        <v>4223</v>
      </c>
      <c r="S792" s="24" t="s">
        <v>4224</v>
      </c>
      <c r="T792" s="23" t="str">
        <f>HYPERLINK("https://drive.google.com/file/d/1-lIQTd5Ic6QhWUFhzqRCRhRGcOhTIxQa/view?usp=drivesdk","32 - XI D-2 - M. Bintang Aliansyah Tukuboya")</f>
        <v>32 - XI D-2 - M. Bintang Aliansyah Tukuboya</v>
      </c>
      <c r="U792" s="12" t="s">
        <v>4219</v>
      </c>
      <c r="W792" s="25">
        <f>COUNTIFS('Form Presensi SCC'!$B:$B, IF($C792&lt;&gt;0, TEXT($C792, "0000000000"), $D792), 'Form Presensi SCC'!$C:$C, "Hadir")</f>
        <v>0</v>
      </c>
      <c r="Y792" s="26"/>
    </row>
    <row r="793" ht="22.5" customHeight="1">
      <c r="A793" s="18">
        <v>555.0</v>
      </c>
      <c r="B793" s="31">
        <v>21.0</v>
      </c>
      <c r="C793" s="27" t="s">
        <v>4225</v>
      </c>
      <c r="D793" s="31" t="s">
        <v>4226</v>
      </c>
      <c r="E793" s="32" t="s">
        <v>220</v>
      </c>
      <c r="F793" s="12">
        <v>32.0</v>
      </c>
      <c r="G793" s="12" t="s">
        <v>4122</v>
      </c>
      <c r="H793" s="28"/>
      <c r="I793" s="20"/>
      <c r="J793" s="10"/>
      <c r="K793" s="10" t="s">
        <v>4122</v>
      </c>
      <c r="L793" s="10"/>
      <c r="M793" s="33"/>
      <c r="N793" s="34"/>
      <c r="O793" s="34"/>
      <c r="P793" s="12" t="str">
        <f t="shared" si="1"/>
        <v>https://docs.google.com/forms/d/e/1FAIpQLSeZ-R1GrWlAPkfaThGqxeTj0QTtrARw4rroxIIepf2kipn1nw/formResponse?usp=pp_url&amp;entry.1313582257=3086429713 / 242510256&amp;entry.1578404635=Hadir</v>
      </c>
      <c r="Q793" s="23" t="s">
        <v>4227</v>
      </c>
      <c r="R793" s="12" t="s">
        <v>4228</v>
      </c>
      <c r="S793" s="24" t="s">
        <v>4229</v>
      </c>
      <c r="T793" s="23" t="str">
        <f>HYPERLINK("https://drive.google.com/file/d/1V-039OENs3Z-dcYDYyrY7kiIw3bBwUNB/view?usp=drivesdk","32 - XI D-2 - Muhammad Dalfin Syawaldi Putra Setiawan")</f>
        <v>32 - XI D-2 - Muhammad Dalfin Syawaldi Putra Setiawan</v>
      </c>
      <c r="U793" s="12" t="s">
        <v>4219</v>
      </c>
      <c r="W793" s="25">
        <f>COUNTIFS('Form Presensi SCC'!$B:$B, IF($C793&lt;&gt;0, TEXT($C793, "0000000000"), $D793), 'Form Presensi SCC'!$C:$C, "Hadir")</f>
        <v>0</v>
      </c>
      <c r="Y793" s="26"/>
    </row>
    <row r="794" ht="22.5" customHeight="1">
      <c r="A794" s="18">
        <v>555.0</v>
      </c>
      <c r="B794" s="31">
        <v>22.0</v>
      </c>
      <c r="C794" s="27" t="s">
        <v>4230</v>
      </c>
      <c r="D794" s="31" t="s">
        <v>4231</v>
      </c>
      <c r="E794" s="32" t="s">
        <v>220</v>
      </c>
      <c r="F794" s="12">
        <v>32.0</v>
      </c>
      <c r="G794" s="12" t="s">
        <v>4122</v>
      </c>
      <c r="H794" s="28"/>
      <c r="I794" s="20"/>
      <c r="J794" s="10"/>
      <c r="K794" s="10" t="s">
        <v>4122</v>
      </c>
      <c r="L794" s="10"/>
      <c r="M794" s="33"/>
      <c r="N794" s="34"/>
      <c r="O794" s="34"/>
      <c r="P794" s="12" t="str">
        <f t="shared" si="1"/>
        <v>https://docs.google.com/forms/d/e/1FAIpQLSeZ-R1GrWlAPkfaThGqxeTj0QTtrARw4rroxIIepf2kipn1nw/formResponse?usp=pp_url&amp;entry.1313582257=0082222599 / 242510270&amp;entry.1578404635=Hadir</v>
      </c>
      <c r="Q794" s="23" t="s">
        <v>4232</v>
      </c>
      <c r="R794" s="12" t="s">
        <v>4233</v>
      </c>
      <c r="S794" s="24" t="s">
        <v>4234</v>
      </c>
      <c r="T794" s="23" t="str">
        <f>HYPERLINK("https://drive.google.com/file/d/1QS7tqQbc8BjM4zK-tWXq1KYMHdU_4sdu/view?usp=drivesdk","32 - XI D-2 - Muhammad Naufal Suryadi")</f>
        <v>32 - XI D-2 - Muhammad Naufal Suryadi</v>
      </c>
      <c r="U794" s="12" t="s">
        <v>4219</v>
      </c>
      <c r="W794" s="25">
        <f>COUNTIFS('Form Presensi SCC'!$B:$B, IF($C794&lt;&gt;0, TEXT($C794, "0000000000"), $D794), 'Form Presensi SCC'!$C:$C, "Hadir")</f>
        <v>0</v>
      </c>
      <c r="Y794" s="26"/>
    </row>
    <row r="795" ht="22.5" customHeight="1">
      <c r="A795" s="18">
        <v>555.0</v>
      </c>
      <c r="B795" s="31">
        <v>23.0</v>
      </c>
      <c r="C795" s="27" t="s">
        <v>4235</v>
      </c>
      <c r="D795" s="31" t="s">
        <v>4236</v>
      </c>
      <c r="E795" s="32" t="s">
        <v>220</v>
      </c>
      <c r="F795" s="12">
        <v>32.0</v>
      </c>
      <c r="G795" s="12" t="s">
        <v>4122</v>
      </c>
      <c r="H795" s="28"/>
      <c r="I795" s="20"/>
      <c r="J795" s="10"/>
      <c r="K795" s="10" t="s">
        <v>4122</v>
      </c>
      <c r="L795" s="10"/>
      <c r="M795" s="33"/>
      <c r="N795" s="34"/>
      <c r="O795" s="34"/>
      <c r="P795" s="12" t="str">
        <f t="shared" si="1"/>
        <v>https://docs.google.com/forms/d/e/1FAIpQLSeZ-R1GrWlAPkfaThGqxeTj0QTtrARw4rroxIIepf2kipn1nw/formResponse?usp=pp_url&amp;entry.1313582257=0096947097 / 242510277&amp;entry.1578404635=Hadir</v>
      </c>
      <c r="Q795" s="23" t="s">
        <v>4237</v>
      </c>
      <c r="R795" s="12" t="s">
        <v>4238</v>
      </c>
      <c r="S795" s="24" t="s">
        <v>4239</v>
      </c>
      <c r="T795" s="23" t="str">
        <f>HYPERLINK("https://drive.google.com/file/d/1rGaQDrPcE2P948lHsWG7VZAFlm3hMGhq/view?usp=drivesdk","32 - XI D-2 - Muhammad Salman Iriansar")</f>
        <v>32 - XI D-2 - Muhammad Salman Iriansar</v>
      </c>
      <c r="U795" s="12" t="s">
        <v>4219</v>
      </c>
      <c r="W795" s="25">
        <f>COUNTIFS('Form Presensi SCC'!$B:$B, IF($C795&lt;&gt;0, TEXT($C795, "0000000000"), $D795), 'Form Presensi SCC'!$C:$C, "Hadir")</f>
        <v>0</v>
      </c>
      <c r="Y795" s="26"/>
    </row>
    <row r="796" ht="22.5" customHeight="1">
      <c r="A796" s="18">
        <v>555.0</v>
      </c>
      <c r="B796" s="31">
        <v>24.0</v>
      </c>
      <c r="C796" s="27" t="s">
        <v>4240</v>
      </c>
      <c r="D796" s="31" t="s">
        <v>4241</v>
      </c>
      <c r="E796" s="32" t="s">
        <v>227</v>
      </c>
      <c r="F796" s="12">
        <v>32.0</v>
      </c>
      <c r="G796" s="12" t="s">
        <v>4122</v>
      </c>
      <c r="H796" s="28"/>
      <c r="I796" s="20"/>
      <c r="J796" s="10"/>
      <c r="K796" s="10" t="s">
        <v>4122</v>
      </c>
      <c r="L796" s="10"/>
      <c r="M796" s="33"/>
      <c r="N796" s="34"/>
      <c r="O796" s="34"/>
      <c r="P796" s="12" t="str">
        <f t="shared" si="1"/>
        <v>https://docs.google.com/forms/d/e/1FAIpQLSeZ-R1GrWlAPkfaThGqxeTj0QTtrARw4rroxIIepf2kipn1nw/formResponse?usp=pp_url&amp;entry.1313582257=0088243290 / 242510285&amp;entry.1578404635=Hadir</v>
      </c>
      <c r="Q796" s="23" t="s">
        <v>4242</v>
      </c>
      <c r="R796" s="12" t="s">
        <v>4243</v>
      </c>
      <c r="S796" s="24" t="s">
        <v>4244</v>
      </c>
      <c r="T796" s="23" t="str">
        <f>HYPERLINK("https://drive.google.com/file/d/1ftG4ozsGQMjXHeA2Ne_L_NyVPKHTXJ8H/view?usp=drivesdk","32 - XI D-2 - Nabilla Alya Rohhadi")</f>
        <v>32 - XI D-2 - Nabilla Alya Rohhadi</v>
      </c>
      <c r="U796" s="12" t="s">
        <v>4219</v>
      </c>
      <c r="W796" s="25">
        <f>COUNTIFS('Form Presensi SCC'!$B:$B, IF($C796&lt;&gt;0, TEXT($C796, "0000000000"), $D796), 'Form Presensi SCC'!$C:$C, "Hadir")</f>
        <v>0</v>
      </c>
      <c r="Y796" s="26"/>
    </row>
    <row r="797" ht="22.5" customHeight="1">
      <c r="A797" s="18">
        <v>555.0</v>
      </c>
      <c r="B797" s="31">
        <v>25.0</v>
      </c>
      <c r="C797" s="27" t="s">
        <v>4245</v>
      </c>
      <c r="D797" s="31" t="s">
        <v>4246</v>
      </c>
      <c r="E797" s="32" t="s">
        <v>227</v>
      </c>
      <c r="F797" s="12">
        <v>32.0</v>
      </c>
      <c r="G797" s="12" t="s">
        <v>4122</v>
      </c>
      <c r="H797" s="28"/>
      <c r="I797" s="20"/>
      <c r="J797" s="10"/>
      <c r="K797" s="10" t="s">
        <v>4122</v>
      </c>
      <c r="L797" s="10"/>
      <c r="M797" s="33"/>
      <c r="N797" s="34"/>
      <c r="O797" s="34"/>
      <c r="P797" s="12" t="str">
        <f t="shared" si="1"/>
        <v>https://docs.google.com/forms/d/e/1FAIpQLSeZ-R1GrWlAPkfaThGqxeTj0QTtrARw4rroxIIepf2kipn1nw/formResponse?usp=pp_url&amp;entry.1313582257=0083111399 / 242510305&amp;entry.1578404635=Hadir</v>
      </c>
      <c r="Q797" s="23" t="s">
        <v>4247</v>
      </c>
      <c r="R797" s="12" t="s">
        <v>4248</v>
      </c>
      <c r="S797" s="24" t="s">
        <v>4249</v>
      </c>
      <c r="T797" s="23" t="str">
        <f>HYPERLINK("https://drive.google.com/file/d/1DoJiqPSgJyLjrl-7IvIljN_iNCghZwYi/view?usp=drivesdk","32 - XI D-2 - Ni Putu Nayaka Prakasayati Pasek")</f>
        <v>32 - XI D-2 - Ni Putu Nayaka Prakasayati Pasek</v>
      </c>
      <c r="U797" s="12" t="s">
        <v>4219</v>
      </c>
      <c r="W797" s="25">
        <f>COUNTIFS('Form Presensi SCC'!$B:$B, IF($C797&lt;&gt;0, TEXT($C797, "0000000000"), $D797), 'Form Presensi SCC'!$C:$C, "Hadir")</f>
        <v>0</v>
      </c>
      <c r="Y797" s="26"/>
    </row>
    <row r="798" ht="22.5" customHeight="1">
      <c r="A798" s="18">
        <v>555.0</v>
      </c>
      <c r="B798" s="31">
        <v>26.0</v>
      </c>
      <c r="C798" s="27" t="s">
        <v>4250</v>
      </c>
      <c r="D798" s="31" t="s">
        <v>4251</v>
      </c>
      <c r="E798" s="32" t="s">
        <v>227</v>
      </c>
      <c r="F798" s="12">
        <v>32.0</v>
      </c>
      <c r="G798" s="12" t="s">
        <v>4122</v>
      </c>
      <c r="H798" s="28"/>
      <c r="I798" s="20"/>
      <c r="J798" s="10"/>
      <c r="K798" s="10" t="s">
        <v>4122</v>
      </c>
      <c r="L798" s="10"/>
      <c r="M798" s="33"/>
      <c r="N798" s="34"/>
      <c r="O798" s="34"/>
      <c r="P798" s="12" t="str">
        <f t="shared" si="1"/>
        <v>https://docs.google.com/forms/d/e/1FAIpQLSeZ-R1GrWlAPkfaThGqxeTj0QTtrARw4rroxIIepf2kipn1nw/formResponse?usp=pp_url&amp;entry.1313582257=0098495672 / 242510327&amp;entry.1578404635=Hadir</v>
      </c>
      <c r="Q798" s="23" t="s">
        <v>4252</v>
      </c>
      <c r="R798" s="12" t="s">
        <v>4253</v>
      </c>
      <c r="S798" s="24" t="s">
        <v>4254</v>
      </c>
      <c r="T798" s="23" t="str">
        <f>HYPERLINK("https://drive.google.com/file/d/1tNInCKFA28EyLXwJ1TJX__jeCNb6dy30/view?usp=drivesdk","32 - XI D-2 - Quinsha Naura Adity")</f>
        <v>32 - XI D-2 - Quinsha Naura Adity</v>
      </c>
      <c r="U798" s="12" t="s">
        <v>4255</v>
      </c>
      <c r="W798" s="25">
        <f>COUNTIFS('Form Presensi SCC'!$B:$B, IF($C798&lt;&gt;0, TEXT($C798, "0000000000"), $D798), 'Form Presensi SCC'!$C:$C, "Hadir")</f>
        <v>0</v>
      </c>
      <c r="Y798" s="26"/>
    </row>
    <row r="799" ht="22.5" customHeight="1">
      <c r="A799" s="18">
        <v>555.0</v>
      </c>
      <c r="B799" s="31">
        <v>27.0</v>
      </c>
      <c r="C799" s="27" t="s">
        <v>4256</v>
      </c>
      <c r="D799" s="31" t="s">
        <v>4257</v>
      </c>
      <c r="E799" s="32" t="s">
        <v>227</v>
      </c>
      <c r="F799" s="12">
        <v>32.0</v>
      </c>
      <c r="G799" s="12" t="s">
        <v>4122</v>
      </c>
      <c r="H799" s="28"/>
      <c r="I799" s="20"/>
      <c r="J799" s="10"/>
      <c r="K799" s="10" t="s">
        <v>4122</v>
      </c>
      <c r="L799" s="10"/>
      <c r="M799" s="33"/>
      <c r="N799" s="34"/>
      <c r="O799" s="34"/>
      <c r="P799" s="12" t="str">
        <f t="shared" si="1"/>
        <v>https://docs.google.com/forms/d/e/1FAIpQLSeZ-R1GrWlAPkfaThGqxeTj0QTtrARw4rroxIIepf2kipn1nw/formResponse?usp=pp_url&amp;entry.1313582257=0087033208 / 242510335&amp;entry.1578404635=Hadir</v>
      </c>
      <c r="Q799" s="23" t="s">
        <v>4258</v>
      </c>
      <c r="R799" s="12" t="s">
        <v>4259</v>
      </c>
      <c r="S799" s="24" t="s">
        <v>4260</v>
      </c>
      <c r="T799" s="23" t="str">
        <f>HYPERLINK("https://drive.google.com/file/d/11wGde8qXGKRy3ip7YdMmxtuiYlYav_gS/view?usp=drivesdk","32 - XI D-2 - Rahel Esra Ratua Manurung")</f>
        <v>32 - XI D-2 - Rahel Esra Ratua Manurung</v>
      </c>
      <c r="U799" s="12" t="s">
        <v>4255</v>
      </c>
      <c r="W799" s="25">
        <f>COUNTIFS('Form Presensi SCC'!$B:$B, IF($C799&lt;&gt;0, TEXT($C799, "0000000000"), $D799), 'Form Presensi SCC'!$C:$C, "Hadir")</f>
        <v>0</v>
      </c>
      <c r="Y799" s="26"/>
    </row>
    <row r="800" ht="22.5" customHeight="1">
      <c r="A800" s="18">
        <v>555.0</v>
      </c>
      <c r="B800" s="31">
        <v>28.0</v>
      </c>
      <c r="C800" s="27" t="s">
        <v>4261</v>
      </c>
      <c r="D800" s="31" t="s">
        <v>4262</v>
      </c>
      <c r="E800" s="32" t="s">
        <v>227</v>
      </c>
      <c r="F800" s="12">
        <v>32.0</v>
      </c>
      <c r="G800" s="12" t="s">
        <v>4122</v>
      </c>
      <c r="H800" s="28"/>
      <c r="I800" s="20"/>
      <c r="J800" s="10"/>
      <c r="K800" s="10" t="s">
        <v>4122</v>
      </c>
      <c r="L800" s="10"/>
      <c r="M800" s="33"/>
      <c r="N800" s="34"/>
      <c r="O800" s="34"/>
      <c r="P800" s="12" t="str">
        <f t="shared" si="1"/>
        <v>https://docs.google.com/forms/d/e/1FAIpQLSeZ-R1GrWlAPkfaThGqxeTj0QTtrARw4rroxIIepf2kipn1nw/formResponse?usp=pp_url&amp;entry.1313582257=0087540462 / 242510365&amp;entry.1578404635=Hadir</v>
      </c>
      <c r="Q800" s="23" t="s">
        <v>4263</v>
      </c>
      <c r="R800" s="12" t="s">
        <v>4264</v>
      </c>
      <c r="S800" s="24" t="s">
        <v>4265</v>
      </c>
      <c r="T800" s="23" t="str">
        <f>HYPERLINK("https://drive.google.com/file/d/1cTN4piHnhvHPGl4NxVVnsxOvJFK-GaLa/view?usp=drivesdk","32 - XI D-2 - Salsabila Alfeeansyah Putri")</f>
        <v>32 - XI D-2 - Salsabila Alfeeansyah Putri</v>
      </c>
      <c r="U800" s="12" t="s">
        <v>4255</v>
      </c>
      <c r="W800" s="25">
        <f>COUNTIFS('Form Presensi SCC'!$B:$B, IF($C800&lt;&gt;0, TEXT($C800, "0000000000"), $D800), 'Form Presensi SCC'!$C:$C, "Hadir")</f>
        <v>0</v>
      </c>
      <c r="Y800" s="26"/>
    </row>
    <row r="801" ht="22.5" customHeight="1">
      <c r="A801" s="18">
        <v>555.0</v>
      </c>
      <c r="B801" s="31">
        <v>29.0</v>
      </c>
      <c r="C801" s="27" t="s">
        <v>4266</v>
      </c>
      <c r="D801" s="31" t="s">
        <v>4267</v>
      </c>
      <c r="E801" s="32" t="s">
        <v>220</v>
      </c>
      <c r="F801" s="12">
        <v>32.0</v>
      </c>
      <c r="G801" s="12" t="s">
        <v>4122</v>
      </c>
      <c r="H801" s="28"/>
      <c r="I801" s="20"/>
      <c r="J801" s="10"/>
      <c r="K801" s="10" t="s">
        <v>4122</v>
      </c>
      <c r="L801" s="10"/>
      <c r="M801" s="33"/>
      <c r="N801" s="34"/>
      <c r="O801" s="34"/>
      <c r="P801" s="12" t="str">
        <f t="shared" si="1"/>
        <v>https://docs.google.com/forms/d/e/1FAIpQLSeZ-R1GrWlAPkfaThGqxeTj0QTtrARw4rroxIIepf2kipn1nw/formResponse?usp=pp_url&amp;entry.1313582257=0098177122 / 242510370&amp;entry.1578404635=Hadir</v>
      </c>
      <c r="Q801" s="23" t="s">
        <v>4268</v>
      </c>
      <c r="R801" s="12" t="s">
        <v>4269</v>
      </c>
      <c r="S801" s="24" t="s">
        <v>4270</v>
      </c>
      <c r="T801" s="23" t="str">
        <f>HYPERLINK("https://drive.google.com/file/d/1qBdkwbgjYm4Jh_clGsmGAIgxfQ_OLpVm/view?usp=drivesdk","32 - XI D-2 - Samuel Sahat Vito Siregar")</f>
        <v>32 - XI D-2 - Samuel Sahat Vito Siregar</v>
      </c>
      <c r="U801" s="12" t="s">
        <v>4255</v>
      </c>
      <c r="W801" s="25">
        <f>COUNTIFS('Form Presensi SCC'!$B:$B, IF($C801&lt;&gt;0, TEXT($C801, "0000000000"), $D801), 'Form Presensi SCC'!$C:$C, "Hadir")</f>
        <v>0</v>
      </c>
      <c r="Y801" s="26"/>
    </row>
    <row r="802" ht="22.5" customHeight="1">
      <c r="A802" s="18">
        <v>555.0</v>
      </c>
      <c r="B802" s="31">
        <v>30.0</v>
      </c>
      <c r="C802" s="27" t="s">
        <v>4271</v>
      </c>
      <c r="D802" s="31" t="s">
        <v>4272</v>
      </c>
      <c r="E802" s="32" t="s">
        <v>220</v>
      </c>
      <c r="F802" s="12">
        <v>32.0</v>
      </c>
      <c r="G802" s="12" t="s">
        <v>4122</v>
      </c>
      <c r="H802" s="28"/>
      <c r="I802" s="20"/>
      <c r="J802" s="10"/>
      <c r="K802" s="10" t="s">
        <v>4122</v>
      </c>
      <c r="L802" s="10"/>
      <c r="M802" s="33"/>
      <c r="N802" s="34"/>
      <c r="O802" s="34"/>
      <c r="P802" s="12" t="str">
        <f t="shared" si="1"/>
        <v>https://docs.google.com/forms/d/e/1FAIpQLSeZ-R1GrWlAPkfaThGqxeTj0QTtrARw4rroxIIepf2kipn1nw/formResponse?usp=pp_url&amp;entry.1313582257=0084182636 / 242510376&amp;entry.1578404635=Hadir</v>
      </c>
      <c r="Q802" s="23" t="s">
        <v>4273</v>
      </c>
      <c r="R802" s="12" t="s">
        <v>4274</v>
      </c>
      <c r="S802" s="24" t="s">
        <v>4275</v>
      </c>
      <c r="T802" s="23" t="str">
        <f>HYPERLINK("https://drive.google.com/file/d/17mjNG1Ie1DIJcc5OlXfXeGvqUhmi-LuW/view?usp=drivesdk","32 - XI D-2 - Satria Andhika Raissa")</f>
        <v>32 - XI D-2 - Satria Andhika Raissa</v>
      </c>
      <c r="U802" s="12" t="s">
        <v>4255</v>
      </c>
      <c r="W802" s="25">
        <f>COUNTIFS('Form Presensi SCC'!$B:$B, IF($C802&lt;&gt;0, TEXT($C802, "0000000000"), $D802), 'Form Presensi SCC'!$C:$C, "Hadir")</f>
        <v>0</v>
      </c>
      <c r="Y802" s="26"/>
    </row>
    <row r="803" ht="22.5" customHeight="1">
      <c r="A803" s="18">
        <v>555.0</v>
      </c>
      <c r="B803" s="31">
        <v>31.0</v>
      </c>
      <c r="C803" s="27" t="s">
        <v>4276</v>
      </c>
      <c r="D803" s="31" t="s">
        <v>4277</v>
      </c>
      <c r="E803" s="32" t="s">
        <v>227</v>
      </c>
      <c r="F803" s="12">
        <v>32.0</v>
      </c>
      <c r="G803" s="12" t="s">
        <v>4122</v>
      </c>
      <c r="H803" s="28"/>
      <c r="I803" s="20"/>
      <c r="J803" s="10"/>
      <c r="K803" s="10" t="s">
        <v>4122</v>
      </c>
      <c r="L803" s="10"/>
      <c r="M803" s="33"/>
      <c r="N803" s="34"/>
      <c r="O803" s="34"/>
      <c r="P803" s="12" t="str">
        <f t="shared" si="1"/>
        <v>https://docs.google.com/forms/d/e/1FAIpQLSeZ-R1GrWlAPkfaThGqxeTj0QTtrARw4rroxIIepf2kipn1nw/formResponse?usp=pp_url&amp;entry.1313582257=0092533632 / 242510397&amp;entry.1578404635=Hadir</v>
      </c>
      <c r="Q803" s="23" t="s">
        <v>4278</v>
      </c>
      <c r="R803" s="12" t="s">
        <v>4279</v>
      </c>
      <c r="S803" s="24" t="s">
        <v>4280</v>
      </c>
      <c r="T803" s="23" t="str">
        <f>HYPERLINK("https://drive.google.com/file/d/1NaIXW-filH-JGCu5GVTwRgD1o4UP8l2U/view?usp=drivesdk","32 - XI D-2 - Talita Putria Cahyani")</f>
        <v>32 - XI D-2 - Talita Putria Cahyani</v>
      </c>
      <c r="U803" s="12" t="s">
        <v>4255</v>
      </c>
      <c r="W803" s="25">
        <f>COUNTIFS('Form Presensi SCC'!$B:$B, IF($C803&lt;&gt;0, TEXT($C803, "0000000000"), $D803), 'Form Presensi SCC'!$C:$C, "Hadir")</f>
        <v>0</v>
      </c>
      <c r="Y803" s="26"/>
    </row>
    <row r="804" ht="22.5" customHeight="1">
      <c r="A804" s="18">
        <v>555.0</v>
      </c>
      <c r="B804" s="31">
        <v>32.0</v>
      </c>
      <c r="C804" s="27" t="s">
        <v>4281</v>
      </c>
      <c r="D804" s="31" t="s">
        <v>4282</v>
      </c>
      <c r="E804" s="32" t="s">
        <v>227</v>
      </c>
      <c r="F804" s="12">
        <v>32.0</v>
      </c>
      <c r="G804" s="12" t="s">
        <v>4122</v>
      </c>
      <c r="H804" s="28"/>
      <c r="I804" s="20"/>
      <c r="J804" s="10"/>
      <c r="K804" s="10" t="s">
        <v>4122</v>
      </c>
      <c r="L804" s="10"/>
      <c r="M804" s="33"/>
      <c r="N804" s="34"/>
      <c r="O804" s="34"/>
      <c r="P804" s="12" t="str">
        <f t="shared" si="1"/>
        <v>https://docs.google.com/forms/d/e/1FAIpQLSeZ-R1GrWlAPkfaThGqxeTj0QTtrARw4rroxIIepf2kipn1nw/formResponse?usp=pp_url&amp;entry.1313582257=0089659957 / 242510418&amp;entry.1578404635=Hadir</v>
      </c>
      <c r="Q804" s="23" t="s">
        <v>4283</v>
      </c>
      <c r="R804" s="12" t="s">
        <v>4284</v>
      </c>
      <c r="S804" s="24" t="s">
        <v>4285</v>
      </c>
      <c r="T804" s="23" t="str">
        <f>HYPERLINK("https://drive.google.com/file/d/1Ji_90wlV5e5UkO1ZzfXBdtAYpxOcAs5q/view?usp=drivesdk","32 - XI D-2 - Yasmin Sakura Armawan")</f>
        <v>32 - XI D-2 - Yasmin Sakura Armawan</v>
      </c>
      <c r="U804" s="12" t="s">
        <v>4255</v>
      </c>
      <c r="W804" s="25">
        <f>COUNTIFS('Form Presensi SCC'!$B:$B, IF($C804&lt;&gt;0, TEXT($C804, "0000000000"), $D804), 'Form Presensi SCC'!$C:$C, "Hadir")</f>
        <v>0</v>
      </c>
      <c r="Y804" s="26"/>
    </row>
    <row r="805" ht="22.5" customHeight="1">
      <c r="A805" s="18">
        <v>555.0</v>
      </c>
      <c r="B805" s="31">
        <v>33.0</v>
      </c>
      <c r="C805" s="27" t="s">
        <v>4286</v>
      </c>
      <c r="D805" s="31" t="s">
        <v>4287</v>
      </c>
      <c r="E805" s="32" t="s">
        <v>227</v>
      </c>
      <c r="F805" s="12">
        <v>32.0</v>
      </c>
      <c r="G805" s="12" t="s">
        <v>4122</v>
      </c>
      <c r="H805" s="28"/>
      <c r="I805" s="20"/>
      <c r="J805" s="10"/>
      <c r="K805" s="10" t="s">
        <v>4122</v>
      </c>
      <c r="L805" s="10"/>
      <c r="M805" s="33"/>
      <c r="N805" s="34"/>
      <c r="O805" s="34"/>
      <c r="P805" s="12" t="str">
        <f t="shared" si="1"/>
        <v>https://docs.google.com/forms/d/e/1FAIpQLSeZ-R1GrWlAPkfaThGqxeTj0QTtrARw4rroxIIepf2kipn1nw/formResponse?usp=pp_url&amp;entry.1313582257=0094494926 / 242510419&amp;entry.1578404635=Hadir</v>
      </c>
      <c r="Q805" s="23" t="s">
        <v>4288</v>
      </c>
      <c r="R805" s="12" t="s">
        <v>4289</v>
      </c>
      <c r="S805" s="24" t="s">
        <v>4290</v>
      </c>
      <c r="T805" s="23" t="str">
        <f>HYPERLINK("https://drive.google.com/file/d/1-hXK5wj8QMgcetzwlwYmEfkOCnhiJjGT/view?usp=drivesdk","32 - XI D-2 - Zafarani Amalia Putri")</f>
        <v>32 - XI D-2 - Zafarani Amalia Putri</v>
      </c>
      <c r="U805" s="12" t="s">
        <v>4291</v>
      </c>
      <c r="W805" s="25">
        <f>COUNTIFS('Form Presensi SCC'!$B:$B, IF($C805&lt;&gt;0, TEXT($C805, "0000000000"), $D805), 'Form Presensi SCC'!$C:$C, "Hadir")</f>
        <v>0</v>
      </c>
      <c r="Y805" s="26"/>
    </row>
    <row r="806" ht="22.5" customHeight="1">
      <c r="A806" s="18">
        <v>555.0</v>
      </c>
      <c r="B806" s="31">
        <v>34.0</v>
      </c>
      <c r="C806" s="27" t="s">
        <v>4292</v>
      </c>
      <c r="D806" s="31" t="s">
        <v>4293</v>
      </c>
      <c r="E806" s="32" t="s">
        <v>227</v>
      </c>
      <c r="F806" s="12">
        <v>32.0</v>
      </c>
      <c r="G806" s="12" t="s">
        <v>4122</v>
      </c>
      <c r="H806" s="28"/>
      <c r="I806" s="20"/>
      <c r="J806" s="10"/>
      <c r="K806" s="10" t="s">
        <v>4122</v>
      </c>
      <c r="L806" s="10"/>
      <c r="M806" s="33"/>
      <c r="N806" s="34"/>
      <c r="O806" s="34"/>
      <c r="P806" s="12" t="str">
        <f t="shared" si="1"/>
        <v>https://docs.google.com/forms/d/e/1FAIpQLSeZ-R1GrWlAPkfaThGqxeTj0QTtrARw4rroxIIepf2kipn1nw/formResponse?usp=pp_url&amp;entry.1313582257=0083550559 / 242510422&amp;entry.1578404635=Hadir</v>
      </c>
      <c r="Q806" s="23" t="s">
        <v>4294</v>
      </c>
      <c r="R806" s="12" t="s">
        <v>4295</v>
      </c>
      <c r="S806" s="24" t="s">
        <v>4296</v>
      </c>
      <c r="T806" s="23" t="str">
        <f>HYPERLINK("https://drive.google.com/file/d/1esrpLj-nF92JsWPpmIFLY1DaIU388cKB/view?usp=drivesdk","32 - XI D-2 - Zahra Talita Dzakira")</f>
        <v>32 - XI D-2 - Zahra Talita Dzakira</v>
      </c>
      <c r="U806" s="12" t="s">
        <v>4291</v>
      </c>
      <c r="W806" s="25">
        <f>COUNTIFS('Form Presensi SCC'!$B:$B, IF($C806&lt;&gt;0, TEXT($C806, "0000000000"), $D806), 'Form Presensi SCC'!$C:$C, "Hadir")</f>
        <v>0</v>
      </c>
      <c r="Y806" s="26"/>
    </row>
    <row r="807" ht="22.5" customHeight="1">
      <c r="A807" s="18">
        <v>555.0</v>
      </c>
      <c r="B807" s="31">
        <v>35.0</v>
      </c>
      <c r="C807" s="27" t="s">
        <v>4297</v>
      </c>
      <c r="D807" s="31" t="s">
        <v>4298</v>
      </c>
      <c r="E807" s="32" t="s">
        <v>227</v>
      </c>
      <c r="F807" s="12">
        <v>32.0</v>
      </c>
      <c r="G807" s="12" t="s">
        <v>4122</v>
      </c>
      <c r="H807" s="28"/>
      <c r="I807" s="20"/>
      <c r="J807" s="10"/>
      <c r="K807" s="10" t="s">
        <v>4122</v>
      </c>
      <c r="L807" s="10"/>
      <c r="M807" s="33"/>
      <c r="N807" s="34"/>
      <c r="O807" s="34"/>
      <c r="P807" s="12" t="str">
        <f t="shared" si="1"/>
        <v>https://docs.google.com/forms/d/e/1FAIpQLSeZ-R1GrWlAPkfaThGqxeTj0QTtrARw4rroxIIepf2kipn1nw/formResponse?usp=pp_url&amp;entry.1313582257=0086771046 / 242510427&amp;entry.1578404635=Hadir</v>
      </c>
      <c r="Q807" s="23" t="s">
        <v>4299</v>
      </c>
      <c r="R807" s="12" t="s">
        <v>4300</v>
      </c>
      <c r="S807" s="24" t="s">
        <v>4301</v>
      </c>
      <c r="T807" s="23" t="str">
        <f>HYPERLINK("https://drive.google.com/file/d/1aP7n2FBFFhACUkQzSaReQDFyENC7R0nW/view?usp=drivesdk","32 - XI D-2 - Zaskya Risqita Andriani")</f>
        <v>32 - XI D-2 - Zaskya Risqita Andriani</v>
      </c>
      <c r="U807" s="12" t="s">
        <v>4291</v>
      </c>
      <c r="W807" s="25">
        <f>COUNTIFS('Form Presensi SCC'!$B:$B, IF($C807&lt;&gt;0, TEXT($C807, "0000000000"), $D807), 'Form Presensi SCC'!$C:$C, "Hadir")</f>
        <v>0</v>
      </c>
      <c r="Y807" s="26"/>
    </row>
    <row r="808" ht="22.5" customHeight="1">
      <c r="A808" s="18">
        <v>555.0</v>
      </c>
      <c r="B808" s="31">
        <v>36.0</v>
      </c>
      <c r="C808" s="27" t="s">
        <v>4302</v>
      </c>
      <c r="D808" s="31" t="s">
        <v>4303</v>
      </c>
      <c r="E808" s="32" t="s">
        <v>220</v>
      </c>
      <c r="F808" s="12">
        <v>32.0</v>
      </c>
      <c r="G808" s="12" t="s">
        <v>4122</v>
      </c>
      <c r="H808" s="28"/>
      <c r="I808" s="20"/>
      <c r="J808" s="10"/>
      <c r="K808" s="10" t="s">
        <v>4122</v>
      </c>
      <c r="L808" s="10"/>
      <c r="M808" s="33"/>
      <c r="N808" s="34"/>
      <c r="O808" s="34"/>
      <c r="P808" s="12" t="str">
        <f t="shared" si="1"/>
        <v>https://docs.google.com/forms/d/e/1FAIpQLSeZ-R1GrWlAPkfaThGqxeTj0QTtrARw4rroxIIepf2kipn1nw/formResponse?usp=pp_url&amp;entry.1313582257=0098965422 / 242510431&amp;entry.1578404635=Hadir</v>
      </c>
      <c r="Q808" s="23" t="s">
        <v>4304</v>
      </c>
      <c r="R808" s="12" t="s">
        <v>4305</v>
      </c>
      <c r="S808" s="24" t="s">
        <v>4306</v>
      </c>
      <c r="T808" s="23" t="str">
        <f>HYPERLINK("https://drive.google.com/file/d/1WXCKFSpLUOa-i9DjKxhGTxdnKN4P0Tve/view?usp=drivesdk","32 - XI D-2 - Zikra Arib Rozaan")</f>
        <v>32 - XI D-2 - Zikra Arib Rozaan</v>
      </c>
      <c r="U808" s="12" t="s">
        <v>4291</v>
      </c>
      <c r="W808" s="25">
        <f>COUNTIFS('Form Presensi SCC'!$B:$B, IF($C808&lt;&gt;0, TEXT($C808, "0000000000"), $D808), 'Form Presensi SCC'!$C:$C, "Hadir")</f>
        <v>0</v>
      </c>
      <c r="Y808" s="26"/>
    </row>
    <row r="809" ht="22.5" customHeight="1">
      <c r="A809" s="18">
        <v>555.0</v>
      </c>
      <c r="B809" s="31">
        <v>1.0</v>
      </c>
      <c r="C809" s="27" t="s">
        <v>4307</v>
      </c>
      <c r="D809" s="31" t="s">
        <v>4308</v>
      </c>
      <c r="E809" s="32" t="s">
        <v>220</v>
      </c>
      <c r="F809" s="12">
        <v>32.0</v>
      </c>
      <c r="G809" s="12" t="s">
        <v>4309</v>
      </c>
      <c r="H809" s="28"/>
      <c r="I809" s="20"/>
      <c r="J809" s="10"/>
      <c r="K809" s="10" t="s">
        <v>4309</v>
      </c>
      <c r="L809" s="10"/>
      <c r="M809" s="33"/>
      <c r="N809" s="34"/>
      <c r="O809" s="34"/>
      <c r="P809" s="12" t="str">
        <f t="shared" si="1"/>
        <v>https://docs.google.com/forms/d/e/1FAIpQLSeZ-R1GrWlAPkfaThGqxeTj0QTtrARw4rroxIIepf2kipn1nw/formResponse?usp=pp_url&amp;entry.1313582257=0091972857 / 242510003&amp;entry.1578404635=Hadir</v>
      </c>
      <c r="Q809" s="23" t="s">
        <v>4310</v>
      </c>
      <c r="R809" s="12" t="s">
        <v>4311</v>
      </c>
      <c r="S809" s="24" t="s">
        <v>4312</v>
      </c>
      <c r="T809" s="23" t="str">
        <f>HYPERLINK("https://drive.google.com/file/d/1LJLVpe8mDX4a4twGZXm2PM7mYU-fgTgS/view?usp=drivesdk","32 - XI D-3 - Abhista Anggoro Purnomo")</f>
        <v>32 - XI D-3 - Abhista Anggoro Purnomo</v>
      </c>
      <c r="U809" s="12" t="s">
        <v>4291</v>
      </c>
      <c r="W809" s="25">
        <f>COUNTIFS('Form Presensi SCC'!$B:$B, IF($C809&lt;&gt;0, TEXT($C809, "0000000000"), $D809), 'Form Presensi SCC'!$C:$C, "Hadir")</f>
        <v>0</v>
      </c>
      <c r="Y809" s="26"/>
    </row>
    <row r="810" ht="22.5" customHeight="1">
      <c r="A810" s="18">
        <v>555.0</v>
      </c>
      <c r="B810" s="31">
        <v>2.0</v>
      </c>
      <c r="C810" s="27" t="s">
        <v>4313</v>
      </c>
      <c r="D810" s="31" t="s">
        <v>4314</v>
      </c>
      <c r="E810" s="32" t="s">
        <v>227</v>
      </c>
      <c r="F810" s="12">
        <v>32.0</v>
      </c>
      <c r="G810" s="12" t="s">
        <v>4309</v>
      </c>
      <c r="H810" s="28"/>
      <c r="I810" s="20"/>
      <c r="J810" s="10"/>
      <c r="K810" s="10" t="s">
        <v>4309</v>
      </c>
      <c r="L810" s="10"/>
      <c r="M810" s="33"/>
      <c r="N810" s="34"/>
      <c r="O810" s="34"/>
      <c r="P810" s="12" t="str">
        <f t="shared" si="1"/>
        <v>https://docs.google.com/forms/d/e/1FAIpQLSeZ-R1GrWlAPkfaThGqxeTj0QTtrARw4rroxIIepf2kipn1nw/formResponse?usp=pp_url&amp;entry.1313582257=0099463036 / 242510012&amp;entry.1578404635=Hadir</v>
      </c>
      <c r="Q810" s="23" t="s">
        <v>4315</v>
      </c>
      <c r="R810" s="12" t="s">
        <v>4316</v>
      </c>
      <c r="S810" s="24" t="s">
        <v>4317</v>
      </c>
      <c r="T810" s="23" t="str">
        <f>HYPERLINK("https://drive.google.com/file/d/1ENDbO1XIRsHprRLjCBZhWebf6QA_BXJ_/view?usp=drivesdk","32 - XI D-3 - Aina Nisa Asyifa")</f>
        <v>32 - XI D-3 - Aina Nisa Asyifa</v>
      </c>
      <c r="U810" s="12" t="s">
        <v>4291</v>
      </c>
      <c r="W810" s="25">
        <f>COUNTIFS('Form Presensi SCC'!$B:$B, IF($C810&lt;&gt;0, TEXT($C810, "0000000000"), $D810), 'Form Presensi SCC'!$C:$C, "Hadir")</f>
        <v>0</v>
      </c>
      <c r="Y810" s="26"/>
    </row>
    <row r="811" ht="22.5" customHeight="1">
      <c r="A811" s="18">
        <v>555.0</v>
      </c>
      <c r="B811" s="31">
        <v>3.0</v>
      </c>
      <c r="C811" s="27" t="s">
        <v>4318</v>
      </c>
      <c r="D811" s="31" t="s">
        <v>4319</v>
      </c>
      <c r="E811" s="32" t="s">
        <v>220</v>
      </c>
      <c r="F811" s="12">
        <v>32.0</v>
      </c>
      <c r="G811" s="12" t="s">
        <v>4309</v>
      </c>
      <c r="H811" s="28"/>
      <c r="I811" s="20"/>
      <c r="J811" s="10"/>
      <c r="K811" s="10" t="s">
        <v>4309</v>
      </c>
      <c r="L811" s="10"/>
      <c r="M811" s="33"/>
      <c r="N811" s="34"/>
      <c r="O811" s="34"/>
      <c r="P811" s="12" t="str">
        <f t="shared" si="1"/>
        <v>https://docs.google.com/forms/d/e/1FAIpQLSeZ-R1GrWlAPkfaThGqxeTj0QTtrARw4rroxIIepf2kipn1nw/formResponse?usp=pp_url&amp;entry.1313582257=0084373144 / 242510032&amp;entry.1578404635=Hadir</v>
      </c>
      <c r="Q811" s="23" t="s">
        <v>4320</v>
      </c>
      <c r="R811" s="12" t="s">
        <v>4321</v>
      </c>
      <c r="S811" s="24" t="s">
        <v>4322</v>
      </c>
      <c r="T811" s="23" t="str">
        <f>HYPERLINK("https://drive.google.com/file/d/1MN1D0D_n9nV4BM7ob_3pPapxIyPzOTAB/view?usp=drivesdk","32 - XI D-3 - Aloysius Arthur Sinurat")</f>
        <v>32 - XI D-3 - Aloysius Arthur Sinurat</v>
      </c>
      <c r="U811" s="12" t="s">
        <v>4291</v>
      </c>
      <c r="W811" s="25">
        <f>COUNTIFS('Form Presensi SCC'!$B:$B, IF($C811&lt;&gt;0, TEXT($C811, "0000000000"), $D811), 'Form Presensi SCC'!$C:$C, "Hadir")</f>
        <v>0</v>
      </c>
      <c r="Y811" s="26"/>
    </row>
    <row r="812" ht="22.5" customHeight="1">
      <c r="A812" s="18">
        <v>555.0</v>
      </c>
      <c r="B812" s="31">
        <v>4.0</v>
      </c>
      <c r="C812" s="27" t="s">
        <v>4323</v>
      </c>
      <c r="D812" s="31" t="s">
        <v>4324</v>
      </c>
      <c r="E812" s="32" t="s">
        <v>227</v>
      </c>
      <c r="F812" s="12">
        <v>32.0</v>
      </c>
      <c r="G812" s="12" t="s">
        <v>4309</v>
      </c>
      <c r="H812" s="28"/>
      <c r="I812" s="20"/>
      <c r="J812" s="10"/>
      <c r="K812" s="10" t="s">
        <v>4309</v>
      </c>
      <c r="L812" s="10"/>
      <c r="M812" s="33"/>
      <c r="N812" s="34"/>
      <c r="O812" s="34"/>
      <c r="P812" s="12" t="str">
        <f t="shared" si="1"/>
        <v>https://docs.google.com/forms/d/e/1FAIpQLSeZ-R1GrWlAPkfaThGqxeTj0QTtrARw4rroxIIepf2kipn1nw/formResponse?usp=pp_url&amp;entry.1313582257=0092027940 / 242510034&amp;entry.1578404635=Hadir</v>
      </c>
      <c r="Q812" s="23" t="s">
        <v>4325</v>
      </c>
      <c r="R812" s="12" t="s">
        <v>4326</v>
      </c>
      <c r="S812" s="24" t="s">
        <v>4327</v>
      </c>
      <c r="T812" s="23" t="str">
        <f>HYPERLINK("https://drive.google.com/file/d/1Qm9gUxj2luHXzMBRpmIa-GwG5S7SCXrH/view?usp=drivesdk","32 - XI D-3 - Aluna Kalila Fauzan")</f>
        <v>32 - XI D-3 - Aluna Kalila Fauzan</v>
      </c>
      <c r="U812" s="12" t="s">
        <v>4328</v>
      </c>
      <c r="W812" s="25">
        <f>COUNTIFS('Form Presensi SCC'!$B:$B, IF($C812&lt;&gt;0, TEXT($C812, "0000000000"), $D812), 'Form Presensi SCC'!$C:$C, "Hadir")</f>
        <v>0</v>
      </c>
      <c r="Y812" s="26"/>
    </row>
    <row r="813" ht="22.5" customHeight="1">
      <c r="A813" s="18">
        <v>555.0</v>
      </c>
      <c r="B813" s="31">
        <v>5.0</v>
      </c>
      <c r="C813" s="27" t="s">
        <v>4329</v>
      </c>
      <c r="D813" s="31" t="s">
        <v>4330</v>
      </c>
      <c r="E813" s="32" t="s">
        <v>227</v>
      </c>
      <c r="F813" s="12">
        <v>32.0</v>
      </c>
      <c r="G813" s="12" t="s">
        <v>4309</v>
      </c>
      <c r="H813" s="28"/>
      <c r="I813" s="20"/>
      <c r="J813" s="10"/>
      <c r="K813" s="10" t="s">
        <v>4309</v>
      </c>
      <c r="L813" s="10"/>
      <c r="M813" s="33"/>
      <c r="N813" s="34"/>
      <c r="O813" s="34"/>
      <c r="P813" s="12" t="str">
        <f t="shared" si="1"/>
        <v>https://docs.google.com/forms/d/e/1FAIpQLSeZ-R1GrWlAPkfaThGqxeTj0QTtrARw4rroxIIepf2kipn1nw/formResponse?usp=pp_url&amp;entry.1313582257=0097798929 / 242510045&amp;entry.1578404635=Hadir</v>
      </c>
      <c r="Q813" s="23" t="s">
        <v>4331</v>
      </c>
      <c r="R813" s="12" t="s">
        <v>4332</v>
      </c>
      <c r="S813" s="24" t="s">
        <v>4333</v>
      </c>
      <c r="T813" s="23" t="str">
        <f>HYPERLINK("https://drive.google.com/file/d/1iP-YI6mjKsVF4jqT2CO_GYMzG2GDzHLB/view?usp=drivesdk","32 - XI D-3 - Anida Dewi Anjani")</f>
        <v>32 - XI D-3 - Anida Dewi Anjani</v>
      </c>
      <c r="U813" s="12" t="s">
        <v>4328</v>
      </c>
      <c r="W813" s="25">
        <f>COUNTIFS('Form Presensi SCC'!$B:$B, IF($C813&lt;&gt;0, TEXT($C813, "0000000000"), $D813), 'Form Presensi SCC'!$C:$C, "Hadir")</f>
        <v>0</v>
      </c>
      <c r="Y813" s="26"/>
    </row>
    <row r="814" ht="22.5" customHeight="1">
      <c r="A814" s="18">
        <v>555.0</v>
      </c>
      <c r="B814" s="31">
        <v>6.0</v>
      </c>
      <c r="C814" s="27" t="s">
        <v>4334</v>
      </c>
      <c r="D814" s="31" t="s">
        <v>4335</v>
      </c>
      <c r="E814" s="32" t="s">
        <v>227</v>
      </c>
      <c r="F814" s="12">
        <v>32.0</v>
      </c>
      <c r="G814" s="12" t="s">
        <v>4309</v>
      </c>
      <c r="H814" s="28"/>
      <c r="I814" s="20"/>
      <c r="J814" s="10"/>
      <c r="K814" s="10" t="s">
        <v>4309</v>
      </c>
      <c r="L814" s="10"/>
      <c r="M814" s="33"/>
      <c r="N814" s="34"/>
      <c r="O814" s="34"/>
      <c r="P814" s="12" t="str">
        <f t="shared" si="1"/>
        <v>https://docs.google.com/forms/d/e/1FAIpQLSeZ-R1GrWlAPkfaThGqxeTj0QTtrARw4rroxIIepf2kipn1nw/formResponse?usp=pp_url&amp;entry.1313582257=0092388902 / 242510053&amp;entry.1578404635=Hadir</v>
      </c>
      <c r="Q814" s="23" t="s">
        <v>4336</v>
      </c>
      <c r="R814" s="12" t="s">
        <v>4337</v>
      </c>
      <c r="S814" s="24" t="s">
        <v>4338</v>
      </c>
      <c r="T814" s="23" t="str">
        <f>HYPERLINK("https://drive.google.com/file/d/1_s-keKQW1Gpe2tJ9pdkeGA_ZczZYstXx/view?usp=drivesdk","32 - XI D-3 - Aqila Khairunnisa Putri")</f>
        <v>32 - XI D-3 - Aqila Khairunnisa Putri</v>
      </c>
      <c r="U814" s="12" t="s">
        <v>4328</v>
      </c>
      <c r="W814" s="25">
        <f>COUNTIFS('Form Presensi SCC'!$B:$B, IF($C814&lt;&gt;0, TEXT($C814, "0000000000"), $D814), 'Form Presensi SCC'!$C:$C, "Hadir")</f>
        <v>0</v>
      </c>
      <c r="Y814" s="26"/>
    </row>
    <row r="815" ht="22.5" customHeight="1">
      <c r="A815" s="18">
        <v>555.0</v>
      </c>
      <c r="B815" s="31">
        <v>7.0</v>
      </c>
      <c r="C815" s="27" t="s">
        <v>4339</v>
      </c>
      <c r="D815" s="31" t="s">
        <v>4340</v>
      </c>
      <c r="E815" s="32" t="s">
        <v>227</v>
      </c>
      <c r="F815" s="12">
        <v>32.0</v>
      </c>
      <c r="G815" s="12" t="s">
        <v>4309</v>
      </c>
      <c r="H815" s="28"/>
      <c r="I815" s="20"/>
      <c r="J815" s="10"/>
      <c r="K815" s="10" t="s">
        <v>4309</v>
      </c>
      <c r="L815" s="10"/>
      <c r="M815" s="33"/>
      <c r="N815" s="34"/>
      <c r="O815" s="34"/>
      <c r="P815" s="12" t="str">
        <f t="shared" si="1"/>
        <v>https://docs.google.com/forms/d/e/1FAIpQLSeZ-R1GrWlAPkfaThGqxeTj0QTtrARw4rroxIIepf2kipn1nw/formResponse?usp=pp_url&amp;entry.1313582257=0092260536 / 242510063&amp;entry.1578404635=Hadir</v>
      </c>
      <c r="Q815" s="23" t="s">
        <v>4341</v>
      </c>
      <c r="R815" s="12" t="s">
        <v>4342</v>
      </c>
      <c r="S815" s="24" t="s">
        <v>4343</v>
      </c>
      <c r="T815" s="23" t="str">
        <f>HYPERLINK("https://drive.google.com/file/d/16kGegplkVtzyFfbia0TjLx9T-Nd77L_D/view?usp=drivesdk","32 - XI D-3 - Athalia Mayrossa Kenzie")</f>
        <v>32 - XI D-3 - Athalia Mayrossa Kenzie</v>
      </c>
      <c r="U815" s="12" t="s">
        <v>4328</v>
      </c>
      <c r="W815" s="25">
        <f>COUNTIFS('Form Presensi SCC'!$B:$B, IF($C815&lt;&gt;0, TEXT($C815, "0000000000"), $D815), 'Form Presensi SCC'!$C:$C, "Hadir")</f>
        <v>0</v>
      </c>
      <c r="Y815" s="26"/>
    </row>
    <row r="816" ht="22.5" customHeight="1">
      <c r="A816" s="18">
        <v>555.0</v>
      </c>
      <c r="B816" s="31">
        <v>8.0</v>
      </c>
      <c r="C816" s="27" t="s">
        <v>4344</v>
      </c>
      <c r="D816" s="31" t="s">
        <v>4345</v>
      </c>
      <c r="E816" s="32" t="s">
        <v>227</v>
      </c>
      <c r="F816" s="12">
        <v>32.0</v>
      </c>
      <c r="G816" s="12" t="s">
        <v>4309</v>
      </c>
      <c r="H816" s="28"/>
      <c r="I816" s="20"/>
      <c r="J816" s="10"/>
      <c r="K816" s="10" t="s">
        <v>4309</v>
      </c>
      <c r="L816" s="10"/>
      <c r="M816" s="33"/>
      <c r="N816" s="34"/>
      <c r="O816" s="34"/>
      <c r="P816" s="12" t="str">
        <f t="shared" si="1"/>
        <v>https://docs.google.com/forms/d/e/1FAIpQLSeZ-R1GrWlAPkfaThGqxeTj0QTtrARw4rroxIIepf2kipn1nw/formResponse?usp=pp_url&amp;entry.1313582257=0092404259 / 242510067&amp;entry.1578404635=Hadir</v>
      </c>
      <c r="Q816" s="23" t="s">
        <v>4346</v>
      </c>
      <c r="R816" s="12" t="s">
        <v>4347</v>
      </c>
      <c r="S816" s="24" t="s">
        <v>4348</v>
      </c>
      <c r="T816" s="23" t="str">
        <f>HYPERLINK("https://drive.google.com/file/d/1Yp9sieX-2Rbb7YW33SNiNi3OZZJbPUUj/view?usp=drivesdk","32 - XI D-3 - Aulia Putri Syafira")</f>
        <v>32 - XI D-3 - Aulia Putri Syafira</v>
      </c>
      <c r="U816" s="12" t="s">
        <v>4328</v>
      </c>
      <c r="W816" s="25">
        <f>COUNTIFS('Form Presensi SCC'!$B:$B, IF($C816&lt;&gt;0, TEXT($C816, "0000000000"), $D816), 'Form Presensi SCC'!$C:$C, "Hadir")</f>
        <v>0</v>
      </c>
      <c r="Y816" s="26"/>
    </row>
    <row r="817" ht="22.5" customHeight="1">
      <c r="A817" s="18">
        <v>555.0</v>
      </c>
      <c r="B817" s="31">
        <v>9.0</v>
      </c>
      <c r="C817" s="27" t="s">
        <v>4349</v>
      </c>
      <c r="D817" s="31" t="s">
        <v>4350</v>
      </c>
      <c r="E817" s="32" t="s">
        <v>227</v>
      </c>
      <c r="F817" s="12">
        <v>32.0</v>
      </c>
      <c r="G817" s="12" t="s">
        <v>4309</v>
      </c>
      <c r="H817" s="28"/>
      <c r="I817" s="20"/>
      <c r="J817" s="10"/>
      <c r="K817" s="10" t="s">
        <v>4309</v>
      </c>
      <c r="L817" s="10"/>
      <c r="M817" s="33"/>
      <c r="N817" s="34"/>
      <c r="O817" s="34"/>
      <c r="P817" s="12" t="str">
        <f t="shared" si="1"/>
        <v>https://docs.google.com/forms/d/e/1FAIpQLSeZ-R1GrWlAPkfaThGqxeTj0QTtrARw4rroxIIepf2kipn1nw/formResponse?usp=pp_url&amp;entry.1313582257=0086475767 / 242510068&amp;entry.1578404635=Hadir</v>
      </c>
      <c r="Q817" s="23" t="s">
        <v>4351</v>
      </c>
      <c r="R817" s="12" t="s">
        <v>4352</v>
      </c>
      <c r="S817" s="24" t="s">
        <v>4353</v>
      </c>
      <c r="T817" s="23" t="str">
        <f>HYPERLINK("https://drive.google.com/file/d/1ITCOzySFZoedbd7S4YJ8YD8XAfUdGZS3/view?usp=drivesdk","32 - XI D-3 - Aulia Rahmaditia Danang")</f>
        <v>32 - XI D-3 - Aulia Rahmaditia Danang</v>
      </c>
      <c r="U817" s="12" t="s">
        <v>4328</v>
      </c>
      <c r="W817" s="25">
        <f>COUNTIFS('Form Presensi SCC'!$B:$B, IF($C817&lt;&gt;0, TEXT($C817, "0000000000"), $D817), 'Form Presensi SCC'!$C:$C, "Hadir")</f>
        <v>0</v>
      </c>
      <c r="Y817" s="26"/>
    </row>
    <row r="818" ht="22.5" customHeight="1">
      <c r="A818" s="18">
        <v>555.0</v>
      </c>
      <c r="B818" s="31">
        <v>10.0</v>
      </c>
      <c r="C818" s="27" t="s">
        <v>4354</v>
      </c>
      <c r="D818" s="31" t="s">
        <v>4355</v>
      </c>
      <c r="E818" s="32" t="s">
        <v>227</v>
      </c>
      <c r="F818" s="12">
        <v>32.0</v>
      </c>
      <c r="G818" s="12" t="s">
        <v>4309</v>
      </c>
      <c r="H818" s="28"/>
      <c r="I818" s="20"/>
      <c r="J818" s="10"/>
      <c r="K818" s="10" t="s">
        <v>4309</v>
      </c>
      <c r="L818" s="10"/>
      <c r="M818" s="33"/>
      <c r="N818" s="34"/>
      <c r="O818" s="34"/>
      <c r="P818" s="12" t="str">
        <f t="shared" si="1"/>
        <v>https://docs.google.com/forms/d/e/1FAIpQLSeZ-R1GrWlAPkfaThGqxeTj0QTtrARw4rroxIIepf2kipn1nw/formResponse?usp=pp_url&amp;entry.1313582257=0099130384 / 242510073&amp;entry.1578404635=Hadir</v>
      </c>
      <c r="Q818" s="23" t="s">
        <v>4356</v>
      </c>
      <c r="R818" s="12" t="s">
        <v>4357</v>
      </c>
      <c r="S818" s="24" t="s">
        <v>4358</v>
      </c>
      <c r="T818" s="23" t="str">
        <f>HYPERLINK("https://drive.google.com/file/d/1g7rTIp_QPxV9DydnNdVdYtNAnuP57pwC/view?usp=drivesdk","32 - XI D-3 - Aurellia Odelina Askanah Han")</f>
        <v>32 - XI D-3 - Aurellia Odelina Askanah Han</v>
      </c>
      <c r="U818" s="12" t="s">
        <v>4328</v>
      </c>
      <c r="W818" s="25">
        <f>COUNTIFS('Form Presensi SCC'!$B:$B, IF($C818&lt;&gt;0, TEXT($C818, "0000000000"), $D818), 'Form Presensi SCC'!$C:$C, "Hadir")</f>
        <v>0</v>
      </c>
      <c r="Y818" s="26"/>
    </row>
    <row r="819" ht="22.5" customHeight="1">
      <c r="A819" s="18">
        <v>555.0</v>
      </c>
      <c r="B819" s="31">
        <v>11.0</v>
      </c>
      <c r="C819" s="27" t="s">
        <v>4359</v>
      </c>
      <c r="D819" s="31" t="s">
        <v>4360</v>
      </c>
      <c r="E819" s="32" t="s">
        <v>220</v>
      </c>
      <c r="F819" s="12">
        <v>32.0</v>
      </c>
      <c r="G819" s="12" t="s">
        <v>4309</v>
      </c>
      <c r="H819" s="28"/>
      <c r="I819" s="20"/>
      <c r="J819" s="10"/>
      <c r="K819" s="10" t="s">
        <v>4309</v>
      </c>
      <c r="L819" s="10"/>
      <c r="M819" s="33"/>
      <c r="N819" s="34"/>
      <c r="O819" s="34"/>
      <c r="P819" s="12" t="str">
        <f t="shared" si="1"/>
        <v>https://docs.google.com/forms/d/e/1FAIpQLSeZ-R1GrWlAPkfaThGqxeTj0QTtrARw4rroxIIepf2kipn1nw/formResponse?usp=pp_url&amp;entry.1313582257=0097660827 / 242510081&amp;entry.1578404635=Hadir</v>
      </c>
      <c r="Q819" s="23" t="s">
        <v>4361</v>
      </c>
      <c r="R819" s="12" t="s">
        <v>4362</v>
      </c>
      <c r="S819" s="24" t="s">
        <v>4363</v>
      </c>
      <c r="T819" s="23" t="str">
        <f>HYPERLINK("https://drive.google.com/file/d/1I_viMcs0yAqLGpsyLhQGbkcDyfg4cYJd/view?usp=drivesdk","32 - XI D-3 - Banuwarman")</f>
        <v>32 - XI D-3 - Banuwarman</v>
      </c>
      <c r="U819" s="12" t="s">
        <v>4364</v>
      </c>
      <c r="W819" s="25">
        <f>COUNTIFS('Form Presensi SCC'!$B:$B, IF($C819&lt;&gt;0, TEXT($C819, "0000000000"), $D819), 'Form Presensi SCC'!$C:$C, "Hadir")</f>
        <v>0</v>
      </c>
      <c r="Y819" s="26"/>
    </row>
    <row r="820" ht="22.5" customHeight="1">
      <c r="A820" s="18">
        <v>555.0</v>
      </c>
      <c r="B820" s="31">
        <v>12.0</v>
      </c>
      <c r="C820" s="27" t="s">
        <v>4365</v>
      </c>
      <c r="D820" s="31" t="s">
        <v>4366</v>
      </c>
      <c r="E820" s="32" t="s">
        <v>227</v>
      </c>
      <c r="F820" s="12">
        <v>32.0</v>
      </c>
      <c r="G820" s="12" t="s">
        <v>4309</v>
      </c>
      <c r="H820" s="28"/>
      <c r="I820" s="20"/>
      <c r="J820" s="10"/>
      <c r="K820" s="10" t="s">
        <v>4309</v>
      </c>
      <c r="L820" s="10"/>
      <c r="M820" s="33"/>
      <c r="N820" s="34"/>
      <c r="O820" s="34"/>
      <c r="P820" s="12" t="str">
        <f t="shared" si="1"/>
        <v>https://docs.google.com/forms/d/e/1FAIpQLSeZ-R1GrWlAPkfaThGqxeTj0QTtrARw4rroxIIepf2kipn1nw/formResponse?usp=pp_url&amp;entry.1313582257=0096109567 / 242510084&amp;entry.1578404635=Hadir</v>
      </c>
      <c r="Q820" s="23" t="s">
        <v>4367</v>
      </c>
      <c r="R820" s="12" t="s">
        <v>4368</v>
      </c>
      <c r="S820" s="24" t="s">
        <v>4369</v>
      </c>
      <c r="T820" s="23" t="str">
        <f>HYPERLINK("https://drive.google.com/file/d/1ahHF5mjs64IkRnF-8Eyp7JyInEhuCoBK/view?usp=drivesdk","32 - XI D-3 - Bilqis Khumairah Putri")</f>
        <v>32 - XI D-3 - Bilqis Khumairah Putri</v>
      </c>
      <c r="U820" s="12" t="s">
        <v>4364</v>
      </c>
      <c r="W820" s="25">
        <f>COUNTIFS('Form Presensi SCC'!$B:$B, IF($C820&lt;&gt;0, TEXT($C820, "0000000000"), $D820), 'Form Presensi SCC'!$C:$C, "Hadir")</f>
        <v>0</v>
      </c>
      <c r="Y820" s="26"/>
    </row>
    <row r="821" ht="22.5" customHeight="1">
      <c r="A821" s="18">
        <v>555.0</v>
      </c>
      <c r="B821" s="31">
        <v>13.0</v>
      </c>
      <c r="C821" s="27" t="s">
        <v>4370</v>
      </c>
      <c r="D821" s="31" t="s">
        <v>4371</v>
      </c>
      <c r="E821" s="32" t="s">
        <v>227</v>
      </c>
      <c r="F821" s="12">
        <v>32.0</v>
      </c>
      <c r="G821" s="12" t="s">
        <v>4309</v>
      </c>
      <c r="H821" s="28"/>
      <c r="I821" s="20"/>
      <c r="J821" s="10"/>
      <c r="K821" s="10" t="s">
        <v>4309</v>
      </c>
      <c r="L821" s="10"/>
      <c r="M821" s="33"/>
      <c r="N821" s="34"/>
      <c r="O821" s="34"/>
      <c r="P821" s="12" t="str">
        <f t="shared" si="1"/>
        <v>https://docs.google.com/forms/d/e/1FAIpQLSeZ-R1GrWlAPkfaThGqxeTj0QTtrARw4rroxIIepf2kipn1nw/formResponse?usp=pp_url&amp;entry.1313582257=0095745176 / 242510087&amp;entry.1578404635=Hadir</v>
      </c>
      <c r="Q821" s="23" t="s">
        <v>4372</v>
      </c>
      <c r="R821" s="12" t="s">
        <v>4373</v>
      </c>
      <c r="S821" s="24" t="s">
        <v>4374</v>
      </c>
      <c r="T821" s="23" t="str">
        <f>HYPERLINK("https://drive.google.com/file/d/1HNKb1ErK0ZNix29QShGW_SeiYSsWFidY/view?usp=drivesdk","32 - XI D-3 - Bumi Raffah Al Islahi")</f>
        <v>32 - XI D-3 - Bumi Raffah Al Islahi</v>
      </c>
      <c r="U821" s="12" t="s">
        <v>4364</v>
      </c>
      <c r="W821" s="25">
        <f>COUNTIFS('Form Presensi SCC'!$B:$B, IF($C821&lt;&gt;0, TEXT($C821, "0000000000"), $D821), 'Form Presensi SCC'!$C:$C, "Hadir")</f>
        <v>0</v>
      </c>
      <c r="Y821" s="26"/>
    </row>
    <row r="822" ht="22.5" customHeight="1">
      <c r="A822" s="18">
        <v>555.0</v>
      </c>
      <c r="B822" s="31">
        <v>14.0</v>
      </c>
      <c r="C822" s="27" t="s">
        <v>4375</v>
      </c>
      <c r="D822" s="31" t="s">
        <v>4376</v>
      </c>
      <c r="E822" s="32" t="s">
        <v>227</v>
      </c>
      <c r="F822" s="12">
        <v>32.0</v>
      </c>
      <c r="G822" s="12" t="s">
        <v>4309</v>
      </c>
      <c r="H822" s="28"/>
      <c r="I822" s="20"/>
      <c r="J822" s="10"/>
      <c r="K822" s="10" t="s">
        <v>4309</v>
      </c>
      <c r="L822" s="10"/>
      <c r="M822" s="33"/>
      <c r="N822" s="34"/>
      <c r="O822" s="34"/>
      <c r="P822" s="12" t="str">
        <f t="shared" si="1"/>
        <v>https://docs.google.com/forms/d/e/1FAIpQLSeZ-R1GrWlAPkfaThGqxeTj0QTtrARw4rroxIIepf2kipn1nw/formResponse?usp=pp_url&amp;entry.1313582257=0091234811 / 242510090&amp;entry.1578404635=Hadir</v>
      </c>
      <c r="Q822" s="23" t="s">
        <v>4377</v>
      </c>
      <c r="R822" s="12" t="s">
        <v>4378</v>
      </c>
      <c r="S822" s="24" t="s">
        <v>4379</v>
      </c>
      <c r="T822" s="23" t="str">
        <f>HYPERLINK("https://drive.google.com/file/d/1CNv9tDrZ8JZuKV3ybjnIDLUKTIxmMQhA/view?usp=drivesdk","32 - XI D-3 - Cemara Anggraeny")</f>
        <v>32 - XI D-3 - Cemara Anggraeny</v>
      </c>
      <c r="U822" s="12" t="s">
        <v>4364</v>
      </c>
      <c r="W822" s="25">
        <f>COUNTIFS('Form Presensi SCC'!$B:$B, IF($C822&lt;&gt;0, TEXT($C822, "0000000000"), $D822), 'Form Presensi SCC'!$C:$C, "Hadir")</f>
        <v>0</v>
      </c>
      <c r="Y822" s="26"/>
    </row>
    <row r="823" ht="22.5" customHeight="1">
      <c r="A823" s="18">
        <v>555.0</v>
      </c>
      <c r="B823" s="31">
        <v>15.0</v>
      </c>
      <c r="C823" s="27" t="s">
        <v>4380</v>
      </c>
      <c r="D823" s="31" t="s">
        <v>4381</v>
      </c>
      <c r="E823" s="32" t="s">
        <v>227</v>
      </c>
      <c r="F823" s="12">
        <v>32.0</v>
      </c>
      <c r="G823" s="12" t="s">
        <v>4309</v>
      </c>
      <c r="H823" s="28"/>
      <c r="I823" s="20"/>
      <c r="J823" s="10"/>
      <c r="K823" s="10" t="s">
        <v>4309</v>
      </c>
      <c r="L823" s="10"/>
      <c r="M823" s="33"/>
      <c r="N823" s="34"/>
      <c r="O823" s="34"/>
      <c r="P823" s="12" t="str">
        <f t="shared" si="1"/>
        <v>https://docs.google.com/forms/d/e/1FAIpQLSeZ-R1GrWlAPkfaThGqxeTj0QTtrARw4rroxIIepf2kipn1nw/formResponse?usp=pp_url&amp;entry.1313582257=0091342789 / 242510094&amp;entry.1578404635=Hadir</v>
      </c>
      <c r="Q823" s="23" t="s">
        <v>4382</v>
      </c>
      <c r="R823" s="12" t="s">
        <v>4383</v>
      </c>
      <c r="S823" s="24" t="s">
        <v>4384</v>
      </c>
      <c r="T823" s="23" t="str">
        <f>HYPERLINK("https://drive.google.com/file/d/1SMLNPS3uDwaPXutRdVxGengASnDU36TZ/view?usp=drivesdk","32 - XI D-3 - Chiara Anggun Dameyanti Sirait")</f>
        <v>32 - XI D-3 - Chiara Anggun Dameyanti Sirait</v>
      </c>
      <c r="U823" s="12" t="s">
        <v>4385</v>
      </c>
      <c r="W823" s="25">
        <f>COUNTIFS('Form Presensi SCC'!$B:$B, IF($C823&lt;&gt;0, TEXT($C823, "0000000000"), $D823), 'Form Presensi SCC'!$C:$C, "Hadir")</f>
        <v>0</v>
      </c>
      <c r="Y823" s="26"/>
    </row>
    <row r="824" ht="22.5" customHeight="1">
      <c r="A824" s="18">
        <v>555.0</v>
      </c>
      <c r="B824" s="31">
        <v>16.0</v>
      </c>
      <c r="C824" s="27" t="s">
        <v>4386</v>
      </c>
      <c r="D824" s="31" t="s">
        <v>4387</v>
      </c>
      <c r="E824" s="32" t="s">
        <v>227</v>
      </c>
      <c r="F824" s="12">
        <v>32.0</v>
      </c>
      <c r="G824" s="12" t="s">
        <v>4309</v>
      </c>
      <c r="H824" s="28"/>
      <c r="I824" s="20"/>
      <c r="J824" s="10"/>
      <c r="K824" s="10" t="s">
        <v>4309</v>
      </c>
      <c r="L824" s="10"/>
      <c r="M824" s="33"/>
      <c r="N824" s="34"/>
      <c r="O824" s="34"/>
      <c r="P824" s="12" t="str">
        <f t="shared" si="1"/>
        <v>https://docs.google.com/forms/d/e/1FAIpQLSeZ-R1GrWlAPkfaThGqxeTj0QTtrARw4rroxIIepf2kipn1nw/formResponse?usp=pp_url&amp;entry.1313582257=0082284975 / 242510115&amp;entry.1578404635=Hadir</v>
      </c>
      <c r="Q824" s="23" t="s">
        <v>4388</v>
      </c>
      <c r="R824" s="12" t="s">
        <v>4389</v>
      </c>
      <c r="S824" s="24" t="s">
        <v>4390</v>
      </c>
      <c r="T824" s="23" t="str">
        <f>HYPERLINK("https://drive.google.com/file/d/1vBKquWgFkWRzRSdJF_nmdVop4nAj0Eym/view?usp=drivesdk","32 - XI D-3 - Disya Cahaya Carrisa")</f>
        <v>32 - XI D-3 - Disya Cahaya Carrisa</v>
      </c>
      <c r="U824" s="12" t="s">
        <v>4385</v>
      </c>
      <c r="W824" s="25">
        <f>COUNTIFS('Form Presensi SCC'!$B:$B, IF($C824&lt;&gt;0, TEXT($C824, "0000000000"), $D824), 'Form Presensi SCC'!$C:$C, "Hadir")</f>
        <v>0</v>
      </c>
      <c r="Y824" s="26"/>
    </row>
    <row r="825" ht="22.5" customHeight="1">
      <c r="A825" s="18">
        <v>555.0</v>
      </c>
      <c r="B825" s="31">
        <v>17.0</v>
      </c>
      <c r="C825" s="27" t="s">
        <v>4391</v>
      </c>
      <c r="D825" s="31" t="s">
        <v>4392</v>
      </c>
      <c r="E825" s="32" t="s">
        <v>220</v>
      </c>
      <c r="F825" s="12">
        <v>32.0</v>
      </c>
      <c r="G825" s="12" t="s">
        <v>4309</v>
      </c>
      <c r="H825" s="28"/>
      <c r="I825" s="20"/>
      <c r="J825" s="10"/>
      <c r="K825" s="10" t="s">
        <v>4309</v>
      </c>
      <c r="L825" s="10"/>
      <c r="M825" s="33"/>
      <c r="N825" s="34"/>
      <c r="O825" s="34"/>
      <c r="P825" s="12" t="str">
        <f t="shared" si="1"/>
        <v>https://docs.google.com/forms/d/e/1FAIpQLSeZ-R1GrWlAPkfaThGqxeTj0QTtrARw4rroxIIepf2kipn1nw/formResponse?usp=pp_url&amp;entry.1313582257=0096026876 / 242510137&amp;entry.1578404635=Hadir</v>
      </c>
      <c r="Q825" s="23" t="s">
        <v>4393</v>
      </c>
      <c r="R825" s="12" t="s">
        <v>4394</v>
      </c>
      <c r="S825" s="24" t="s">
        <v>4395</v>
      </c>
      <c r="T825" s="23" t="str">
        <f>HYPERLINK("https://drive.google.com/file/d/1epyEqbVQ3SC61nKh8L0vT7I4jRI5vQMH/view?usp=drivesdk","32 - XI D-3 - Farrel Luthfi Arviansyah")</f>
        <v>32 - XI D-3 - Farrel Luthfi Arviansyah</v>
      </c>
      <c r="U825" s="12" t="s">
        <v>4385</v>
      </c>
      <c r="W825" s="25">
        <f>COUNTIFS('Form Presensi SCC'!$B:$B, IF($C825&lt;&gt;0, TEXT($C825, "0000000000"), $D825), 'Form Presensi SCC'!$C:$C, "Hadir")</f>
        <v>0</v>
      </c>
      <c r="Y825" s="26"/>
    </row>
    <row r="826" ht="22.5" customHeight="1">
      <c r="A826" s="18">
        <v>555.0</v>
      </c>
      <c r="B826" s="31">
        <v>18.0</v>
      </c>
      <c r="C826" s="27" t="s">
        <v>127</v>
      </c>
      <c r="D826" s="31" t="s">
        <v>4396</v>
      </c>
      <c r="E826" s="32" t="s">
        <v>227</v>
      </c>
      <c r="F826" s="12">
        <v>32.0</v>
      </c>
      <c r="G826" s="12" t="s">
        <v>4309</v>
      </c>
      <c r="H826" s="28"/>
      <c r="I826" s="20"/>
      <c r="J826" s="10"/>
      <c r="K826" s="10" t="s">
        <v>4309</v>
      </c>
      <c r="L826" s="10"/>
      <c r="M826" s="33"/>
      <c r="N826" s="34"/>
      <c r="O826" s="34"/>
      <c r="P826" s="12" t="str">
        <f t="shared" si="1"/>
        <v>https://docs.google.com/forms/d/e/1FAIpQLSeZ-R1GrWlAPkfaThGqxeTj0QTtrARw4rroxIIepf2kipn1nw/formResponse?usp=pp_url&amp;entry.1313582257=0097494303 / 242510150&amp;entry.1578404635=Hadir</v>
      </c>
      <c r="Q826" s="23" t="s">
        <v>4397</v>
      </c>
      <c r="R826" s="12" t="s">
        <v>4398</v>
      </c>
      <c r="S826" s="24" t="s">
        <v>4399</v>
      </c>
      <c r="T826" s="23" t="str">
        <f>HYPERLINK("https://drive.google.com/file/d/1Z5rl4OR4dlIn7-SD8zdTqMkxfeV91qAF/view?usp=drivesdk","32 - XI D-3 - Ghina Yumna")</f>
        <v>32 - XI D-3 - Ghina Yumna</v>
      </c>
      <c r="U826" s="12" t="s">
        <v>4385</v>
      </c>
      <c r="W826" s="25">
        <f>COUNTIFS('Form Presensi SCC'!$B:$B, IF($C826&lt;&gt;0, TEXT($C826, "0000000000"), $D826), 'Form Presensi SCC'!$C:$C, "Hadir")</f>
        <v>1</v>
      </c>
      <c r="Y826" s="26"/>
    </row>
    <row r="827" ht="22.5" customHeight="1">
      <c r="A827" s="18">
        <v>555.0</v>
      </c>
      <c r="B827" s="31">
        <v>19.0</v>
      </c>
      <c r="C827" s="27" t="s">
        <v>4400</v>
      </c>
      <c r="D827" s="31" t="s">
        <v>4401</v>
      </c>
      <c r="E827" s="32" t="s">
        <v>227</v>
      </c>
      <c r="F827" s="12">
        <v>32.0</v>
      </c>
      <c r="G827" s="12" t="s">
        <v>4309</v>
      </c>
      <c r="H827" s="28"/>
      <c r="I827" s="20"/>
      <c r="J827" s="10"/>
      <c r="K827" s="10" t="s">
        <v>4309</v>
      </c>
      <c r="L827" s="10"/>
      <c r="M827" s="33"/>
      <c r="N827" s="34"/>
      <c r="O827" s="34"/>
      <c r="P827" s="12" t="str">
        <f t="shared" si="1"/>
        <v>https://docs.google.com/forms/d/e/1FAIpQLSeZ-R1GrWlAPkfaThGqxeTj0QTtrARw4rroxIIepf2kipn1nw/formResponse?usp=pp_url&amp;entry.1313582257=0091325828 / 242510155&amp;entry.1578404635=Hadir</v>
      </c>
      <c r="Q827" s="23" t="s">
        <v>4402</v>
      </c>
      <c r="R827" s="12" t="s">
        <v>4403</v>
      </c>
      <c r="S827" s="24" t="s">
        <v>4404</v>
      </c>
      <c r="T827" s="23" t="str">
        <f>HYPERLINK("https://drive.google.com/file/d/1t8bQ04lHAsPZQ16Qfn_g3JA1aklOGc5f/view?usp=drivesdk","32 - XI D-3 - Grasela Riyanti")</f>
        <v>32 - XI D-3 - Grasela Riyanti</v>
      </c>
      <c r="U827" s="12" t="s">
        <v>4405</v>
      </c>
      <c r="W827" s="25">
        <f>COUNTIFS('Form Presensi SCC'!$B:$B, IF($C827&lt;&gt;0, TEXT($C827, "0000000000"), $D827), 'Form Presensi SCC'!$C:$C, "Hadir")</f>
        <v>0</v>
      </c>
      <c r="Y827" s="26"/>
    </row>
    <row r="828" ht="22.5" customHeight="1">
      <c r="A828" s="18">
        <v>555.0</v>
      </c>
      <c r="B828" s="31">
        <v>20.0</v>
      </c>
      <c r="C828" s="27" t="s">
        <v>4406</v>
      </c>
      <c r="D828" s="31" t="s">
        <v>4407</v>
      </c>
      <c r="E828" s="32" t="s">
        <v>227</v>
      </c>
      <c r="F828" s="12">
        <v>32.0</v>
      </c>
      <c r="G828" s="12" t="s">
        <v>4309</v>
      </c>
      <c r="H828" s="28"/>
      <c r="I828" s="20"/>
      <c r="J828" s="10"/>
      <c r="K828" s="10" t="s">
        <v>4309</v>
      </c>
      <c r="L828" s="10"/>
      <c r="M828" s="33"/>
      <c r="N828" s="34"/>
      <c r="O828" s="34"/>
      <c r="P828" s="12" t="str">
        <f t="shared" si="1"/>
        <v>https://docs.google.com/forms/d/e/1FAIpQLSeZ-R1GrWlAPkfaThGqxeTj0QTtrARw4rroxIIepf2kipn1nw/formResponse?usp=pp_url&amp;entry.1313582257=0099418331 / 242510190&amp;entry.1578404635=Hadir</v>
      </c>
      <c r="Q828" s="23" t="s">
        <v>4408</v>
      </c>
      <c r="R828" s="12" t="s">
        <v>4409</v>
      </c>
      <c r="S828" s="24" t="s">
        <v>4410</v>
      </c>
      <c r="T828" s="23" t="str">
        <f>HYPERLINK("https://drive.google.com/file/d/1sRD3hyY29YxMge2o50X5kP2XEoF-H9MI/view?usp=drivesdk","32 - XI D-3 - Keisya Nurmaulida")</f>
        <v>32 - XI D-3 - Keisya Nurmaulida</v>
      </c>
      <c r="U828" s="12" t="s">
        <v>4411</v>
      </c>
      <c r="W828" s="25">
        <f>COUNTIFS('Form Presensi SCC'!$B:$B, IF($C828&lt;&gt;0, TEXT($C828, "0000000000"), $D828), 'Form Presensi SCC'!$C:$C, "Hadir")</f>
        <v>0</v>
      </c>
      <c r="Y828" s="26"/>
    </row>
    <row r="829" ht="22.5" customHeight="1">
      <c r="A829" s="18">
        <v>555.0</v>
      </c>
      <c r="B829" s="31">
        <v>21.0</v>
      </c>
      <c r="C829" s="27" t="s">
        <v>4412</v>
      </c>
      <c r="D829" s="31" t="s">
        <v>4413</v>
      </c>
      <c r="E829" s="32" t="s">
        <v>227</v>
      </c>
      <c r="F829" s="12">
        <v>32.0</v>
      </c>
      <c r="G829" s="12" t="s">
        <v>4309</v>
      </c>
      <c r="H829" s="28"/>
      <c r="I829" s="20"/>
      <c r="J829" s="10"/>
      <c r="K829" s="10" t="s">
        <v>4309</v>
      </c>
      <c r="L829" s="10"/>
      <c r="M829" s="33"/>
      <c r="N829" s="34"/>
      <c r="O829" s="34"/>
      <c r="P829" s="12" t="str">
        <f t="shared" si="1"/>
        <v>https://docs.google.com/forms/d/e/1FAIpQLSeZ-R1GrWlAPkfaThGqxeTj0QTtrARw4rroxIIepf2kipn1nw/formResponse?usp=pp_url&amp;entry.1313582257=0098415432 / 242510196&amp;entry.1578404635=Hadir</v>
      </c>
      <c r="Q829" s="23" t="s">
        <v>4414</v>
      </c>
      <c r="R829" s="12" t="s">
        <v>4415</v>
      </c>
      <c r="S829" s="24" t="s">
        <v>4416</v>
      </c>
      <c r="T829" s="23" t="str">
        <f>HYPERLINK("https://drive.google.com/file/d/1zRGq6WggIwDm8iRDQ8Oc98JwMrvi4W27/view?usp=drivesdk","32 - XI D-3 - Kezia Aulia Hattalaibessij")</f>
        <v>32 - XI D-3 - Kezia Aulia Hattalaibessij</v>
      </c>
      <c r="U829" s="12" t="s">
        <v>4411</v>
      </c>
      <c r="W829" s="25">
        <f>COUNTIFS('Form Presensi SCC'!$B:$B, IF($C829&lt;&gt;0, TEXT($C829, "0000000000"), $D829), 'Form Presensi SCC'!$C:$C, "Hadir")</f>
        <v>0</v>
      </c>
      <c r="Y829" s="26"/>
    </row>
    <row r="830" ht="22.5" customHeight="1">
      <c r="A830" s="18">
        <v>555.0</v>
      </c>
      <c r="B830" s="31">
        <v>22.0</v>
      </c>
      <c r="C830" s="27" t="s">
        <v>4417</v>
      </c>
      <c r="D830" s="31" t="s">
        <v>4418</v>
      </c>
      <c r="E830" s="32" t="s">
        <v>220</v>
      </c>
      <c r="F830" s="12">
        <v>32.0</v>
      </c>
      <c r="G830" s="12" t="s">
        <v>4309</v>
      </c>
      <c r="H830" s="28"/>
      <c r="I830" s="20"/>
      <c r="J830" s="10"/>
      <c r="K830" s="10" t="s">
        <v>4309</v>
      </c>
      <c r="L830" s="10"/>
      <c r="M830" s="33"/>
      <c r="N830" s="34"/>
      <c r="O830" s="34"/>
      <c r="P830" s="12" t="str">
        <f t="shared" si="1"/>
        <v>https://docs.google.com/forms/d/e/1FAIpQLSeZ-R1GrWlAPkfaThGqxeTj0QTtrARw4rroxIIepf2kipn1nw/formResponse?usp=pp_url&amp;entry.1313582257=3082881499 / 242510243&amp;entry.1578404635=Hadir</v>
      </c>
      <c r="Q830" s="23" t="s">
        <v>4419</v>
      </c>
      <c r="R830" s="12" t="s">
        <v>4420</v>
      </c>
      <c r="S830" s="24" t="s">
        <v>4421</v>
      </c>
      <c r="T830" s="23" t="str">
        <f>HYPERLINK("https://drive.google.com/file/d/1FI7FR_jrumwFu2opnG5azwQyDNVi069a/view?usp=drivesdk","32 - XI D-3 - Muhamad Ikmal")</f>
        <v>32 - XI D-3 - Muhamad Ikmal</v>
      </c>
      <c r="U830" s="12" t="s">
        <v>4411</v>
      </c>
      <c r="W830" s="25">
        <f>COUNTIFS('Form Presensi SCC'!$B:$B, IF($C830&lt;&gt;0, TEXT($C830, "0000000000"), $D830), 'Form Presensi SCC'!$C:$C, "Hadir")</f>
        <v>0</v>
      </c>
      <c r="Y830" s="26"/>
    </row>
    <row r="831" ht="22.5" customHeight="1">
      <c r="A831" s="18">
        <v>555.0</v>
      </c>
      <c r="B831" s="31">
        <v>23.0</v>
      </c>
      <c r="C831" s="27" t="s">
        <v>4422</v>
      </c>
      <c r="D831" s="31" t="s">
        <v>4423</v>
      </c>
      <c r="E831" s="32" t="s">
        <v>220</v>
      </c>
      <c r="F831" s="12">
        <v>32.0</v>
      </c>
      <c r="G831" s="12" t="s">
        <v>4309</v>
      </c>
      <c r="H831" s="28"/>
      <c r="I831" s="20"/>
      <c r="J831" s="10"/>
      <c r="K831" s="10" t="s">
        <v>4309</v>
      </c>
      <c r="L831" s="10"/>
      <c r="M831" s="33"/>
      <c r="N831" s="34"/>
      <c r="O831" s="34"/>
      <c r="P831" s="12" t="str">
        <f t="shared" si="1"/>
        <v>https://docs.google.com/forms/d/e/1FAIpQLSeZ-R1GrWlAPkfaThGqxeTj0QTtrARw4rroxIIepf2kipn1nw/formResponse?usp=pp_url&amp;entry.1313582257=0084468197 / 242510246&amp;entry.1578404635=Hadir</v>
      </c>
      <c r="Q831" s="23" t="s">
        <v>4424</v>
      </c>
      <c r="R831" s="12" t="s">
        <v>4425</v>
      </c>
      <c r="S831" s="24" t="s">
        <v>4426</v>
      </c>
      <c r="T831" s="23" t="str">
        <f>HYPERLINK("https://drive.google.com/file/d/1DkFmOsD9Lxl-t558gXODVEetcMCMh7Cm/view?usp=drivesdk","32 - XI D-3 - Muhamad Zahran Ramadhan")</f>
        <v>32 - XI D-3 - Muhamad Zahran Ramadhan</v>
      </c>
      <c r="U831" s="12" t="s">
        <v>4411</v>
      </c>
      <c r="W831" s="25">
        <f>COUNTIFS('Form Presensi SCC'!$B:$B, IF($C831&lt;&gt;0, TEXT($C831, "0000000000"), $D831), 'Form Presensi SCC'!$C:$C, "Hadir")</f>
        <v>0</v>
      </c>
      <c r="Y831" s="26"/>
    </row>
    <row r="832" ht="22.5" customHeight="1">
      <c r="A832" s="18">
        <v>555.0</v>
      </c>
      <c r="B832" s="31">
        <v>24.0</v>
      </c>
      <c r="C832" s="27" t="s">
        <v>4427</v>
      </c>
      <c r="D832" s="31" t="s">
        <v>4428</v>
      </c>
      <c r="E832" s="32" t="s">
        <v>220</v>
      </c>
      <c r="F832" s="12">
        <v>32.0</v>
      </c>
      <c r="G832" s="12" t="s">
        <v>4309</v>
      </c>
      <c r="H832" s="28"/>
      <c r="I832" s="20"/>
      <c r="J832" s="10"/>
      <c r="K832" s="10" t="s">
        <v>4309</v>
      </c>
      <c r="L832" s="10"/>
      <c r="M832" s="33"/>
      <c r="N832" s="34"/>
      <c r="O832" s="34"/>
      <c r="P832" s="12" t="str">
        <f t="shared" si="1"/>
        <v>https://docs.google.com/forms/d/e/1FAIpQLSeZ-R1GrWlAPkfaThGqxeTj0QTtrARw4rroxIIepf2kipn1nw/formResponse?usp=pp_url&amp;entry.1313582257=0095554126 / 242510253&amp;entry.1578404635=Hadir</v>
      </c>
      <c r="Q832" s="23" t="s">
        <v>4429</v>
      </c>
      <c r="R832" s="12" t="s">
        <v>4430</v>
      </c>
      <c r="S832" s="24" t="s">
        <v>4431</v>
      </c>
      <c r="T832" s="23" t="str">
        <f>HYPERLINK("https://drive.google.com/file/d/1HExyKuarnuPNUDbWibDl1iGiY_pWtG2b/view?usp=drivesdk","32 - XI D-3 - Muhammad Bagus Haryo Pratama")</f>
        <v>32 - XI D-3 - Muhammad Bagus Haryo Pratama</v>
      </c>
      <c r="U832" s="12" t="s">
        <v>4411</v>
      </c>
      <c r="W832" s="25">
        <f>COUNTIFS('Form Presensi SCC'!$B:$B, IF($C832&lt;&gt;0, TEXT($C832, "0000000000"), $D832), 'Form Presensi SCC'!$C:$C, "Hadir")</f>
        <v>0</v>
      </c>
      <c r="Y832" s="26"/>
    </row>
    <row r="833" ht="22.5" customHeight="1">
      <c r="A833" s="18">
        <v>555.0</v>
      </c>
      <c r="B833" s="31">
        <v>25.0</v>
      </c>
      <c r="C833" s="27" t="s">
        <v>4432</v>
      </c>
      <c r="D833" s="31" t="s">
        <v>4433</v>
      </c>
      <c r="E833" s="32" t="s">
        <v>220</v>
      </c>
      <c r="F833" s="12">
        <v>32.0</v>
      </c>
      <c r="G833" s="12" t="s">
        <v>4309</v>
      </c>
      <c r="H833" s="28"/>
      <c r="I833" s="20"/>
      <c r="J833" s="10"/>
      <c r="K833" s="10" t="s">
        <v>4309</v>
      </c>
      <c r="L833" s="10"/>
      <c r="M833" s="33"/>
      <c r="N833" s="34"/>
      <c r="O833" s="34"/>
      <c r="P833" s="12" t="str">
        <f t="shared" si="1"/>
        <v>https://docs.google.com/forms/d/e/1FAIpQLSeZ-R1GrWlAPkfaThGqxeTj0QTtrARw4rroxIIepf2kipn1nw/formResponse?usp=pp_url&amp;entry.1313582257=0095029451 / 242510255&amp;entry.1578404635=Hadir</v>
      </c>
      <c r="Q833" s="23" t="s">
        <v>4434</v>
      </c>
      <c r="R833" s="12" t="s">
        <v>4435</v>
      </c>
      <c r="S833" s="24" t="s">
        <v>4436</v>
      </c>
      <c r="T833" s="23" t="str">
        <f>HYPERLINK("https://drive.google.com/file/d/1WxUS_bs0tkeeLIvPR0fL1R0uJSN4jZiq/view?usp=drivesdk","32 - XI D-3 - Muhammad Daffa Rifai")</f>
        <v>32 - XI D-3 - Muhammad Daffa Rifai</v>
      </c>
      <c r="U833" s="12" t="s">
        <v>4411</v>
      </c>
      <c r="W833" s="25">
        <f>COUNTIFS('Form Presensi SCC'!$B:$B, IF($C833&lt;&gt;0, TEXT($C833, "0000000000"), $D833), 'Form Presensi SCC'!$C:$C, "Hadir")</f>
        <v>0</v>
      </c>
      <c r="Y833" s="26"/>
    </row>
    <row r="834" ht="22.5" customHeight="1">
      <c r="A834" s="18">
        <v>555.0</v>
      </c>
      <c r="B834" s="31">
        <v>26.0</v>
      </c>
      <c r="C834" s="27" t="s">
        <v>4437</v>
      </c>
      <c r="D834" s="31" t="s">
        <v>4438</v>
      </c>
      <c r="E834" s="32" t="s">
        <v>220</v>
      </c>
      <c r="F834" s="12">
        <v>32.0</v>
      </c>
      <c r="G834" s="12" t="s">
        <v>4309</v>
      </c>
      <c r="H834" s="28"/>
      <c r="I834" s="20"/>
      <c r="J834" s="10"/>
      <c r="K834" s="10" t="s">
        <v>4309</v>
      </c>
      <c r="L834" s="10"/>
      <c r="M834" s="33"/>
      <c r="N834" s="34"/>
      <c r="O834" s="34"/>
      <c r="P834" s="12" t="str">
        <f t="shared" si="1"/>
        <v>https://docs.google.com/forms/d/e/1FAIpQLSeZ-R1GrWlAPkfaThGqxeTj0QTtrARw4rroxIIepf2kipn1nw/formResponse?usp=pp_url&amp;entry.1313582257=0084998907 / 242510273&amp;entry.1578404635=Hadir</v>
      </c>
      <c r="Q834" s="23" t="s">
        <v>4439</v>
      </c>
      <c r="R834" s="12" t="s">
        <v>4440</v>
      </c>
      <c r="S834" s="24" t="s">
        <v>4441</v>
      </c>
      <c r="T834" s="23" t="str">
        <f>HYPERLINK("https://drive.google.com/file/d/1-dFVH8a_wcLxbZxnAEXEzSsXMzxp-WoC/view?usp=drivesdk","32 - XI D-3 - Muhammad Rifqi Hadzami")</f>
        <v>32 - XI D-3 - Muhammad Rifqi Hadzami</v>
      </c>
      <c r="U834" s="12" t="s">
        <v>4411</v>
      </c>
      <c r="W834" s="25">
        <f>COUNTIFS('Form Presensi SCC'!$B:$B, IF($C834&lt;&gt;0, TEXT($C834, "0000000000"), $D834), 'Form Presensi SCC'!$C:$C, "Hadir")</f>
        <v>0</v>
      </c>
      <c r="Y834" s="26"/>
    </row>
    <row r="835" ht="22.5" customHeight="1">
      <c r="A835" s="18">
        <v>555.0</v>
      </c>
      <c r="B835" s="31">
        <v>27.0</v>
      </c>
      <c r="C835" s="27" t="s">
        <v>4442</v>
      </c>
      <c r="D835" s="31" t="s">
        <v>4443</v>
      </c>
      <c r="E835" s="32" t="s">
        <v>220</v>
      </c>
      <c r="F835" s="12">
        <v>32.0</v>
      </c>
      <c r="G835" s="12" t="s">
        <v>4309</v>
      </c>
      <c r="H835" s="28"/>
      <c r="I835" s="20"/>
      <c r="J835" s="10"/>
      <c r="K835" s="10" t="s">
        <v>4309</v>
      </c>
      <c r="L835" s="10"/>
      <c r="M835" s="33"/>
      <c r="N835" s="34"/>
      <c r="O835" s="34"/>
      <c r="P835" s="12" t="str">
        <f t="shared" si="1"/>
        <v>https://docs.google.com/forms/d/e/1FAIpQLSeZ-R1GrWlAPkfaThGqxeTj0QTtrARw4rroxIIepf2kipn1nw/formResponse?usp=pp_url&amp;entry.1313582257=3097947979 / 242510280&amp;entry.1578404635=Hadir</v>
      </c>
      <c r="Q835" s="23" t="s">
        <v>4444</v>
      </c>
      <c r="R835" s="12" t="s">
        <v>4445</v>
      </c>
      <c r="S835" s="24" t="s">
        <v>4446</v>
      </c>
      <c r="T835" s="23" t="str">
        <f>HYPERLINK("https://drive.google.com/file/d/1crtXZvWP0eUswdnbfjAWlGXNq8seBqO1/view?usp=drivesdk","32 - XI D-3 - Muhammad Yusril Ihza Bustomi")</f>
        <v>32 - XI D-3 - Muhammad Yusril Ihza Bustomi</v>
      </c>
      <c r="U835" s="12" t="s">
        <v>4447</v>
      </c>
      <c r="W835" s="25">
        <f>COUNTIFS('Form Presensi SCC'!$B:$B, IF($C835&lt;&gt;0, TEXT($C835, "0000000000"), $D835), 'Form Presensi SCC'!$C:$C, "Hadir")</f>
        <v>0</v>
      </c>
      <c r="Y835" s="26"/>
    </row>
    <row r="836" ht="22.5" customHeight="1">
      <c r="A836" s="18">
        <v>555.0</v>
      </c>
      <c r="B836" s="31">
        <v>28.0</v>
      </c>
      <c r="C836" s="27" t="s">
        <v>4448</v>
      </c>
      <c r="D836" s="31" t="s">
        <v>4449</v>
      </c>
      <c r="E836" s="32" t="s">
        <v>227</v>
      </c>
      <c r="F836" s="12">
        <v>32.0</v>
      </c>
      <c r="G836" s="12" t="s">
        <v>4309</v>
      </c>
      <c r="H836" s="28"/>
      <c r="I836" s="20"/>
      <c r="J836" s="10"/>
      <c r="K836" s="10" t="s">
        <v>4309</v>
      </c>
      <c r="L836" s="10"/>
      <c r="M836" s="33"/>
      <c r="N836" s="34"/>
      <c r="O836" s="34"/>
      <c r="P836" s="12" t="str">
        <f t="shared" si="1"/>
        <v>https://docs.google.com/forms/d/e/1FAIpQLSeZ-R1GrWlAPkfaThGqxeTj0QTtrARw4rroxIIepf2kipn1nw/formResponse?usp=pp_url&amp;entry.1313582257=0091225757 / 242510288&amp;entry.1578404635=Hadir</v>
      </c>
      <c r="Q836" s="23" t="s">
        <v>4450</v>
      </c>
      <c r="R836" s="12" t="s">
        <v>4451</v>
      </c>
      <c r="S836" s="24" t="s">
        <v>4452</v>
      </c>
      <c r="T836" s="23" t="str">
        <f>HYPERLINK("https://drive.google.com/file/d/1d4ocLBpS9KnYHsKyVD-xKYK_DRBugj7B/view?usp=drivesdk","32 - XI D-3 - Nadya Fayza Aulia")</f>
        <v>32 - XI D-3 - Nadya Fayza Aulia</v>
      </c>
      <c r="U836" s="12" t="s">
        <v>4447</v>
      </c>
      <c r="W836" s="25">
        <f>COUNTIFS('Form Presensi SCC'!$B:$B, IF($C836&lt;&gt;0, TEXT($C836, "0000000000"), $D836), 'Form Presensi SCC'!$C:$C, "Hadir")</f>
        <v>0</v>
      </c>
      <c r="Y836" s="26"/>
    </row>
    <row r="837" ht="22.5" customHeight="1">
      <c r="A837" s="18">
        <v>555.0</v>
      </c>
      <c r="B837" s="31">
        <v>29.0</v>
      </c>
      <c r="C837" s="27" t="s">
        <v>52</v>
      </c>
      <c r="D837" s="31" t="s">
        <v>4453</v>
      </c>
      <c r="E837" s="32" t="s">
        <v>227</v>
      </c>
      <c r="F837" s="12">
        <v>32.0</v>
      </c>
      <c r="G837" s="12" t="s">
        <v>4309</v>
      </c>
      <c r="H837" s="28"/>
      <c r="I837" s="20"/>
      <c r="J837" s="10"/>
      <c r="K837" s="10" t="s">
        <v>4309</v>
      </c>
      <c r="L837" s="10"/>
      <c r="M837" s="33"/>
      <c r="N837" s="34"/>
      <c r="O837" s="34"/>
      <c r="P837" s="12" t="str">
        <f t="shared" si="1"/>
        <v>https://docs.google.com/forms/d/e/1FAIpQLSeZ-R1GrWlAPkfaThGqxeTj0QTtrARw4rroxIIepf2kipn1nw/formResponse?usp=pp_url&amp;entry.1313582257=0099551790 / 242510296&amp;entry.1578404635=Hadir</v>
      </c>
      <c r="Q837" s="23" t="s">
        <v>4454</v>
      </c>
      <c r="R837" s="12" t="s">
        <v>4455</v>
      </c>
      <c r="S837" s="24" t="s">
        <v>4456</v>
      </c>
      <c r="T837" s="23" t="str">
        <f>HYPERLINK("https://drive.google.com/file/d/1l5mgOkwZJ2qZC-nI7Lmgn6AK6IBG1BIM/view?usp=drivesdk","32 - XI D-3 - Naurah Khansa Wibawa")</f>
        <v>32 - XI D-3 - Naurah Khansa Wibawa</v>
      </c>
      <c r="U837" s="12" t="s">
        <v>4447</v>
      </c>
      <c r="W837" s="25">
        <f>COUNTIFS('Form Presensi SCC'!$B:$B, IF($C837&lt;&gt;0, TEXT($C837, "0000000000"), $D837), 'Form Presensi SCC'!$C:$C, "Hadir")</f>
        <v>1</v>
      </c>
      <c r="Y837" s="26"/>
    </row>
    <row r="838" ht="22.5" customHeight="1">
      <c r="A838" s="18">
        <v>555.0</v>
      </c>
      <c r="B838" s="31">
        <v>30.0</v>
      </c>
      <c r="C838" s="27" t="s">
        <v>4457</v>
      </c>
      <c r="D838" s="31" t="s">
        <v>4458</v>
      </c>
      <c r="E838" s="32" t="s">
        <v>227</v>
      </c>
      <c r="F838" s="12">
        <v>32.0</v>
      </c>
      <c r="G838" s="12" t="s">
        <v>4309</v>
      </c>
      <c r="H838" s="28"/>
      <c r="I838" s="20"/>
      <c r="J838" s="10"/>
      <c r="K838" s="10" t="s">
        <v>4309</v>
      </c>
      <c r="L838" s="10"/>
      <c r="M838" s="33"/>
      <c r="N838" s="34"/>
      <c r="O838" s="34"/>
      <c r="P838" s="12" t="str">
        <f t="shared" si="1"/>
        <v>https://docs.google.com/forms/d/e/1FAIpQLSeZ-R1GrWlAPkfaThGqxeTj0QTtrARw4rroxIIepf2kipn1nw/formResponse?usp=pp_url&amp;entry.1313582257=0089608543 / 242510309&amp;entry.1578404635=Hadir</v>
      </c>
      <c r="Q838" s="23" t="s">
        <v>4459</v>
      </c>
      <c r="R838" s="12" t="s">
        <v>4460</v>
      </c>
      <c r="S838" s="24" t="s">
        <v>4461</v>
      </c>
      <c r="T838" s="23" t="str">
        <f>HYPERLINK("https://drive.google.com/file/d/1UR-nI4a40ZwIDafBL9wIBmpdxLurdYQa/view?usp=drivesdk","32 - XI D-3 - Nuri Sabilatul Aspiya")</f>
        <v>32 - XI D-3 - Nuri Sabilatul Aspiya</v>
      </c>
      <c r="U838" s="12" t="s">
        <v>4447</v>
      </c>
      <c r="W838" s="25">
        <f>COUNTIFS('Form Presensi SCC'!$B:$B, IF($C838&lt;&gt;0, TEXT($C838, "0000000000"), $D838), 'Form Presensi SCC'!$C:$C, "Hadir")</f>
        <v>0</v>
      </c>
      <c r="Y838" s="26"/>
    </row>
    <row r="839" ht="22.5" customHeight="1">
      <c r="A839" s="18">
        <v>555.0</v>
      </c>
      <c r="B839" s="31">
        <v>31.0</v>
      </c>
      <c r="C839" s="27" t="s">
        <v>4462</v>
      </c>
      <c r="D839" s="31" t="s">
        <v>4463</v>
      </c>
      <c r="E839" s="32" t="s">
        <v>220</v>
      </c>
      <c r="F839" s="12">
        <v>32.0</v>
      </c>
      <c r="G839" s="12" t="s">
        <v>4309</v>
      </c>
      <c r="H839" s="28"/>
      <c r="I839" s="20"/>
      <c r="J839" s="10"/>
      <c r="K839" s="10" t="s">
        <v>4309</v>
      </c>
      <c r="L839" s="10"/>
      <c r="M839" s="33"/>
      <c r="N839" s="34"/>
      <c r="O839" s="34"/>
      <c r="P839" s="12" t="str">
        <f t="shared" si="1"/>
        <v>https://docs.google.com/forms/d/e/1FAIpQLSeZ-R1GrWlAPkfaThGqxeTj0QTtrARw4rroxIIepf2kipn1nw/formResponse?usp=pp_url&amp;entry.1313582257=0098835028 / 242510334&amp;entry.1578404635=Hadir</v>
      </c>
      <c r="Q839" s="23" t="s">
        <v>4464</v>
      </c>
      <c r="R839" s="12" t="s">
        <v>4465</v>
      </c>
      <c r="S839" s="24" t="s">
        <v>4466</v>
      </c>
      <c r="T839" s="23" t="str">
        <f>HYPERLINK("https://drive.google.com/file/d/1LFlsqvixm1u9wl2ALvJLCw9xHoFehlJz/view?usp=drivesdk","32 - XI D-3 - Raffa Meyzaidan")</f>
        <v>32 - XI D-3 - Raffa Meyzaidan</v>
      </c>
      <c r="U839" s="12" t="s">
        <v>4447</v>
      </c>
      <c r="W839" s="25">
        <f>COUNTIFS('Form Presensi SCC'!$B:$B, IF($C839&lt;&gt;0, TEXT($C839, "0000000000"), $D839), 'Form Presensi SCC'!$C:$C, "Hadir")</f>
        <v>0</v>
      </c>
      <c r="Y839" s="26"/>
    </row>
    <row r="840" ht="22.5" customHeight="1">
      <c r="A840" s="18">
        <v>555.0</v>
      </c>
      <c r="B840" s="31">
        <v>32.0</v>
      </c>
      <c r="C840" s="27" t="s">
        <v>4467</v>
      </c>
      <c r="D840" s="31" t="s">
        <v>4468</v>
      </c>
      <c r="E840" s="32" t="s">
        <v>220</v>
      </c>
      <c r="F840" s="12">
        <v>32.0</v>
      </c>
      <c r="G840" s="12" t="s">
        <v>4309</v>
      </c>
      <c r="H840" s="28"/>
      <c r="I840" s="20"/>
      <c r="J840" s="10"/>
      <c r="K840" s="10" t="s">
        <v>4309</v>
      </c>
      <c r="L840" s="10"/>
      <c r="M840" s="33"/>
      <c r="N840" s="34"/>
      <c r="O840" s="34"/>
      <c r="P840" s="12" t="str">
        <f t="shared" si="1"/>
        <v>https://docs.google.com/forms/d/e/1FAIpQLSeZ-R1GrWlAPkfaThGqxeTj0QTtrARw4rroxIIepf2kipn1nw/formResponse?usp=pp_url&amp;entry.1313582257=3097356141 / 242510353&amp;entry.1578404635=Hadir</v>
      </c>
      <c r="Q840" s="23" t="s">
        <v>4469</v>
      </c>
      <c r="R840" s="12" t="s">
        <v>4470</v>
      </c>
      <c r="S840" s="24" t="s">
        <v>4471</v>
      </c>
      <c r="T840" s="23" t="str">
        <f>HYPERLINK("https://drive.google.com/file/d/1aIz0EXB7qwWVlSC-AOzdfKQY8SmE3Opy/view?usp=drivesdk","32 - XI D-3 - Rifzki Yusrin")</f>
        <v>32 - XI D-3 - Rifzki Yusrin</v>
      </c>
      <c r="U840" s="12" t="s">
        <v>4447</v>
      </c>
      <c r="W840" s="25">
        <f>COUNTIFS('Form Presensi SCC'!$B:$B, IF($C840&lt;&gt;0, TEXT($C840, "0000000000"), $D840), 'Form Presensi SCC'!$C:$C, "Hadir")</f>
        <v>0</v>
      </c>
      <c r="Y840" s="26"/>
    </row>
    <row r="841" ht="22.5" customHeight="1">
      <c r="A841" s="18">
        <v>555.0</v>
      </c>
      <c r="B841" s="31">
        <v>33.0</v>
      </c>
      <c r="C841" s="27" t="s">
        <v>4472</v>
      </c>
      <c r="D841" s="31" t="s">
        <v>4473</v>
      </c>
      <c r="E841" s="32" t="s">
        <v>227</v>
      </c>
      <c r="F841" s="12">
        <v>32.0</v>
      </c>
      <c r="G841" s="12" t="s">
        <v>4309</v>
      </c>
      <c r="H841" s="28"/>
      <c r="I841" s="20"/>
      <c r="J841" s="10"/>
      <c r="K841" s="10" t="s">
        <v>4309</v>
      </c>
      <c r="L841" s="10"/>
      <c r="M841" s="33"/>
      <c r="N841" s="34"/>
      <c r="O841" s="34"/>
      <c r="P841" s="12" t="str">
        <f t="shared" si="1"/>
        <v>https://docs.google.com/forms/d/e/1FAIpQLSeZ-R1GrWlAPkfaThGqxeTj0QTtrARw4rroxIIepf2kipn1nw/formResponse?usp=pp_url&amp;entry.1313582257=0097311898 / 242510379&amp;entry.1578404635=Hadir</v>
      </c>
      <c r="Q841" s="23" t="s">
        <v>4474</v>
      </c>
      <c r="R841" s="12" t="s">
        <v>4475</v>
      </c>
      <c r="S841" s="24" t="s">
        <v>4476</v>
      </c>
      <c r="T841" s="23" t="str">
        <f>HYPERLINK("https://drive.google.com/file/d/1GWGAdvoGdhMCEYLs3dki4zc1EDsDDCL3/view?usp=drivesdk","32 - XI D-3 - Shafira Ghassani")</f>
        <v>32 - XI D-3 - Shafira Ghassani</v>
      </c>
      <c r="U841" s="12" t="s">
        <v>4447</v>
      </c>
      <c r="W841" s="25">
        <f>COUNTIFS('Form Presensi SCC'!$B:$B, IF($C841&lt;&gt;0, TEXT($C841, "0000000000"), $D841), 'Form Presensi SCC'!$C:$C, "Hadir")</f>
        <v>0</v>
      </c>
      <c r="Y841" s="26"/>
    </row>
    <row r="842" ht="22.5" customHeight="1">
      <c r="A842" s="18">
        <v>555.0</v>
      </c>
      <c r="B842" s="31">
        <v>34.0</v>
      </c>
      <c r="C842" s="27" t="s">
        <v>4477</v>
      </c>
      <c r="D842" s="31" t="s">
        <v>4478</v>
      </c>
      <c r="E842" s="32" t="s">
        <v>220</v>
      </c>
      <c r="F842" s="12">
        <v>32.0</v>
      </c>
      <c r="G842" s="12" t="s">
        <v>4309</v>
      </c>
      <c r="H842" s="28"/>
      <c r="I842" s="20"/>
      <c r="J842" s="10"/>
      <c r="K842" s="10" t="s">
        <v>4309</v>
      </c>
      <c r="L842" s="10"/>
      <c r="M842" s="33"/>
      <c r="N842" s="34"/>
      <c r="O842" s="34"/>
      <c r="P842" s="12" t="str">
        <f t="shared" si="1"/>
        <v>https://docs.google.com/forms/d/e/1FAIpQLSeZ-R1GrWlAPkfaThGqxeTj0QTtrARw4rroxIIepf2kipn1nw/formResponse?usp=pp_url&amp;entry.1313582257=0099130256 / 242510385&amp;entry.1578404635=Hadir</v>
      </c>
      <c r="Q842" s="23" t="s">
        <v>4479</v>
      </c>
      <c r="R842" s="12" t="s">
        <v>4480</v>
      </c>
      <c r="S842" s="24" t="s">
        <v>4481</v>
      </c>
      <c r="T842" s="23" t="str">
        <f>HYPERLINK("https://drive.google.com/file/d/1j-In6ItO29isKGN2xsctXJ7rjxQRe7-M/view?usp=drivesdk","32 - XI D-3 - Sulaim Apenino Abdulhaq")</f>
        <v>32 - XI D-3 - Sulaim Apenino Abdulhaq</v>
      </c>
      <c r="U842" s="12" t="s">
        <v>4482</v>
      </c>
      <c r="W842" s="25">
        <f>COUNTIFS('Form Presensi SCC'!$B:$B, IF($C842&lt;&gt;0, TEXT($C842, "0000000000"), $D842), 'Form Presensi SCC'!$C:$C, "Hadir")</f>
        <v>0</v>
      </c>
      <c r="Y842" s="26"/>
    </row>
    <row r="843" ht="22.5" customHeight="1">
      <c r="A843" s="18">
        <v>555.0</v>
      </c>
      <c r="B843" s="31">
        <v>35.0</v>
      </c>
      <c r="C843" s="27" t="s">
        <v>4483</v>
      </c>
      <c r="D843" s="31" t="s">
        <v>4484</v>
      </c>
      <c r="E843" s="32" t="s">
        <v>227</v>
      </c>
      <c r="F843" s="12">
        <v>32.0</v>
      </c>
      <c r="G843" s="12" t="s">
        <v>4309</v>
      </c>
      <c r="H843" s="28"/>
      <c r="I843" s="20"/>
      <c r="J843" s="10"/>
      <c r="K843" s="10" t="s">
        <v>4309</v>
      </c>
      <c r="L843" s="10"/>
      <c r="M843" s="33"/>
      <c r="N843" s="34"/>
      <c r="O843" s="34"/>
      <c r="P843" s="12" t="str">
        <f t="shared" si="1"/>
        <v>https://docs.google.com/forms/d/e/1FAIpQLSeZ-R1GrWlAPkfaThGqxeTj0QTtrARw4rroxIIepf2kipn1nw/formResponse?usp=pp_url&amp;entry.1313582257=0082646713 / 242510398&amp;entry.1578404635=Hadir</v>
      </c>
      <c r="Q843" s="23" t="s">
        <v>4485</v>
      </c>
      <c r="R843" s="12" t="s">
        <v>4486</v>
      </c>
      <c r="S843" s="24" t="s">
        <v>4487</v>
      </c>
      <c r="T843" s="23" t="str">
        <f>HYPERLINK("https://drive.google.com/file/d/145EPwHP7BFRH4oe7Bdd8lYVHEo0agQm_/view?usp=drivesdk","32 - XI D-3 - Talita Shaki Aulia")</f>
        <v>32 - XI D-3 - Talita Shaki Aulia</v>
      </c>
      <c r="U843" s="12" t="s">
        <v>4482</v>
      </c>
      <c r="W843" s="25">
        <f>COUNTIFS('Form Presensi SCC'!$B:$B, IF($C843&lt;&gt;0, TEXT($C843, "0000000000"), $D843), 'Form Presensi SCC'!$C:$C, "Hadir")</f>
        <v>0</v>
      </c>
      <c r="Y843" s="26"/>
    </row>
    <row r="844" ht="22.5" customHeight="1">
      <c r="A844" s="18">
        <v>555.0</v>
      </c>
      <c r="B844" s="31">
        <v>36.0</v>
      </c>
      <c r="C844" s="27" t="s">
        <v>4488</v>
      </c>
      <c r="D844" s="31" t="s">
        <v>4489</v>
      </c>
      <c r="E844" s="32" t="s">
        <v>227</v>
      </c>
      <c r="F844" s="12">
        <v>32.0</v>
      </c>
      <c r="G844" s="12" t="s">
        <v>4309</v>
      </c>
      <c r="H844" s="28"/>
      <c r="I844" s="20"/>
      <c r="J844" s="10"/>
      <c r="K844" s="10" t="s">
        <v>4309</v>
      </c>
      <c r="L844" s="10"/>
      <c r="M844" s="33"/>
      <c r="N844" s="34"/>
      <c r="O844" s="34"/>
      <c r="P844" s="12" t="str">
        <f t="shared" si="1"/>
        <v>https://docs.google.com/forms/d/e/1FAIpQLSeZ-R1GrWlAPkfaThGqxeTj0QTtrARw4rroxIIepf2kipn1nw/formResponse?usp=pp_url&amp;entry.1313582257=0091537746 / 242510407&amp;entry.1578404635=Hadir</v>
      </c>
      <c r="Q844" s="23" t="s">
        <v>4490</v>
      </c>
      <c r="R844" s="12" t="s">
        <v>4491</v>
      </c>
      <c r="S844" s="24" t="s">
        <v>4492</v>
      </c>
      <c r="T844" s="23" t="str">
        <f>HYPERLINK("https://drive.google.com/file/d/1IQnif8xRb2yq_cKzVIR2TGMnJ_b2-_KK/view?usp=drivesdk","32 - XI D-3 - Vindy Aprilia Khanaya")</f>
        <v>32 - XI D-3 - Vindy Aprilia Khanaya</v>
      </c>
      <c r="U844" s="12" t="s">
        <v>4482</v>
      </c>
      <c r="W844" s="25">
        <f>COUNTIFS('Form Presensi SCC'!$B:$B, IF($C844&lt;&gt;0, TEXT($C844, "0000000000"), $D844), 'Form Presensi SCC'!$C:$C, "Hadir")</f>
        <v>0</v>
      </c>
      <c r="Y844" s="26"/>
    </row>
    <row r="845" ht="22.5" customHeight="1">
      <c r="A845" s="18">
        <v>555.0</v>
      </c>
      <c r="B845" s="31">
        <v>1.0</v>
      </c>
      <c r="C845" s="27" t="s">
        <v>4493</v>
      </c>
      <c r="D845" s="31" t="s">
        <v>4494</v>
      </c>
      <c r="E845" s="32" t="s">
        <v>227</v>
      </c>
      <c r="F845" s="12">
        <v>32.0</v>
      </c>
      <c r="G845" s="12" t="s">
        <v>4495</v>
      </c>
      <c r="H845" s="28"/>
      <c r="I845" s="20"/>
      <c r="J845" s="10"/>
      <c r="K845" s="10" t="s">
        <v>4495</v>
      </c>
      <c r="L845" s="10"/>
      <c r="M845" s="33"/>
      <c r="N845" s="34"/>
      <c r="O845" s="34"/>
      <c r="P845" s="12" t="str">
        <f t="shared" si="1"/>
        <v>https://docs.google.com/forms/d/e/1FAIpQLSeZ-R1GrWlAPkfaThGqxeTj0QTtrARw4rroxIIepf2kipn1nw/formResponse?usp=pp_url&amp;entry.1313582257=0093390743 / 242510006&amp;entry.1578404635=Hadir</v>
      </c>
      <c r="Q845" s="23" t="s">
        <v>4496</v>
      </c>
      <c r="R845" s="12" t="s">
        <v>4497</v>
      </c>
      <c r="S845" s="24" t="s">
        <v>4498</v>
      </c>
      <c r="T845" s="23" t="str">
        <f>HYPERLINK("https://drive.google.com/file/d/1zlqu4C5uqa6M3crypLVPYMnhQo4uW4Na/view?usp=drivesdk","32 - XI E-1 - Adinda Queena Maheswari")</f>
        <v>32 - XI E-1 - Adinda Queena Maheswari</v>
      </c>
      <c r="U845" s="12" t="s">
        <v>4482</v>
      </c>
      <c r="W845" s="25">
        <f>COUNTIFS('Form Presensi SCC'!$B:$B, IF($C845&lt;&gt;0, TEXT($C845, "0000000000"), $D845), 'Form Presensi SCC'!$C:$C, "Hadir")</f>
        <v>0</v>
      </c>
      <c r="Y845" s="26"/>
    </row>
    <row r="846" ht="22.5" customHeight="1">
      <c r="A846" s="18">
        <v>555.0</v>
      </c>
      <c r="B846" s="31">
        <v>2.0</v>
      </c>
      <c r="C846" s="27" t="s">
        <v>4499</v>
      </c>
      <c r="D846" s="31" t="s">
        <v>4500</v>
      </c>
      <c r="E846" s="32" t="s">
        <v>220</v>
      </c>
      <c r="F846" s="12">
        <v>32.0</v>
      </c>
      <c r="G846" s="12" t="s">
        <v>4495</v>
      </c>
      <c r="H846" s="28"/>
      <c r="I846" s="20"/>
      <c r="J846" s="10"/>
      <c r="K846" s="10" t="s">
        <v>4495</v>
      </c>
      <c r="L846" s="10"/>
      <c r="M846" s="33"/>
      <c r="N846" s="34"/>
      <c r="O846" s="34"/>
      <c r="P846" s="12" t="str">
        <f t="shared" si="1"/>
        <v>https://docs.google.com/forms/d/e/1FAIpQLSeZ-R1GrWlAPkfaThGqxeTj0QTtrARw4rroxIIepf2kipn1nw/formResponse?usp=pp_url&amp;entry.1313582257=0099505768 / 242510022&amp;entry.1578404635=Hadir</v>
      </c>
      <c r="Q846" s="23" t="s">
        <v>4501</v>
      </c>
      <c r="R846" s="12" t="s">
        <v>4502</v>
      </c>
      <c r="S846" s="24" t="s">
        <v>4503</v>
      </c>
      <c r="T846" s="23" t="str">
        <f>HYPERLINK("https://drive.google.com/file/d/1KaS08j72BJ3-DQOmrrxRTMrFeztzNhwA/view?usp=drivesdk","32 - XI E-1 - Alex Saputra Suranta Tarigan")</f>
        <v>32 - XI E-1 - Alex Saputra Suranta Tarigan</v>
      </c>
      <c r="U846" s="12" t="s">
        <v>4482</v>
      </c>
      <c r="W846" s="25">
        <f>COUNTIFS('Form Presensi SCC'!$B:$B, IF($C846&lt;&gt;0, TEXT($C846, "0000000000"), $D846), 'Form Presensi SCC'!$C:$C, "Hadir")</f>
        <v>0</v>
      </c>
      <c r="Y846" s="26"/>
    </row>
    <row r="847" ht="22.5" customHeight="1">
      <c r="A847" s="18">
        <v>555.0</v>
      </c>
      <c r="B847" s="31">
        <v>3.0</v>
      </c>
      <c r="C847" s="27" t="s">
        <v>4504</v>
      </c>
      <c r="D847" s="31" t="s">
        <v>4505</v>
      </c>
      <c r="E847" s="32" t="s">
        <v>227</v>
      </c>
      <c r="F847" s="12">
        <v>32.0</v>
      </c>
      <c r="G847" s="12" t="s">
        <v>4495</v>
      </c>
      <c r="H847" s="28"/>
      <c r="I847" s="20"/>
      <c r="J847" s="10"/>
      <c r="K847" s="10" t="s">
        <v>4495</v>
      </c>
      <c r="L847" s="10"/>
      <c r="M847" s="33"/>
      <c r="N847" s="34"/>
      <c r="O847" s="34"/>
      <c r="P847" s="12" t="str">
        <f t="shared" si="1"/>
        <v>https://docs.google.com/forms/d/e/1FAIpQLSeZ-R1GrWlAPkfaThGqxeTj0QTtrARw4rroxIIepf2kipn1nw/formResponse?usp=pp_url&amp;entry.1313582257=0093801090 / 242510035&amp;entry.1578404635=Hadir</v>
      </c>
      <c r="Q847" s="23" t="s">
        <v>4506</v>
      </c>
      <c r="R847" s="12" t="s">
        <v>4507</v>
      </c>
      <c r="S847" s="24" t="s">
        <v>4508</v>
      </c>
      <c r="T847" s="23" t="str">
        <f>HYPERLINK("https://drive.google.com/file/d/1CK5cgwW1EtS7k7PsteYRubNGaCI3YYB8/view?usp=drivesdk","32 - XI E-1 - Alwinsa Sugiharto")</f>
        <v>32 - XI E-1 - Alwinsa Sugiharto</v>
      </c>
      <c r="U847" s="12" t="s">
        <v>4482</v>
      </c>
      <c r="W847" s="25">
        <f>COUNTIFS('Form Presensi SCC'!$B:$B, IF($C847&lt;&gt;0, TEXT($C847, "0000000000"), $D847), 'Form Presensi SCC'!$C:$C, "Hadir")</f>
        <v>0</v>
      </c>
      <c r="Y847" s="26"/>
    </row>
    <row r="848" ht="22.5" customHeight="1">
      <c r="A848" s="18">
        <v>555.0</v>
      </c>
      <c r="B848" s="31">
        <v>4.0</v>
      </c>
      <c r="C848" s="27" t="s">
        <v>4509</v>
      </c>
      <c r="D848" s="31" t="s">
        <v>4510</v>
      </c>
      <c r="E848" s="32" t="s">
        <v>220</v>
      </c>
      <c r="F848" s="12">
        <v>32.0</v>
      </c>
      <c r="G848" s="12" t="s">
        <v>4495</v>
      </c>
      <c r="H848" s="28"/>
      <c r="I848" s="20"/>
      <c r="J848" s="10"/>
      <c r="K848" s="10" t="s">
        <v>4495</v>
      </c>
      <c r="L848" s="10"/>
      <c r="M848" s="33"/>
      <c r="N848" s="34"/>
      <c r="O848" s="34"/>
      <c r="P848" s="12" t="str">
        <f t="shared" si="1"/>
        <v>https://docs.google.com/forms/d/e/1FAIpQLSeZ-R1GrWlAPkfaThGqxeTj0QTtrARw4rroxIIepf2kipn1nw/formResponse?usp=pp_url&amp;entry.1313582257=0097959305 / 242510047&amp;entry.1578404635=Hadir</v>
      </c>
      <c r="Q848" s="23" t="s">
        <v>4511</v>
      </c>
      <c r="R848" s="12" t="s">
        <v>4512</v>
      </c>
      <c r="S848" s="24" t="s">
        <v>4513</v>
      </c>
      <c r="T848" s="23" t="str">
        <f>HYPERLINK("https://drive.google.com/file/d/1k-NHegkAEC1Hq81R6gE4j9j9n9bKFYFi/view?usp=drivesdk","32 - XI E-1 - Anindito Pandu Fahrinugroho")</f>
        <v>32 - XI E-1 - Anindito Pandu Fahrinugroho</v>
      </c>
      <c r="U848" s="12" t="s">
        <v>4482</v>
      </c>
      <c r="W848" s="25">
        <f>COUNTIFS('Form Presensi SCC'!$B:$B, IF($C848&lt;&gt;0, TEXT($C848, "0000000000"), $D848), 'Form Presensi SCC'!$C:$C, "Hadir")</f>
        <v>0</v>
      </c>
      <c r="Y848" s="26"/>
    </row>
    <row r="849" ht="22.5" customHeight="1">
      <c r="A849" s="18">
        <v>555.0</v>
      </c>
      <c r="B849" s="31">
        <v>5.0</v>
      </c>
      <c r="C849" s="27" t="s">
        <v>4514</v>
      </c>
      <c r="D849" s="31" t="s">
        <v>4515</v>
      </c>
      <c r="E849" s="32" t="s">
        <v>227</v>
      </c>
      <c r="F849" s="12">
        <v>32.0</v>
      </c>
      <c r="G849" s="12" t="s">
        <v>4495</v>
      </c>
      <c r="H849" s="28"/>
      <c r="I849" s="20"/>
      <c r="J849" s="10"/>
      <c r="K849" s="10" t="s">
        <v>4495</v>
      </c>
      <c r="L849" s="10"/>
      <c r="M849" s="33"/>
      <c r="N849" s="34"/>
      <c r="O849" s="34"/>
      <c r="P849" s="12" t="str">
        <f t="shared" si="1"/>
        <v>https://docs.google.com/forms/d/e/1FAIpQLSeZ-R1GrWlAPkfaThGqxeTj0QTtrARw4rroxIIepf2kipn1nw/formResponse?usp=pp_url&amp;entry.1313582257=0084789093 / 242510051&amp;entry.1578404635=Hadir</v>
      </c>
      <c r="Q849" s="23" t="s">
        <v>4516</v>
      </c>
      <c r="R849" s="12" t="s">
        <v>4517</v>
      </c>
      <c r="S849" s="24" t="s">
        <v>4518</v>
      </c>
      <c r="T849" s="23" t="str">
        <f>HYPERLINK("https://drive.google.com/file/d/1_8ii_NFhtnI1nfhIgCSU9WR2_49KsiwD/view?usp=drivesdk","32 - XI E-1 - Annida Khairunnisa")</f>
        <v>32 - XI E-1 - Annida Khairunnisa</v>
      </c>
      <c r="U849" s="12" t="s">
        <v>4482</v>
      </c>
      <c r="W849" s="25">
        <f>COUNTIFS('Form Presensi SCC'!$B:$B, IF($C849&lt;&gt;0, TEXT($C849, "0000000000"), $D849), 'Form Presensi SCC'!$C:$C, "Hadir")</f>
        <v>0</v>
      </c>
      <c r="Y849" s="26"/>
    </row>
    <row r="850" ht="22.5" customHeight="1">
      <c r="A850" s="18">
        <v>555.0</v>
      </c>
      <c r="B850" s="31">
        <v>6.0</v>
      </c>
      <c r="C850" s="27" t="s">
        <v>4519</v>
      </c>
      <c r="D850" s="31" t="s">
        <v>4520</v>
      </c>
      <c r="E850" s="32" t="s">
        <v>220</v>
      </c>
      <c r="F850" s="12">
        <v>32.0</v>
      </c>
      <c r="G850" s="12" t="s">
        <v>4495</v>
      </c>
      <c r="H850" s="28"/>
      <c r="I850" s="20"/>
      <c r="J850" s="10"/>
      <c r="K850" s="10" t="s">
        <v>4495</v>
      </c>
      <c r="L850" s="10"/>
      <c r="M850" s="33"/>
      <c r="N850" s="34"/>
      <c r="O850" s="34"/>
      <c r="P850" s="12" t="str">
        <f t="shared" si="1"/>
        <v>https://docs.google.com/forms/d/e/1FAIpQLSeZ-R1GrWlAPkfaThGqxeTj0QTtrARw4rroxIIepf2kipn1nw/formResponse?usp=pp_url&amp;entry.1313582257=2081404817 / 242510059&amp;entry.1578404635=Hadir</v>
      </c>
      <c r="Q850" s="23" t="s">
        <v>4521</v>
      </c>
      <c r="R850" s="12" t="s">
        <v>4522</v>
      </c>
      <c r="S850" s="24" t="s">
        <v>4523</v>
      </c>
      <c r="T850" s="23" t="str">
        <f>HYPERLINK("https://drive.google.com/file/d/117ap1oiLjN3P27aUufArkLNtb08kgMYU/view?usp=drivesdk","32 - XI E-1 - Aryasatya Tridaya Alam")</f>
        <v>32 - XI E-1 - Aryasatya Tridaya Alam</v>
      </c>
      <c r="U850" s="12" t="s">
        <v>4524</v>
      </c>
      <c r="W850" s="25">
        <f>COUNTIFS('Form Presensi SCC'!$B:$B, IF($C850&lt;&gt;0, TEXT($C850, "0000000000"), $D850), 'Form Presensi SCC'!$C:$C, "Hadir")</f>
        <v>0</v>
      </c>
      <c r="Y850" s="26"/>
    </row>
    <row r="851" ht="22.5" customHeight="1">
      <c r="A851" s="18">
        <v>555.0</v>
      </c>
      <c r="B851" s="31">
        <v>7.0</v>
      </c>
      <c r="C851" s="27" t="s">
        <v>4525</v>
      </c>
      <c r="D851" s="31" t="s">
        <v>4526</v>
      </c>
      <c r="E851" s="32" t="s">
        <v>220</v>
      </c>
      <c r="F851" s="12">
        <v>32.0</v>
      </c>
      <c r="G851" s="12" t="s">
        <v>4495</v>
      </c>
      <c r="H851" s="28"/>
      <c r="I851" s="20"/>
      <c r="J851" s="10"/>
      <c r="K851" s="10" t="s">
        <v>4495</v>
      </c>
      <c r="L851" s="10"/>
      <c r="M851" s="33"/>
      <c r="N851" s="34"/>
      <c r="O851" s="34"/>
      <c r="P851" s="12" t="str">
        <f t="shared" si="1"/>
        <v>https://docs.google.com/forms/d/e/1FAIpQLSeZ-R1GrWlAPkfaThGqxeTj0QTtrARw4rroxIIepf2kipn1nw/formResponse?usp=pp_url&amp;entry.1313582257=0098812831 / 242510083&amp;entry.1578404635=Hadir</v>
      </c>
      <c r="Q851" s="23" t="s">
        <v>4527</v>
      </c>
      <c r="R851" s="12" t="s">
        <v>4528</v>
      </c>
      <c r="S851" s="24" t="s">
        <v>4529</v>
      </c>
      <c r="T851" s="23" t="str">
        <f>HYPERLINK("https://drive.google.com/file/d/1JPG1jmoWfTdWcJwweF_ahsEpgcD0V8mA/view?usp=drivesdk","32 - XI E-1 - Bilal Kaka Pratama Hartoyo")</f>
        <v>32 - XI E-1 - Bilal Kaka Pratama Hartoyo</v>
      </c>
      <c r="U851" s="12" t="s">
        <v>4524</v>
      </c>
      <c r="W851" s="25">
        <f>COUNTIFS('Form Presensi SCC'!$B:$B, IF($C851&lt;&gt;0, TEXT($C851, "0000000000"), $D851), 'Form Presensi SCC'!$C:$C, "Hadir")</f>
        <v>0</v>
      </c>
      <c r="Y851" s="26"/>
    </row>
    <row r="852" ht="22.5" customHeight="1">
      <c r="A852" s="18">
        <v>555.0</v>
      </c>
      <c r="B852" s="31">
        <v>8.0</v>
      </c>
      <c r="C852" s="27" t="s">
        <v>4530</v>
      </c>
      <c r="D852" s="31" t="s">
        <v>4531</v>
      </c>
      <c r="E852" s="32" t="s">
        <v>220</v>
      </c>
      <c r="F852" s="12">
        <v>32.0</v>
      </c>
      <c r="G852" s="12" t="s">
        <v>4495</v>
      </c>
      <c r="H852" s="28"/>
      <c r="I852" s="20"/>
      <c r="J852" s="10"/>
      <c r="K852" s="10" t="s">
        <v>4495</v>
      </c>
      <c r="L852" s="10"/>
      <c r="M852" s="33"/>
      <c r="N852" s="34"/>
      <c r="O852" s="34"/>
      <c r="P852" s="12" t="str">
        <f t="shared" si="1"/>
        <v>https://docs.google.com/forms/d/e/1FAIpQLSeZ-R1GrWlAPkfaThGqxeTj0QTtrARw4rroxIIepf2kipn1nw/formResponse?usp=pp_url&amp;entry.1313582257=0083352872 / 242510098&amp;entry.1578404635=Hadir</v>
      </c>
      <c r="Q852" s="23" t="s">
        <v>4532</v>
      </c>
      <c r="R852" s="12" t="s">
        <v>4533</v>
      </c>
      <c r="S852" s="24" t="s">
        <v>4534</v>
      </c>
      <c r="T852" s="23" t="str">
        <f>HYPERLINK("https://drive.google.com/file/d/1GgLGkTgIb4bV_r0CR4tuXVOsyGrDdO1n/view?usp=drivesdk","32 - XI E-1 - Daffa Iqram Al Fachreza")</f>
        <v>32 - XI E-1 - Daffa Iqram Al Fachreza</v>
      </c>
      <c r="U852" s="12" t="s">
        <v>4524</v>
      </c>
      <c r="W852" s="25">
        <f>COUNTIFS('Form Presensi SCC'!$B:$B, IF($C852&lt;&gt;0, TEXT($C852, "0000000000"), $D852), 'Form Presensi SCC'!$C:$C, "Hadir")</f>
        <v>0</v>
      </c>
      <c r="Y852" s="26"/>
    </row>
    <row r="853" ht="22.5" customHeight="1">
      <c r="A853" s="18">
        <v>555.0</v>
      </c>
      <c r="B853" s="31">
        <v>9.0</v>
      </c>
      <c r="C853" s="27" t="s">
        <v>4535</v>
      </c>
      <c r="D853" s="31" t="s">
        <v>4536</v>
      </c>
      <c r="E853" s="32" t="s">
        <v>220</v>
      </c>
      <c r="F853" s="12">
        <v>32.0</v>
      </c>
      <c r="G853" s="12" t="s">
        <v>4495</v>
      </c>
      <c r="H853" s="28"/>
      <c r="I853" s="20"/>
      <c r="J853" s="10"/>
      <c r="K853" s="10" t="s">
        <v>4495</v>
      </c>
      <c r="L853" s="10"/>
      <c r="M853" s="33"/>
      <c r="N853" s="34"/>
      <c r="O853" s="34"/>
      <c r="P853" s="12" t="str">
        <f t="shared" si="1"/>
        <v>https://docs.google.com/forms/d/e/1FAIpQLSeZ-R1GrWlAPkfaThGqxeTj0QTtrARw4rroxIIepf2kipn1nw/formResponse?usp=pp_url&amp;entry.1313582257=0086078004 / 242510103&amp;entry.1578404635=Hadir</v>
      </c>
      <c r="Q853" s="23" t="s">
        <v>4537</v>
      </c>
      <c r="R853" s="12" t="s">
        <v>4538</v>
      </c>
      <c r="S853" s="24" t="s">
        <v>4539</v>
      </c>
      <c r="T853" s="23" t="str">
        <f>HYPERLINK("https://drive.google.com/file/d/1YC6XYt7FNhpwEhcsvjsKQWGFVb5nxT3b/view?usp=drivesdk","32 - XI E-1 - Deandra Nashwan Danish")</f>
        <v>32 - XI E-1 - Deandra Nashwan Danish</v>
      </c>
      <c r="U853" s="12" t="s">
        <v>4524</v>
      </c>
      <c r="W853" s="25">
        <f>COUNTIFS('Form Presensi SCC'!$B:$B, IF($C853&lt;&gt;0, TEXT($C853, "0000000000"), $D853), 'Form Presensi SCC'!$C:$C, "Hadir")</f>
        <v>0</v>
      </c>
      <c r="Y853" s="26"/>
    </row>
    <row r="854" ht="22.5" customHeight="1">
      <c r="A854" s="18">
        <v>555.0</v>
      </c>
      <c r="B854" s="31">
        <v>10.0</v>
      </c>
      <c r="C854" s="27" t="s">
        <v>4540</v>
      </c>
      <c r="D854" s="31" t="s">
        <v>4541</v>
      </c>
      <c r="E854" s="32" t="s">
        <v>220</v>
      </c>
      <c r="F854" s="12">
        <v>32.0</v>
      </c>
      <c r="G854" s="12" t="s">
        <v>4495</v>
      </c>
      <c r="H854" s="28"/>
      <c r="I854" s="20"/>
      <c r="J854" s="10"/>
      <c r="K854" s="10" t="s">
        <v>4495</v>
      </c>
      <c r="L854" s="10"/>
      <c r="M854" s="33"/>
      <c r="N854" s="34"/>
      <c r="O854" s="34"/>
      <c r="P854" s="12" t="str">
        <f t="shared" si="1"/>
        <v>https://docs.google.com/forms/d/e/1FAIpQLSeZ-R1GrWlAPkfaThGqxeTj0QTtrARw4rroxIIepf2kipn1nw/formResponse?usp=pp_url&amp;entry.1313582257=0098775856 / 242510123&amp;entry.1578404635=Hadir</v>
      </c>
      <c r="Q854" s="23" t="s">
        <v>4542</v>
      </c>
      <c r="R854" s="12" t="s">
        <v>4543</v>
      </c>
      <c r="S854" s="24" t="s">
        <v>4544</v>
      </c>
      <c r="T854" s="23" t="str">
        <f>HYPERLINK("https://drive.google.com/file/d/1QHdQOaSUn8t2Oc42KKb_TAHYO0RumHeI/view?usp=drivesdk","32 - XI E-1 - Erzan Fauzy Zulkarnaen")</f>
        <v>32 - XI E-1 - Erzan Fauzy Zulkarnaen</v>
      </c>
      <c r="U854" s="12" t="s">
        <v>4524</v>
      </c>
      <c r="W854" s="25">
        <f>COUNTIFS('Form Presensi SCC'!$B:$B, IF($C854&lt;&gt;0, TEXT($C854, "0000000000"), $D854), 'Form Presensi SCC'!$C:$C, "Hadir")</f>
        <v>0</v>
      </c>
      <c r="Y854" s="26"/>
    </row>
    <row r="855" ht="22.5" customHeight="1">
      <c r="A855" s="18">
        <v>555.0</v>
      </c>
      <c r="B855" s="31">
        <v>11.0</v>
      </c>
      <c r="C855" s="27" t="s">
        <v>4545</v>
      </c>
      <c r="D855" s="31" t="s">
        <v>4546</v>
      </c>
      <c r="E855" s="32" t="s">
        <v>220</v>
      </c>
      <c r="F855" s="12">
        <v>32.0</v>
      </c>
      <c r="G855" s="12" t="s">
        <v>4495</v>
      </c>
      <c r="H855" s="28"/>
      <c r="I855" s="20"/>
      <c r="J855" s="10"/>
      <c r="K855" s="10" t="s">
        <v>4495</v>
      </c>
      <c r="L855" s="10"/>
      <c r="M855" s="33"/>
      <c r="N855" s="34"/>
      <c r="O855" s="34"/>
      <c r="P855" s="12" t="str">
        <f t="shared" si="1"/>
        <v>https://docs.google.com/forms/d/e/1FAIpQLSeZ-R1GrWlAPkfaThGqxeTj0QTtrARw4rroxIIepf2kipn1nw/formResponse?usp=pp_url&amp;entry.1313582257=0093969715 / 242510128&amp;entry.1578404635=Hadir</v>
      </c>
      <c r="Q855" s="23" t="s">
        <v>4547</v>
      </c>
      <c r="R855" s="12" t="s">
        <v>4548</v>
      </c>
      <c r="S855" s="24" t="s">
        <v>4549</v>
      </c>
      <c r="T855" s="23" t="str">
        <f>HYPERLINK("https://drive.google.com/file/d/1nptwo0mEA84_TKU60uv4hnnGDczeS1Zk/view?usp=drivesdk","32 - XI E-1 - Fadel Maliq Fathani")</f>
        <v>32 - XI E-1 - Fadel Maliq Fathani</v>
      </c>
      <c r="U855" s="12" t="s">
        <v>4524</v>
      </c>
      <c r="W855" s="25">
        <f>COUNTIFS('Form Presensi SCC'!$B:$B, IF($C855&lt;&gt;0, TEXT($C855, "0000000000"), $D855), 'Form Presensi SCC'!$C:$C, "Hadir")</f>
        <v>0</v>
      </c>
      <c r="Y855" s="26"/>
    </row>
    <row r="856" ht="22.5" customHeight="1">
      <c r="A856" s="18">
        <v>555.0</v>
      </c>
      <c r="B856" s="31">
        <v>12.0</v>
      </c>
      <c r="C856" s="27" t="s">
        <v>4550</v>
      </c>
      <c r="D856" s="31" t="s">
        <v>4551</v>
      </c>
      <c r="E856" s="32" t="s">
        <v>220</v>
      </c>
      <c r="F856" s="12">
        <v>32.0</v>
      </c>
      <c r="G856" s="12" t="s">
        <v>4495</v>
      </c>
      <c r="H856" s="28"/>
      <c r="I856" s="20"/>
      <c r="J856" s="10"/>
      <c r="K856" s="10" t="s">
        <v>4495</v>
      </c>
      <c r="L856" s="10"/>
      <c r="M856" s="33"/>
      <c r="N856" s="34"/>
      <c r="O856" s="34"/>
      <c r="P856" s="12" t="str">
        <f t="shared" si="1"/>
        <v>https://docs.google.com/forms/d/e/1FAIpQLSeZ-R1GrWlAPkfaThGqxeTj0QTtrARw4rroxIIepf2kipn1nw/formResponse?usp=pp_url&amp;entry.1313582257=0097062478 / 242510175&amp;entry.1578404635=Hadir</v>
      </c>
      <c r="Q856" s="23" t="s">
        <v>4552</v>
      </c>
      <c r="R856" s="12" t="s">
        <v>4553</v>
      </c>
      <c r="S856" s="24" t="s">
        <v>4554</v>
      </c>
      <c r="T856" s="23" t="str">
        <f>HYPERLINK("https://drive.google.com/file/d/1eJJuBlBC6iK8oSeyAzz_w1rbpr-zOc1m/view?usp=drivesdk","32 - XI E-1 - Islamian Ikhsa Firmawan")</f>
        <v>32 - XI E-1 - Islamian Ikhsa Firmawan</v>
      </c>
      <c r="U856" s="12" t="s">
        <v>4524</v>
      </c>
      <c r="W856" s="25">
        <f>COUNTIFS('Form Presensi SCC'!$B:$B, IF($C856&lt;&gt;0, TEXT($C856, "0000000000"), $D856), 'Form Presensi SCC'!$C:$C, "Hadir")</f>
        <v>0</v>
      </c>
      <c r="Y856" s="26"/>
    </row>
    <row r="857" ht="22.5" customHeight="1">
      <c r="A857" s="18">
        <v>555.0</v>
      </c>
      <c r="B857" s="31">
        <v>13.0</v>
      </c>
      <c r="C857" s="27" t="s">
        <v>4555</v>
      </c>
      <c r="D857" s="31" t="s">
        <v>4556</v>
      </c>
      <c r="E857" s="32" t="s">
        <v>227</v>
      </c>
      <c r="F857" s="12">
        <v>32.0</v>
      </c>
      <c r="G857" s="12" t="s">
        <v>4495</v>
      </c>
      <c r="H857" s="28"/>
      <c r="I857" s="20"/>
      <c r="J857" s="10"/>
      <c r="K857" s="10" t="s">
        <v>4495</v>
      </c>
      <c r="L857" s="10"/>
      <c r="M857" s="33"/>
      <c r="N857" s="34"/>
      <c r="O857" s="34"/>
      <c r="P857" s="12" t="str">
        <f t="shared" si="1"/>
        <v>https://docs.google.com/forms/d/e/1FAIpQLSeZ-R1GrWlAPkfaThGqxeTj0QTtrARw4rroxIIepf2kipn1nw/formResponse?usp=pp_url&amp;entry.1313582257=0082185766 / 242510181&amp;entry.1578404635=Hadir</v>
      </c>
      <c r="Q857" s="23" t="s">
        <v>4557</v>
      </c>
      <c r="R857" s="12" t="s">
        <v>4558</v>
      </c>
      <c r="S857" s="24" t="s">
        <v>4559</v>
      </c>
      <c r="T857" s="23" t="str">
        <f>HYPERLINK("https://drive.google.com/file/d/1oW43k7HS20eBIEU83NUpd-zEmYW54ss3/view?usp=drivesdk","32 - XI E-1 - Juwinsyah Dwi Arga")</f>
        <v>32 - XI E-1 - Juwinsyah Dwi Arga</v>
      </c>
      <c r="U857" s="12" t="s">
        <v>4560</v>
      </c>
      <c r="W857" s="25">
        <f>COUNTIFS('Form Presensi SCC'!$B:$B, IF($C857&lt;&gt;0, TEXT($C857, "0000000000"), $D857), 'Form Presensi SCC'!$C:$C, "Hadir")</f>
        <v>0</v>
      </c>
      <c r="Y857" s="26"/>
    </row>
    <row r="858" ht="22.5" customHeight="1">
      <c r="A858" s="18">
        <v>555.0</v>
      </c>
      <c r="B858" s="31">
        <v>14.0</v>
      </c>
      <c r="C858" s="27" t="s">
        <v>4561</v>
      </c>
      <c r="D858" s="31" t="s">
        <v>4562</v>
      </c>
      <c r="E858" s="32" t="s">
        <v>220</v>
      </c>
      <c r="F858" s="12">
        <v>32.0</v>
      </c>
      <c r="G858" s="12" t="s">
        <v>4495</v>
      </c>
      <c r="H858" s="28"/>
      <c r="I858" s="20"/>
      <c r="J858" s="10"/>
      <c r="K858" s="10" t="s">
        <v>4495</v>
      </c>
      <c r="L858" s="10"/>
      <c r="M858" s="33"/>
      <c r="N858" s="34"/>
      <c r="O858" s="34"/>
      <c r="P858" s="12" t="str">
        <f t="shared" si="1"/>
        <v>https://docs.google.com/forms/d/e/1FAIpQLSeZ-R1GrWlAPkfaThGqxeTj0QTtrARw4rroxIIepf2kipn1nw/formResponse?usp=pp_url&amp;entry.1313582257=0087551275 / 242510211&amp;entry.1578404635=Hadir</v>
      </c>
      <c r="Q858" s="23" t="s">
        <v>4563</v>
      </c>
      <c r="R858" s="12" t="s">
        <v>4564</v>
      </c>
      <c r="S858" s="24" t="s">
        <v>4565</v>
      </c>
      <c r="T858" s="23" t="str">
        <f>HYPERLINK("https://drive.google.com/file/d/1HgXpNlAxobakjSsB9EJdFa21vRRrBh12/view?usp=drivesdk","32 - XI E-1 - Langlang Syahadat Pulung Jati")</f>
        <v>32 - XI E-1 - Langlang Syahadat Pulung Jati</v>
      </c>
      <c r="U858" s="12" t="s">
        <v>4560</v>
      </c>
      <c r="W858" s="25">
        <f>COUNTIFS('Form Presensi SCC'!$B:$B, IF($C858&lt;&gt;0, TEXT($C858, "0000000000"), $D858), 'Form Presensi SCC'!$C:$C, "Hadir")</f>
        <v>0</v>
      </c>
      <c r="Y858" s="26"/>
    </row>
    <row r="859" ht="22.5" customHeight="1">
      <c r="A859" s="18">
        <v>555.0</v>
      </c>
      <c r="B859" s="31">
        <v>15.0</v>
      </c>
      <c r="C859" s="27" t="s">
        <v>4566</v>
      </c>
      <c r="D859" s="31" t="s">
        <v>4567</v>
      </c>
      <c r="E859" s="32" t="s">
        <v>227</v>
      </c>
      <c r="F859" s="12">
        <v>32.0</v>
      </c>
      <c r="G859" s="12" t="s">
        <v>4495</v>
      </c>
      <c r="H859" s="28"/>
      <c r="I859" s="20"/>
      <c r="J859" s="10"/>
      <c r="K859" s="10" t="s">
        <v>4495</v>
      </c>
      <c r="L859" s="10"/>
      <c r="M859" s="33"/>
      <c r="N859" s="34"/>
      <c r="O859" s="34"/>
      <c r="P859" s="12" t="str">
        <f t="shared" si="1"/>
        <v>https://docs.google.com/forms/d/e/1FAIpQLSeZ-R1GrWlAPkfaThGqxeTj0QTtrARw4rroxIIepf2kipn1nw/formResponse?usp=pp_url&amp;entry.1313582257=0093479168 / 242510225&amp;entry.1578404635=Hadir</v>
      </c>
      <c r="Q859" s="23" t="s">
        <v>4568</v>
      </c>
      <c r="R859" s="12" t="s">
        <v>4569</v>
      </c>
      <c r="S859" s="24" t="s">
        <v>4570</v>
      </c>
      <c r="T859" s="23" t="str">
        <f>HYPERLINK("https://drive.google.com/file/d/1Uiu5n0FoIcXAb3dRg00_2KU2cO3zYE1Y/view?usp=drivesdk","32 - XI E-1 - Maritza Alisha Fathi")</f>
        <v>32 - XI E-1 - Maritza Alisha Fathi</v>
      </c>
      <c r="U859" s="12" t="s">
        <v>4560</v>
      </c>
      <c r="W859" s="25">
        <f>COUNTIFS('Form Presensi SCC'!$B:$B, IF($C859&lt;&gt;0, TEXT($C859, "0000000000"), $D859), 'Form Presensi SCC'!$C:$C, "Hadir")</f>
        <v>0</v>
      </c>
      <c r="Y859" s="26"/>
    </row>
    <row r="860" ht="22.5" customHeight="1">
      <c r="A860" s="18">
        <v>555.0</v>
      </c>
      <c r="B860" s="31">
        <v>16.0</v>
      </c>
      <c r="C860" s="27" t="s">
        <v>4571</v>
      </c>
      <c r="D860" s="31" t="s">
        <v>4572</v>
      </c>
      <c r="E860" s="32" t="s">
        <v>220</v>
      </c>
      <c r="F860" s="12">
        <v>32.0</v>
      </c>
      <c r="G860" s="12" t="s">
        <v>4495</v>
      </c>
      <c r="H860" s="28"/>
      <c r="I860" s="20"/>
      <c r="J860" s="10"/>
      <c r="K860" s="10" t="s">
        <v>4495</v>
      </c>
      <c r="L860" s="10"/>
      <c r="M860" s="33"/>
      <c r="N860" s="34"/>
      <c r="O860" s="34"/>
      <c r="P860" s="12" t="str">
        <f t="shared" si="1"/>
        <v>https://docs.google.com/forms/d/e/1FAIpQLSeZ-R1GrWlAPkfaThGqxeTj0QTtrARw4rroxIIepf2kipn1nw/formResponse?usp=pp_url&amp;entry.1313582257=0092786372 / 242510234&amp;entry.1578404635=Hadir</v>
      </c>
      <c r="Q860" s="23" t="s">
        <v>4573</v>
      </c>
      <c r="R860" s="12" t="s">
        <v>4574</v>
      </c>
      <c r="S860" s="24" t="s">
        <v>4575</v>
      </c>
      <c r="T860" s="23" t="str">
        <f>HYPERLINK("https://drive.google.com/file/d/1Jxh-iJbpoGgAsQMsnR19jwww6-BpMLmv/view?usp=drivesdk","32 - XI E-1 - Mirza Faiz Al Razak")</f>
        <v>32 - XI E-1 - Mirza Faiz Al Razak</v>
      </c>
      <c r="U860" s="12" t="s">
        <v>4560</v>
      </c>
      <c r="W860" s="25">
        <f>COUNTIFS('Form Presensi SCC'!$B:$B, IF($C860&lt;&gt;0, TEXT($C860, "0000000000"), $D860), 'Form Presensi SCC'!$C:$C, "Hadir")</f>
        <v>0</v>
      </c>
      <c r="Y860" s="26"/>
    </row>
    <row r="861" ht="22.5" customHeight="1">
      <c r="A861" s="18">
        <v>555.0</v>
      </c>
      <c r="B861" s="31">
        <v>17.0</v>
      </c>
      <c r="C861" s="27" t="s">
        <v>4576</v>
      </c>
      <c r="D861" s="31" t="s">
        <v>4577</v>
      </c>
      <c r="E861" s="32" t="s">
        <v>220</v>
      </c>
      <c r="F861" s="12">
        <v>32.0</v>
      </c>
      <c r="G861" s="12" t="s">
        <v>4495</v>
      </c>
      <c r="H861" s="28"/>
      <c r="I861" s="20"/>
      <c r="J861" s="10"/>
      <c r="K861" s="10" t="s">
        <v>4495</v>
      </c>
      <c r="L861" s="10"/>
      <c r="M861" s="33"/>
      <c r="N861" s="34"/>
      <c r="O861" s="34"/>
      <c r="P861" s="12" t="str">
        <f t="shared" si="1"/>
        <v>https://docs.google.com/forms/d/e/1FAIpQLSeZ-R1GrWlAPkfaThGqxeTj0QTtrARw4rroxIIepf2kipn1nw/formResponse?usp=pp_url&amp;entry.1313582257=0091530728 / 242510235&amp;entry.1578404635=Hadir</v>
      </c>
      <c r="Q861" s="23" t="s">
        <v>4578</v>
      </c>
      <c r="R861" s="12" t="s">
        <v>4579</v>
      </c>
      <c r="S861" s="24" t="s">
        <v>4580</v>
      </c>
      <c r="T861" s="23" t="str">
        <f>HYPERLINK("https://drive.google.com/file/d/1G-dkgXMpvLOxy5PJtmsYc1iY89IiASDQ/view?usp=drivesdk","32 - XI E-1 - Mirza Muhammad Rafi Hanifaldin")</f>
        <v>32 - XI E-1 - Mirza Muhammad Rafi Hanifaldin</v>
      </c>
      <c r="U861" s="12" t="s">
        <v>4560</v>
      </c>
      <c r="W861" s="25">
        <f>COUNTIFS('Form Presensi SCC'!$B:$B, IF($C861&lt;&gt;0, TEXT($C861, "0000000000"), $D861), 'Form Presensi SCC'!$C:$C, "Hadir")</f>
        <v>0</v>
      </c>
      <c r="Y861" s="26"/>
    </row>
    <row r="862" ht="22.5" customHeight="1">
      <c r="A862" s="18">
        <v>555.0</v>
      </c>
      <c r="B862" s="31">
        <v>18.0</v>
      </c>
      <c r="C862" s="27" t="s">
        <v>4581</v>
      </c>
      <c r="D862" s="31" t="s">
        <v>4582</v>
      </c>
      <c r="E862" s="32" t="s">
        <v>220</v>
      </c>
      <c r="F862" s="12">
        <v>32.0</v>
      </c>
      <c r="G862" s="12" t="s">
        <v>4495</v>
      </c>
      <c r="H862" s="28"/>
      <c r="I862" s="20"/>
      <c r="J862" s="10"/>
      <c r="K862" s="10" t="s">
        <v>4495</v>
      </c>
      <c r="L862" s="10"/>
      <c r="M862" s="33"/>
      <c r="N862" s="34"/>
      <c r="O862" s="34"/>
      <c r="P862" s="12" t="str">
        <f t="shared" si="1"/>
        <v>https://docs.google.com/forms/d/e/1FAIpQLSeZ-R1GrWlAPkfaThGqxeTj0QTtrARw4rroxIIepf2kipn1nw/formResponse?usp=pp_url&amp;entry.1313582257=0085378932 / 242510240&amp;entry.1578404635=Hadir</v>
      </c>
      <c r="Q862" s="23" t="s">
        <v>4583</v>
      </c>
      <c r="R862" s="12" t="s">
        <v>4584</v>
      </c>
      <c r="S862" s="24" t="s">
        <v>4585</v>
      </c>
      <c r="T862" s="23" t="str">
        <f>HYPERLINK("https://drive.google.com/file/d/1-IdIF3Q0cXW2iuaDQTP9ZIQGBWoXDeic/view?usp=drivesdk","32 - XI E-1 - Muhamad Akbar")</f>
        <v>32 - XI E-1 - Muhamad Akbar</v>
      </c>
      <c r="U862" s="12" t="s">
        <v>4560</v>
      </c>
      <c r="W862" s="25">
        <f>COUNTIFS('Form Presensi SCC'!$B:$B, IF($C862&lt;&gt;0, TEXT($C862, "0000000000"), $D862), 'Form Presensi SCC'!$C:$C, "Hadir")</f>
        <v>0</v>
      </c>
      <c r="Y862" s="26"/>
    </row>
    <row r="863" ht="22.5" customHeight="1">
      <c r="A863" s="18">
        <v>555.0</v>
      </c>
      <c r="B863" s="31">
        <v>19.0</v>
      </c>
      <c r="C863" s="27" t="s">
        <v>4586</v>
      </c>
      <c r="D863" s="31" t="s">
        <v>4587</v>
      </c>
      <c r="E863" s="32" t="s">
        <v>220</v>
      </c>
      <c r="F863" s="12">
        <v>32.0</v>
      </c>
      <c r="G863" s="12" t="s">
        <v>4495</v>
      </c>
      <c r="H863" s="28"/>
      <c r="I863" s="20"/>
      <c r="J863" s="10"/>
      <c r="K863" s="10" t="s">
        <v>4495</v>
      </c>
      <c r="L863" s="10"/>
      <c r="M863" s="33"/>
      <c r="N863" s="34"/>
      <c r="O863" s="34"/>
      <c r="P863" s="12" t="str">
        <f t="shared" si="1"/>
        <v>https://docs.google.com/forms/d/e/1FAIpQLSeZ-R1GrWlAPkfaThGqxeTj0QTtrARw4rroxIIepf2kipn1nw/formResponse?usp=pp_url&amp;entry.1313582257=0086404055 / 242510242&amp;entry.1578404635=Hadir</v>
      </c>
      <c r="Q863" s="23" t="s">
        <v>4588</v>
      </c>
      <c r="R863" s="12" t="s">
        <v>4589</v>
      </c>
      <c r="S863" s="24" t="s">
        <v>4590</v>
      </c>
      <c r="T863" s="23" t="str">
        <f>HYPERLINK("https://drive.google.com/file/d/1lVckxmJpLwHeYbT51I2471ZMvX7-8fk_/view?usp=drivesdk","32 - XI E-1 - Muhamad Gatfan Suryabakti")</f>
        <v>32 - XI E-1 - Muhamad Gatfan Suryabakti</v>
      </c>
      <c r="U863" s="12" t="s">
        <v>4560</v>
      </c>
      <c r="W863" s="25">
        <f>COUNTIFS('Form Presensi SCC'!$B:$B, IF($C863&lt;&gt;0, TEXT($C863, "0000000000"), $D863), 'Form Presensi SCC'!$C:$C, "Hadir")</f>
        <v>0</v>
      </c>
      <c r="Y863" s="26"/>
    </row>
    <row r="864" ht="22.5" customHeight="1">
      <c r="A864" s="18">
        <v>555.0</v>
      </c>
      <c r="B864" s="31">
        <v>20.0</v>
      </c>
      <c r="C864" s="27" t="s">
        <v>4591</v>
      </c>
      <c r="D864" s="31" t="s">
        <v>4592</v>
      </c>
      <c r="E864" s="32" t="s">
        <v>220</v>
      </c>
      <c r="F864" s="12">
        <v>32.0</v>
      </c>
      <c r="G864" s="12" t="s">
        <v>4495</v>
      </c>
      <c r="H864" s="28"/>
      <c r="I864" s="20"/>
      <c r="J864" s="10"/>
      <c r="K864" s="10" t="s">
        <v>4495</v>
      </c>
      <c r="L864" s="10"/>
      <c r="M864" s="33"/>
      <c r="N864" s="34"/>
      <c r="O864" s="34"/>
      <c r="P864" s="12" t="str">
        <f t="shared" si="1"/>
        <v>https://docs.google.com/forms/d/e/1FAIpQLSeZ-R1GrWlAPkfaThGqxeTj0QTtrARw4rroxIIepf2kipn1nw/formResponse?usp=pp_url&amp;entry.1313582257=0086360763 / 242510252&amp;entry.1578404635=Hadir</v>
      </c>
      <c r="Q864" s="23" t="s">
        <v>4593</v>
      </c>
      <c r="R864" s="12" t="s">
        <v>4594</v>
      </c>
      <c r="S864" s="24" t="s">
        <v>4595</v>
      </c>
      <c r="T864" s="23" t="str">
        <f>HYPERLINK("https://drive.google.com/file/d/1IZAQ5X8aCSoGn79XR1lz9aohoX_6r_PE/view?usp=drivesdk","32 - XI E-1 - Muhammad Atha Fauzansyah")</f>
        <v>32 - XI E-1 - Muhammad Atha Fauzansyah</v>
      </c>
      <c r="U864" s="12" t="s">
        <v>4560</v>
      </c>
      <c r="W864" s="25">
        <f>COUNTIFS('Form Presensi SCC'!$B:$B, IF($C864&lt;&gt;0, TEXT($C864, "0000000000"), $D864), 'Form Presensi SCC'!$C:$C, "Hadir")</f>
        <v>0</v>
      </c>
      <c r="Y864" s="26"/>
    </row>
    <row r="865" ht="22.5" customHeight="1">
      <c r="A865" s="18">
        <v>555.0</v>
      </c>
      <c r="B865" s="31">
        <v>21.0</v>
      </c>
      <c r="C865" s="27" t="s">
        <v>4596</v>
      </c>
      <c r="D865" s="31" t="s">
        <v>4597</v>
      </c>
      <c r="E865" s="32" t="s">
        <v>220</v>
      </c>
      <c r="F865" s="12">
        <v>32.0</v>
      </c>
      <c r="G865" s="12" t="s">
        <v>4495</v>
      </c>
      <c r="H865" s="28"/>
      <c r="I865" s="20"/>
      <c r="J865" s="10"/>
      <c r="K865" s="10" t="s">
        <v>4495</v>
      </c>
      <c r="L865" s="10"/>
      <c r="M865" s="33"/>
      <c r="N865" s="34"/>
      <c r="O865" s="34"/>
      <c r="P865" s="12" t="str">
        <f t="shared" si="1"/>
        <v>https://docs.google.com/forms/d/e/1FAIpQLSeZ-R1GrWlAPkfaThGqxeTj0QTtrARw4rroxIIepf2kipn1nw/formResponse?usp=pp_url&amp;entry.1313582257=0088924007 / 242510259&amp;entry.1578404635=Hadir</v>
      </c>
      <c r="Q865" s="23" t="s">
        <v>4598</v>
      </c>
      <c r="R865" s="12" t="s">
        <v>4599</v>
      </c>
      <c r="S865" s="24" t="s">
        <v>4600</v>
      </c>
      <c r="T865" s="23" t="str">
        <f>HYPERLINK("https://drive.google.com/file/d/1n1w759UJ0EChcarGPaIR9W6voyU1mNrp/view?usp=drivesdk","32 - XI E-1 - Muhammad Fairuz Pratama")</f>
        <v>32 - XI E-1 - Muhammad Fairuz Pratama</v>
      </c>
      <c r="U865" s="12" t="s">
        <v>4601</v>
      </c>
      <c r="W865" s="25">
        <f>COUNTIFS('Form Presensi SCC'!$B:$B, IF($C865&lt;&gt;0, TEXT($C865, "0000000000"), $D865), 'Form Presensi SCC'!$C:$C, "Hadir")</f>
        <v>0</v>
      </c>
      <c r="Y865" s="26"/>
    </row>
    <row r="866" ht="22.5" customHeight="1">
      <c r="A866" s="18">
        <v>555.0</v>
      </c>
      <c r="B866" s="31">
        <v>22.0</v>
      </c>
      <c r="C866" s="27" t="s">
        <v>4602</v>
      </c>
      <c r="D866" s="31" t="s">
        <v>4603</v>
      </c>
      <c r="E866" s="32" t="s">
        <v>220</v>
      </c>
      <c r="F866" s="12">
        <v>32.0</v>
      </c>
      <c r="G866" s="12" t="s">
        <v>4495</v>
      </c>
      <c r="H866" s="28"/>
      <c r="I866" s="20"/>
      <c r="J866" s="10"/>
      <c r="K866" s="10" t="s">
        <v>4495</v>
      </c>
      <c r="L866" s="10"/>
      <c r="M866" s="33"/>
      <c r="N866" s="34"/>
      <c r="O866" s="34"/>
      <c r="P866" s="12" t="str">
        <f t="shared" si="1"/>
        <v>https://docs.google.com/forms/d/e/1FAIpQLSeZ-R1GrWlAPkfaThGqxeTj0QTtrARw4rroxIIepf2kipn1nw/formResponse?usp=pp_url&amp;entry.1313582257=0091944011 / 242510260&amp;entry.1578404635=Hadir</v>
      </c>
      <c r="Q866" s="23" t="s">
        <v>4604</v>
      </c>
      <c r="R866" s="12" t="s">
        <v>4605</v>
      </c>
      <c r="S866" s="24" t="s">
        <v>4606</v>
      </c>
      <c r="T866" s="23" t="str">
        <f>HYPERLINK("https://drive.google.com/file/d/1NYNbiCP3uoVCCBV3Q3agIxh8Ni6Sf-9x/view?usp=drivesdk","32 - XI E-1 - Muhammad Faisal Ghani")</f>
        <v>32 - XI E-1 - Muhammad Faisal Ghani</v>
      </c>
      <c r="U866" s="12" t="s">
        <v>4601</v>
      </c>
      <c r="W866" s="25">
        <f>COUNTIFS('Form Presensi SCC'!$B:$B, IF($C866&lt;&gt;0, TEXT($C866, "0000000000"), $D866), 'Form Presensi SCC'!$C:$C, "Hadir")</f>
        <v>0</v>
      </c>
      <c r="Y866" s="26"/>
    </row>
    <row r="867" ht="22.5" customHeight="1">
      <c r="A867" s="18">
        <v>555.0</v>
      </c>
      <c r="B867" s="31">
        <v>23.0</v>
      </c>
      <c r="C867" s="27" t="s">
        <v>4607</v>
      </c>
      <c r="D867" s="31" t="s">
        <v>4608</v>
      </c>
      <c r="E867" s="32" t="s">
        <v>220</v>
      </c>
      <c r="F867" s="12">
        <v>32.0</v>
      </c>
      <c r="G867" s="12" t="s">
        <v>4495</v>
      </c>
      <c r="H867" s="28"/>
      <c r="I867" s="20"/>
      <c r="J867" s="10"/>
      <c r="K867" s="10" t="s">
        <v>4495</v>
      </c>
      <c r="L867" s="10"/>
      <c r="M867" s="33"/>
      <c r="N867" s="34"/>
      <c r="O867" s="34"/>
      <c r="P867" s="12" t="str">
        <f t="shared" si="1"/>
        <v>https://docs.google.com/forms/d/e/1FAIpQLSeZ-R1GrWlAPkfaThGqxeTj0QTtrARw4rroxIIepf2kipn1nw/formResponse?usp=pp_url&amp;entry.1313582257=0094596470 / 242510262&amp;entry.1578404635=Hadir</v>
      </c>
      <c r="Q867" s="23" t="s">
        <v>4609</v>
      </c>
      <c r="R867" s="12" t="s">
        <v>4610</v>
      </c>
      <c r="S867" s="24" t="s">
        <v>4611</v>
      </c>
      <c r="T867" s="23" t="str">
        <f>HYPERLINK("https://drive.google.com/file/d/15fOrAyfRHazxzzd1q7SelrX5y8jU6vlc/view?usp=drivesdk","32 - XI E-1 - Muhammad Fatih Rayyan Niago")</f>
        <v>32 - XI E-1 - Muhammad Fatih Rayyan Niago</v>
      </c>
      <c r="U867" s="12" t="s">
        <v>4601</v>
      </c>
      <c r="W867" s="25">
        <f>COUNTIFS('Form Presensi SCC'!$B:$B, IF($C867&lt;&gt;0, TEXT($C867, "0000000000"), $D867), 'Form Presensi SCC'!$C:$C, "Hadir")</f>
        <v>0</v>
      </c>
      <c r="Y867" s="26"/>
    </row>
    <row r="868" ht="22.5" customHeight="1">
      <c r="A868" s="18">
        <v>555.0</v>
      </c>
      <c r="B868" s="31">
        <v>24.0</v>
      </c>
      <c r="C868" s="27" t="s">
        <v>4612</v>
      </c>
      <c r="D868" s="31" t="s">
        <v>4613</v>
      </c>
      <c r="E868" s="32" t="s">
        <v>220</v>
      </c>
      <c r="F868" s="12">
        <v>32.0</v>
      </c>
      <c r="G868" s="12" t="s">
        <v>4495</v>
      </c>
      <c r="H868" s="28"/>
      <c r="I868" s="20"/>
      <c r="J868" s="10"/>
      <c r="K868" s="10" t="s">
        <v>4495</v>
      </c>
      <c r="L868" s="10"/>
      <c r="M868" s="33"/>
      <c r="N868" s="34"/>
      <c r="O868" s="34"/>
      <c r="P868" s="12" t="str">
        <f t="shared" si="1"/>
        <v>https://docs.google.com/forms/d/e/1FAIpQLSeZ-R1GrWlAPkfaThGqxeTj0QTtrARw4rroxIIepf2kipn1nw/formResponse?usp=pp_url&amp;entry.1313582257=0092404318 / 242510265&amp;entry.1578404635=Hadir</v>
      </c>
      <c r="Q868" s="23" t="s">
        <v>4614</v>
      </c>
      <c r="R868" s="12" t="s">
        <v>4615</v>
      </c>
      <c r="S868" s="24" t="s">
        <v>4616</v>
      </c>
      <c r="T868" s="23" t="str">
        <f>HYPERLINK("https://drive.google.com/file/d/10surubyoUJhZ2jqBjceqBydsHQ7tf45n/view?usp=drivesdk","32 - XI E-1 - Muhammad Ghifaraidosata Suwondo")</f>
        <v>32 - XI E-1 - Muhammad Ghifaraidosata Suwondo</v>
      </c>
      <c r="U868" s="12" t="s">
        <v>4601</v>
      </c>
      <c r="W868" s="25">
        <f>COUNTIFS('Form Presensi SCC'!$B:$B, IF($C868&lt;&gt;0, TEXT($C868, "0000000000"), $D868), 'Form Presensi SCC'!$C:$C, "Hadir")</f>
        <v>0</v>
      </c>
      <c r="Y868" s="26"/>
    </row>
    <row r="869" ht="22.5" customHeight="1">
      <c r="A869" s="18">
        <v>555.0</v>
      </c>
      <c r="B869" s="31">
        <v>25.0</v>
      </c>
      <c r="C869" s="27" t="s">
        <v>4617</v>
      </c>
      <c r="D869" s="31" t="s">
        <v>4618</v>
      </c>
      <c r="E869" s="32" t="s">
        <v>220</v>
      </c>
      <c r="F869" s="12">
        <v>32.0</v>
      </c>
      <c r="G869" s="12" t="s">
        <v>4495</v>
      </c>
      <c r="H869" s="28"/>
      <c r="I869" s="20"/>
      <c r="J869" s="10"/>
      <c r="K869" s="10" t="s">
        <v>4495</v>
      </c>
      <c r="L869" s="10"/>
      <c r="M869" s="33"/>
      <c r="N869" s="34"/>
      <c r="O869" s="34"/>
      <c r="P869" s="12" t="str">
        <f t="shared" si="1"/>
        <v>https://docs.google.com/forms/d/e/1FAIpQLSeZ-R1GrWlAPkfaThGqxeTj0QTtrARw4rroxIIepf2kipn1nw/formResponse?usp=pp_url&amp;entry.1313582257=0095059901 / 242510266&amp;entry.1578404635=Hadir</v>
      </c>
      <c r="Q869" s="23" t="s">
        <v>4619</v>
      </c>
      <c r="R869" s="12" t="s">
        <v>4620</v>
      </c>
      <c r="S869" s="24" t="s">
        <v>4621</v>
      </c>
      <c r="T869" s="23" t="str">
        <f>HYPERLINK("https://drive.google.com/file/d/1gm9-diKlL_z7Lct9EcEtKRn6pblVRHsB/view?usp=drivesdk","32 - XI E-1 - Muhammad Habil Mulyana")</f>
        <v>32 - XI E-1 - Muhammad Habil Mulyana</v>
      </c>
      <c r="U869" s="12" t="s">
        <v>4601</v>
      </c>
      <c r="W869" s="25">
        <f>COUNTIFS('Form Presensi SCC'!$B:$B, IF($C869&lt;&gt;0, TEXT($C869, "0000000000"), $D869), 'Form Presensi SCC'!$C:$C, "Hadir")</f>
        <v>0</v>
      </c>
      <c r="Y869" s="26"/>
    </row>
    <row r="870" ht="22.5" customHeight="1">
      <c r="A870" s="18">
        <v>555.0</v>
      </c>
      <c r="B870" s="31">
        <v>26.0</v>
      </c>
      <c r="C870" s="27" t="s">
        <v>4622</v>
      </c>
      <c r="D870" s="31" t="s">
        <v>4623</v>
      </c>
      <c r="E870" s="32" t="s">
        <v>220</v>
      </c>
      <c r="F870" s="12">
        <v>32.0</v>
      </c>
      <c r="G870" s="12" t="s">
        <v>4495</v>
      </c>
      <c r="H870" s="28"/>
      <c r="I870" s="20"/>
      <c r="J870" s="10"/>
      <c r="K870" s="10" t="s">
        <v>4495</v>
      </c>
      <c r="L870" s="10"/>
      <c r="M870" s="33"/>
      <c r="N870" s="34"/>
      <c r="O870" s="34"/>
      <c r="P870" s="12" t="str">
        <f t="shared" si="1"/>
        <v>https://docs.google.com/forms/d/e/1FAIpQLSeZ-R1GrWlAPkfaThGqxeTj0QTtrARw4rroxIIepf2kipn1nw/formResponse?usp=pp_url&amp;entry.1313582257=0098122055 / 242510275&amp;entry.1578404635=Hadir</v>
      </c>
      <c r="Q870" s="23" t="s">
        <v>4624</v>
      </c>
      <c r="R870" s="12" t="s">
        <v>4625</v>
      </c>
      <c r="S870" s="24" t="s">
        <v>4626</v>
      </c>
      <c r="T870" s="23" t="str">
        <f>HYPERLINK("https://drive.google.com/file/d/16FpK_Dd2qEcjipLWG0nfznbAhWYxYxMf/view?usp=drivesdk","32 - XI E-1 - Muhammad Rizqullah Salim Wibowo")</f>
        <v>32 - XI E-1 - Muhammad Rizqullah Salim Wibowo</v>
      </c>
      <c r="U870" s="12" t="s">
        <v>4601</v>
      </c>
      <c r="W870" s="25">
        <f>COUNTIFS('Form Presensi SCC'!$B:$B, IF($C870&lt;&gt;0, TEXT($C870, "0000000000"), $D870), 'Form Presensi SCC'!$C:$C, "Hadir")</f>
        <v>0</v>
      </c>
      <c r="Y870" s="26"/>
    </row>
    <row r="871" ht="22.5" customHeight="1">
      <c r="A871" s="18">
        <v>555.0</v>
      </c>
      <c r="B871" s="31">
        <v>27.0</v>
      </c>
      <c r="C871" s="27" t="s">
        <v>4627</v>
      </c>
      <c r="D871" s="31" t="s">
        <v>4628</v>
      </c>
      <c r="E871" s="32" t="s">
        <v>227</v>
      </c>
      <c r="F871" s="12">
        <v>32.0</v>
      </c>
      <c r="G871" s="12" t="s">
        <v>4495</v>
      </c>
      <c r="H871" s="28"/>
      <c r="I871" s="20"/>
      <c r="J871" s="10"/>
      <c r="K871" s="10" t="s">
        <v>4495</v>
      </c>
      <c r="L871" s="10"/>
      <c r="M871" s="33"/>
      <c r="N871" s="34"/>
      <c r="O871" s="34"/>
      <c r="P871" s="12" t="str">
        <f t="shared" si="1"/>
        <v>https://docs.google.com/forms/d/e/1FAIpQLSeZ-R1GrWlAPkfaThGqxeTj0QTtrARw4rroxIIepf2kipn1nw/formResponse?usp=pp_url&amp;entry.1313582257=0086863385 / 242510300&amp;entry.1578404635=Hadir</v>
      </c>
      <c r="Q871" s="23" t="s">
        <v>4629</v>
      </c>
      <c r="R871" s="12" t="s">
        <v>4630</v>
      </c>
      <c r="S871" s="24" t="s">
        <v>4631</v>
      </c>
      <c r="T871" s="23" t="str">
        <f>HYPERLINK("https://drive.google.com/file/d/1kh9__IMtcUNME4QI6lRKnZgL7M_UYLQY/view?usp=drivesdk","32 - XI E-1 - Nazua Ristiyana Viragupti")</f>
        <v>32 - XI E-1 - Nazua Ristiyana Viragupti</v>
      </c>
      <c r="U871" s="12" t="s">
        <v>4632</v>
      </c>
      <c r="W871" s="25">
        <f>COUNTIFS('Form Presensi SCC'!$B:$B, IF($C871&lt;&gt;0, TEXT($C871, "0000000000"), $D871), 'Form Presensi SCC'!$C:$C, "Hadir")</f>
        <v>0</v>
      </c>
      <c r="Y871" s="26"/>
    </row>
    <row r="872" ht="22.5" customHeight="1">
      <c r="A872" s="18">
        <v>555.0</v>
      </c>
      <c r="B872" s="31">
        <v>28.0</v>
      </c>
      <c r="C872" s="27" t="s">
        <v>4633</v>
      </c>
      <c r="D872" s="31" t="s">
        <v>4634</v>
      </c>
      <c r="E872" s="32" t="s">
        <v>227</v>
      </c>
      <c r="F872" s="12">
        <v>32.0</v>
      </c>
      <c r="G872" s="12" t="s">
        <v>4495</v>
      </c>
      <c r="H872" s="28"/>
      <c r="I872" s="20"/>
      <c r="J872" s="10"/>
      <c r="K872" s="10" t="s">
        <v>4495</v>
      </c>
      <c r="L872" s="10"/>
      <c r="M872" s="33"/>
      <c r="N872" s="34"/>
      <c r="O872" s="34"/>
      <c r="P872" s="12" t="str">
        <f t="shared" si="1"/>
        <v>https://docs.google.com/forms/d/e/1FAIpQLSeZ-R1GrWlAPkfaThGqxeTj0QTtrARw4rroxIIepf2kipn1nw/formResponse?usp=pp_url&amp;entry.1313582257=0085675402 / 242510302&amp;entry.1578404635=Hadir</v>
      </c>
      <c r="Q872" s="23" t="s">
        <v>4635</v>
      </c>
      <c r="R872" s="12" t="s">
        <v>4636</v>
      </c>
      <c r="S872" s="24" t="s">
        <v>4637</v>
      </c>
      <c r="T872" s="23" t="str">
        <f>HYPERLINK("https://drive.google.com/file/d/1WH8SsUrYNdm9tTHnh28EYYLmsZ5iLO5v/view?usp=drivesdk","32 - XI E-1 - Neisha Arinta Putri Sarjana")</f>
        <v>32 - XI E-1 - Neisha Arinta Putri Sarjana</v>
      </c>
      <c r="U872" s="12" t="s">
        <v>4632</v>
      </c>
      <c r="W872" s="25">
        <f>COUNTIFS('Form Presensi SCC'!$B:$B, IF($C872&lt;&gt;0, TEXT($C872, "0000000000"), $D872), 'Form Presensi SCC'!$C:$C, "Hadir")</f>
        <v>0</v>
      </c>
      <c r="Y872" s="26"/>
    </row>
    <row r="873" ht="22.5" customHeight="1">
      <c r="A873" s="18">
        <v>555.0</v>
      </c>
      <c r="B873" s="31">
        <v>29.0</v>
      </c>
      <c r="C873" s="27" t="s">
        <v>4638</v>
      </c>
      <c r="D873" s="31" t="s">
        <v>4639</v>
      </c>
      <c r="E873" s="32" t="s">
        <v>220</v>
      </c>
      <c r="F873" s="12">
        <v>32.0</v>
      </c>
      <c r="G873" s="12" t="s">
        <v>4495</v>
      </c>
      <c r="H873" s="28"/>
      <c r="I873" s="20"/>
      <c r="J873" s="10"/>
      <c r="K873" s="10" t="s">
        <v>4495</v>
      </c>
      <c r="L873" s="10"/>
      <c r="M873" s="33"/>
      <c r="N873" s="34"/>
      <c r="O873" s="34"/>
      <c r="P873" s="12" t="str">
        <f t="shared" si="1"/>
        <v>https://docs.google.com/forms/d/e/1FAIpQLSeZ-R1GrWlAPkfaThGqxeTj0QTtrARw4rroxIIepf2kipn1nw/formResponse?usp=pp_url&amp;entry.1313582257=0096488875 / 242510333&amp;entry.1578404635=Hadir</v>
      </c>
      <c r="Q873" s="23" t="s">
        <v>4640</v>
      </c>
      <c r="R873" s="12" t="s">
        <v>4641</v>
      </c>
      <c r="S873" s="24" t="s">
        <v>4642</v>
      </c>
      <c r="T873" s="23" t="str">
        <f>HYPERLINK("https://drive.google.com/file/d/1ggkzVz76iCtK1L8WDULUe03vDOY_CS-i/view?usp=drivesdk","32 - XI E-1 - Rafa Ibnu Kanaka")</f>
        <v>32 - XI E-1 - Rafa Ibnu Kanaka</v>
      </c>
      <c r="U873" s="12" t="s">
        <v>4632</v>
      </c>
      <c r="W873" s="25">
        <f>COUNTIFS('Form Presensi SCC'!$B:$B, IF($C873&lt;&gt;0, TEXT($C873, "0000000000"), $D873), 'Form Presensi SCC'!$C:$C, "Hadir")</f>
        <v>0</v>
      </c>
      <c r="Y873" s="26"/>
    </row>
    <row r="874" ht="22.5" customHeight="1">
      <c r="A874" s="18">
        <v>555.0</v>
      </c>
      <c r="B874" s="31">
        <v>30.0</v>
      </c>
      <c r="C874" s="27" t="s">
        <v>4643</v>
      </c>
      <c r="D874" s="31" t="s">
        <v>4644</v>
      </c>
      <c r="E874" s="32" t="s">
        <v>220</v>
      </c>
      <c r="F874" s="12">
        <v>32.0</v>
      </c>
      <c r="G874" s="12" t="s">
        <v>4495</v>
      </c>
      <c r="H874" s="28"/>
      <c r="I874" s="20"/>
      <c r="J874" s="10"/>
      <c r="K874" s="10" t="s">
        <v>4495</v>
      </c>
      <c r="L874" s="10"/>
      <c r="M874" s="33"/>
      <c r="N874" s="34"/>
      <c r="O874" s="34"/>
      <c r="P874" s="12" t="str">
        <f t="shared" si="1"/>
        <v>https://docs.google.com/forms/d/e/1FAIpQLSeZ-R1GrWlAPkfaThGqxeTj0QTtrARw4rroxIIepf2kipn1nw/formResponse?usp=pp_url&amp;entry.1313582257=0091126559 / 242510337&amp;entry.1578404635=Hadir</v>
      </c>
      <c r="Q874" s="23" t="s">
        <v>4645</v>
      </c>
      <c r="R874" s="12" t="s">
        <v>4646</v>
      </c>
      <c r="S874" s="24" t="s">
        <v>4647</v>
      </c>
      <c r="T874" s="23" t="str">
        <f>HYPERLINK("https://drive.google.com/file/d/1Mtajdy3Caw8fqFZH893bc-zKtbH-EQGC/view?usp=drivesdk","32 - XI E-1 - Rais Aliyan")</f>
        <v>32 - XI E-1 - Rais Aliyan</v>
      </c>
      <c r="U874" s="12" t="s">
        <v>4632</v>
      </c>
      <c r="W874" s="25">
        <f>COUNTIFS('Form Presensi SCC'!$B:$B, IF($C874&lt;&gt;0, TEXT($C874, "0000000000"), $D874), 'Form Presensi SCC'!$C:$C, "Hadir")</f>
        <v>0</v>
      </c>
      <c r="Y874" s="26"/>
    </row>
    <row r="875" ht="22.5" customHeight="1">
      <c r="A875" s="18">
        <v>555.0</v>
      </c>
      <c r="B875" s="31">
        <v>31.0</v>
      </c>
      <c r="C875" s="27" t="s">
        <v>4648</v>
      </c>
      <c r="D875" s="31" t="s">
        <v>4649</v>
      </c>
      <c r="E875" s="32" t="s">
        <v>220</v>
      </c>
      <c r="F875" s="12">
        <v>32.0</v>
      </c>
      <c r="G875" s="12" t="s">
        <v>4495</v>
      </c>
      <c r="H875" s="28"/>
      <c r="I875" s="20"/>
      <c r="J875" s="10"/>
      <c r="K875" s="10" t="s">
        <v>4495</v>
      </c>
      <c r="L875" s="10"/>
      <c r="M875" s="33"/>
      <c r="N875" s="34"/>
      <c r="O875" s="34"/>
      <c r="P875" s="12" t="str">
        <f t="shared" si="1"/>
        <v>https://docs.google.com/forms/d/e/1FAIpQLSeZ-R1GrWlAPkfaThGqxeTj0QTtrARw4rroxIIepf2kipn1nw/formResponse?usp=pp_url&amp;entry.1313582257=0094232336 / 242510347&amp;entry.1578404635=Hadir</v>
      </c>
      <c r="Q875" s="23" t="s">
        <v>4650</v>
      </c>
      <c r="R875" s="12" t="s">
        <v>4651</v>
      </c>
      <c r="S875" s="24" t="s">
        <v>4652</v>
      </c>
      <c r="T875" s="23" t="str">
        <f>HYPERLINK("https://drive.google.com/file/d/1ovZtpX5nXcH0fiST6_vsZIVtGIHW5VGA/view?usp=drivesdk","32 - XI E-1 - Razan Muhammad Ihsan Solihin")</f>
        <v>32 - XI E-1 - Razan Muhammad Ihsan Solihin</v>
      </c>
      <c r="U875" s="12" t="s">
        <v>4632</v>
      </c>
      <c r="W875" s="25">
        <f>COUNTIFS('Form Presensi SCC'!$B:$B, IF($C875&lt;&gt;0, TEXT($C875, "0000000000"), $D875), 'Form Presensi SCC'!$C:$C, "Hadir")</f>
        <v>0</v>
      </c>
      <c r="Y875" s="26"/>
    </row>
    <row r="876" ht="22.5" customHeight="1">
      <c r="A876" s="18">
        <v>555.0</v>
      </c>
      <c r="B876" s="31">
        <v>32.0</v>
      </c>
      <c r="C876" s="27" t="s">
        <v>4653</v>
      </c>
      <c r="D876" s="31" t="s">
        <v>4654</v>
      </c>
      <c r="E876" s="32" t="s">
        <v>220</v>
      </c>
      <c r="F876" s="12">
        <v>32.0</v>
      </c>
      <c r="G876" s="12" t="s">
        <v>4495</v>
      </c>
      <c r="H876" s="28"/>
      <c r="I876" s="20"/>
      <c r="J876" s="10"/>
      <c r="K876" s="10" t="s">
        <v>4495</v>
      </c>
      <c r="L876" s="10"/>
      <c r="M876" s="33"/>
      <c r="N876" s="34"/>
      <c r="O876" s="34"/>
      <c r="P876" s="12" t="str">
        <f t="shared" si="1"/>
        <v>https://docs.google.com/forms/d/e/1FAIpQLSeZ-R1GrWlAPkfaThGqxeTj0QTtrARw4rroxIIepf2kipn1nw/formResponse?usp=pp_url&amp;entry.1313582257=0099920490 / 242510352&amp;entry.1578404635=Hadir</v>
      </c>
      <c r="Q876" s="23" t="s">
        <v>4655</v>
      </c>
      <c r="R876" s="12" t="s">
        <v>4656</v>
      </c>
      <c r="S876" s="24" t="s">
        <v>4657</v>
      </c>
      <c r="T876" s="23" t="str">
        <f>HYPERLINK("https://drive.google.com/file/d/1cZHYkvOARKkdAjNzleWpB2At6mawGY5A/view?usp=drivesdk","32 - XI E-1 - Rifqi Anindya Putra")</f>
        <v>32 - XI E-1 - Rifqi Anindya Putra</v>
      </c>
      <c r="U876" s="12" t="s">
        <v>4632</v>
      </c>
      <c r="W876" s="25">
        <f>COUNTIFS('Form Presensi SCC'!$B:$B, IF($C876&lt;&gt;0, TEXT($C876, "0000000000"), $D876), 'Form Presensi SCC'!$C:$C, "Hadir")</f>
        <v>0</v>
      </c>
      <c r="Y876" s="26"/>
    </row>
    <row r="877" ht="22.5" customHeight="1">
      <c r="A877" s="18">
        <v>555.0</v>
      </c>
      <c r="B877" s="31">
        <v>33.0</v>
      </c>
      <c r="C877" s="27" t="s">
        <v>4658</v>
      </c>
      <c r="D877" s="31" t="s">
        <v>4659</v>
      </c>
      <c r="E877" s="32" t="s">
        <v>227</v>
      </c>
      <c r="F877" s="12">
        <v>32.0</v>
      </c>
      <c r="G877" s="12" t="s">
        <v>4495</v>
      </c>
      <c r="H877" s="28"/>
      <c r="I877" s="20"/>
      <c r="J877" s="10"/>
      <c r="K877" s="10" t="s">
        <v>4495</v>
      </c>
      <c r="L877" s="10"/>
      <c r="M877" s="33"/>
      <c r="N877" s="34"/>
      <c r="O877" s="34"/>
      <c r="P877" s="12" t="str">
        <f t="shared" si="1"/>
        <v>https://docs.google.com/forms/d/e/1FAIpQLSeZ-R1GrWlAPkfaThGqxeTj0QTtrARw4rroxIIepf2kipn1nw/formResponse?usp=pp_url&amp;entry.1313582257=0094865307 / 242510360&amp;entry.1578404635=Hadir</v>
      </c>
      <c r="Q877" s="23" t="s">
        <v>4660</v>
      </c>
      <c r="R877" s="12" t="s">
        <v>4661</v>
      </c>
      <c r="S877" s="24" t="s">
        <v>4662</v>
      </c>
      <c r="T877" s="23" t="str">
        <f>HYPERLINK("https://drive.google.com/file/d/1O76srXVMJSdqsw7C_QNEob8FIiTSj0cU/view?usp=drivesdk","32 - XI E-1 - Sabika Zaura Khumairo")</f>
        <v>32 - XI E-1 - Sabika Zaura Khumairo</v>
      </c>
      <c r="U877" s="12" t="s">
        <v>4632</v>
      </c>
      <c r="W877" s="25">
        <f>COUNTIFS('Form Presensi SCC'!$B:$B, IF($C877&lt;&gt;0, TEXT($C877, "0000000000"), $D877), 'Form Presensi SCC'!$C:$C, "Hadir")</f>
        <v>0</v>
      </c>
      <c r="Y877" s="26"/>
    </row>
    <row r="878" ht="22.5" customHeight="1">
      <c r="A878" s="18">
        <v>555.0</v>
      </c>
      <c r="B878" s="31">
        <v>34.0</v>
      </c>
      <c r="C878" s="27" t="s">
        <v>4663</v>
      </c>
      <c r="D878" s="31" t="s">
        <v>4664</v>
      </c>
      <c r="E878" s="32" t="s">
        <v>220</v>
      </c>
      <c r="F878" s="12">
        <v>32.0</v>
      </c>
      <c r="G878" s="12" t="s">
        <v>4495</v>
      </c>
      <c r="H878" s="28"/>
      <c r="I878" s="20"/>
      <c r="J878" s="10"/>
      <c r="K878" s="10" t="s">
        <v>4495</v>
      </c>
      <c r="L878" s="10"/>
      <c r="M878" s="33"/>
      <c r="N878" s="34"/>
      <c r="O878" s="34"/>
      <c r="P878" s="12" t="str">
        <f t="shared" si="1"/>
        <v>https://docs.google.com/forms/d/e/1FAIpQLSeZ-R1GrWlAPkfaThGqxeTj0QTtrARw4rroxIIepf2kipn1nw/formResponse?usp=pp_url&amp;entry.1313582257=0093523017 / 242510378&amp;entry.1578404635=Hadir</v>
      </c>
      <c r="Q878" s="23" t="s">
        <v>4665</v>
      </c>
      <c r="R878" s="12" t="s">
        <v>4666</v>
      </c>
      <c r="S878" s="24" t="s">
        <v>4667</v>
      </c>
      <c r="T878" s="23" t="str">
        <f>HYPERLINK("https://drive.google.com/file/d/1aVhX0IgTPRQnddFGS5jvYEZoxiZJRkod/view?usp=drivesdk","32 - XI E-1 - Savrya Alwi Amani")</f>
        <v>32 - XI E-1 - Savrya Alwi Amani</v>
      </c>
      <c r="U878" s="12" t="s">
        <v>4668</v>
      </c>
      <c r="W878" s="25">
        <f>COUNTIFS('Form Presensi SCC'!$B:$B, IF($C878&lt;&gt;0, TEXT($C878, "0000000000"), $D878), 'Form Presensi SCC'!$C:$C, "Hadir")</f>
        <v>0</v>
      </c>
      <c r="Y878" s="26"/>
    </row>
    <row r="879" ht="22.5" customHeight="1">
      <c r="A879" s="18">
        <v>555.0</v>
      </c>
      <c r="B879" s="31">
        <v>35.0</v>
      </c>
      <c r="C879" s="27" t="s">
        <v>141</v>
      </c>
      <c r="D879" s="31" t="s">
        <v>4669</v>
      </c>
      <c r="E879" s="32" t="s">
        <v>227</v>
      </c>
      <c r="F879" s="12">
        <v>32.0</v>
      </c>
      <c r="G879" s="12" t="s">
        <v>4495</v>
      </c>
      <c r="H879" s="28"/>
      <c r="I879" s="20"/>
      <c r="J879" s="10"/>
      <c r="K879" s="10" t="s">
        <v>4495</v>
      </c>
      <c r="L879" s="10"/>
      <c r="M879" s="33"/>
      <c r="N879" s="34"/>
      <c r="O879" s="34"/>
      <c r="P879" s="12" t="str">
        <f t="shared" si="1"/>
        <v>https://docs.google.com/forms/d/e/1FAIpQLSeZ-R1GrWlAPkfaThGqxeTj0QTtrARw4rroxIIepf2kipn1nw/formResponse?usp=pp_url&amp;entry.1313582257=0094426892 / 242510424&amp;entry.1578404635=Hadir</v>
      </c>
      <c r="Q879" s="23" t="s">
        <v>4670</v>
      </c>
      <c r="R879" s="12" t="s">
        <v>4671</v>
      </c>
      <c r="S879" s="24" t="s">
        <v>4672</v>
      </c>
      <c r="T879" s="23" t="str">
        <f>HYPERLINK("https://drive.google.com/file/d/12iRdDLuey0AT8hGCbmjbGwismRy1YS7H/view?usp=drivesdk","32 - XI E-1 - Zaina Husniyati Hamdani")</f>
        <v>32 - XI E-1 - Zaina Husniyati Hamdani</v>
      </c>
      <c r="U879" s="12" t="s">
        <v>4668</v>
      </c>
      <c r="W879" s="25">
        <f>COUNTIFS('Form Presensi SCC'!$B:$B, IF($C879&lt;&gt;0, TEXT($C879, "0000000000"), $D879), 'Form Presensi SCC'!$C:$C, "Hadir")</f>
        <v>1</v>
      </c>
      <c r="Y879" s="26"/>
    </row>
    <row r="880" ht="22.5" customHeight="1">
      <c r="A880" s="18">
        <v>555.0</v>
      </c>
      <c r="B880" s="31">
        <v>36.0</v>
      </c>
      <c r="C880" s="27" t="s">
        <v>4673</v>
      </c>
      <c r="D880" s="31" t="s">
        <v>4674</v>
      </c>
      <c r="E880" s="32" t="s">
        <v>220</v>
      </c>
      <c r="F880" s="12">
        <v>32.0</v>
      </c>
      <c r="G880" s="12" t="s">
        <v>4495</v>
      </c>
      <c r="H880" s="28"/>
      <c r="I880" s="20"/>
      <c r="J880" s="10"/>
      <c r="K880" s="10" t="s">
        <v>4495</v>
      </c>
      <c r="L880" s="10"/>
      <c r="M880" s="33"/>
      <c r="N880" s="34"/>
      <c r="O880" s="34"/>
      <c r="P880" s="12" t="str">
        <f t="shared" si="1"/>
        <v>https://docs.google.com/forms/d/e/1FAIpQLSeZ-R1GrWlAPkfaThGqxeTj0QTtrARw4rroxIIepf2kipn1nw/formResponse?usp=pp_url&amp;entry.1313582257=0082670071 / 242510429&amp;entry.1578404635=Hadir</v>
      </c>
      <c r="Q880" s="23" t="s">
        <v>4675</v>
      </c>
      <c r="R880" s="12" t="s">
        <v>4676</v>
      </c>
      <c r="S880" s="24" t="s">
        <v>4677</v>
      </c>
      <c r="T880" s="23" t="str">
        <f>HYPERLINK("https://drive.google.com/file/d/13BycR4r7YOfLAH0RG3K0x6kQOMoQ0kXG/view?usp=drivesdk","32 - XI E-1 - Zhafran Ramadhan Drajat Sukma")</f>
        <v>32 - XI E-1 - Zhafran Ramadhan Drajat Sukma</v>
      </c>
      <c r="U880" s="12" t="s">
        <v>4668</v>
      </c>
      <c r="W880" s="25">
        <f>COUNTIFS('Form Presensi SCC'!$B:$B, IF($C880&lt;&gt;0, TEXT($C880, "0000000000"), $D880), 'Form Presensi SCC'!$C:$C, "Hadir")</f>
        <v>0</v>
      </c>
      <c r="Y880" s="26"/>
    </row>
    <row r="881" ht="22.5" customHeight="1">
      <c r="A881" s="18">
        <v>555.0</v>
      </c>
      <c r="B881" s="31">
        <v>1.0</v>
      </c>
      <c r="C881" s="27" t="s">
        <v>4678</v>
      </c>
      <c r="D881" s="31" t="s">
        <v>4679</v>
      </c>
      <c r="E881" s="32" t="s">
        <v>227</v>
      </c>
      <c r="F881" s="12">
        <v>32.0</v>
      </c>
      <c r="G881" s="12" t="s">
        <v>4680</v>
      </c>
      <c r="H881" s="28"/>
      <c r="I881" s="20"/>
      <c r="J881" s="10"/>
      <c r="K881" s="10" t="s">
        <v>4680</v>
      </c>
      <c r="L881" s="10"/>
      <c r="M881" s="35"/>
      <c r="N881" s="34"/>
      <c r="O881" s="34"/>
      <c r="P881" s="12" t="str">
        <f t="shared" si="1"/>
        <v>https://docs.google.com/forms/d/e/1FAIpQLSeZ-R1GrWlAPkfaThGqxeTj0QTtrARw4rroxIIepf2kipn1nw/formResponse?usp=pp_url&amp;entry.1313582257=0098441334 / 242510029&amp;entry.1578404635=Hadir</v>
      </c>
      <c r="Q881" s="23" t="s">
        <v>4681</v>
      </c>
      <c r="R881" s="12" t="s">
        <v>4682</v>
      </c>
      <c r="S881" s="24" t="s">
        <v>4683</v>
      </c>
      <c r="T881" s="23" t="str">
        <f>HYPERLINK("https://drive.google.com/file/d/1Xt_rW_n81kCMfMmc_Gs7Xilslp4vxer-/view?usp=drivesdk","32 - XI E-2 - Almira Chairunnisa Imawan")</f>
        <v>32 - XI E-2 - Almira Chairunnisa Imawan</v>
      </c>
      <c r="U881" s="12" t="s">
        <v>4668</v>
      </c>
      <c r="W881" s="25">
        <f>COUNTIFS('Form Presensi SCC'!$B:$B, IF($C881&lt;&gt;0, TEXT($C881, "0000000000"), $D881), 'Form Presensi SCC'!$C:$C, "Hadir")</f>
        <v>0</v>
      </c>
      <c r="Y881" s="26"/>
    </row>
    <row r="882" ht="22.5" customHeight="1">
      <c r="A882" s="18">
        <v>555.0</v>
      </c>
      <c r="B882" s="31">
        <v>2.0</v>
      </c>
      <c r="C882" s="27" t="s">
        <v>4684</v>
      </c>
      <c r="D882" s="31" t="s">
        <v>4685</v>
      </c>
      <c r="E882" s="32" t="s">
        <v>227</v>
      </c>
      <c r="F882" s="12">
        <v>32.0</v>
      </c>
      <c r="G882" s="12" t="s">
        <v>4680</v>
      </c>
      <c r="H882" s="28"/>
      <c r="I882" s="20"/>
      <c r="J882" s="10"/>
      <c r="K882" s="10" t="s">
        <v>4680</v>
      </c>
      <c r="L882" s="10"/>
      <c r="M882" s="33"/>
      <c r="N882" s="34"/>
      <c r="O882" s="34"/>
      <c r="P882" s="12" t="str">
        <f t="shared" si="1"/>
        <v>https://docs.google.com/forms/d/e/1FAIpQLSeZ-R1GrWlAPkfaThGqxeTj0QTtrARw4rroxIIepf2kipn1nw/formResponse?usp=pp_url&amp;entry.1313582257=0095916190 / 242510033&amp;entry.1578404635=Hadir</v>
      </c>
      <c r="Q882" s="23" t="s">
        <v>4686</v>
      </c>
      <c r="R882" s="12" t="s">
        <v>4687</v>
      </c>
      <c r="S882" s="24" t="s">
        <v>4688</v>
      </c>
      <c r="T882" s="23" t="str">
        <f>HYPERLINK("https://drive.google.com/file/d/1EbaA-kSfz5VI7Qc2LVkufID815mSKMBD/view?usp=drivesdk","32 - XI E-2 - Althafunisa Radisty Samiadji")</f>
        <v>32 - XI E-2 - Althafunisa Radisty Samiadji</v>
      </c>
      <c r="U882" s="12" t="s">
        <v>4668</v>
      </c>
      <c r="W882" s="25">
        <f>COUNTIFS('Form Presensi SCC'!$B:$B, IF($C882&lt;&gt;0, TEXT($C882, "0000000000"), $D882), 'Form Presensi SCC'!$C:$C, "Hadir")</f>
        <v>0</v>
      </c>
      <c r="Y882" s="26"/>
    </row>
    <row r="883" ht="22.5" customHeight="1">
      <c r="A883" s="18">
        <v>555.0</v>
      </c>
      <c r="B883" s="31">
        <v>3.0</v>
      </c>
      <c r="C883" s="27" t="s">
        <v>4689</v>
      </c>
      <c r="D883" s="31" t="s">
        <v>4690</v>
      </c>
      <c r="E883" s="32" t="s">
        <v>227</v>
      </c>
      <c r="F883" s="12">
        <v>32.0</v>
      </c>
      <c r="G883" s="12" t="s">
        <v>4680</v>
      </c>
      <c r="H883" s="28"/>
      <c r="I883" s="20"/>
      <c r="J883" s="10"/>
      <c r="K883" s="10" t="s">
        <v>4680</v>
      </c>
      <c r="L883" s="10"/>
      <c r="M883" s="33"/>
      <c r="N883" s="34"/>
      <c r="O883" s="34"/>
      <c r="P883" s="12" t="str">
        <f t="shared" si="1"/>
        <v>https://docs.google.com/forms/d/e/1FAIpQLSeZ-R1GrWlAPkfaThGqxeTj0QTtrARw4rroxIIepf2kipn1nw/formResponse?usp=pp_url&amp;entry.1313582257=0093270004 / 242510040&amp;entry.1578404635=Hadir</v>
      </c>
      <c r="Q883" s="23" t="s">
        <v>4691</v>
      </c>
      <c r="R883" s="12" t="s">
        <v>4692</v>
      </c>
      <c r="S883" s="24" t="s">
        <v>4693</v>
      </c>
      <c r="T883" s="23" t="str">
        <f>HYPERLINK("https://drive.google.com/file/d/1DO2pdbAWWgshqwnwG9Dws5wjlY6SzvtR/view?usp=drivesdk","32 - XI E-2 - Amora Romadearni Sinaga")</f>
        <v>32 - XI E-2 - Amora Romadearni Sinaga</v>
      </c>
      <c r="U883" s="12" t="s">
        <v>4668</v>
      </c>
      <c r="W883" s="25">
        <f>COUNTIFS('Form Presensi SCC'!$B:$B, IF($C883&lt;&gt;0, TEXT($C883, "0000000000"), $D883), 'Form Presensi SCC'!$C:$C, "Hadir")</f>
        <v>0</v>
      </c>
      <c r="Y883" s="26"/>
    </row>
    <row r="884" ht="22.5" customHeight="1">
      <c r="A884" s="18">
        <v>555.0</v>
      </c>
      <c r="B884" s="31">
        <v>4.0</v>
      </c>
      <c r="C884" s="27" t="s">
        <v>4694</v>
      </c>
      <c r="D884" s="31" t="s">
        <v>4695</v>
      </c>
      <c r="E884" s="32" t="s">
        <v>220</v>
      </c>
      <c r="F884" s="12">
        <v>32.0</v>
      </c>
      <c r="G884" s="12" t="s">
        <v>4680</v>
      </c>
      <c r="H884" s="28"/>
      <c r="I884" s="20"/>
      <c r="J884" s="10"/>
      <c r="K884" s="10" t="s">
        <v>4680</v>
      </c>
      <c r="L884" s="10"/>
      <c r="M884" s="33"/>
      <c r="N884" s="34"/>
      <c r="O884" s="34"/>
      <c r="P884" s="12" t="str">
        <f t="shared" si="1"/>
        <v>https://docs.google.com/forms/d/e/1FAIpQLSeZ-R1GrWlAPkfaThGqxeTj0QTtrARw4rroxIIepf2kipn1nw/formResponse?usp=pp_url&amp;entry.1313582257=0081317101 / 242510043&amp;entry.1578404635=Hadir</v>
      </c>
      <c r="Q884" s="23" t="s">
        <v>4696</v>
      </c>
      <c r="R884" s="12" t="s">
        <v>4697</v>
      </c>
      <c r="S884" s="24" t="s">
        <v>4698</v>
      </c>
      <c r="T884" s="23" t="str">
        <f>HYPERLINK("https://drive.google.com/file/d/1fQFAIhvobiZZ4oPQ6RVhVBjAb26M_Hm1/view?usp=drivesdk","32 - XI E-2 - Andika Artha Kusuma")</f>
        <v>32 - XI E-2 - Andika Artha Kusuma</v>
      </c>
      <c r="U884" s="12" t="s">
        <v>4699</v>
      </c>
      <c r="W884" s="25">
        <f>COUNTIFS('Form Presensi SCC'!$B:$B, IF($C884&lt;&gt;0, TEXT($C884, "0000000000"), $D884), 'Form Presensi SCC'!$C:$C, "Hadir")</f>
        <v>0</v>
      </c>
      <c r="Y884" s="26"/>
    </row>
    <row r="885" ht="22.5" customHeight="1">
      <c r="A885" s="18">
        <v>555.0</v>
      </c>
      <c r="B885" s="31">
        <v>5.0</v>
      </c>
      <c r="C885" s="27" t="s">
        <v>4700</v>
      </c>
      <c r="D885" s="31" t="s">
        <v>4701</v>
      </c>
      <c r="E885" s="32" t="s">
        <v>220</v>
      </c>
      <c r="F885" s="12">
        <v>32.0</v>
      </c>
      <c r="G885" s="12" t="s">
        <v>4680</v>
      </c>
      <c r="H885" s="28"/>
      <c r="I885" s="20"/>
      <c r="J885" s="10"/>
      <c r="K885" s="10" t="s">
        <v>4680</v>
      </c>
      <c r="L885" s="10"/>
      <c r="M885" s="33"/>
      <c r="N885" s="34"/>
      <c r="O885" s="34"/>
      <c r="P885" s="12" t="str">
        <f t="shared" si="1"/>
        <v>https://docs.google.com/forms/d/e/1FAIpQLSeZ-R1GrWlAPkfaThGqxeTj0QTtrARw4rroxIIepf2kipn1nw/formResponse?usp=pp_url&amp;entry.1313582257=0088625335 / 242510062&amp;entry.1578404635=Hadir</v>
      </c>
      <c r="Q885" s="23" t="s">
        <v>4702</v>
      </c>
      <c r="R885" s="12" t="s">
        <v>4703</v>
      </c>
      <c r="S885" s="24" t="s">
        <v>4704</v>
      </c>
      <c r="T885" s="23" t="str">
        <f>HYPERLINK("https://drive.google.com/file/d/1httiINK5dzCL9mNbKnHRuDM5VlGaB5xD/view?usp=drivesdk","32 - XI E-2 - Atha Rezky Riyansyah")</f>
        <v>32 - XI E-2 - Atha Rezky Riyansyah</v>
      </c>
      <c r="U885" s="12" t="s">
        <v>4699</v>
      </c>
      <c r="W885" s="25">
        <f>COUNTIFS('Form Presensi SCC'!$B:$B, IF($C885&lt;&gt;0, TEXT($C885, "0000000000"), $D885), 'Form Presensi SCC'!$C:$C, "Hadir")</f>
        <v>0</v>
      </c>
      <c r="Y885" s="26"/>
    </row>
    <row r="886" ht="22.5" customHeight="1">
      <c r="A886" s="18">
        <v>555.0</v>
      </c>
      <c r="B886" s="31">
        <v>6.0</v>
      </c>
      <c r="C886" s="27" t="s">
        <v>4705</v>
      </c>
      <c r="D886" s="31" t="s">
        <v>4706</v>
      </c>
      <c r="E886" s="32" t="s">
        <v>227</v>
      </c>
      <c r="F886" s="12">
        <v>32.0</v>
      </c>
      <c r="G886" s="12" t="s">
        <v>4680</v>
      </c>
      <c r="H886" s="28"/>
      <c r="I886" s="20"/>
      <c r="J886" s="10"/>
      <c r="K886" s="10" t="s">
        <v>4680</v>
      </c>
      <c r="L886" s="10"/>
      <c r="M886" s="33"/>
      <c r="N886" s="34"/>
      <c r="O886" s="34"/>
      <c r="P886" s="12" t="str">
        <f t="shared" si="1"/>
        <v>https://docs.google.com/forms/d/e/1FAIpQLSeZ-R1GrWlAPkfaThGqxeTj0QTtrARw4rroxIIepf2kipn1nw/formResponse?usp=pp_url&amp;entry.1313582257=0084865750 / 242510075&amp;entry.1578404635=Hadir</v>
      </c>
      <c r="Q886" s="23" t="s">
        <v>4707</v>
      </c>
      <c r="R886" s="12" t="s">
        <v>4708</v>
      </c>
      <c r="S886" s="24" t="s">
        <v>4709</v>
      </c>
      <c r="T886" s="23" t="str">
        <f>HYPERLINK("https://drive.google.com/file/d/1xb50nhCspslf9akIQb2lrsQ3hTh74N-6/view?usp=drivesdk","32 - XI E-2 - Ayu Widyaningsih")</f>
        <v>32 - XI E-2 - Ayu Widyaningsih</v>
      </c>
      <c r="U886" s="12" t="s">
        <v>4699</v>
      </c>
      <c r="W886" s="25">
        <f>COUNTIFS('Form Presensi SCC'!$B:$B, IF($C886&lt;&gt;0, TEXT($C886, "0000000000"), $D886), 'Form Presensi SCC'!$C:$C, "Hadir")</f>
        <v>0</v>
      </c>
      <c r="Y886" s="26"/>
    </row>
    <row r="887" ht="22.5" customHeight="1">
      <c r="A887" s="18">
        <v>555.0</v>
      </c>
      <c r="B887" s="31">
        <v>7.0</v>
      </c>
      <c r="C887" s="27" t="s">
        <v>4710</v>
      </c>
      <c r="D887" s="31" t="s">
        <v>4711</v>
      </c>
      <c r="E887" s="32" t="s">
        <v>227</v>
      </c>
      <c r="F887" s="12">
        <v>32.0</v>
      </c>
      <c r="G887" s="12" t="s">
        <v>4680</v>
      </c>
      <c r="H887" s="28"/>
      <c r="I887" s="20"/>
      <c r="J887" s="10"/>
      <c r="K887" s="10" t="s">
        <v>4680</v>
      </c>
      <c r="L887" s="10"/>
      <c r="M887" s="33"/>
      <c r="N887" s="34"/>
      <c r="O887" s="34"/>
      <c r="P887" s="12" t="str">
        <f t="shared" si="1"/>
        <v>https://docs.google.com/forms/d/e/1FAIpQLSeZ-R1GrWlAPkfaThGqxeTj0QTtrARw4rroxIIepf2kipn1nw/formResponse?usp=pp_url&amp;entry.1313582257=0089373986 / 242510076&amp;entry.1578404635=Hadir</v>
      </c>
      <c r="Q887" s="23" t="s">
        <v>4712</v>
      </c>
      <c r="R887" s="12" t="s">
        <v>4713</v>
      </c>
      <c r="S887" s="24" t="s">
        <v>4714</v>
      </c>
      <c r="T887" s="23" t="str">
        <f>HYPERLINK("https://drive.google.com/file/d/1iFxPF4N0XlMvOeGj9t9uDE-yBhSjAENQ/view?usp=drivesdk","32 - XI E-2 - Ayudias Raina Zara")</f>
        <v>32 - XI E-2 - Ayudias Raina Zara</v>
      </c>
      <c r="U887" s="12" t="s">
        <v>4699</v>
      </c>
      <c r="W887" s="25">
        <f>COUNTIFS('Form Presensi SCC'!$B:$B, IF($C887&lt;&gt;0, TEXT($C887, "0000000000"), $D887), 'Form Presensi SCC'!$C:$C, "Hadir")</f>
        <v>0</v>
      </c>
      <c r="Y887" s="26"/>
    </row>
    <row r="888" ht="22.5" customHeight="1">
      <c r="A888" s="18">
        <v>555.0</v>
      </c>
      <c r="B888" s="31">
        <v>8.0</v>
      </c>
      <c r="C888" s="27" t="s">
        <v>4715</v>
      </c>
      <c r="D888" s="31" t="s">
        <v>4716</v>
      </c>
      <c r="E888" s="32" t="s">
        <v>220</v>
      </c>
      <c r="F888" s="12">
        <v>32.0</v>
      </c>
      <c r="G888" s="12" t="s">
        <v>4680</v>
      </c>
      <c r="H888" s="28"/>
      <c r="I888" s="20"/>
      <c r="J888" s="10"/>
      <c r="K888" s="10" t="s">
        <v>4680</v>
      </c>
      <c r="L888" s="10"/>
      <c r="M888" s="33"/>
      <c r="N888" s="34"/>
      <c r="O888" s="34"/>
      <c r="P888" s="12" t="str">
        <f t="shared" si="1"/>
        <v>https://docs.google.com/forms/d/e/1FAIpQLSeZ-R1GrWlAPkfaThGqxeTj0QTtrARw4rroxIIepf2kipn1nw/formResponse?usp=pp_url&amp;entry.1313582257=0094394514 / 242510082&amp;entry.1578404635=Hadir</v>
      </c>
      <c r="Q888" s="23" t="s">
        <v>4717</v>
      </c>
      <c r="R888" s="12" t="s">
        <v>4718</v>
      </c>
      <c r="S888" s="24" t="s">
        <v>4719</v>
      </c>
      <c r="T888" s="23" t="str">
        <f>HYPERLINK("https://drive.google.com/file/d/19Dr09uD3xETFgc14JAHReeX2x6F1hmsv/view?usp=drivesdk","32 - XI E-2 - Barep Agha Rioyo")</f>
        <v>32 - XI E-2 - Barep Agha Rioyo</v>
      </c>
      <c r="U888" s="12" t="s">
        <v>4699</v>
      </c>
      <c r="W888" s="25">
        <f>COUNTIFS('Form Presensi SCC'!$B:$B, IF($C888&lt;&gt;0, TEXT($C888, "0000000000"), $D888), 'Form Presensi SCC'!$C:$C, "Hadir")</f>
        <v>0</v>
      </c>
      <c r="Y888" s="26"/>
    </row>
    <row r="889" ht="22.5" customHeight="1">
      <c r="A889" s="18">
        <v>555.0</v>
      </c>
      <c r="B889" s="31">
        <v>9.0</v>
      </c>
      <c r="C889" s="27" t="s">
        <v>4720</v>
      </c>
      <c r="D889" s="31" t="s">
        <v>4721</v>
      </c>
      <c r="E889" s="32" t="s">
        <v>220</v>
      </c>
      <c r="F889" s="12">
        <v>32.0</v>
      </c>
      <c r="G889" s="12" t="s">
        <v>4680</v>
      </c>
      <c r="H889" s="28"/>
      <c r="I889" s="20"/>
      <c r="J889" s="10"/>
      <c r="K889" s="10" t="s">
        <v>4680</v>
      </c>
      <c r="L889" s="10"/>
      <c r="M889" s="33"/>
      <c r="N889" s="34"/>
      <c r="O889" s="34"/>
      <c r="P889" s="12" t="str">
        <f t="shared" si="1"/>
        <v>https://docs.google.com/forms/d/e/1FAIpQLSeZ-R1GrWlAPkfaThGqxeTj0QTtrARw4rroxIIepf2kipn1nw/formResponse?usp=pp_url&amp;entry.1313582257=0093616890 / 242510097&amp;entry.1578404635=Hadir</v>
      </c>
      <c r="Q889" s="23" t="s">
        <v>4722</v>
      </c>
      <c r="R889" s="12" t="s">
        <v>4723</v>
      </c>
      <c r="S889" s="24" t="s">
        <v>4724</v>
      </c>
      <c r="T889" s="23" t="str">
        <f>HYPERLINK("https://drive.google.com/file/d/1NFQBlu1hsjHvHqDKeeHNLI_oZ8L0zBJd/view?usp=drivesdk","32 - XI E-2 - Daffa Diaz Arsya Bashari")</f>
        <v>32 - XI E-2 - Daffa Diaz Arsya Bashari</v>
      </c>
      <c r="U889" s="12" t="s">
        <v>4699</v>
      </c>
      <c r="W889" s="25">
        <f>COUNTIFS('Form Presensi SCC'!$B:$B, IF($C889&lt;&gt;0, TEXT($C889, "0000000000"), $D889), 'Form Presensi SCC'!$C:$C, "Hadir")</f>
        <v>0</v>
      </c>
      <c r="Y889" s="26"/>
    </row>
    <row r="890" ht="22.5" customHeight="1">
      <c r="A890" s="18">
        <v>555.0</v>
      </c>
      <c r="B890" s="31">
        <v>10.0</v>
      </c>
      <c r="C890" s="27" t="s">
        <v>4725</v>
      </c>
      <c r="D890" s="31" t="s">
        <v>4726</v>
      </c>
      <c r="E890" s="32" t="s">
        <v>220</v>
      </c>
      <c r="F890" s="12">
        <v>32.0</v>
      </c>
      <c r="G890" s="12" t="s">
        <v>4680</v>
      </c>
      <c r="H890" s="28"/>
      <c r="I890" s="20"/>
      <c r="J890" s="10"/>
      <c r="K890" s="10" t="s">
        <v>4680</v>
      </c>
      <c r="L890" s="10"/>
      <c r="M890" s="33"/>
      <c r="N890" s="34"/>
      <c r="O890" s="34"/>
      <c r="P890" s="12" t="str">
        <f t="shared" si="1"/>
        <v>https://docs.google.com/forms/d/e/1FAIpQLSeZ-R1GrWlAPkfaThGqxeTj0QTtrARw4rroxIIepf2kipn1nw/formResponse?usp=pp_url&amp;entry.1313582257=0092463348 / 242510100&amp;entry.1578404635=Hadir</v>
      </c>
      <c r="Q890" s="23" t="s">
        <v>4727</v>
      </c>
      <c r="R890" s="12" t="s">
        <v>4728</v>
      </c>
      <c r="S890" s="24" t="s">
        <v>4729</v>
      </c>
      <c r="T890" s="23" t="str">
        <f>HYPERLINK("https://drive.google.com/file/d/1slsHehc1AtOGnPip_MOUVki-zDbuk9hm/view?usp=drivesdk","32 - XI E-2 - Danish Alghifari")</f>
        <v>32 - XI E-2 - Danish Alghifari</v>
      </c>
      <c r="U890" s="12" t="s">
        <v>4730</v>
      </c>
      <c r="W890" s="25">
        <f>COUNTIFS('Form Presensi SCC'!$B:$B, IF($C890&lt;&gt;0, TEXT($C890, "0000000000"), $D890), 'Form Presensi SCC'!$C:$C, "Hadir")</f>
        <v>0</v>
      </c>
      <c r="Y890" s="26"/>
    </row>
    <row r="891" ht="22.5" customHeight="1">
      <c r="A891" s="18">
        <v>555.0</v>
      </c>
      <c r="B891" s="31">
        <v>11.0</v>
      </c>
      <c r="C891" s="27" t="s">
        <v>4731</v>
      </c>
      <c r="D891" s="31" t="s">
        <v>4732</v>
      </c>
      <c r="E891" s="32" t="s">
        <v>220</v>
      </c>
      <c r="F891" s="12">
        <v>32.0</v>
      </c>
      <c r="G891" s="12" t="s">
        <v>4680</v>
      </c>
      <c r="H891" s="28"/>
      <c r="I891" s="20"/>
      <c r="J891" s="10"/>
      <c r="K891" s="10" t="s">
        <v>4680</v>
      </c>
      <c r="L891" s="10"/>
      <c r="M891" s="33"/>
      <c r="N891" s="34"/>
      <c r="O891" s="34"/>
      <c r="P891" s="12" t="str">
        <f t="shared" si="1"/>
        <v>https://docs.google.com/forms/d/e/1FAIpQLSeZ-R1GrWlAPkfaThGqxeTj0QTtrARw4rroxIIepf2kipn1nw/formResponse?usp=pp_url&amp;entry.1313582257=0087035501 / 242510131&amp;entry.1578404635=Hadir</v>
      </c>
      <c r="Q891" s="23" t="s">
        <v>4733</v>
      </c>
      <c r="R891" s="12" t="s">
        <v>4734</v>
      </c>
      <c r="S891" s="24" t="s">
        <v>4735</v>
      </c>
      <c r="T891" s="23" t="str">
        <f>HYPERLINK("https://drive.google.com/file/d/1suNvSmntCf1cn2mwNPDxHih3jLk3WwO1/view?usp=drivesdk","32 - XI E-2 - Faiz Alfariz")</f>
        <v>32 - XI E-2 - Faiz Alfariz</v>
      </c>
      <c r="U891" s="12" t="s">
        <v>4730</v>
      </c>
      <c r="W891" s="25">
        <f>COUNTIFS('Form Presensi SCC'!$B:$B, IF($C891&lt;&gt;0, TEXT($C891, "0000000000"), $D891), 'Form Presensi SCC'!$C:$C, "Hadir")</f>
        <v>0</v>
      </c>
      <c r="Y891" s="26"/>
    </row>
    <row r="892" ht="22.5" customHeight="1">
      <c r="A892" s="18">
        <v>555.0</v>
      </c>
      <c r="B892" s="31">
        <v>12.0</v>
      </c>
      <c r="C892" s="27" t="s">
        <v>4736</v>
      </c>
      <c r="D892" s="31" t="s">
        <v>4737</v>
      </c>
      <c r="E892" s="32" t="s">
        <v>220</v>
      </c>
      <c r="F892" s="12">
        <v>32.0</v>
      </c>
      <c r="G892" s="12" t="s">
        <v>4680</v>
      </c>
      <c r="H892" s="28"/>
      <c r="I892" s="20"/>
      <c r="J892" s="10"/>
      <c r="K892" s="10" t="s">
        <v>4680</v>
      </c>
      <c r="L892" s="10"/>
      <c r="M892" s="33"/>
      <c r="N892" s="34"/>
      <c r="O892" s="34"/>
      <c r="P892" s="12" t="str">
        <f t="shared" si="1"/>
        <v>https://docs.google.com/forms/d/e/1FAIpQLSeZ-R1GrWlAPkfaThGqxeTj0QTtrARw4rroxIIepf2kipn1nw/formResponse?usp=pp_url&amp;entry.1313582257=0097179421 / 242510163&amp;entry.1578404635=Hadir</v>
      </c>
      <c r="Q892" s="23" t="s">
        <v>4738</v>
      </c>
      <c r="R892" s="12" t="s">
        <v>4739</v>
      </c>
      <c r="S892" s="24" t="s">
        <v>4740</v>
      </c>
      <c r="T892" s="23" t="str">
        <f>HYPERLINK("https://drive.google.com/file/d/19JHA6QX7qffNkn8MV9A16UtxQmQL4Zit/view?usp=drivesdk","32 - XI E-2 - Heru Kurnia")</f>
        <v>32 - XI E-2 - Heru Kurnia</v>
      </c>
      <c r="U892" s="12" t="s">
        <v>4730</v>
      </c>
      <c r="W892" s="25">
        <f>COUNTIFS('Form Presensi SCC'!$B:$B, IF($C892&lt;&gt;0, TEXT($C892, "0000000000"), $D892), 'Form Presensi SCC'!$C:$C, "Hadir")</f>
        <v>0</v>
      </c>
      <c r="Y892" s="26"/>
    </row>
    <row r="893" ht="22.5" customHeight="1">
      <c r="A893" s="18">
        <v>555.0</v>
      </c>
      <c r="B893" s="31">
        <v>13.0</v>
      </c>
      <c r="C893" s="27" t="s">
        <v>4741</v>
      </c>
      <c r="D893" s="31" t="s">
        <v>4742</v>
      </c>
      <c r="E893" s="32" t="s">
        <v>220</v>
      </c>
      <c r="F893" s="12">
        <v>32.0</v>
      </c>
      <c r="G893" s="12" t="s">
        <v>4680</v>
      </c>
      <c r="H893" s="28"/>
      <c r="I893" s="20"/>
      <c r="J893" s="10"/>
      <c r="K893" s="10" t="s">
        <v>4680</v>
      </c>
      <c r="L893" s="10"/>
      <c r="M893" s="33"/>
      <c r="N893" s="34"/>
      <c r="O893" s="34"/>
      <c r="P893" s="12" t="str">
        <f t="shared" si="1"/>
        <v>https://docs.google.com/forms/d/e/1FAIpQLSeZ-R1GrWlAPkfaThGqxeTj0QTtrARw4rroxIIepf2kipn1nw/formResponse?usp=pp_url&amp;entry.1313582257=0084853605 / 242510164&amp;entry.1578404635=Hadir</v>
      </c>
      <c r="Q893" s="23" t="s">
        <v>4743</v>
      </c>
      <c r="R893" s="12" t="s">
        <v>4744</v>
      </c>
      <c r="S893" s="24" t="s">
        <v>4745</v>
      </c>
      <c r="T893" s="23" t="str">
        <f>HYPERLINK("https://drive.google.com/file/d/1gj5Ou5rmG9u2AnOb9SreD_Z4mDzTkcqi/view?usp=drivesdk","32 - XI E-2 - Hibban Abdurrahman")</f>
        <v>32 - XI E-2 - Hibban Abdurrahman</v>
      </c>
      <c r="U893" s="12" t="s">
        <v>4730</v>
      </c>
      <c r="W893" s="25">
        <f>COUNTIFS('Form Presensi SCC'!$B:$B, IF($C893&lt;&gt;0, TEXT($C893, "0000000000"), $D893), 'Form Presensi SCC'!$C:$C, "Hadir")</f>
        <v>0</v>
      </c>
      <c r="Y893" s="26"/>
    </row>
    <row r="894" ht="22.5" customHeight="1">
      <c r="A894" s="18">
        <v>555.0</v>
      </c>
      <c r="B894" s="31">
        <v>14.0</v>
      </c>
      <c r="C894" s="27" t="s">
        <v>4746</v>
      </c>
      <c r="D894" s="31" t="s">
        <v>4747</v>
      </c>
      <c r="E894" s="32" t="s">
        <v>220</v>
      </c>
      <c r="F894" s="12">
        <v>32.0</v>
      </c>
      <c r="G894" s="12" t="s">
        <v>4680</v>
      </c>
      <c r="H894" s="28"/>
      <c r="I894" s="20"/>
      <c r="J894" s="10"/>
      <c r="K894" s="10" t="s">
        <v>4680</v>
      </c>
      <c r="L894" s="10"/>
      <c r="M894" s="33"/>
      <c r="N894" s="34"/>
      <c r="O894" s="34"/>
      <c r="P894" s="12" t="str">
        <f t="shared" si="1"/>
        <v>https://docs.google.com/forms/d/e/1FAIpQLSeZ-R1GrWlAPkfaThGqxeTj0QTtrARw4rroxIIepf2kipn1nw/formResponse?usp=pp_url&amp;entry.1313582257=3092618789 / 242510170&amp;entry.1578404635=Hadir</v>
      </c>
      <c r="Q894" s="23" t="s">
        <v>4748</v>
      </c>
      <c r="R894" s="12" t="s">
        <v>4749</v>
      </c>
      <c r="S894" s="24" t="s">
        <v>4750</v>
      </c>
      <c r="T894" s="23" t="str">
        <f>HYPERLINK("https://drive.google.com/file/d/1_G0NVeX-81LyLSeJeDGWzmBNrWnkZW6_/view?usp=drivesdk","32 - XI E-2 - Imam Al Ashfia Prastomo")</f>
        <v>32 - XI E-2 - Imam Al Ashfia Prastomo</v>
      </c>
      <c r="U894" s="12" t="s">
        <v>4730</v>
      </c>
      <c r="W894" s="25">
        <f>COUNTIFS('Form Presensi SCC'!$B:$B, IF($C894&lt;&gt;0, TEXT($C894, "0000000000"), $D894), 'Form Presensi SCC'!$C:$C, "Hadir")</f>
        <v>0</v>
      </c>
      <c r="Y894" s="26"/>
    </row>
    <row r="895" ht="22.5" customHeight="1">
      <c r="A895" s="18">
        <v>555.0</v>
      </c>
      <c r="B895" s="31">
        <v>15.0</v>
      </c>
      <c r="C895" s="27" t="s">
        <v>4751</v>
      </c>
      <c r="D895" s="31" t="s">
        <v>4752</v>
      </c>
      <c r="E895" s="32" t="s">
        <v>220</v>
      </c>
      <c r="F895" s="12">
        <v>32.0</v>
      </c>
      <c r="G895" s="12" t="s">
        <v>4680</v>
      </c>
      <c r="H895" s="28"/>
      <c r="I895" s="20"/>
      <c r="J895" s="10"/>
      <c r="K895" s="10" t="s">
        <v>4680</v>
      </c>
      <c r="L895" s="10"/>
      <c r="M895" s="35"/>
      <c r="N895" s="34"/>
      <c r="O895" s="34"/>
      <c r="P895" s="12" t="str">
        <f t="shared" si="1"/>
        <v>https://docs.google.com/forms/d/e/1FAIpQLSeZ-R1GrWlAPkfaThGqxeTj0QTtrARw4rroxIIepf2kipn1nw/formResponse?usp=pp_url&amp;entry.1313582257=0092821103 / 242510174&amp;entry.1578404635=Hadir</v>
      </c>
      <c r="Q895" s="23" t="s">
        <v>4753</v>
      </c>
      <c r="R895" s="12" t="s">
        <v>4754</v>
      </c>
      <c r="S895" s="24" t="s">
        <v>4755</v>
      </c>
      <c r="T895" s="23" t="str">
        <f>HYPERLINK("https://drive.google.com/file/d/1YXE0sBoiCHsAruKoiaVcQW758kg14-IO/view?usp=drivesdk","32 - XI E-2 - Irsyad Nabihan")</f>
        <v>32 - XI E-2 - Irsyad Nabihan</v>
      </c>
      <c r="U895" s="12" t="s">
        <v>4730</v>
      </c>
      <c r="W895" s="25">
        <f>COUNTIFS('Form Presensi SCC'!$B:$B, IF($C895&lt;&gt;0, TEXT($C895, "0000000000"), $D895), 'Form Presensi SCC'!$C:$C, "Hadir")</f>
        <v>0</v>
      </c>
      <c r="Y895" s="26"/>
    </row>
    <row r="896" ht="22.5" customHeight="1">
      <c r="A896" s="18">
        <v>555.0</v>
      </c>
      <c r="B896" s="31">
        <v>16.0</v>
      </c>
      <c r="C896" s="27" t="s">
        <v>4756</v>
      </c>
      <c r="D896" s="31" t="s">
        <v>4757</v>
      </c>
      <c r="E896" s="32" t="s">
        <v>220</v>
      </c>
      <c r="F896" s="12">
        <v>32.0</v>
      </c>
      <c r="G896" s="12" t="s">
        <v>4680</v>
      </c>
      <c r="H896" s="28"/>
      <c r="I896" s="20"/>
      <c r="J896" s="10"/>
      <c r="K896" s="10" t="s">
        <v>4680</v>
      </c>
      <c r="L896" s="10"/>
      <c r="M896" s="33"/>
      <c r="N896" s="34"/>
      <c r="O896" s="34"/>
      <c r="P896" s="12" t="str">
        <f t="shared" si="1"/>
        <v>https://docs.google.com/forms/d/e/1FAIpQLSeZ-R1GrWlAPkfaThGqxeTj0QTtrARw4rroxIIepf2kipn1nw/formResponse?usp=pp_url&amp;entry.1313582257=0082472809 / 242510177&amp;entry.1578404635=Hadir</v>
      </c>
      <c r="Q896" s="23" t="s">
        <v>4758</v>
      </c>
      <c r="R896" s="12" t="s">
        <v>4759</v>
      </c>
      <c r="S896" s="24" t="s">
        <v>4760</v>
      </c>
      <c r="T896" s="23" t="str">
        <f>HYPERLINK("https://drive.google.com/file/d/1v52BknQIUMfd-C1IXKdorUGl1gtEfjxx/view?usp=drivesdk","32 - XI E-2 - Javasanda Putra Perdana")</f>
        <v>32 - XI E-2 - Javasanda Putra Perdana</v>
      </c>
      <c r="U896" s="12" t="s">
        <v>4761</v>
      </c>
      <c r="W896" s="25">
        <f>COUNTIFS('Form Presensi SCC'!$B:$B, IF($C896&lt;&gt;0, TEXT($C896, "0000000000"), $D896), 'Form Presensi SCC'!$C:$C, "Hadir")</f>
        <v>0</v>
      </c>
      <c r="Y896" s="26"/>
    </row>
    <row r="897" ht="22.5" customHeight="1">
      <c r="A897" s="18">
        <v>555.0</v>
      </c>
      <c r="B897" s="31">
        <v>17.0</v>
      </c>
      <c r="C897" s="27" t="s">
        <v>4762</v>
      </c>
      <c r="D897" s="31" t="s">
        <v>4763</v>
      </c>
      <c r="E897" s="32" t="s">
        <v>220</v>
      </c>
      <c r="F897" s="12">
        <v>32.0</v>
      </c>
      <c r="G897" s="12" t="s">
        <v>4680</v>
      </c>
      <c r="H897" s="28"/>
      <c r="I897" s="20"/>
      <c r="J897" s="10"/>
      <c r="K897" s="10" t="s">
        <v>4680</v>
      </c>
      <c r="L897" s="10"/>
      <c r="M897" s="33"/>
      <c r="N897" s="34"/>
      <c r="O897" s="34"/>
      <c r="P897" s="12" t="str">
        <f t="shared" si="1"/>
        <v>https://docs.google.com/forms/d/e/1FAIpQLSeZ-R1GrWlAPkfaThGqxeTj0QTtrARw4rroxIIepf2kipn1nw/formResponse?usp=pp_url&amp;entry.1313582257=3091944997 / 242510210&amp;entry.1578404635=Hadir</v>
      </c>
      <c r="Q897" s="23" t="s">
        <v>4764</v>
      </c>
      <c r="R897" s="12" t="s">
        <v>4765</v>
      </c>
      <c r="S897" s="24" t="s">
        <v>4766</v>
      </c>
      <c r="T897" s="23" t="str">
        <f>HYPERLINK("https://drive.google.com/file/d/1_RjmwM49b1I8Wgd0p-gAYHYXfVOsbhPr/view?usp=drivesdk","32 - XI E-2 - Lais Yusuf Ghazali")</f>
        <v>32 - XI E-2 - Lais Yusuf Ghazali</v>
      </c>
      <c r="U897" s="12" t="s">
        <v>4761</v>
      </c>
      <c r="W897" s="25">
        <f>COUNTIFS('Form Presensi SCC'!$B:$B, IF($C897&lt;&gt;0, TEXT($C897, "0000000000"), $D897), 'Form Presensi SCC'!$C:$C, "Hadir")</f>
        <v>0</v>
      </c>
      <c r="Y897" s="26"/>
    </row>
    <row r="898" ht="22.5" customHeight="1">
      <c r="A898" s="18">
        <v>555.0</v>
      </c>
      <c r="B898" s="31">
        <v>18.0</v>
      </c>
      <c r="C898" s="27" t="s">
        <v>4767</v>
      </c>
      <c r="D898" s="31" t="s">
        <v>4768</v>
      </c>
      <c r="E898" s="32" t="s">
        <v>220</v>
      </c>
      <c r="F898" s="12">
        <v>32.0</v>
      </c>
      <c r="G898" s="12" t="s">
        <v>4680</v>
      </c>
      <c r="H898" s="28"/>
      <c r="I898" s="20"/>
      <c r="J898" s="10"/>
      <c r="K898" s="10" t="s">
        <v>4680</v>
      </c>
      <c r="L898" s="10"/>
      <c r="M898" s="33"/>
      <c r="N898" s="34"/>
      <c r="O898" s="34"/>
      <c r="P898" s="12" t="str">
        <f t="shared" si="1"/>
        <v>https://docs.google.com/forms/d/e/1FAIpQLSeZ-R1GrWlAPkfaThGqxeTj0QTtrARw4rroxIIepf2kipn1nw/formResponse?usp=pp_url&amp;entry.1313582257=0081087411 / 242510224&amp;entry.1578404635=Hadir</v>
      </c>
      <c r="Q898" s="23" t="s">
        <v>4769</v>
      </c>
      <c r="R898" s="12" t="s">
        <v>4770</v>
      </c>
      <c r="S898" s="24" t="s">
        <v>4771</v>
      </c>
      <c r="T898" s="23" t="str">
        <f>HYPERLINK("https://drive.google.com/file/d/1dcMYDVU35FZUYC5QqWa84DE3YlZQdWeq/view?usp=drivesdk","32 - XI E-2 - Marcel Tri Hermawan")</f>
        <v>32 - XI E-2 - Marcel Tri Hermawan</v>
      </c>
      <c r="U898" s="12" t="s">
        <v>4761</v>
      </c>
      <c r="W898" s="25">
        <f>COUNTIFS('Form Presensi SCC'!$B:$B, IF($C898&lt;&gt;0, TEXT($C898, "0000000000"), $D898), 'Form Presensi SCC'!$C:$C, "Hadir")</f>
        <v>0</v>
      </c>
      <c r="Y898" s="26"/>
    </row>
    <row r="899" ht="22.5" customHeight="1">
      <c r="A899" s="18">
        <v>555.0</v>
      </c>
      <c r="B899" s="31">
        <v>19.0</v>
      </c>
      <c r="C899" s="27" t="s">
        <v>4772</v>
      </c>
      <c r="D899" s="31" t="s">
        <v>4773</v>
      </c>
      <c r="E899" s="32" t="s">
        <v>220</v>
      </c>
      <c r="F899" s="12">
        <v>32.0</v>
      </c>
      <c r="G899" s="12" t="s">
        <v>4680</v>
      </c>
      <c r="H899" s="28"/>
      <c r="I899" s="20"/>
      <c r="J899" s="10"/>
      <c r="K899" s="10" t="s">
        <v>4680</v>
      </c>
      <c r="L899" s="10"/>
      <c r="M899" s="33"/>
      <c r="N899" s="34"/>
      <c r="O899" s="34"/>
      <c r="P899" s="12" t="str">
        <f t="shared" si="1"/>
        <v>https://docs.google.com/forms/d/e/1FAIpQLSeZ-R1GrWlAPkfaThGqxeTj0QTtrARw4rroxIIepf2kipn1nw/formResponse?usp=pp_url&amp;entry.1313582257=0094864081 / 242510250&amp;entry.1578404635=Hadir</v>
      </c>
      <c r="Q899" s="23" t="s">
        <v>4774</v>
      </c>
      <c r="R899" s="12" t="s">
        <v>4775</v>
      </c>
      <c r="S899" s="24" t="s">
        <v>4776</v>
      </c>
      <c r="T899" s="23" t="str">
        <f>HYPERLINK("https://drive.google.com/file/d/11fJaCyKoT92bLn8Hsw4HU6_ATDywfHfB/view?usp=drivesdk","32 - XI E-2 - Muhammad Ammar Firdaus Putra")</f>
        <v>32 - XI E-2 - Muhammad Ammar Firdaus Putra</v>
      </c>
      <c r="U899" s="12" t="s">
        <v>4761</v>
      </c>
      <c r="W899" s="25">
        <f>COUNTIFS('Form Presensi SCC'!$B:$B, IF($C899&lt;&gt;0, TEXT($C899, "0000000000"), $D899), 'Form Presensi SCC'!$C:$C, "Hadir")</f>
        <v>0</v>
      </c>
      <c r="Y899" s="26"/>
    </row>
    <row r="900" ht="22.5" customHeight="1">
      <c r="A900" s="18">
        <v>555.0</v>
      </c>
      <c r="B900" s="31">
        <v>20.0</v>
      </c>
      <c r="C900" s="27" t="s">
        <v>4777</v>
      </c>
      <c r="D900" s="31" t="s">
        <v>4778</v>
      </c>
      <c r="E900" s="32" t="s">
        <v>220</v>
      </c>
      <c r="F900" s="12">
        <v>32.0</v>
      </c>
      <c r="G900" s="12" t="s">
        <v>4680</v>
      </c>
      <c r="H900" s="28"/>
      <c r="I900" s="20"/>
      <c r="J900" s="10"/>
      <c r="K900" s="10" t="s">
        <v>4680</v>
      </c>
      <c r="L900" s="10"/>
      <c r="M900" s="33"/>
      <c r="N900" s="34"/>
      <c r="O900" s="34"/>
      <c r="P900" s="12" t="str">
        <f t="shared" si="1"/>
        <v>https://docs.google.com/forms/d/e/1FAIpQLSeZ-R1GrWlAPkfaThGqxeTj0QTtrARw4rroxIIepf2kipn1nw/formResponse?usp=pp_url&amp;entry.1313582257=0095937371 / 242510263&amp;entry.1578404635=Hadir</v>
      </c>
      <c r="Q900" s="23" t="s">
        <v>4779</v>
      </c>
      <c r="R900" s="12" t="s">
        <v>4780</v>
      </c>
      <c r="S900" s="24" t="s">
        <v>4781</v>
      </c>
      <c r="T900" s="23" t="str">
        <f>HYPERLINK("https://drive.google.com/file/d/1UWGy8XtR7Gtxu1vF2C9jPJU-6u4q_K3z/view?usp=drivesdk","32 - XI E-2 - Muhammad Fikra Burhamzah")</f>
        <v>32 - XI E-2 - Muhammad Fikra Burhamzah</v>
      </c>
      <c r="U900" s="12" t="s">
        <v>4761</v>
      </c>
      <c r="W900" s="25">
        <f>COUNTIFS('Form Presensi SCC'!$B:$B, IF($C900&lt;&gt;0, TEXT($C900, "0000000000"), $D900), 'Form Presensi SCC'!$C:$C, "Hadir")</f>
        <v>0</v>
      </c>
      <c r="Y900" s="26"/>
    </row>
    <row r="901" ht="22.5" customHeight="1">
      <c r="A901" s="18">
        <v>555.0</v>
      </c>
      <c r="B901" s="31">
        <v>21.0</v>
      </c>
      <c r="C901" s="27" t="s">
        <v>4782</v>
      </c>
      <c r="D901" s="31" t="s">
        <v>4783</v>
      </c>
      <c r="E901" s="32" t="s">
        <v>220</v>
      </c>
      <c r="F901" s="12">
        <v>32.0</v>
      </c>
      <c r="G901" s="12" t="s">
        <v>4680</v>
      </c>
      <c r="H901" s="28"/>
      <c r="I901" s="20"/>
      <c r="J901" s="10"/>
      <c r="K901" s="10" t="s">
        <v>4680</v>
      </c>
      <c r="L901" s="10"/>
      <c r="M901" s="33"/>
      <c r="N901" s="34"/>
      <c r="O901" s="34"/>
      <c r="P901" s="12" t="str">
        <f t="shared" si="1"/>
        <v>https://docs.google.com/forms/d/e/1FAIpQLSeZ-R1GrWlAPkfaThGqxeTj0QTtrARw4rroxIIepf2kipn1nw/formResponse?usp=pp_url&amp;entry.1313582257=0088807404 / 242510264&amp;entry.1578404635=Hadir</v>
      </c>
      <c r="Q901" s="23" t="s">
        <v>4784</v>
      </c>
      <c r="R901" s="12" t="s">
        <v>4785</v>
      </c>
      <c r="S901" s="24" t="s">
        <v>4786</v>
      </c>
      <c r="T901" s="23" t="str">
        <f>HYPERLINK("https://drive.google.com/file/d/1J8ElwmR0sSGhIs2MI1Sc3zu7aDK40Glw/view?usp=drivesdk","32 - XI E-2 - Muhammad Ghaizyan Athar")</f>
        <v>32 - XI E-2 - Muhammad Ghaizyan Athar</v>
      </c>
      <c r="U901" s="12" t="s">
        <v>4761</v>
      </c>
      <c r="W901" s="25">
        <f>COUNTIFS('Form Presensi SCC'!$B:$B, IF($C901&lt;&gt;0, TEXT($C901, "0000000000"), $D901), 'Form Presensi SCC'!$C:$C, "Hadir")</f>
        <v>0</v>
      </c>
      <c r="Y901" s="26"/>
    </row>
    <row r="902" ht="22.5" customHeight="1">
      <c r="A902" s="18">
        <v>555.0</v>
      </c>
      <c r="B902" s="31">
        <v>22.0</v>
      </c>
      <c r="C902" s="27" t="s">
        <v>4787</v>
      </c>
      <c r="D902" s="31" t="s">
        <v>4788</v>
      </c>
      <c r="E902" s="32" t="s">
        <v>220</v>
      </c>
      <c r="F902" s="12">
        <v>32.0</v>
      </c>
      <c r="G902" s="12" t="s">
        <v>4680</v>
      </c>
      <c r="H902" s="28"/>
      <c r="I902" s="20"/>
      <c r="J902" s="10"/>
      <c r="K902" s="10" t="s">
        <v>4680</v>
      </c>
      <c r="L902" s="10"/>
      <c r="M902" s="33"/>
      <c r="N902" s="34"/>
      <c r="O902" s="34"/>
      <c r="P902" s="12" t="str">
        <f t="shared" si="1"/>
        <v>https://docs.google.com/forms/d/e/1FAIpQLSeZ-R1GrWlAPkfaThGqxeTj0QTtrARw4rroxIIepf2kipn1nw/formResponse?usp=pp_url&amp;entry.1313582257=0085810407 / 242510279&amp;entry.1578404635=Hadir</v>
      </c>
      <c r="Q902" s="23" t="s">
        <v>4789</v>
      </c>
      <c r="R902" s="12" t="s">
        <v>4790</v>
      </c>
      <c r="S902" s="24" t="s">
        <v>4791</v>
      </c>
      <c r="T902" s="23" t="str">
        <f>HYPERLINK("https://drive.google.com/file/d/1fH8pWsusPtnnr6KZU6QlKYLox3zPZab3/view?usp=drivesdk","32 - XI E-2 - Muhammad Syawal")</f>
        <v>32 - XI E-2 - Muhammad Syawal</v>
      </c>
      <c r="U902" s="12" t="s">
        <v>4792</v>
      </c>
      <c r="W902" s="25">
        <f>COUNTIFS('Form Presensi SCC'!$B:$B, IF($C902&lt;&gt;0, TEXT($C902, "0000000000"), $D902), 'Form Presensi SCC'!$C:$C, "Hadir")</f>
        <v>0</v>
      </c>
      <c r="Y902" s="26"/>
    </row>
    <row r="903" ht="22.5" customHeight="1">
      <c r="A903" s="18">
        <v>555.0</v>
      </c>
      <c r="B903" s="31">
        <v>23.0</v>
      </c>
      <c r="C903" s="27" t="s">
        <v>4793</v>
      </c>
      <c r="D903" s="31" t="s">
        <v>4794</v>
      </c>
      <c r="E903" s="32" t="s">
        <v>220</v>
      </c>
      <c r="F903" s="12">
        <v>32.0</v>
      </c>
      <c r="G903" s="12" t="s">
        <v>4680</v>
      </c>
      <c r="H903" s="28"/>
      <c r="I903" s="20"/>
      <c r="J903" s="10"/>
      <c r="K903" s="10" t="s">
        <v>4680</v>
      </c>
      <c r="L903" s="10"/>
      <c r="M903" s="33"/>
      <c r="N903" s="34"/>
      <c r="O903" s="34"/>
      <c r="P903" s="12" t="str">
        <f t="shared" si="1"/>
        <v>https://docs.google.com/forms/d/e/1FAIpQLSeZ-R1GrWlAPkfaThGqxeTj0QTtrARw4rroxIIepf2kipn1nw/formResponse?usp=pp_url&amp;entry.1313582257=0082898817 / 242510293&amp;entry.1578404635=Hadir</v>
      </c>
      <c r="Q903" s="23" t="s">
        <v>4795</v>
      </c>
      <c r="R903" s="12" t="s">
        <v>4796</v>
      </c>
      <c r="S903" s="24" t="s">
        <v>4797</v>
      </c>
      <c r="T903" s="23" t="str">
        <f>HYPERLINK("https://drive.google.com/file/d/1PB4EhM7e3lhepxJaA1qBNiNctXbp_tcO/view?usp=drivesdk","32 - XI E-2 - Natanael Nadapdap")</f>
        <v>32 - XI E-2 - Natanael Nadapdap</v>
      </c>
      <c r="U903" s="12" t="s">
        <v>4792</v>
      </c>
      <c r="W903" s="25">
        <f>COUNTIFS('Form Presensi SCC'!$B:$B, IF($C903&lt;&gt;0, TEXT($C903, "0000000000"), $D903), 'Form Presensi SCC'!$C:$C, "Hadir")</f>
        <v>0</v>
      </c>
      <c r="Y903" s="26"/>
    </row>
    <row r="904" ht="22.5" customHeight="1">
      <c r="A904" s="18">
        <v>555.0</v>
      </c>
      <c r="B904" s="31">
        <v>24.0</v>
      </c>
      <c r="C904" s="27" t="s">
        <v>4798</v>
      </c>
      <c r="D904" s="31" t="s">
        <v>4799</v>
      </c>
      <c r="E904" s="32" t="s">
        <v>220</v>
      </c>
      <c r="F904" s="12">
        <v>32.0</v>
      </c>
      <c r="G904" s="12" t="s">
        <v>4680</v>
      </c>
      <c r="H904" s="28"/>
      <c r="I904" s="20"/>
      <c r="J904" s="10"/>
      <c r="K904" s="10" t="s">
        <v>4680</v>
      </c>
      <c r="L904" s="10"/>
      <c r="M904" s="33"/>
      <c r="N904" s="34"/>
      <c r="O904" s="34"/>
      <c r="P904" s="12" t="str">
        <f t="shared" si="1"/>
        <v>https://docs.google.com/forms/d/e/1FAIpQLSeZ-R1GrWlAPkfaThGqxeTj0QTtrARw4rroxIIepf2kipn1nw/formResponse?usp=pp_url&amp;entry.1313582257=0094465097 / 242510294&amp;entry.1578404635=Hadir</v>
      </c>
      <c r="Q904" s="23" t="s">
        <v>4800</v>
      </c>
      <c r="R904" s="12" t="s">
        <v>4801</v>
      </c>
      <c r="S904" s="24" t="s">
        <v>4802</v>
      </c>
      <c r="T904" s="23" t="str">
        <f>HYPERLINK("https://drive.google.com/file/d/1kWRebkIfa_XLd2X_WElvLSfO3bWoggfn/view?usp=drivesdk","32 - XI E-2 - Naufal Alghifary Zulya")</f>
        <v>32 - XI E-2 - Naufal Alghifary Zulya</v>
      </c>
      <c r="U904" s="12" t="s">
        <v>4792</v>
      </c>
      <c r="W904" s="25">
        <f>COUNTIFS('Form Presensi SCC'!$B:$B, IF($C904&lt;&gt;0, TEXT($C904, "0000000000"), $D904), 'Form Presensi SCC'!$C:$C, "Hadir")</f>
        <v>0</v>
      </c>
      <c r="Y904" s="26"/>
    </row>
    <row r="905" ht="22.5" customHeight="1">
      <c r="A905" s="18">
        <v>555.0</v>
      </c>
      <c r="B905" s="31">
        <v>25.0</v>
      </c>
      <c r="C905" s="27" t="s">
        <v>4803</v>
      </c>
      <c r="D905" s="31" t="s">
        <v>4804</v>
      </c>
      <c r="E905" s="32" t="s">
        <v>227</v>
      </c>
      <c r="F905" s="12">
        <v>32.0</v>
      </c>
      <c r="G905" s="12" t="s">
        <v>4680</v>
      </c>
      <c r="H905" s="28"/>
      <c r="I905" s="20"/>
      <c r="J905" s="10"/>
      <c r="K905" s="10" t="s">
        <v>4680</v>
      </c>
      <c r="L905" s="10"/>
      <c r="M905" s="33"/>
      <c r="N905" s="34"/>
      <c r="O905" s="34"/>
      <c r="P905" s="12" t="str">
        <f t="shared" si="1"/>
        <v>https://docs.google.com/forms/d/e/1FAIpQLSeZ-R1GrWlAPkfaThGqxeTj0QTtrARw4rroxIIepf2kipn1nw/formResponse?usp=pp_url&amp;entry.1313582257=0084114869 / 242510322&amp;entry.1578404635=Hadir</v>
      </c>
      <c r="Q905" s="23" t="s">
        <v>4805</v>
      </c>
      <c r="R905" s="12" t="s">
        <v>4806</v>
      </c>
      <c r="S905" s="24" t="s">
        <v>4807</v>
      </c>
      <c r="T905" s="23" t="str">
        <f>HYPERLINK("https://drive.google.com/file/d/1gP0tDzvIJiYDb19RUwAs8W7rZZv3qZGm/view?usp=drivesdk","32 - XI E-2 - Putri Wida Az-Zahra")</f>
        <v>32 - XI E-2 - Putri Wida Az-Zahra</v>
      </c>
      <c r="U905" s="12" t="s">
        <v>4792</v>
      </c>
      <c r="W905" s="25">
        <f>COUNTIFS('Form Presensi SCC'!$B:$B, IF($C905&lt;&gt;0, TEXT($C905, "0000000000"), $D905), 'Form Presensi SCC'!$C:$C, "Hadir")</f>
        <v>0</v>
      </c>
      <c r="Y905" s="26"/>
    </row>
    <row r="906" ht="22.5" customHeight="1">
      <c r="A906" s="18">
        <v>555.0</v>
      </c>
      <c r="B906" s="31">
        <v>26.0</v>
      </c>
      <c r="C906" s="27" t="s">
        <v>4808</v>
      </c>
      <c r="D906" s="31" t="s">
        <v>4809</v>
      </c>
      <c r="E906" s="32" t="s">
        <v>220</v>
      </c>
      <c r="F906" s="12">
        <v>32.0</v>
      </c>
      <c r="G906" s="12" t="s">
        <v>4680</v>
      </c>
      <c r="H906" s="28"/>
      <c r="I906" s="20"/>
      <c r="J906" s="10"/>
      <c r="K906" s="10" t="s">
        <v>4680</v>
      </c>
      <c r="L906" s="10"/>
      <c r="M906" s="33"/>
      <c r="N906" s="34"/>
      <c r="O906" s="34"/>
      <c r="P906" s="12" t="str">
        <f t="shared" si="1"/>
        <v>https://docs.google.com/forms/d/e/1FAIpQLSeZ-R1GrWlAPkfaThGqxeTj0QTtrARw4rroxIIepf2kipn1nw/formResponse?usp=pp_url&amp;entry.1313582257=0092577014 / 242510330&amp;entry.1578404635=Hadir</v>
      </c>
      <c r="Q906" s="23" t="s">
        <v>4810</v>
      </c>
      <c r="R906" s="12" t="s">
        <v>4811</v>
      </c>
      <c r="S906" s="24" t="s">
        <v>4812</v>
      </c>
      <c r="T906" s="23" t="str">
        <f>HYPERLINK("https://drive.google.com/file/d/1LuaaoKW34wuhyt4TJI7r9vM8znUlpzRD/view?usp=drivesdk","32 - XI E-2 - Raden Devan Alanzulfian")</f>
        <v>32 - XI E-2 - Raden Devan Alanzulfian</v>
      </c>
      <c r="U906" s="12" t="s">
        <v>4792</v>
      </c>
      <c r="W906" s="25">
        <f>COUNTIFS('Form Presensi SCC'!$B:$B, IF($C906&lt;&gt;0, TEXT($C906, "0000000000"), $D906), 'Form Presensi SCC'!$C:$C, "Hadir")</f>
        <v>0</v>
      </c>
      <c r="Y906" s="26"/>
    </row>
    <row r="907" ht="22.5" customHeight="1">
      <c r="A907" s="18">
        <v>555.0</v>
      </c>
      <c r="B907" s="31">
        <v>27.0</v>
      </c>
      <c r="C907" s="27" t="s">
        <v>4813</v>
      </c>
      <c r="D907" s="31" t="s">
        <v>4814</v>
      </c>
      <c r="E907" s="32" t="s">
        <v>220</v>
      </c>
      <c r="F907" s="12">
        <v>32.0</v>
      </c>
      <c r="G907" s="12" t="s">
        <v>4680</v>
      </c>
      <c r="H907" s="28"/>
      <c r="I907" s="20"/>
      <c r="J907" s="10"/>
      <c r="K907" s="10" t="s">
        <v>4680</v>
      </c>
      <c r="L907" s="10"/>
      <c r="M907" s="33"/>
      <c r="N907" s="34"/>
      <c r="O907" s="34"/>
      <c r="P907" s="12" t="str">
        <f t="shared" si="1"/>
        <v>https://docs.google.com/forms/d/e/1FAIpQLSeZ-R1GrWlAPkfaThGqxeTj0QTtrARw4rroxIIepf2kipn1nw/formResponse?usp=pp_url&amp;entry.1313582257=3083166460 / 242510344&amp;entry.1578404635=Hadir</v>
      </c>
      <c r="Q907" s="23" t="s">
        <v>4815</v>
      </c>
      <c r="R907" s="12" t="s">
        <v>4816</v>
      </c>
      <c r="S907" s="24" t="s">
        <v>4817</v>
      </c>
      <c r="T907" s="23" t="str">
        <f>HYPERLINK("https://drive.google.com/file/d/1npozqZkas4twhQfNIa2C6NR5mRZnUnKF/view?usp=drivesdk","32 - XI E-2 - Raufan Nabih Firmansyah")</f>
        <v>32 - XI E-2 - Raufan Nabih Firmansyah</v>
      </c>
      <c r="U907" s="12" t="s">
        <v>4792</v>
      </c>
      <c r="W907" s="25">
        <f>COUNTIFS('Form Presensi SCC'!$B:$B, IF($C907&lt;&gt;0, TEXT($C907, "0000000000"), $D907), 'Form Presensi SCC'!$C:$C, "Hadir")</f>
        <v>0</v>
      </c>
      <c r="Y907" s="26"/>
    </row>
    <row r="908" ht="22.5" customHeight="1">
      <c r="A908" s="18">
        <v>555.0</v>
      </c>
      <c r="B908" s="31">
        <v>28.0</v>
      </c>
      <c r="C908" s="27" t="s">
        <v>4818</v>
      </c>
      <c r="D908" s="31" t="s">
        <v>4819</v>
      </c>
      <c r="E908" s="32" t="s">
        <v>220</v>
      </c>
      <c r="F908" s="12">
        <v>32.0</v>
      </c>
      <c r="G908" s="12" t="s">
        <v>4680</v>
      </c>
      <c r="H908" s="28"/>
      <c r="I908" s="20"/>
      <c r="J908" s="10"/>
      <c r="K908" s="10" t="s">
        <v>4680</v>
      </c>
      <c r="L908" s="10"/>
      <c r="M908" s="33"/>
      <c r="N908" s="34"/>
      <c r="O908" s="34"/>
      <c r="P908" s="12" t="str">
        <f t="shared" si="1"/>
        <v>https://docs.google.com/forms/d/e/1FAIpQLSeZ-R1GrWlAPkfaThGqxeTj0QTtrARw4rroxIIepf2kipn1nw/formResponse?usp=pp_url&amp;entry.1313582257=3094789704 / 242510357&amp;entry.1578404635=Hadir</v>
      </c>
      <c r="Q908" s="23" t="s">
        <v>4820</v>
      </c>
      <c r="R908" s="12" t="s">
        <v>4821</v>
      </c>
      <c r="S908" s="24" t="s">
        <v>4822</v>
      </c>
      <c r="T908" s="23" t="str">
        <f>HYPERLINK("https://drive.google.com/file/d/1_ceCSLbSU8ZOprbi9XAUfkzru4GQ-18-/view?usp=drivesdk","32 - XI E-2 - Rizky Abdul Bashir Tuharea")</f>
        <v>32 - XI E-2 - Rizky Abdul Bashir Tuharea</v>
      </c>
      <c r="U908" s="12" t="s">
        <v>4792</v>
      </c>
      <c r="W908" s="25">
        <f>COUNTIFS('Form Presensi SCC'!$B:$B, IF($C908&lt;&gt;0, TEXT($C908, "0000000000"), $D908), 'Form Presensi SCC'!$C:$C, "Hadir")</f>
        <v>0</v>
      </c>
      <c r="Y908" s="26"/>
    </row>
    <row r="909" ht="22.5" customHeight="1">
      <c r="A909" s="18">
        <v>555.0</v>
      </c>
      <c r="B909" s="31">
        <v>29.0</v>
      </c>
      <c r="C909" s="27" t="s">
        <v>4823</v>
      </c>
      <c r="D909" s="31" t="s">
        <v>4824</v>
      </c>
      <c r="E909" s="32" t="s">
        <v>227</v>
      </c>
      <c r="F909" s="12">
        <v>32.0</v>
      </c>
      <c r="G909" s="12" t="s">
        <v>4680</v>
      </c>
      <c r="H909" s="28"/>
      <c r="I909" s="20"/>
      <c r="J909" s="10"/>
      <c r="K909" s="10" t="s">
        <v>4680</v>
      </c>
      <c r="L909" s="10"/>
      <c r="M909" s="33"/>
      <c r="N909" s="34"/>
      <c r="O909" s="34"/>
      <c r="P909" s="12" t="str">
        <f t="shared" si="1"/>
        <v>https://docs.google.com/forms/d/e/1FAIpQLSeZ-R1GrWlAPkfaThGqxeTj0QTtrARw4rroxIIepf2kipn1nw/formResponse?usp=pp_url&amp;entry.1313582257=0089336981 / 242510361&amp;entry.1578404635=Hadir</v>
      </c>
      <c r="Q909" s="23" t="s">
        <v>4825</v>
      </c>
      <c r="R909" s="12" t="s">
        <v>4826</v>
      </c>
      <c r="S909" s="24" t="s">
        <v>4827</v>
      </c>
      <c r="T909" s="23" t="str">
        <f>HYPERLINK("https://drive.google.com/file/d/1XwdfFRso5Fy3Rk1FZthGCZt9PT8IM8r3/view?usp=drivesdk","32 - XI E-2 - Sabrina Firdaus Zahratus Zakaria")</f>
        <v>32 - XI E-2 - Sabrina Firdaus Zahratus Zakaria</v>
      </c>
      <c r="U909" s="12" t="s">
        <v>4828</v>
      </c>
      <c r="W909" s="25">
        <f>COUNTIFS('Form Presensi SCC'!$B:$B, IF($C909&lt;&gt;0, TEXT($C909, "0000000000"), $D909), 'Form Presensi SCC'!$C:$C, "Hadir")</f>
        <v>0</v>
      </c>
      <c r="Y909" s="26"/>
    </row>
    <row r="910" ht="22.5" customHeight="1">
      <c r="A910" s="18">
        <v>555.0</v>
      </c>
      <c r="B910" s="31">
        <v>30.0</v>
      </c>
      <c r="C910" s="27" t="s">
        <v>4829</v>
      </c>
      <c r="D910" s="31" t="s">
        <v>4830</v>
      </c>
      <c r="E910" s="32" t="s">
        <v>227</v>
      </c>
      <c r="F910" s="12">
        <v>32.0</v>
      </c>
      <c r="G910" s="12" t="s">
        <v>4680</v>
      </c>
      <c r="H910" s="28"/>
      <c r="I910" s="20"/>
      <c r="J910" s="10"/>
      <c r="K910" s="10" t="s">
        <v>4680</v>
      </c>
      <c r="L910" s="10"/>
      <c r="M910" s="33"/>
      <c r="N910" s="34"/>
      <c r="O910" s="34"/>
      <c r="P910" s="12" t="str">
        <f t="shared" si="1"/>
        <v>https://docs.google.com/forms/d/e/1FAIpQLSeZ-R1GrWlAPkfaThGqxeTj0QTtrARw4rroxIIepf2kipn1nw/formResponse?usp=pp_url&amp;entry.1313582257=0093441573 / 242510381&amp;entry.1578404635=Hadir</v>
      </c>
      <c r="Q910" s="23" t="s">
        <v>4831</v>
      </c>
      <c r="R910" s="12" t="s">
        <v>4832</v>
      </c>
      <c r="S910" s="24" t="s">
        <v>4833</v>
      </c>
      <c r="T910" s="23" t="str">
        <f>HYPERLINK("https://drive.google.com/file/d/1mmIyJ9hVHxnv6kgcafA6neBiN9mMMSDe/view?usp=drivesdk","32 - XI E-2 - Shayang Camila Ahsanie")</f>
        <v>32 - XI E-2 - Shayang Camila Ahsanie</v>
      </c>
      <c r="U910" s="12" t="s">
        <v>4828</v>
      </c>
      <c r="W910" s="25">
        <f>COUNTIFS('Form Presensi SCC'!$B:$B, IF($C910&lt;&gt;0, TEXT($C910, "0000000000"), $D910), 'Form Presensi SCC'!$C:$C, "Hadir")</f>
        <v>0</v>
      </c>
      <c r="Y910" s="26"/>
    </row>
    <row r="911" ht="22.5" customHeight="1">
      <c r="A911" s="18">
        <v>555.0</v>
      </c>
      <c r="B911" s="31">
        <v>31.0</v>
      </c>
      <c r="C911" s="27" t="s">
        <v>4834</v>
      </c>
      <c r="D911" s="31" t="s">
        <v>4835</v>
      </c>
      <c r="E911" s="32" t="s">
        <v>227</v>
      </c>
      <c r="F911" s="12">
        <v>32.0</v>
      </c>
      <c r="G911" s="12" t="s">
        <v>4680</v>
      </c>
      <c r="H911" s="28"/>
      <c r="I911" s="20"/>
      <c r="J911" s="10"/>
      <c r="K911" s="10" t="s">
        <v>4680</v>
      </c>
      <c r="L911" s="10"/>
      <c r="M911" s="33"/>
      <c r="N911" s="34"/>
      <c r="O911" s="34"/>
      <c r="P911" s="12" t="str">
        <f t="shared" si="1"/>
        <v>https://docs.google.com/forms/d/e/1FAIpQLSeZ-R1GrWlAPkfaThGqxeTj0QTtrARw4rroxIIepf2kipn1nw/formResponse?usp=pp_url&amp;entry.1313582257=0089493881 / 242510384&amp;entry.1578404635=Hadir</v>
      </c>
      <c r="Q911" s="23" t="s">
        <v>4836</v>
      </c>
      <c r="R911" s="12" t="s">
        <v>4837</v>
      </c>
      <c r="S911" s="24" t="s">
        <v>4838</v>
      </c>
      <c r="T911" s="23" t="str">
        <f>HYPERLINK("https://drive.google.com/file/d/1O8XZch5De-dcFUu4hblGqQc98VTWtpjC/view?usp=drivesdk","32 - XI E-2 - Sila Nur Fauziah")</f>
        <v>32 - XI E-2 - Sila Nur Fauziah</v>
      </c>
      <c r="U911" s="12" t="s">
        <v>4828</v>
      </c>
      <c r="W911" s="25">
        <f>COUNTIFS('Form Presensi SCC'!$B:$B, IF($C911&lt;&gt;0, TEXT($C911, "0000000000"), $D911), 'Form Presensi SCC'!$C:$C, "Hadir")</f>
        <v>0</v>
      </c>
      <c r="Y911" s="26"/>
    </row>
    <row r="912" ht="22.5" customHeight="1">
      <c r="A912" s="18">
        <v>555.0</v>
      </c>
      <c r="B912" s="31">
        <v>32.0</v>
      </c>
      <c r="C912" s="27" t="s">
        <v>4839</v>
      </c>
      <c r="D912" s="31" t="s">
        <v>4840</v>
      </c>
      <c r="E912" s="32" t="s">
        <v>220</v>
      </c>
      <c r="F912" s="12">
        <v>32.0</v>
      </c>
      <c r="G912" s="12" t="s">
        <v>4680</v>
      </c>
      <c r="H912" s="28"/>
      <c r="I912" s="20"/>
      <c r="J912" s="10"/>
      <c r="K912" s="10" t="s">
        <v>4680</v>
      </c>
      <c r="L912" s="10"/>
      <c r="M912" s="33"/>
      <c r="N912" s="34"/>
      <c r="O912" s="34"/>
      <c r="P912" s="12" t="str">
        <f t="shared" si="1"/>
        <v>https://docs.google.com/forms/d/e/1FAIpQLSeZ-R1GrWlAPkfaThGqxeTj0QTtrARw4rroxIIepf2kipn1nw/formResponse?usp=pp_url&amp;entry.1313582257=0086778655 / 242510386&amp;entry.1578404635=Hadir</v>
      </c>
      <c r="Q912" s="23" t="s">
        <v>4841</v>
      </c>
      <c r="R912" s="12" t="s">
        <v>4842</v>
      </c>
      <c r="S912" s="24" t="s">
        <v>4843</v>
      </c>
      <c r="T912" s="23" t="str">
        <f>HYPERLINK("https://drive.google.com/file/d/11wHT5va58wnVSIZ2dR8EpVacfC_i-NhV/view?usp=drivesdk","32 - XI E-2 - Surya Rangga Wisuta")</f>
        <v>32 - XI E-2 - Surya Rangga Wisuta</v>
      </c>
      <c r="U912" s="12" t="s">
        <v>4828</v>
      </c>
      <c r="W912" s="25">
        <f>COUNTIFS('Form Presensi SCC'!$B:$B, IF($C912&lt;&gt;0, TEXT($C912, "0000000000"), $D912), 'Form Presensi SCC'!$C:$C, "Hadir")</f>
        <v>0</v>
      </c>
      <c r="Y912" s="26"/>
    </row>
    <row r="913" ht="22.5" customHeight="1">
      <c r="A913" s="18">
        <v>555.0</v>
      </c>
      <c r="B913" s="31">
        <v>33.0</v>
      </c>
      <c r="C913" s="27" t="s">
        <v>4844</v>
      </c>
      <c r="D913" s="31" t="s">
        <v>4845</v>
      </c>
      <c r="E913" s="32" t="s">
        <v>220</v>
      </c>
      <c r="F913" s="12">
        <v>32.0</v>
      </c>
      <c r="G913" s="12" t="s">
        <v>4680</v>
      </c>
      <c r="H913" s="28"/>
      <c r="I913" s="20"/>
      <c r="J913" s="10"/>
      <c r="K913" s="10" t="s">
        <v>4680</v>
      </c>
      <c r="L913" s="10"/>
      <c r="M913" s="33"/>
      <c r="N913" s="34"/>
      <c r="O913" s="34"/>
      <c r="P913" s="12" t="str">
        <f t="shared" si="1"/>
        <v>https://docs.google.com/forms/d/e/1FAIpQLSeZ-R1GrWlAPkfaThGqxeTj0QTtrARw4rroxIIepf2kipn1nw/formResponse?usp=pp_url&amp;entry.1313582257=0085904748 / 242510401&amp;entry.1578404635=Hadir</v>
      </c>
      <c r="Q913" s="23" t="s">
        <v>4846</v>
      </c>
      <c r="R913" s="12" t="s">
        <v>4847</v>
      </c>
      <c r="S913" s="24" t="s">
        <v>4848</v>
      </c>
      <c r="T913" s="23" t="str">
        <f>HYPERLINK("https://drive.google.com/file/d/1o7QVKAbXVp6shq89ucCgnqNgJk6MP2FK/view?usp=drivesdk","32 - XI E-2 - Tri Andika")</f>
        <v>32 - XI E-2 - Tri Andika</v>
      </c>
      <c r="U913" s="12" t="s">
        <v>4828</v>
      </c>
      <c r="W913" s="25">
        <f>COUNTIFS('Form Presensi SCC'!$B:$B, IF($C913&lt;&gt;0, TEXT($C913, "0000000000"), $D913), 'Form Presensi SCC'!$C:$C, "Hadir")</f>
        <v>0</v>
      </c>
      <c r="Y913" s="26"/>
    </row>
    <row r="914" ht="22.5" customHeight="1">
      <c r="A914" s="18">
        <v>555.0</v>
      </c>
      <c r="B914" s="31">
        <v>34.0</v>
      </c>
      <c r="C914" s="27" t="s">
        <v>4849</v>
      </c>
      <c r="D914" s="31" t="s">
        <v>4850</v>
      </c>
      <c r="E914" s="32" t="s">
        <v>220</v>
      </c>
      <c r="F914" s="12">
        <v>32.0</v>
      </c>
      <c r="G914" s="12" t="s">
        <v>4680</v>
      </c>
      <c r="H914" s="28"/>
      <c r="I914" s="20"/>
      <c r="J914" s="10"/>
      <c r="K914" s="10" t="s">
        <v>4680</v>
      </c>
      <c r="L914" s="10"/>
      <c r="M914" s="33"/>
      <c r="N914" s="34"/>
      <c r="O914" s="34"/>
      <c r="P914" s="12" t="str">
        <f t="shared" si="1"/>
        <v>https://docs.google.com/forms/d/e/1FAIpQLSeZ-R1GrWlAPkfaThGqxeTj0QTtrARw4rroxIIepf2kipn1nw/formResponse?usp=pp_url&amp;entry.1313582257=0084316906 / 242510413&amp;entry.1578404635=Hadir</v>
      </c>
      <c r="Q914" s="23" t="s">
        <v>4851</v>
      </c>
      <c r="R914" s="12" t="s">
        <v>4852</v>
      </c>
      <c r="S914" s="24" t="s">
        <v>4853</v>
      </c>
      <c r="T914" s="23" t="str">
        <f>HYPERLINK("https://drive.google.com/file/d/1L9nq1UOV7Zt-g-00eE9oxFpOWvD0pV7u/view?usp=drivesdk","32 - XI E-2 - Win Mahara Kuswanto")</f>
        <v>32 - XI E-2 - Win Mahara Kuswanto</v>
      </c>
      <c r="U914" s="12" t="s">
        <v>4828</v>
      </c>
      <c r="W914" s="25">
        <f>COUNTIFS('Form Presensi SCC'!$B:$B, IF($C914&lt;&gt;0, TEXT($C914, "0000000000"), $D914), 'Form Presensi SCC'!$C:$C, "Hadir")</f>
        <v>0</v>
      </c>
      <c r="Y914" s="26"/>
    </row>
    <row r="915" ht="22.5" customHeight="1">
      <c r="A915" s="18">
        <v>555.0</v>
      </c>
      <c r="B915" s="31">
        <v>35.0</v>
      </c>
      <c r="C915" s="27" t="s">
        <v>4854</v>
      </c>
      <c r="D915" s="31" t="s">
        <v>4855</v>
      </c>
      <c r="E915" s="32" t="s">
        <v>220</v>
      </c>
      <c r="F915" s="12">
        <v>32.0</v>
      </c>
      <c r="G915" s="12" t="s">
        <v>4680</v>
      </c>
      <c r="H915" s="28"/>
      <c r="I915" s="20"/>
      <c r="J915" s="10"/>
      <c r="K915" s="10" t="s">
        <v>4680</v>
      </c>
      <c r="L915" s="10"/>
      <c r="M915" s="33"/>
      <c r="N915" s="34"/>
      <c r="O915" s="34"/>
      <c r="P915" s="12" t="str">
        <f t="shared" si="1"/>
        <v>https://docs.google.com/forms/d/e/1FAIpQLSeZ-R1GrWlAPkfaThGqxeTj0QTtrARw4rroxIIepf2kipn1nw/formResponse?usp=pp_url&amp;entry.1313582257=0095848946 / 242510423&amp;entry.1578404635=Hadir</v>
      </c>
      <c r="Q915" s="23" t="s">
        <v>4856</v>
      </c>
      <c r="R915" s="12" t="s">
        <v>4857</v>
      </c>
      <c r="S915" s="24" t="s">
        <v>4858</v>
      </c>
      <c r="T915" s="23" t="str">
        <f>HYPERLINK("https://drive.google.com/file/d/1dAoDEqzaZfExYaDOV7V5ymsZIcFnJhP0/view?usp=drivesdk","32 - XI E-2 - Zaidan Alifahridho Koeswanto")</f>
        <v>32 - XI E-2 - Zaidan Alifahridho Koeswanto</v>
      </c>
      <c r="U915" s="12" t="s">
        <v>4828</v>
      </c>
      <c r="W915" s="25">
        <f>COUNTIFS('Form Presensi SCC'!$B:$B, IF($C915&lt;&gt;0, TEXT($C915, "0000000000"), $D915), 'Form Presensi SCC'!$C:$C, "Hadir")</f>
        <v>0</v>
      </c>
      <c r="Y915" s="26"/>
    </row>
    <row r="916" ht="22.5" customHeight="1">
      <c r="A916" s="18">
        <v>555.0</v>
      </c>
      <c r="B916" s="31">
        <v>36.0</v>
      </c>
      <c r="C916" s="27" t="s">
        <v>4859</v>
      </c>
      <c r="D916" s="31" t="s">
        <v>4860</v>
      </c>
      <c r="E916" s="32" t="s">
        <v>227</v>
      </c>
      <c r="F916" s="12">
        <v>32.0</v>
      </c>
      <c r="G916" s="12" t="s">
        <v>4680</v>
      </c>
      <c r="H916" s="28"/>
      <c r="I916" s="20"/>
      <c r="J916" s="10"/>
      <c r="K916" s="10" t="s">
        <v>4680</v>
      </c>
      <c r="L916" s="10"/>
      <c r="M916" s="33"/>
      <c r="N916" s="34"/>
      <c r="O916" s="34"/>
      <c r="P916" s="12" t="str">
        <f t="shared" si="1"/>
        <v>https://docs.google.com/forms/d/e/1FAIpQLSeZ-R1GrWlAPkfaThGqxeTj0QTtrARw4rroxIIepf2kipn1nw/formResponse?usp=pp_url&amp;entry.1313582257=0099880719 / 242510027&amp;entry.1578404635=Hadir</v>
      </c>
      <c r="Q916" s="23" t="s">
        <v>4861</v>
      </c>
      <c r="R916" s="12" t="s">
        <v>4862</v>
      </c>
      <c r="S916" s="24" t="s">
        <v>4863</v>
      </c>
      <c r="T916" s="23" t="str">
        <f>HYPERLINK("https://drive.google.com/file/d/1AzY6deimO49fOpQ30FLInDq_H624TJ0k/view?usp=drivesdk","32 - XI E-2 - Zihni Falih Safaras")</f>
        <v>32 - XI E-2 - Zihni Falih Safaras</v>
      </c>
      <c r="U916" s="12" t="s">
        <v>4864</v>
      </c>
      <c r="W916" s="25">
        <f>COUNTIFS('Form Presensi SCC'!$B:$B, IF($C916&lt;&gt;0, TEXT($C916, "0000000000"), $D916), 'Form Presensi SCC'!$C:$C, "Hadir")</f>
        <v>0</v>
      </c>
      <c r="Y916" s="26"/>
    </row>
    <row r="917" ht="22.5" customHeight="1">
      <c r="A917" s="18">
        <v>555.0</v>
      </c>
      <c r="B917" s="31">
        <v>1.0</v>
      </c>
      <c r="C917" s="27" t="s">
        <v>4865</v>
      </c>
      <c r="D917" s="31" t="s">
        <v>4866</v>
      </c>
      <c r="E917" s="32" t="s">
        <v>220</v>
      </c>
      <c r="F917" s="12">
        <v>32.0</v>
      </c>
      <c r="G917" s="12" t="s">
        <v>4867</v>
      </c>
      <c r="H917" s="28"/>
      <c r="I917" s="20"/>
      <c r="J917" s="10"/>
      <c r="K917" s="10" t="s">
        <v>4867</v>
      </c>
      <c r="L917" s="10"/>
      <c r="M917" s="33"/>
      <c r="N917" s="34"/>
      <c r="O917" s="34"/>
      <c r="P917" s="12" t="str">
        <f t="shared" si="1"/>
        <v>https://docs.google.com/forms/d/e/1FAIpQLSeZ-R1GrWlAPkfaThGqxeTj0QTtrARw4rroxIIepf2kipn1nw/formResponse?usp=pp_url&amp;entry.1313582257=0099988861 / 242510021&amp;entry.1578404635=Hadir</v>
      </c>
      <c r="Q917" s="23" t="s">
        <v>4868</v>
      </c>
      <c r="R917" s="12" t="s">
        <v>4869</v>
      </c>
      <c r="S917" s="24" t="s">
        <v>4870</v>
      </c>
      <c r="T917" s="23" t="str">
        <f>HYPERLINK("https://drive.google.com/file/d/1agzcuFCnNvSano4V6Qrt2LurBPyxCz36/view?usp=drivesdk","32 - XI F-1 - Aldy Pratama")</f>
        <v>32 - XI F-1 - Aldy Pratama</v>
      </c>
      <c r="U917" s="12" t="s">
        <v>4864</v>
      </c>
      <c r="W917" s="25">
        <f>COUNTIFS('Form Presensi SCC'!$B:$B, IF($C917&lt;&gt;0, TEXT($C917, "0000000000"), $D917), 'Form Presensi SCC'!$C:$C, "Hadir")</f>
        <v>0</v>
      </c>
      <c r="Y917" s="26"/>
    </row>
    <row r="918" ht="22.5" customHeight="1">
      <c r="A918" s="18">
        <v>555.0</v>
      </c>
      <c r="B918" s="31">
        <v>2.0</v>
      </c>
      <c r="C918" s="27" t="s">
        <v>4871</v>
      </c>
      <c r="D918" s="31" t="s">
        <v>4872</v>
      </c>
      <c r="E918" s="32" t="s">
        <v>227</v>
      </c>
      <c r="F918" s="12">
        <v>32.0</v>
      </c>
      <c r="G918" s="12" t="s">
        <v>4867</v>
      </c>
      <c r="H918" s="28"/>
      <c r="I918" s="20"/>
      <c r="J918" s="10"/>
      <c r="K918" s="10" t="s">
        <v>4867</v>
      </c>
      <c r="L918" s="10"/>
      <c r="M918" s="33"/>
      <c r="N918" s="34"/>
      <c r="O918" s="34"/>
      <c r="P918" s="12" t="str">
        <f t="shared" si="1"/>
        <v>https://docs.google.com/forms/d/e/1FAIpQLSeZ-R1GrWlAPkfaThGqxeTj0QTtrARw4rroxIIepf2kipn1nw/formResponse?usp=pp_url&amp;entry.1313582257=0082151570 / 242510026&amp;entry.1578404635=Hadir</v>
      </c>
      <c r="Q918" s="23" t="s">
        <v>4873</v>
      </c>
      <c r="R918" s="12" t="s">
        <v>4874</v>
      </c>
      <c r="S918" s="24" t="s">
        <v>4875</v>
      </c>
      <c r="T918" s="23" t="str">
        <f>HYPERLINK("https://drive.google.com/file/d/11ARIZilfHrpcHe2efPojTD92-cins_fq/view?usp=drivesdk","32 - XI F-1 - Alifia Radya Pramesti")</f>
        <v>32 - XI F-1 - Alifia Radya Pramesti</v>
      </c>
      <c r="U918" s="12" t="s">
        <v>4864</v>
      </c>
      <c r="W918" s="25">
        <f>COUNTIFS('Form Presensi SCC'!$B:$B, IF($C918&lt;&gt;0, TEXT($C918, "0000000000"), $D918), 'Form Presensi SCC'!$C:$C, "Hadir")</f>
        <v>0</v>
      </c>
      <c r="Y918" s="26"/>
    </row>
    <row r="919" ht="22.5" customHeight="1">
      <c r="A919" s="18">
        <v>555.0</v>
      </c>
      <c r="B919" s="31">
        <v>3.0</v>
      </c>
      <c r="C919" s="27" t="s">
        <v>4876</v>
      </c>
      <c r="D919" s="31" t="s">
        <v>4877</v>
      </c>
      <c r="E919" s="32" t="s">
        <v>227</v>
      </c>
      <c r="F919" s="12">
        <v>32.0</v>
      </c>
      <c r="G919" s="12" t="s">
        <v>4867</v>
      </c>
      <c r="H919" s="28"/>
      <c r="I919" s="20"/>
      <c r="J919" s="10"/>
      <c r="K919" s="10" t="s">
        <v>4867</v>
      </c>
      <c r="L919" s="10"/>
      <c r="M919" s="33"/>
      <c r="N919" s="34"/>
      <c r="O919" s="34"/>
      <c r="P919" s="12" t="str">
        <f t="shared" si="1"/>
        <v>https://docs.google.com/forms/d/e/1FAIpQLSeZ-R1GrWlAPkfaThGqxeTj0QTtrARw4rroxIIepf2kipn1nw/formResponse?usp=pp_url&amp;entry.1313582257=0087588818 / 242510050&amp;entry.1578404635=Hadir</v>
      </c>
      <c r="Q919" s="23" t="s">
        <v>4878</v>
      </c>
      <c r="R919" s="12" t="s">
        <v>4879</v>
      </c>
      <c r="S919" s="24" t="s">
        <v>4880</v>
      </c>
      <c r="T919" s="23" t="str">
        <f>HYPERLINK("https://drive.google.com/file/d/1jLOvXkvOYCrnd5d9pa803NW9D0ffoaxR/view?usp=drivesdk","32 - XI F-1 - Anneira Hendryto")</f>
        <v>32 - XI F-1 - Anneira Hendryto</v>
      </c>
      <c r="U919" s="12" t="s">
        <v>4864</v>
      </c>
      <c r="W919" s="25">
        <f>COUNTIFS('Form Presensi SCC'!$B:$B, IF($C919&lt;&gt;0, TEXT($C919, "0000000000"), $D919), 'Form Presensi SCC'!$C:$C, "Hadir")</f>
        <v>0</v>
      </c>
      <c r="Y919" s="26"/>
    </row>
    <row r="920" ht="22.5" customHeight="1">
      <c r="A920" s="18">
        <v>555.0</v>
      </c>
      <c r="B920" s="31">
        <v>4.0</v>
      </c>
      <c r="C920" s="27" t="s">
        <v>4881</v>
      </c>
      <c r="D920" s="31" t="s">
        <v>4882</v>
      </c>
      <c r="E920" s="32" t="s">
        <v>227</v>
      </c>
      <c r="F920" s="12">
        <v>32.0</v>
      </c>
      <c r="G920" s="12" t="s">
        <v>4867</v>
      </c>
      <c r="H920" s="28"/>
      <c r="I920" s="20"/>
      <c r="J920" s="10"/>
      <c r="K920" s="10" t="s">
        <v>4867</v>
      </c>
      <c r="L920" s="10"/>
      <c r="M920" s="33"/>
      <c r="N920" s="34"/>
      <c r="O920" s="34"/>
      <c r="P920" s="12" t="str">
        <f t="shared" si="1"/>
        <v>https://docs.google.com/forms/d/e/1FAIpQLSeZ-R1GrWlAPkfaThGqxeTj0QTtrARw4rroxIIepf2kipn1nw/formResponse?usp=pp_url&amp;entry.1313582257=2093857917 / 242510061&amp;entry.1578404635=Hadir</v>
      </c>
      <c r="Q920" s="23" t="s">
        <v>4883</v>
      </c>
      <c r="R920" s="12" t="s">
        <v>4884</v>
      </c>
      <c r="S920" s="24" t="s">
        <v>4885</v>
      </c>
      <c r="T920" s="23" t="str">
        <f>HYPERLINK("https://drive.google.com/file/d/1c-YPr45pVmjMK-wP-hYzfd2NswXTSXmD/view?usp=drivesdk","32 - XI F-1 - Asri Fatima Azzahra")</f>
        <v>32 - XI F-1 - Asri Fatima Azzahra</v>
      </c>
      <c r="U920" s="12" t="s">
        <v>4864</v>
      </c>
      <c r="W920" s="25">
        <f>COUNTIFS('Form Presensi SCC'!$B:$B, IF($C920&lt;&gt;0, TEXT($C920, "0000000000"), $D920), 'Form Presensi SCC'!$C:$C, "Hadir")</f>
        <v>0</v>
      </c>
      <c r="Y920" s="26"/>
    </row>
    <row r="921" ht="22.5" customHeight="1">
      <c r="A921" s="18">
        <v>555.0</v>
      </c>
      <c r="B921" s="31">
        <v>5.0</v>
      </c>
      <c r="C921" s="27" t="s">
        <v>4886</v>
      </c>
      <c r="D921" s="31" t="s">
        <v>4887</v>
      </c>
      <c r="E921" s="32" t="s">
        <v>227</v>
      </c>
      <c r="F921" s="12">
        <v>32.0</v>
      </c>
      <c r="G921" s="12" t="s">
        <v>4867</v>
      </c>
      <c r="H921" s="28"/>
      <c r="I921" s="20"/>
      <c r="J921" s="10"/>
      <c r="K921" s="10" t="s">
        <v>4867</v>
      </c>
      <c r="L921" s="10"/>
      <c r="M921" s="33"/>
      <c r="N921" s="34"/>
      <c r="O921" s="34"/>
      <c r="P921" s="12" t="str">
        <f t="shared" si="1"/>
        <v>https://docs.google.com/forms/d/e/1FAIpQLSeZ-R1GrWlAPkfaThGqxeTj0QTtrARw4rroxIIepf2kipn1nw/formResponse?usp=pp_url&amp;entry.1313582257=0087522984 / 252611569&amp;entry.1578404635=Hadir</v>
      </c>
      <c r="Q921" s="23" t="s">
        <v>4888</v>
      </c>
      <c r="R921" s="12" t="s">
        <v>4889</v>
      </c>
      <c r="S921" s="24" t="s">
        <v>4890</v>
      </c>
      <c r="T921" s="23" t="str">
        <f>HYPERLINK("https://drive.google.com/file/d/1vvcoZ6kqmNqEO5_K7oe0QBg0SBxz5TAI/view?usp=drivesdk","32 - XI F-1 - Audi Nur Chantika Putri")</f>
        <v>32 - XI F-1 - Audi Nur Chantika Putri</v>
      </c>
      <c r="U921" s="12" t="s">
        <v>4864</v>
      </c>
      <c r="W921" s="25">
        <f>COUNTIFS('Form Presensi SCC'!$B:$B, IF($C921&lt;&gt;0, TEXT($C921, "0000000000"), $D921), 'Form Presensi SCC'!$C:$C, "Hadir")</f>
        <v>0</v>
      </c>
      <c r="Y921" s="26"/>
    </row>
    <row r="922" ht="22.5" customHeight="1">
      <c r="A922" s="18">
        <v>555.0</v>
      </c>
      <c r="B922" s="31">
        <v>6.0</v>
      </c>
      <c r="C922" s="27" t="s">
        <v>4891</v>
      </c>
      <c r="D922" s="31" t="s">
        <v>4892</v>
      </c>
      <c r="E922" s="32" t="s">
        <v>220</v>
      </c>
      <c r="F922" s="12">
        <v>32.0</v>
      </c>
      <c r="G922" s="12" t="s">
        <v>4867</v>
      </c>
      <c r="H922" s="28"/>
      <c r="I922" s="20"/>
      <c r="J922" s="10"/>
      <c r="K922" s="10" t="s">
        <v>4867</v>
      </c>
      <c r="L922" s="10"/>
      <c r="M922" s="33"/>
      <c r="N922" s="34"/>
      <c r="O922" s="34"/>
      <c r="P922" s="12" t="str">
        <f t="shared" si="1"/>
        <v>https://docs.google.com/forms/d/e/1FAIpQLSeZ-R1GrWlAPkfaThGqxeTj0QTtrARw4rroxIIepf2kipn1nw/formResponse?usp=pp_url&amp;entry.1313582257=0091072005 / 242510080&amp;entry.1578404635=Hadir</v>
      </c>
      <c r="Q922" s="23" t="s">
        <v>4893</v>
      </c>
      <c r="R922" s="12" t="s">
        <v>4894</v>
      </c>
      <c r="S922" s="24" t="s">
        <v>4895</v>
      </c>
      <c r="T922" s="23" t="str">
        <f>HYPERLINK("https://drive.google.com/file/d/1_1mI_RAKWed27wY008oyqlhXFVUqlGaN/view?usp=drivesdk","32 - XI F-1 - Bagus Sugiharto")</f>
        <v>32 - XI F-1 - Bagus Sugiharto</v>
      </c>
      <c r="U922" s="12" t="s">
        <v>4864</v>
      </c>
      <c r="W922" s="25">
        <f>COUNTIFS('Form Presensi SCC'!$B:$B, IF($C922&lt;&gt;0, TEXT($C922, "0000000000"), $D922), 'Form Presensi SCC'!$C:$C, "Hadir")</f>
        <v>0</v>
      </c>
      <c r="Y922" s="26"/>
    </row>
    <row r="923" ht="22.5" customHeight="1">
      <c r="A923" s="18">
        <v>555.0</v>
      </c>
      <c r="B923" s="31">
        <v>7.0</v>
      </c>
      <c r="C923" s="27" t="s">
        <v>4896</v>
      </c>
      <c r="D923" s="31" t="s">
        <v>4897</v>
      </c>
      <c r="E923" s="32" t="s">
        <v>227</v>
      </c>
      <c r="F923" s="12">
        <v>32.0</v>
      </c>
      <c r="G923" s="12" t="s">
        <v>4867</v>
      </c>
      <c r="H923" s="28"/>
      <c r="I923" s="20"/>
      <c r="J923" s="10"/>
      <c r="K923" s="10" t="s">
        <v>4867</v>
      </c>
      <c r="L923" s="10"/>
      <c r="M923" s="33"/>
      <c r="N923" s="34"/>
      <c r="O923" s="34"/>
      <c r="P923" s="12" t="str">
        <f t="shared" si="1"/>
        <v>https://docs.google.com/forms/d/e/1FAIpQLSeZ-R1GrWlAPkfaThGqxeTj0QTtrARw4rroxIIepf2kipn1nw/formResponse?usp=pp_url&amp;entry.1313582257=0093123066 / 242510105&amp;entry.1578404635=Hadir</v>
      </c>
      <c r="Q923" s="23" t="s">
        <v>4898</v>
      </c>
      <c r="R923" s="12" t="s">
        <v>4899</v>
      </c>
      <c r="S923" s="24" t="s">
        <v>4900</v>
      </c>
      <c r="T923" s="23" t="str">
        <f>HYPERLINK("https://drive.google.com/file/d/1QXiG45vR5FJ2817lQ4GNlifb7cTG7yof/view?usp=drivesdk","32 - XI F-1 - Della Widya Wati")</f>
        <v>32 - XI F-1 - Della Widya Wati</v>
      </c>
      <c r="U923" s="12" t="s">
        <v>4864</v>
      </c>
      <c r="W923" s="25">
        <f>COUNTIFS('Form Presensi SCC'!$B:$B, IF($C923&lt;&gt;0, TEXT($C923, "0000000000"), $D923), 'Form Presensi SCC'!$C:$C, "Hadir")</f>
        <v>0</v>
      </c>
      <c r="Y923" s="26"/>
    </row>
    <row r="924" ht="22.5" customHeight="1">
      <c r="A924" s="18">
        <v>555.0</v>
      </c>
      <c r="B924" s="31">
        <v>8.0</v>
      </c>
      <c r="C924" s="27" t="s">
        <v>4901</v>
      </c>
      <c r="D924" s="31" t="s">
        <v>4902</v>
      </c>
      <c r="E924" s="32" t="s">
        <v>227</v>
      </c>
      <c r="F924" s="12">
        <v>32.0</v>
      </c>
      <c r="G924" s="12" t="s">
        <v>4867</v>
      </c>
      <c r="H924" s="28"/>
      <c r="I924" s="20"/>
      <c r="J924" s="10"/>
      <c r="K924" s="10" t="s">
        <v>4867</v>
      </c>
      <c r="L924" s="10"/>
      <c r="M924" s="33"/>
      <c r="N924" s="34"/>
      <c r="O924" s="34"/>
      <c r="P924" s="12" t="str">
        <f t="shared" si="1"/>
        <v>https://docs.google.com/forms/d/e/1FAIpQLSeZ-R1GrWlAPkfaThGqxeTj0QTtrARw4rroxIIepf2kipn1nw/formResponse?usp=pp_url&amp;entry.1313582257=0097482971 / 242510118&amp;entry.1578404635=Hadir</v>
      </c>
      <c r="Q924" s="23" t="s">
        <v>4903</v>
      </c>
      <c r="R924" s="12" t="s">
        <v>4904</v>
      </c>
      <c r="S924" s="24" t="s">
        <v>4905</v>
      </c>
      <c r="T924" s="23" t="str">
        <f>HYPERLINK("https://drive.google.com/file/d/1Rw9VqDaaLMpJbb-jBtKwtOmK_3UzFpjn/view?usp=drivesdk","32 - XI F-1 - Dzakira Aftani Herdianto")</f>
        <v>32 - XI F-1 - Dzakira Aftani Herdianto</v>
      </c>
      <c r="U924" s="12" t="s">
        <v>4906</v>
      </c>
      <c r="W924" s="25">
        <f>COUNTIFS('Form Presensi SCC'!$B:$B, IF($C924&lt;&gt;0, TEXT($C924, "0000000000"), $D924), 'Form Presensi SCC'!$C:$C, "Hadir")</f>
        <v>0</v>
      </c>
      <c r="Y924" s="26"/>
    </row>
    <row r="925" ht="22.5" customHeight="1">
      <c r="A925" s="18">
        <v>555.0</v>
      </c>
      <c r="B925" s="31">
        <v>9.0</v>
      </c>
      <c r="C925" s="27" t="s">
        <v>4907</v>
      </c>
      <c r="D925" s="31" t="s">
        <v>4908</v>
      </c>
      <c r="E925" s="32" t="s">
        <v>227</v>
      </c>
      <c r="F925" s="12">
        <v>32.0</v>
      </c>
      <c r="G925" s="12" t="s">
        <v>4867</v>
      </c>
      <c r="H925" s="28"/>
      <c r="I925" s="20"/>
      <c r="J925" s="10"/>
      <c r="K925" s="10" t="s">
        <v>4867</v>
      </c>
      <c r="L925" s="10"/>
      <c r="M925" s="33"/>
      <c r="N925" s="34"/>
      <c r="O925" s="34"/>
      <c r="P925" s="12" t="str">
        <f t="shared" si="1"/>
        <v>https://docs.google.com/forms/d/e/1FAIpQLSeZ-R1GrWlAPkfaThGqxeTj0QTtrARw4rroxIIepf2kipn1nw/formResponse?usp=pp_url&amp;entry.1313582257=0087551985 / 242510122&amp;entry.1578404635=Hadir</v>
      </c>
      <c r="Q925" s="23" t="s">
        <v>4909</v>
      </c>
      <c r="R925" s="12" t="s">
        <v>4910</v>
      </c>
      <c r="S925" s="24" t="s">
        <v>4911</v>
      </c>
      <c r="T925" s="23" t="str">
        <f>HYPERLINK("https://drive.google.com/file/d/1BmvNqYhZXOkO0LRIYN_gnYUVhw4ACC1v/view?usp=drivesdk","32 - XI F-1 - Elsamonic")</f>
        <v>32 - XI F-1 - Elsamonic</v>
      </c>
      <c r="U925" s="12" t="s">
        <v>4906</v>
      </c>
      <c r="W925" s="25">
        <f>COUNTIFS('Form Presensi SCC'!$B:$B, IF($C925&lt;&gt;0, TEXT($C925, "0000000000"), $D925), 'Form Presensi SCC'!$C:$C, "Hadir")</f>
        <v>0</v>
      </c>
      <c r="Y925" s="26"/>
    </row>
    <row r="926" ht="22.5" customHeight="1">
      <c r="A926" s="18">
        <v>555.0</v>
      </c>
      <c r="B926" s="31">
        <v>10.0</v>
      </c>
      <c r="C926" s="27" t="s">
        <v>4912</v>
      </c>
      <c r="D926" s="31" t="s">
        <v>4913</v>
      </c>
      <c r="E926" s="32" t="s">
        <v>227</v>
      </c>
      <c r="F926" s="12">
        <v>32.0</v>
      </c>
      <c r="G926" s="12" t="s">
        <v>4867</v>
      </c>
      <c r="H926" s="28"/>
      <c r="I926" s="20"/>
      <c r="J926" s="10"/>
      <c r="K926" s="10" t="s">
        <v>4867</v>
      </c>
      <c r="L926" s="10"/>
      <c r="M926" s="33"/>
      <c r="N926" s="34"/>
      <c r="O926" s="34"/>
      <c r="P926" s="12" t="str">
        <f t="shared" si="1"/>
        <v>https://docs.google.com/forms/d/e/1FAIpQLSeZ-R1GrWlAPkfaThGqxeTj0QTtrARw4rroxIIepf2kipn1nw/formResponse?usp=pp_url&amp;entry.1313582257=0095657957 / 242510132&amp;entry.1578404635=Hadir</v>
      </c>
      <c r="Q926" s="23" t="s">
        <v>4914</v>
      </c>
      <c r="R926" s="12" t="s">
        <v>4915</v>
      </c>
      <c r="S926" s="24" t="s">
        <v>4916</v>
      </c>
      <c r="T926" s="23" t="str">
        <f>HYPERLINK("https://drive.google.com/file/d/1_8scni_Wrvao_HTdOJaFTyTTqokr-2Ty/view?usp=drivesdk","32 - XI F-1 - Faiza Ramadhani")</f>
        <v>32 - XI F-1 - Faiza Ramadhani</v>
      </c>
      <c r="U926" s="12" t="s">
        <v>4906</v>
      </c>
      <c r="W926" s="25">
        <f>COUNTIFS('Form Presensi SCC'!$B:$B, IF($C926&lt;&gt;0, TEXT($C926, "0000000000"), $D926), 'Form Presensi SCC'!$C:$C, "Hadir")</f>
        <v>0</v>
      </c>
      <c r="Y926" s="26"/>
    </row>
    <row r="927" ht="22.5" customHeight="1">
      <c r="A927" s="18">
        <v>555.0</v>
      </c>
      <c r="B927" s="31">
        <v>11.0</v>
      </c>
      <c r="C927" s="27" t="s">
        <v>4917</v>
      </c>
      <c r="D927" s="31" t="s">
        <v>4918</v>
      </c>
      <c r="E927" s="32" t="s">
        <v>220</v>
      </c>
      <c r="F927" s="12">
        <v>32.0</v>
      </c>
      <c r="G927" s="12" t="s">
        <v>4867</v>
      </c>
      <c r="H927" s="28"/>
      <c r="I927" s="20"/>
      <c r="J927" s="10"/>
      <c r="K927" s="10" t="s">
        <v>4867</v>
      </c>
      <c r="L927" s="10"/>
      <c r="M927" s="33"/>
      <c r="N927" s="34"/>
      <c r="O927" s="34"/>
      <c r="P927" s="12" t="str">
        <f t="shared" si="1"/>
        <v>https://docs.google.com/forms/d/e/1FAIpQLSeZ-R1GrWlAPkfaThGqxeTj0QTtrARw4rroxIIepf2kipn1nw/formResponse?usp=pp_url&amp;entry.1313582257=0083924202 / 242510139&amp;entry.1578404635=Hadir</v>
      </c>
      <c r="Q927" s="23" t="s">
        <v>4919</v>
      </c>
      <c r="R927" s="12" t="s">
        <v>4920</v>
      </c>
      <c r="S927" s="24" t="s">
        <v>4921</v>
      </c>
      <c r="T927" s="23" t="str">
        <f>HYPERLINK("https://drive.google.com/file/d/1Bc9JXbImC-ruNCzsEnu4GZ5NWWlkLS9g/view?usp=drivesdk","32 - XI F-1 - Fauzan Nur Haidar")</f>
        <v>32 - XI F-1 - Fauzan Nur Haidar</v>
      </c>
      <c r="U927" s="12" t="s">
        <v>4906</v>
      </c>
      <c r="W927" s="25">
        <f>COUNTIFS('Form Presensi SCC'!$B:$B, IF($C927&lt;&gt;0, TEXT($C927, "0000000000"), $D927), 'Form Presensi SCC'!$C:$C, "Hadir")</f>
        <v>0</v>
      </c>
      <c r="Y927" s="26"/>
    </row>
    <row r="928" ht="22.5" customHeight="1">
      <c r="A928" s="18">
        <v>555.0</v>
      </c>
      <c r="B928" s="31">
        <v>12.0</v>
      </c>
      <c r="C928" s="27" t="s">
        <v>4922</v>
      </c>
      <c r="D928" s="31" t="s">
        <v>4923</v>
      </c>
      <c r="E928" s="32" t="s">
        <v>227</v>
      </c>
      <c r="F928" s="12">
        <v>32.0</v>
      </c>
      <c r="G928" s="12" t="s">
        <v>4867</v>
      </c>
      <c r="H928" s="28"/>
      <c r="I928" s="20"/>
      <c r="J928" s="10"/>
      <c r="K928" s="10" t="s">
        <v>4867</v>
      </c>
      <c r="L928" s="10"/>
      <c r="M928" s="33"/>
      <c r="N928" s="34"/>
      <c r="O928" s="34"/>
      <c r="P928" s="12" t="str">
        <f t="shared" si="1"/>
        <v>https://docs.google.com/forms/d/e/1FAIpQLSeZ-R1GrWlAPkfaThGqxeTj0QTtrARw4rroxIIepf2kipn1nw/formResponse?usp=pp_url&amp;entry.1313582257=0082690807 / 242510140&amp;entry.1578404635=Hadir</v>
      </c>
      <c r="Q928" s="23" t="s">
        <v>4924</v>
      </c>
      <c r="R928" s="12" t="s">
        <v>4925</v>
      </c>
      <c r="S928" s="24" t="s">
        <v>4926</v>
      </c>
      <c r="T928" s="23" t="str">
        <f>HYPERLINK("https://drive.google.com/file/d/1c4eMZaOvETAjm8HkOCu2MB-B8zBuJ7mR/view?usp=drivesdk","32 - XI F-1 - Faza Azima Waalidaen")</f>
        <v>32 - XI F-1 - Faza Azima Waalidaen</v>
      </c>
      <c r="U928" s="12" t="s">
        <v>4906</v>
      </c>
      <c r="W928" s="25">
        <f>COUNTIFS('Form Presensi SCC'!$B:$B, IF($C928&lt;&gt;0, TEXT($C928, "0000000000"), $D928), 'Form Presensi SCC'!$C:$C, "Hadir")</f>
        <v>0</v>
      </c>
      <c r="Y928" s="26"/>
    </row>
    <row r="929" ht="22.5" customHeight="1">
      <c r="A929" s="18">
        <v>555.0</v>
      </c>
      <c r="B929" s="31">
        <v>13.0</v>
      </c>
      <c r="C929" s="27" t="s">
        <v>4927</v>
      </c>
      <c r="D929" s="31" t="s">
        <v>4928</v>
      </c>
      <c r="E929" s="32" t="s">
        <v>220</v>
      </c>
      <c r="F929" s="12">
        <v>32.0</v>
      </c>
      <c r="G929" s="12" t="s">
        <v>4867</v>
      </c>
      <c r="H929" s="28"/>
      <c r="I929" s="20"/>
      <c r="J929" s="10"/>
      <c r="K929" s="10" t="s">
        <v>4867</v>
      </c>
      <c r="L929" s="10"/>
      <c r="M929" s="33"/>
      <c r="N929" s="34"/>
      <c r="O929" s="34"/>
      <c r="P929" s="12" t="str">
        <f t="shared" si="1"/>
        <v>https://docs.google.com/forms/d/e/1FAIpQLSeZ-R1GrWlAPkfaThGqxeTj0QTtrARw4rroxIIepf2kipn1nw/formResponse?usp=pp_url&amp;entry.1313582257=0082256467 / 242510145&amp;entry.1578404635=Hadir</v>
      </c>
      <c r="Q929" s="23" t="s">
        <v>4929</v>
      </c>
      <c r="R929" s="12" t="s">
        <v>4930</v>
      </c>
      <c r="S929" s="24" t="s">
        <v>4931</v>
      </c>
      <c r="T929" s="23" t="str">
        <f>HYPERLINK("https://drive.google.com/file/d/1LQeaF3isc4ctz26A9GhmyDnFmwgNRENr/view?usp=drivesdk","32 - XI F-1 - Firas Rizqy Wicaksono")</f>
        <v>32 - XI F-1 - Firas Rizqy Wicaksono</v>
      </c>
      <c r="U929" s="12" t="s">
        <v>4906</v>
      </c>
      <c r="W929" s="25">
        <f>COUNTIFS('Form Presensi SCC'!$B:$B, IF($C929&lt;&gt;0, TEXT($C929, "0000000000"), $D929), 'Form Presensi SCC'!$C:$C, "Hadir")</f>
        <v>0</v>
      </c>
      <c r="Y929" s="26"/>
    </row>
    <row r="930" ht="22.5" customHeight="1">
      <c r="A930" s="18">
        <v>555.0</v>
      </c>
      <c r="B930" s="31">
        <v>14.0</v>
      </c>
      <c r="C930" s="27" t="s">
        <v>4932</v>
      </c>
      <c r="D930" s="31" t="s">
        <v>4933</v>
      </c>
      <c r="E930" s="32" t="s">
        <v>227</v>
      </c>
      <c r="F930" s="12">
        <v>32.0</v>
      </c>
      <c r="G930" s="12" t="s">
        <v>4867</v>
      </c>
      <c r="H930" s="28"/>
      <c r="I930" s="20"/>
      <c r="J930" s="10"/>
      <c r="K930" s="10" t="s">
        <v>4867</v>
      </c>
      <c r="L930" s="10"/>
      <c r="M930" s="35"/>
      <c r="N930" s="34"/>
      <c r="O930" s="34"/>
      <c r="P930" s="12" t="str">
        <f t="shared" si="1"/>
        <v>https://docs.google.com/forms/d/e/1FAIpQLSeZ-R1GrWlAPkfaThGqxeTj0QTtrARw4rroxIIepf2kipn1nw/formResponse?usp=pp_url&amp;entry.1313582257=0087408326 / 242510149&amp;entry.1578404635=Hadir</v>
      </c>
      <c r="Q930" s="23" t="s">
        <v>4934</v>
      </c>
      <c r="R930" s="12" t="s">
        <v>4935</v>
      </c>
      <c r="S930" s="24" t="s">
        <v>4936</v>
      </c>
      <c r="T930" s="23" t="str">
        <f>HYPERLINK("https://drive.google.com/file/d/1Igca4fHv4A-hUmH7qQryTTZn906MUYkp/view?usp=drivesdk","32 - XI F-1 - Gede Aira Sagita Putri Ksy")</f>
        <v>32 - XI F-1 - Gede Aira Sagita Putri Ksy</v>
      </c>
      <c r="U930" s="12" t="s">
        <v>4906</v>
      </c>
      <c r="W930" s="25">
        <f>COUNTIFS('Form Presensi SCC'!$B:$B, IF($C930&lt;&gt;0, TEXT($C930, "0000000000"), $D930), 'Form Presensi SCC'!$C:$C, "Hadir")</f>
        <v>0</v>
      </c>
      <c r="Y930" s="26"/>
    </row>
    <row r="931" ht="22.5" customHeight="1">
      <c r="A931" s="18">
        <v>555.0</v>
      </c>
      <c r="B931" s="31">
        <v>15.0</v>
      </c>
      <c r="C931" s="27" t="s">
        <v>4937</v>
      </c>
      <c r="D931" s="31" t="s">
        <v>4938</v>
      </c>
      <c r="E931" s="32" t="s">
        <v>227</v>
      </c>
      <c r="F931" s="12">
        <v>32.0</v>
      </c>
      <c r="G931" s="12" t="s">
        <v>4867</v>
      </c>
      <c r="H931" s="28"/>
      <c r="I931" s="20"/>
      <c r="J931" s="10"/>
      <c r="K931" s="10" t="s">
        <v>4867</v>
      </c>
      <c r="L931" s="10"/>
      <c r="M931" s="33"/>
      <c r="N931" s="34"/>
      <c r="O931" s="34"/>
      <c r="P931" s="12" t="str">
        <f t="shared" si="1"/>
        <v>https://docs.google.com/forms/d/e/1FAIpQLSeZ-R1GrWlAPkfaThGqxeTj0QTtrARw4rroxIIepf2kipn1nw/formResponse?usp=pp_url&amp;entry.1313582257=0096589760 / 242510152&amp;entry.1578404635=Hadir</v>
      </c>
      <c r="Q931" s="23" t="s">
        <v>4939</v>
      </c>
      <c r="R931" s="12" t="s">
        <v>4940</v>
      </c>
      <c r="S931" s="24" t="s">
        <v>4941</v>
      </c>
      <c r="T931" s="23" t="str">
        <f>HYPERLINK("https://drive.google.com/file/d/1Yx3ohQoMgQ262WurtE7im7OrdbUFV3Qy/view?usp=drivesdk","32 - XI F-1 - Gizella Anggrietta")</f>
        <v>32 - XI F-1 - Gizella Anggrietta</v>
      </c>
      <c r="U931" s="12" t="s">
        <v>4942</v>
      </c>
      <c r="W931" s="25">
        <f>COUNTIFS('Form Presensi SCC'!$B:$B, IF($C931&lt;&gt;0, TEXT($C931, "0000000000"), $D931), 'Form Presensi SCC'!$C:$C, "Hadir")</f>
        <v>0</v>
      </c>
      <c r="Y931" s="26"/>
    </row>
    <row r="932" ht="22.5" customHeight="1">
      <c r="A932" s="18">
        <v>555.0</v>
      </c>
      <c r="B932" s="31">
        <v>16.0</v>
      </c>
      <c r="C932" s="27" t="s">
        <v>4943</v>
      </c>
      <c r="D932" s="31" t="s">
        <v>4944</v>
      </c>
      <c r="E932" s="32" t="s">
        <v>227</v>
      </c>
      <c r="F932" s="12">
        <v>32.0</v>
      </c>
      <c r="G932" s="12" t="s">
        <v>4867</v>
      </c>
      <c r="H932" s="28"/>
      <c r="I932" s="20"/>
      <c r="J932" s="10"/>
      <c r="K932" s="10" t="s">
        <v>4867</v>
      </c>
      <c r="L932" s="10"/>
      <c r="M932" s="33"/>
      <c r="N932" s="34"/>
      <c r="O932" s="34"/>
      <c r="P932" s="12" t="str">
        <f t="shared" si="1"/>
        <v>https://docs.google.com/forms/d/e/1FAIpQLSeZ-R1GrWlAPkfaThGqxeTj0QTtrARw4rroxIIepf2kipn1nw/formResponse?usp=pp_url&amp;entry.1313582257=3094653721 / 242510157&amp;entry.1578404635=Hadir</v>
      </c>
      <c r="Q932" s="23" t="s">
        <v>4945</v>
      </c>
      <c r="R932" s="12" t="s">
        <v>4946</v>
      </c>
      <c r="S932" s="24" t="s">
        <v>4947</v>
      </c>
      <c r="T932" s="23" t="str">
        <f>HYPERLINK("https://drive.google.com/file/d/1y1y9wD_yjhImZI5NzHfPpBtw8endz4r3/view?usp=drivesdk","32 - XI F-1 - Hafizhoh Maryam Az-Zuhaely")</f>
        <v>32 - XI F-1 - Hafizhoh Maryam Az-Zuhaely</v>
      </c>
      <c r="U932" s="12" t="s">
        <v>4942</v>
      </c>
      <c r="W932" s="25">
        <f>COUNTIFS('Form Presensi SCC'!$B:$B, IF($C932&lt;&gt;0, TEXT($C932, "0000000000"), $D932), 'Form Presensi SCC'!$C:$C, "Hadir")</f>
        <v>0</v>
      </c>
      <c r="Y932" s="26"/>
    </row>
    <row r="933" ht="22.5" customHeight="1">
      <c r="A933" s="18">
        <v>555.0</v>
      </c>
      <c r="B933" s="31">
        <v>17.0</v>
      </c>
      <c r="C933" s="27" t="s">
        <v>4948</v>
      </c>
      <c r="D933" s="31" t="s">
        <v>4949</v>
      </c>
      <c r="E933" s="32" t="s">
        <v>227</v>
      </c>
      <c r="F933" s="12">
        <v>32.0</v>
      </c>
      <c r="G933" s="12" t="s">
        <v>4867</v>
      </c>
      <c r="H933" s="28"/>
      <c r="I933" s="20"/>
      <c r="J933" s="10"/>
      <c r="K933" s="10" t="s">
        <v>4867</v>
      </c>
      <c r="L933" s="10"/>
      <c r="M933" s="33"/>
      <c r="N933" s="34"/>
      <c r="O933" s="34"/>
      <c r="P933" s="12" t="str">
        <f t="shared" si="1"/>
        <v>https://docs.google.com/forms/d/e/1FAIpQLSeZ-R1GrWlAPkfaThGqxeTj0QTtrARw4rroxIIepf2kipn1nw/formResponse?usp=pp_url&amp;entry.1313582257=0091633107 / 242510168&amp;entry.1578404635=Hadir</v>
      </c>
      <c r="Q933" s="23" t="s">
        <v>4950</v>
      </c>
      <c r="R933" s="12" t="s">
        <v>4951</v>
      </c>
      <c r="S933" s="24" t="s">
        <v>4952</v>
      </c>
      <c r="T933" s="23" t="str">
        <f>HYPERLINK("https://drive.google.com/file/d/11RrstCQLmZkSagkHWX6t7H1qMz8Wa3FR/view?usp=drivesdk","32 - XI F-1 - Husnaila Kamil")</f>
        <v>32 - XI F-1 - Husnaila Kamil</v>
      </c>
      <c r="U933" s="12" t="s">
        <v>4942</v>
      </c>
      <c r="W933" s="25">
        <f>COUNTIFS('Form Presensi SCC'!$B:$B, IF($C933&lt;&gt;0, TEXT($C933, "0000000000"), $D933), 'Form Presensi SCC'!$C:$C, "Hadir")</f>
        <v>0</v>
      </c>
      <c r="Y933" s="26"/>
    </row>
    <row r="934" ht="22.5" customHeight="1">
      <c r="A934" s="18">
        <v>555.0</v>
      </c>
      <c r="B934" s="31">
        <v>18.0</v>
      </c>
      <c r="C934" s="27" t="s">
        <v>4953</v>
      </c>
      <c r="D934" s="31" t="s">
        <v>4954</v>
      </c>
      <c r="E934" s="32" t="s">
        <v>227</v>
      </c>
      <c r="F934" s="12">
        <v>32.0</v>
      </c>
      <c r="G934" s="12" t="s">
        <v>4867</v>
      </c>
      <c r="H934" s="28"/>
      <c r="I934" s="20"/>
      <c r="J934" s="10"/>
      <c r="K934" s="10" t="s">
        <v>4867</v>
      </c>
      <c r="L934" s="10"/>
      <c r="M934" s="33"/>
      <c r="N934" s="34"/>
      <c r="O934" s="34"/>
      <c r="P934" s="12" t="str">
        <f t="shared" si="1"/>
        <v>https://docs.google.com/forms/d/e/1FAIpQLSeZ-R1GrWlAPkfaThGqxeTj0QTtrARw4rroxIIepf2kipn1nw/formResponse?usp=pp_url&amp;entry.1313582257=0092593035 / 242510178&amp;entry.1578404635=Hadir</v>
      </c>
      <c r="Q934" s="23" t="s">
        <v>4955</v>
      </c>
      <c r="R934" s="12" t="s">
        <v>4956</v>
      </c>
      <c r="S934" s="24" t="s">
        <v>4957</v>
      </c>
      <c r="T934" s="23" t="str">
        <f>HYPERLINK("https://drive.google.com/file/d/1kIv8T4jSJ6KNrXC5Pe2aH81nGecaruI_/view?usp=drivesdk","32 - XI F-1 - Jesika Nain Cahaya Siringo Ringo")</f>
        <v>32 - XI F-1 - Jesika Nain Cahaya Siringo Ringo</v>
      </c>
      <c r="U934" s="12" t="s">
        <v>4942</v>
      </c>
      <c r="W934" s="25">
        <f>COUNTIFS('Form Presensi SCC'!$B:$B, IF($C934&lt;&gt;0, TEXT($C934, "0000000000"), $D934), 'Form Presensi SCC'!$C:$C, "Hadir")</f>
        <v>0</v>
      </c>
      <c r="Y934" s="26"/>
    </row>
    <row r="935" ht="22.5" customHeight="1">
      <c r="A935" s="18">
        <v>555.0</v>
      </c>
      <c r="B935" s="31">
        <v>19.0</v>
      </c>
      <c r="C935" s="27" t="s">
        <v>4958</v>
      </c>
      <c r="D935" s="31" t="s">
        <v>4959</v>
      </c>
      <c r="E935" s="32" t="s">
        <v>227</v>
      </c>
      <c r="F935" s="12">
        <v>32.0</v>
      </c>
      <c r="G935" s="12" t="s">
        <v>4867</v>
      </c>
      <c r="H935" s="28"/>
      <c r="I935" s="20"/>
      <c r="J935" s="10"/>
      <c r="K935" s="10" t="s">
        <v>4867</v>
      </c>
      <c r="L935" s="10"/>
      <c r="M935" s="33"/>
      <c r="N935" s="34"/>
      <c r="O935" s="34"/>
      <c r="P935" s="12" t="str">
        <f t="shared" si="1"/>
        <v>https://docs.google.com/forms/d/e/1FAIpQLSeZ-R1GrWlAPkfaThGqxeTj0QTtrARw4rroxIIepf2kipn1nw/formResponse?usp=pp_url&amp;entry.1313582257=3084804073 / 252611570&amp;entry.1578404635=Hadir</v>
      </c>
      <c r="Q935" s="23" t="s">
        <v>4960</v>
      </c>
      <c r="R935" s="12" t="s">
        <v>4961</v>
      </c>
      <c r="S935" s="24" t="s">
        <v>4962</v>
      </c>
      <c r="T935" s="23" t="str">
        <f>HYPERLINK("https://drive.google.com/file/d/1bAoVbggrIotkkGHkMBDbBtOEdz8sUUL6/view?usp=drivesdk","32 - XI F-1 - Keizya Zahra Permana")</f>
        <v>32 - XI F-1 - Keizya Zahra Permana</v>
      </c>
      <c r="U935" s="12" t="s">
        <v>4942</v>
      </c>
      <c r="W935" s="25">
        <f>COUNTIFS('Form Presensi SCC'!$B:$B, IF($C935&lt;&gt;0, TEXT($C935, "0000000000"), $D935), 'Form Presensi SCC'!$C:$C, "Hadir")</f>
        <v>0</v>
      </c>
      <c r="Y935" s="26"/>
    </row>
    <row r="936" ht="22.5" customHeight="1">
      <c r="A936" s="18">
        <v>555.0</v>
      </c>
      <c r="B936" s="31">
        <v>20.0</v>
      </c>
      <c r="C936" s="27" t="s">
        <v>4963</v>
      </c>
      <c r="D936" s="31" t="s">
        <v>4964</v>
      </c>
      <c r="E936" s="32" t="s">
        <v>227</v>
      </c>
      <c r="F936" s="12">
        <v>32.0</v>
      </c>
      <c r="G936" s="12" t="s">
        <v>4867</v>
      </c>
      <c r="H936" s="28"/>
      <c r="I936" s="20"/>
      <c r="J936" s="10"/>
      <c r="K936" s="10" t="s">
        <v>4867</v>
      </c>
      <c r="L936" s="10"/>
      <c r="M936" s="33"/>
      <c r="N936" s="34"/>
      <c r="O936" s="34"/>
      <c r="P936" s="12" t="str">
        <f t="shared" si="1"/>
        <v>https://docs.google.com/forms/d/e/1FAIpQLSeZ-R1GrWlAPkfaThGqxeTj0QTtrARw4rroxIIepf2kipn1nw/formResponse?usp=pp_url&amp;entry.1313582257=0085208150 / 242510192&amp;entry.1578404635=Hadir</v>
      </c>
      <c r="Q936" s="23" t="s">
        <v>4965</v>
      </c>
      <c r="R936" s="12" t="s">
        <v>4966</v>
      </c>
      <c r="S936" s="24" t="s">
        <v>4967</v>
      </c>
      <c r="T936" s="23" t="str">
        <f>HYPERLINK("https://drive.google.com/file/d/1yjg170F6rpCVpPnpVh6IylXSqYUAkWBT/view?usp=drivesdk","32 - XI F-1 - Kesya Larasati")</f>
        <v>32 - XI F-1 - Kesya Larasati</v>
      </c>
      <c r="U936" s="12" t="s">
        <v>4942</v>
      </c>
      <c r="W936" s="25">
        <f>COUNTIFS('Form Presensi SCC'!$B:$B, IF($C936&lt;&gt;0, TEXT($C936, "0000000000"), $D936), 'Form Presensi SCC'!$C:$C, "Hadir")</f>
        <v>0</v>
      </c>
      <c r="Y936" s="26"/>
    </row>
    <row r="937" ht="22.5" customHeight="1">
      <c r="A937" s="18">
        <v>555.0</v>
      </c>
      <c r="B937" s="31">
        <v>21.0</v>
      </c>
      <c r="C937" s="27" t="s">
        <v>4968</v>
      </c>
      <c r="D937" s="31" t="s">
        <v>4969</v>
      </c>
      <c r="E937" s="32" t="s">
        <v>220</v>
      </c>
      <c r="F937" s="12">
        <v>32.0</v>
      </c>
      <c r="G937" s="12" t="s">
        <v>4867</v>
      </c>
      <c r="H937" s="28"/>
      <c r="I937" s="20"/>
      <c r="J937" s="10"/>
      <c r="K937" s="10" t="s">
        <v>4867</v>
      </c>
      <c r="L937" s="10"/>
      <c r="M937" s="33"/>
      <c r="N937" s="34"/>
      <c r="O937" s="34"/>
      <c r="P937" s="12" t="str">
        <f t="shared" si="1"/>
        <v>https://docs.google.com/forms/d/e/1FAIpQLSeZ-R1GrWlAPkfaThGqxeTj0QTtrARw4rroxIIepf2kipn1nw/formResponse?usp=pp_url&amp;entry.1313582257=0089115919 / 242510194&amp;entry.1578404635=Hadir</v>
      </c>
      <c r="Q937" s="23" t="s">
        <v>4970</v>
      </c>
      <c r="R937" s="12" t="s">
        <v>4971</v>
      </c>
      <c r="S937" s="24" t="s">
        <v>4972</v>
      </c>
      <c r="T937" s="23" t="str">
        <f>HYPERLINK("https://drive.google.com/file/d/1Yo_JEV7lrshHlrhfZA4RLMsl4Ey6BWLe/view?usp=drivesdk","32 - XI F-1 - Kevin Sitanggang")</f>
        <v>32 - XI F-1 - Kevin Sitanggang</v>
      </c>
      <c r="U937" s="12" t="s">
        <v>4942</v>
      </c>
      <c r="W937" s="25">
        <f>COUNTIFS('Form Presensi SCC'!$B:$B, IF($C937&lt;&gt;0, TEXT($C937, "0000000000"), $D937), 'Form Presensi SCC'!$C:$C, "Hadir")</f>
        <v>0</v>
      </c>
      <c r="Y937" s="26"/>
    </row>
    <row r="938" ht="22.5" customHeight="1">
      <c r="A938" s="18">
        <v>555.0</v>
      </c>
      <c r="B938" s="31">
        <v>22.0</v>
      </c>
      <c r="C938" s="27" t="s">
        <v>4973</v>
      </c>
      <c r="D938" s="31" t="s">
        <v>4974</v>
      </c>
      <c r="E938" s="32" t="s">
        <v>227</v>
      </c>
      <c r="F938" s="12">
        <v>32.0</v>
      </c>
      <c r="G938" s="12" t="s">
        <v>4867</v>
      </c>
      <c r="H938" s="28"/>
      <c r="I938" s="20"/>
      <c r="J938" s="10"/>
      <c r="K938" s="10" t="s">
        <v>4867</v>
      </c>
      <c r="L938" s="10"/>
      <c r="M938" s="33"/>
      <c r="N938" s="34"/>
      <c r="O938" s="34"/>
      <c r="P938" s="12" t="str">
        <f t="shared" si="1"/>
        <v>https://docs.google.com/forms/d/e/1FAIpQLSeZ-R1GrWlAPkfaThGqxeTj0QTtrARw4rroxIIepf2kipn1nw/formResponse?usp=pp_url&amp;entry.1313582257=0092834368 / 242510198&amp;entry.1578404635=Hadir</v>
      </c>
      <c r="Q938" s="23" t="s">
        <v>4975</v>
      </c>
      <c r="R938" s="12" t="s">
        <v>4976</v>
      </c>
      <c r="S938" s="24" t="s">
        <v>4977</v>
      </c>
      <c r="T938" s="23" t="str">
        <f>HYPERLINK("https://drive.google.com/file/d/13SaxBMoBbN8DBwWPGj-3Ixj-fMVIXdLR/view?usp=drivesdk","32 - XI F-1 - Khaira Rabbani Tsalasa")</f>
        <v>32 - XI F-1 - Khaira Rabbani Tsalasa</v>
      </c>
      <c r="U938" s="12" t="s">
        <v>4978</v>
      </c>
      <c r="W938" s="25">
        <f>COUNTIFS('Form Presensi SCC'!$B:$B, IF($C938&lt;&gt;0, TEXT($C938, "0000000000"), $D938), 'Form Presensi SCC'!$C:$C, "Hadir")</f>
        <v>0</v>
      </c>
      <c r="Y938" s="26"/>
    </row>
    <row r="939" ht="22.5" customHeight="1">
      <c r="A939" s="18">
        <v>555.0</v>
      </c>
      <c r="B939" s="31">
        <v>23.0</v>
      </c>
      <c r="C939" s="27" t="s">
        <v>4979</v>
      </c>
      <c r="D939" s="31" t="s">
        <v>4980</v>
      </c>
      <c r="E939" s="32" t="s">
        <v>220</v>
      </c>
      <c r="F939" s="12">
        <v>32.0</v>
      </c>
      <c r="G939" s="12" t="s">
        <v>4867</v>
      </c>
      <c r="H939" s="28"/>
      <c r="I939" s="20"/>
      <c r="J939" s="10"/>
      <c r="K939" s="10" t="s">
        <v>4867</v>
      </c>
      <c r="L939" s="10"/>
      <c r="M939" s="33"/>
      <c r="N939" s="34"/>
      <c r="O939" s="34"/>
      <c r="P939" s="12" t="str">
        <f t="shared" si="1"/>
        <v>https://docs.google.com/forms/d/e/1FAIpQLSeZ-R1GrWlAPkfaThGqxeTj0QTtrARw4rroxIIepf2kipn1nw/formResponse?usp=pp_url&amp;entry.1313582257=3099484913 / 242510237&amp;entry.1578404635=Hadir</v>
      </c>
      <c r="Q939" s="23" t="s">
        <v>4981</v>
      </c>
      <c r="R939" s="12" t="s">
        <v>4982</v>
      </c>
      <c r="S939" s="24" t="s">
        <v>4983</v>
      </c>
      <c r="T939" s="23" t="str">
        <f>HYPERLINK("https://drive.google.com/file/d/1q_91fMGcBoxLVjJyvZWmyzIf2GhG7WBL/view?usp=drivesdk","32 - XI F-1 - Mochamad Lewis Batmomolin")</f>
        <v>32 - XI F-1 - Mochamad Lewis Batmomolin</v>
      </c>
      <c r="U939" s="12" t="s">
        <v>4978</v>
      </c>
      <c r="W939" s="25">
        <f>COUNTIFS('Form Presensi SCC'!$B:$B, IF($C939&lt;&gt;0, TEXT($C939, "0000000000"), $D939), 'Form Presensi SCC'!$C:$C, "Hadir")</f>
        <v>0</v>
      </c>
      <c r="Y939" s="26"/>
    </row>
    <row r="940" ht="22.5" customHeight="1">
      <c r="A940" s="18">
        <v>555.0</v>
      </c>
      <c r="B940" s="31">
        <v>24.0</v>
      </c>
      <c r="C940" s="27" t="s">
        <v>4984</v>
      </c>
      <c r="D940" s="31" t="s">
        <v>4985</v>
      </c>
      <c r="E940" s="32" t="s">
        <v>220</v>
      </c>
      <c r="F940" s="12">
        <v>32.0</v>
      </c>
      <c r="G940" s="12" t="s">
        <v>4867</v>
      </c>
      <c r="H940" s="28"/>
      <c r="I940" s="20"/>
      <c r="J940" s="10"/>
      <c r="K940" s="10" t="s">
        <v>4867</v>
      </c>
      <c r="L940" s="10"/>
      <c r="M940" s="33"/>
      <c r="N940" s="34"/>
      <c r="O940" s="34"/>
      <c r="P940" s="12" t="str">
        <f t="shared" si="1"/>
        <v>https://docs.google.com/forms/d/e/1FAIpQLSeZ-R1GrWlAPkfaThGqxeTj0QTtrARw4rroxIIepf2kipn1nw/formResponse?usp=pp_url&amp;entry.1313582257=0087176231 / 242510218&amp;entry.1578404635=Hadir</v>
      </c>
      <c r="Q940" s="23" t="s">
        <v>4986</v>
      </c>
      <c r="R940" s="12" t="s">
        <v>4987</v>
      </c>
      <c r="S940" s="24" t="s">
        <v>4988</v>
      </c>
      <c r="T940" s="23" t="str">
        <f>HYPERLINK("https://drive.google.com/file/d/1zybf2F34n9AlCeAjQmnPmbYAiHbZiSJP/view?usp=drivesdk","32 - XI F-1 - MUHAMAD FADLY FADILLAH")</f>
        <v>32 - XI F-1 - MUHAMAD FADLY FADILLAH</v>
      </c>
      <c r="U940" s="12" t="s">
        <v>4978</v>
      </c>
      <c r="W940" s="25">
        <f>COUNTIFS('Form Presensi SCC'!$B:$B, IF($C940&lt;&gt;0, TEXT($C940, "0000000000"), $D940), 'Form Presensi SCC'!$C:$C, "Hadir")</f>
        <v>0</v>
      </c>
      <c r="Y940" s="26"/>
    </row>
    <row r="941" ht="22.5" customHeight="1">
      <c r="A941" s="18">
        <v>555.0</v>
      </c>
      <c r="B941" s="31">
        <v>25.0</v>
      </c>
      <c r="C941" s="27" t="s">
        <v>4989</v>
      </c>
      <c r="D941" s="31" t="s">
        <v>4990</v>
      </c>
      <c r="E941" s="32" t="s">
        <v>220</v>
      </c>
      <c r="F941" s="12">
        <v>32.0</v>
      </c>
      <c r="G941" s="12" t="s">
        <v>4867</v>
      </c>
      <c r="H941" s="28"/>
      <c r="I941" s="20"/>
      <c r="J941" s="10"/>
      <c r="K941" s="10" t="s">
        <v>4867</v>
      </c>
      <c r="L941" s="10"/>
      <c r="M941" s="33"/>
      <c r="N941" s="34"/>
      <c r="O941" s="34"/>
      <c r="P941" s="12" t="str">
        <f t="shared" si="1"/>
        <v>https://docs.google.com/forms/d/e/1FAIpQLSeZ-R1GrWlAPkfaThGqxeTj0QTtrARw4rroxIIepf2kipn1nw/formResponse?usp=pp_url&amp;entry.1313582257=3097549496 / 242510258&amp;entry.1578404635=Hadir</v>
      </c>
      <c r="Q941" s="23" t="s">
        <v>4991</v>
      </c>
      <c r="R941" s="12" t="s">
        <v>4992</v>
      </c>
      <c r="S941" s="24" t="s">
        <v>4993</v>
      </c>
      <c r="T941" s="23" t="str">
        <f>HYPERLINK("https://drive.google.com/file/d/1jyaLgM8e35xD9Wko63h6vpSE70s0NED9/view?usp=drivesdk","32 - XI F-1 - Muhammad Faiq Abdurrahman")</f>
        <v>32 - XI F-1 - Muhammad Faiq Abdurrahman</v>
      </c>
      <c r="U941" s="12" t="s">
        <v>4978</v>
      </c>
      <c r="W941" s="25">
        <f>COUNTIFS('Form Presensi SCC'!$B:$B, IF($C941&lt;&gt;0, TEXT($C941, "0000000000"), $D941), 'Form Presensi SCC'!$C:$C, "Hadir")</f>
        <v>0</v>
      </c>
      <c r="Y941" s="26"/>
    </row>
    <row r="942" ht="22.5" customHeight="1">
      <c r="A942" s="18">
        <v>555.0</v>
      </c>
      <c r="B942" s="31">
        <v>26.0</v>
      </c>
      <c r="C942" s="27" t="s">
        <v>4994</v>
      </c>
      <c r="D942" s="31" t="s">
        <v>4995</v>
      </c>
      <c r="E942" s="32" t="s">
        <v>220</v>
      </c>
      <c r="F942" s="12">
        <v>32.0</v>
      </c>
      <c r="G942" s="12" t="s">
        <v>4867</v>
      </c>
      <c r="H942" s="28"/>
      <c r="I942" s="20"/>
      <c r="J942" s="10"/>
      <c r="K942" s="10" t="s">
        <v>4867</v>
      </c>
      <c r="L942" s="10"/>
      <c r="M942" s="33"/>
      <c r="N942" s="34"/>
      <c r="O942" s="34"/>
      <c r="P942" s="12" t="str">
        <f t="shared" si="1"/>
        <v>https://docs.google.com/forms/d/e/1FAIpQLSeZ-R1GrWlAPkfaThGqxeTj0QTtrARw4rroxIIepf2kipn1nw/formResponse?usp=pp_url&amp;entry.1313582257=0096931224 / 242510290&amp;entry.1578404635=Hadir</v>
      </c>
      <c r="Q942" s="23" t="s">
        <v>4996</v>
      </c>
      <c r="R942" s="12" t="s">
        <v>4997</v>
      </c>
      <c r="S942" s="24" t="s">
        <v>4998</v>
      </c>
      <c r="T942" s="23" t="str">
        <f>HYPERLINK("https://drive.google.com/file/d/1zivLEbTifc6YSoy6HHBuEp5H106HmqH-/view?usp=drivesdk","32 - XI F-1 - Nafis Syahri Ramadhan")</f>
        <v>32 - XI F-1 - Nafis Syahri Ramadhan</v>
      </c>
      <c r="U942" s="12" t="s">
        <v>4978</v>
      </c>
      <c r="W942" s="25">
        <f>COUNTIFS('Form Presensi SCC'!$B:$B, IF($C942&lt;&gt;0, TEXT($C942, "0000000000"), $D942), 'Form Presensi SCC'!$C:$C, "Hadir")</f>
        <v>0</v>
      </c>
      <c r="Y942" s="26"/>
    </row>
    <row r="943" ht="22.5" customHeight="1">
      <c r="A943" s="18">
        <v>555.0</v>
      </c>
      <c r="B943" s="31">
        <v>27.0</v>
      </c>
      <c r="C943" s="27" t="s">
        <v>4999</v>
      </c>
      <c r="D943" s="31" t="s">
        <v>5000</v>
      </c>
      <c r="E943" s="32" t="s">
        <v>227</v>
      </c>
      <c r="F943" s="12">
        <v>32.0</v>
      </c>
      <c r="G943" s="12" t="s">
        <v>4867</v>
      </c>
      <c r="H943" s="28"/>
      <c r="I943" s="20"/>
      <c r="J943" s="10"/>
      <c r="K943" s="10" t="s">
        <v>4867</v>
      </c>
      <c r="L943" s="10"/>
      <c r="M943" s="33"/>
      <c r="N943" s="34"/>
      <c r="O943" s="34"/>
      <c r="P943" s="12" t="str">
        <f t="shared" si="1"/>
        <v>https://docs.google.com/forms/d/e/1FAIpQLSeZ-R1GrWlAPkfaThGqxeTj0QTtrARw4rroxIIepf2kipn1nw/formResponse?usp=pp_url&amp;entry.1313582257=0107494938 / 242510311&amp;entry.1578404635=Hadir</v>
      </c>
      <c r="Q943" s="23" t="s">
        <v>5001</v>
      </c>
      <c r="R943" s="12" t="s">
        <v>5002</v>
      </c>
      <c r="S943" s="24" t="s">
        <v>5003</v>
      </c>
      <c r="T943" s="23" t="str">
        <f>HYPERLINK("https://drive.google.com/file/d/1uobxd8SgyHMBP2VXy3Q_vC-IuSXsVbF8/view?usp=drivesdk","32 - XI F-1 - Nurry Qurata'Ayun Mastiar")</f>
        <v>32 - XI F-1 - Nurry Qurata'Ayun Mastiar</v>
      </c>
      <c r="U943" s="12" t="s">
        <v>4978</v>
      </c>
      <c r="W943" s="25">
        <f>COUNTIFS('Form Presensi SCC'!$B:$B, IF($C943&lt;&gt;0, TEXT($C943, "0000000000"), $D943), 'Form Presensi SCC'!$C:$C, "Hadir")</f>
        <v>0</v>
      </c>
      <c r="Y943" s="26"/>
    </row>
    <row r="944" ht="22.5" customHeight="1">
      <c r="A944" s="18">
        <v>555.0</v>
      </c>
      <c r="B944" s="31">
        <v>28.0</v>
      </c>
      <c r="C944" s="27" t="s">
        <v>5004</v>
      </c>
      <c r="D944" s="31" t="s">
        <v>5005</v>
      </c>
      <c r="E944" s="32" t="s">
        <v>220</v>
      </c>
      <c r="F944" s="12">
        <v>32.0</v>
      </c>
      <c r="G944" s="12" t="s">
        <v>4867</v>
      </c>
      <c r="H944" s="28"/>
      <c r="I944" s="20"/>
      <c r="J944" s="10"/>
      <c r="K944" s="10" t="s">
        <v>4867</v>
      </c>
      <c r="L944" s="10"/>
      <c r="M944" s="33"/>
      <c r="N944" s="34"/>
      <c r="O944" s="34"/>
      <c r="P944" s="12" t="str">
        <f t="shared" si="1"/>
        <v>https://docs.google.com/forms/d/e/1FAIpQLSeZ-R1GrWlAPkfaThGqxeTj0QTtrARw4rroxIIepf2kipn1nw/formResponse?usp=pp_url&amp;entry.1313582257=0095386380 / 242510314&amp;entry.1578404635=Hadir</v>
      </c>
      <c r="Q944" s="23" t="s">
        <v>5006</v>
      </c>
      <c r="R944" s="12" t="s">
        <v>5007</v>
      </c>
      <c r="S944" s="24" t="s">
        <v>5008</v>
      </c>
      <c r="T944" s="23" t="str">
        <f>HYPERLINK("https://drive.google.com/file/d/1WUmW5UqmCN_ZSuSib46St3Yrd-Qoq8VG/view?usp=drivesdk","32 - XI F-1 - Pratamayoga Danishwara Lestiyo")</f>
        <v>32 - XI F-1 - Pratamayoga Danishwara Lestiyo</v>
      </c>
      <c r="U944" s="12" t="s">
        <v>4978</v>
      </c>
      <c r="W944" s="25">
        <f>COUNTIFS('Form Presensi SCC'!$B:$B, IF($C944&lt;&gt;0, TEXT($C944, "0000000000"), $D944), 'Form Presensi SCC'!$C:$C, "Hadir")</f>
        <v>0</v>
      </c>
      <c r="Y944" s="26"/>
    </row>
    <row r="945" ht="22.5" customHeight="1">
      <c r="A945" s="18">
        <v>555.0</v>
      </c>
      <c r="B945" s="31">
        <v>29.0</v>
      </c>
      <c r="C945" s="27" t="s">
        <v>5009</v>
      </c>
      <c r="D945" s="31" t="s">
        <v>5010</v>
      </c>
      <c r="E945" s="32" t="s">
        <v>227</v>
      </c>
      <c r="F945" s="12">
        <v>32.0</v>
      </c>
      <c r="G945" s="12" t="s">
        <v>4867</v>
      </c>
      <c r="H945" s="28"/>
      <c r="I945" s="20"/>
      <c r="J945" s="10"/>
      <c r="K945" s="10" t="s">
        <v>4867</v>
      </c>
      <c r="L945" s="10"/>
      <c r="M945" s="35"/>
      <c r="N945" s="34"/>
      <c r="O945" s="34"/>
      <c r="P945" s="12" t="str">
        <f t="shared" si="1"/>
        <v>https://docs.google.com/forms/d/e/1FAIpQLSeZ-R1GrWlAPkfaThGqxeTj0QTtrARw4rroxIIepf2kipn1nw/formResponse?usp=pp_url&amp;entry.1313582257=0094807008 / 242510331&amp;entry.1578404635=Hadir</v>
      </c>
      <c r="Q945" s="23" t="s">
        <v>5011</v>
      </c>
      <c r="R945" s="12" t="s">
        <v>5012</v>
      </c>
      <c r="S945" s="24" t="s">
        <v>5013</v>
      </c>
      <c r="T945" s="23" t="str">
        <f>HYPERLINK("https://drive.google.com/file/d/1PV7p4doGQxYO6YTbjfBMTYb_-WBANwpv/view?usp=drivesdk","32 - XI F-1 - Radhwa Kadzia Salsabila")</f>
        <v>32 - XI F-1 - Radhwa Kadzia Salsabila</v>
      </c>
      <c r="U945" s="12" t="s">
        <v>4978</v>
      </c>
      <c r="W945" s="25">
        <f>COUNTIFS('Form Presensi SCC'!$B:$B, IF($C945&lt;&gt;0, TEXT($C945, "0000000000"), $D945), 'Form Presensi SCC'!$C:$C, "Hadir")</f>
        <v>0</v>
      </c>
      <c r="Y945" s="26"/>
    </row>
    <row r="946" ht="22.5" customHeight="1">
      <c r="A946" s="18">
        <v>555.0</v>
      </c>
      <c r="B946" s="31">
        <v>30.0</v>
      </c>
      <c r="C946" s="27" t="s">
        <v>5014</v>
      </c>
      <c r="D946" s="31" t="s">
        <v>5015</v>
      </c>
      <c r="E946" s="32" t="s">
        <v>220</v>
      </c>
      <c r="F946" s="12">
        <v>32.0</v>
      </c>
      <c r="G946" s="12" t="s">
        <v>4867</v>
      </c>
      <c r="H946" s="28"/>
      <c r="I946" s="20"/>
      <c r="J946" s="10"/>
      <c r="K946" s="10" t="s">
        <v>4867</v>
      </c>
      <c r="L946" s="10"/>
      <c r="M946" s="35"/>
      <c r="N946" s="34"/>
      <c r="O946" s="34"/>
      <c r="P946" s="12" t="str">
        <f t="shared" si="1"/>
        <v>https://docs.google.com/forms/d/e/1FAIpQLSeZ-R1GrWlAPkfaThGqxeTj0QTtrARw4rroxIIepf2kipn1nw/formResponse?usp=pp_url&amp;entry.1313582257=0099423367 / 242510332&amp;entry.1578404635=Hadir</v>
      </c>
      <c r="Q946" s="23" t="s">
        <v>5016</v>
      </c>
      <c r="R946" s="12" t="s">
        <v>5017</v>
      </c>
      <c r="S946" s="24" t="s">
        <v>5018</v>
      </c>
      <c r="T946" s="23" t="str">
        <f>HYPERLINK("https://drive.google.com/file/d/1C5pV2TvvUQWKRCgFFEnm1DO3UeVBqZEX/view?usp=drivesdk","32 - XI F-1 - Radif Ziyan Maryono")</f>
        <v>32 - XI F-1 - Radif Ziyan Maryono</v>
      </c>
      <c r="U946" s="12" t="s">
        <v>5019</v>
      </c>
      <c r="W946" s="25">
        <f>COUNTIFS('Form Presensi SCC'!$B:$B, IF($C946&lt;&gt;0, TEXT($C946, "0000000000"), $D946), 'Form Presensi SCC'!$C:$C, "Hadir")</f>
        <v>0</v>
      </c>
      <c r="Y946" s="26"/>
    </row>
    <row r="947" ht="22.5" customHeight="1">
      <c r="A947" s="18">
        <v>555.0</v>
      </c>
      <c r="B947" s="31">
        <v>31.0</v>
      </c>
      <c r="C947" s="27" t="s">
        <v>5020</v>
      </c>
      <c r="D947" s="31" t="s">
        <v>5021</v>
      </c>
      <c r="E947" s="32" t="s">
        <v>227</v>
      </c>
      <c r="F947" s="12">
        <v>32.0</v>
      </c>
      <c r="G947" s="12" t="s">
        <v>4867</v>
      </c>
      <c r="H947" s="28"/>
      <c r="I947" s="20"/>
      <c r="J947" s="10"/>
      <c r="K947" s="10" t="s">
        <v>4867</v>
      </c>
      <c r="L947" s="10"/>
      <c r="M947" s="33"/>
      <c r="N947" s="34"/>
      <c r="O947" s="34"/>
      <c r="P947" s="12" t="str">
        <f t="shared" si="1"/>
        <v>https://docs.google.com/forms/d/e/1FAIpQLSeZ-R1GrWlAPkfaThGqxeTj0QTtrARw4rroxIIepf2kipn1nw/formResponse?usp=pp_url&amp;entry.1313582257=0094095735 / 242510339&amp;entry.1578404635=Hadir</v>
      </c>
      <c r="Q947" s="23" t="s">
        <v>5022</v>
      </c>
      <c r="R947" s="12" t="s">
        <v>5023</v>
      </c>
      <c r="S947" s="24" t="s">
        <v>5024</v>
      </c>
      <c r="T947" s="23" t="str">
        <f>HYPERLINK("https://drive.google.com/file/d/1y-rKA6Xw1exP-2hKQWcSlMHiqkiSXKx1/view?usp=drivesdk","32 - XI F-1 - Raisya Maulidhina")</f>
        <v>32 - XI F-1 - Raisya Maulidhina</v>
      </c>
      <c r="U947" s="12" t="s">
        <v>5019</v>
      </c>
      <c r="W947" s="25">
        <f>COUNTIFS('Form Presensi SCC'!$B:$B, IF($C947&lt;&gt;0, TEXT($C947, "0000000000"), $D947), 'Form Presensi SCC'!$C:$C, "Hadir")</f>
        <v>0</v>
      </c>
      <c r="Y947" s="26"/>
    </row>
    <row r="948" ht="22.5" customHeight="1">
      <c r="A948" s="18">
        <v>555.0</v>
      </c>
      <c r="B948" s="31">
        <v>32.0</v>
      </c>
      <c r="C948" s="27" t="s">
        <v>5025</v>
      </c>
      <c r="D948" s="31" t="s">
        <v>5026</v>
      </c>
      <c r="E948" s="32" t="s">
        <v>220</v>
      </c>
      <c r="F948" s="12">
        <v>32.0</v>
      </c>
      <c r="G948" s="12" t="s">
        <v>4867</v>
      </c>
      <c r="H948" s="28"/>
      <c r="I948" s="20"/>
      <c r="J948" s="10"/>
      <c r="K948" s="10" t="s">
        <v>4867</v>
      </c>
      <c r="L948" s="10"/>
      <c r="M948" s="33"/>
      <c r="N948" s="34"/>
      <c r="O948" s="34"/>
      <c r="P948" s="12" t="str">
        <f t="shared" si="1"/>
        <v>https://docs.google.com/forms/d/e/1FAIpQLSeZ-R1GrWlAPkfaThGqxeTj0QTtrARw4rroxIIepf2kipn1nw/formResponse?usp=pp_url&amp;entry.1313582257=3087304976 / 242510389&amp;entry.1578404635=Hadir</v>
      </c>
      <c r="Q948" s="23" t="s">
        <v>5027</v>
      </c>
      <c r="R948" s="12" t="s">
        <v>5028</v>
      </c>
      <c r="S948" s="24" t="s">
        <v>5029</v>
      </c>
      <c r="T948" s="23" t="str">
        <f>HYPERLINK("https://drive.google.com/file/d/1SEZYBhl2P8BECJapQtEmNHGJ2o3vESo_/view?usp=drivesdk","32 - XI F-1 - Syahrul Ramadhan")</f>
        <v>32 - XI F-1 - Syahrul Ramadhan</v>
      </c>
      <c r="U948" s="12" t="s">
        <v>5019</v>
      </c>
      <c r="W948" s="25">
        <f>COUNTIFS('Form Presensi SCC'!$B:$B, IF($C948&lt;&gt;0, TEXT($C948, "0000000000"), $D948), 'Form Presensi SCC'!$C:$C, "Hadir")</f>
        <v>0</v>
      </c>
      <c r="Y948" s="26"/>
    </row>
    <row r="949" ht="22.5" customHeight="1">
      <c r="A949" s="18">
        <v>555.0</v>
      </c>
      <c r="B949" s="36">
        <v>33.0</v>
      </c>
      <c r="C949" s="18" t="s">
        <v>5030</v>
      </c>
      <c r="D949" s="36" t="s">
        <v>5031</v>
      </c>
      <c r="E949" s="37" t="s">
        <v>227</v>
      </c>
      <c r="F949" s="12">
        <v>32.0</v>
      </c>
      <c r="G949" s="12" t="s">
        <v>4867</v>
      </c>
      <c r="H949" s="29"/>
      <c r="I949" s="20"/>
      <c r="J949" s="10"/>
      <c r="K949" s="6" t="s">
        <v>4867</v>
      </c>
      <c r="M949" s="35"/>
      <c r="N949" s="34"/>
      <c r="O949" s="34"/>
      <c r="P949" s="12" t="str">
        <f t="shared" si="1"/>
        <v>https://docs.google.com/forms/d/e/1FAIpQLSeZ-R1GrWlAPkfaThGqxeTj0QTtrARw4rroxIIepf2kipn1nw/formResponse?usp=pp_url&amp;entry.1313582257=0097734463 / 242510394&amp;entry.1578404635=Hadir</v>
      </c>
      <c r="Q949" s="23" t="s">
        <v>5032</v>
      </c>
      <c r="R949" s="12" t="s">
        <v>5033</v>
      </c>
      <c r="S949" s="24" t="s">
        <v>5034</v>
      </c>
      <c r="T949" s="23" t="str">
        <f>HYPERLINK("https://drive.google.com/file/d/1yoB72kb29oIbyZeYDK4Aa9jbl01jNeI7/view?usp=drivesdk","32 - XI F-1 - Syavira Dinar Handayani")</f>
        <v>32 - XI F-1 - Syavira Dinar Handayani</v>
      </c>
      <c r="U949" s="12" t="s">
        <v>5019</v>
      </c>
      <c r="W949" s="25">
        <f>COUNTIFS('Form Presensi SCC'!$B:$B, IF($C949&lt;&gt;0, TEXT($C949, "0000000000"), $D949), 'Form Presensi SCC'!$C:$C, "Hadir")</f>
        <v>0</v>
      </c>
      <c r="Y949" s="26"/>
    </row>
    <row r="950" ht="22.5" customHeight="1">
      <c r="A950" s="18">
        <v>555.0</v>
      </c>
      <c r="B950" s="36">
        <v>34.0</v>
      </c>
      <c r="C950" s="18" t="s">
        <v>5035</v>
      </c>
      <c r="D950" s="36" t="s">
        <v>5036</v>
      </c>
      <c r="E950" s="37" t="s">
        <v>227</v>
      </c>
      <c r="F950" s="12">
        <v>32.0</v>
      </c>
      <c r="G950" s="12" t="s">
        <v>4867</v>
      </c>
      <c r="H950" s="29"/>
      <c r="I950" s="20"/>
      <c r="J950" s="10"/>
      <c r="K950" s="10" t="s">
        <v>4867</v>
      </c>
      <c r="L950" s="10"/>
      <c r="M950" s="35"/>
      <c r="N950" s="34"/>
      <c r="O950" s="34"/>
      <c r="P950" s="12" t="str">
        <f t="shared" si="1"/>
        <v>https://docs.google.com/forms/d/e/1FAIpQLSeZ-R1GrWlAPkfaThGqxeTj0QTtrARw4rroxIIepf2kipn1nw/formResponse?usp=pp_url&amp;entry.1313582257=0094647744 / 242510396&amp;entry.1578404635=Hadir</v>
      </c>
      <c r="Q950" s="23" t="s">
        <v>5037</v>
      </c>
      <c r="R950" s="12" t="s">
        <v>5038</v>
      </c>
      <c r="S950" s="24" t="s">
        <v>5039</v>
      </c>
      <c r="T950" s="23" t="str">
        <f>HYPERLINK("https://drive.google.com/file/d/1KqH-9mlaydoYQJlbfMhb_14rrlc_Nl5U/view?usp=drivesdk","32 - XI F-1 - Syifa Septia Putri")</f>
        <v>32 - XI F-1 - Syifa Septia Putri</v>
      </c>
      <c r="U950" s="12" t="s">
        <v>5019</v>
      </c>
      <c r="W950" s="25">
        <f>COUNTIFS('Form Presensi SCC'!$B:$B, IF($C950&lt;&gt;0, TEXT($C950, "0000000000"), $D950), 'Form Presensi SCC'!$C:$C, "Hadir")</f>
        <v>0</v>
      </c>
      <c r="Y950" s="26"/>
    </row>
    <row r="951" ht="22.5" customHeight="1">
      <c r="A951" s="18">
        <v>555.0</v>
      </c>
      <c r="B951" s="36">
        <v>35.0</v>
      </c>
      <c r="C951" s="18" t="s">
        <v>5040</v>
      </c>
      <c r="D951" s="36" t="s">
        <v>5041</v>
      </c>
      <c r="E951" s="37" t="s">
        <v>227</v>
      </c>
      <c r="F951" s="12">
        <v>32.0</v>
      </c>
      <c r="G951" s="12" t="s">
        <v>4867</v>
      </c>
      <c r="H951" s="29"/>
      <c r="I951" s="20"/>
      <c r="J951" s="10"/>
      <c r="K951" s="10" t="s">
        <v>4867</v>
      </c>
      <c r="L951" s="10"/>
      <c r="M951" s="35"/>
      <c r="N951" s="34"/>
      <c r="O951" s="34"/>
      <c r="P951" s="12" t="str">
        <f t="shared" si="1"/>
        <v>https://docs.google.com/forms/d/e/1FAIpQLSeZ-R1GrWlAPkfaThGqxeTj0QTtrARw4rroxIIepf2kipn1nw/formResponse?usp=pp_url&amp;entry.1313582257=0084357788 / 242510411&amp;entry.1578404635=Hadir</v>
      </c>
      <c r="Q951" s="23" t="s">
        <v>5042</v>
      </c>
      <c r="R951" s="12" t="s">
        <v>5043</v>
      </c>
      <c r="S951" s="24" t="s">
        <v>5044</v>
      </c>
      <c r="T951" s="23" t="str">
        <f>HYPERLINK("https://drive.google.com/file/d/1Yh31o3NSd0ReVvul-1yanBNJOXrzg7qp/view?usp=drivesdk","32 - XI F-1 - Waddia Fazila Permana")</f>
        <v>32 - XI F-1 - Waddia Fazila Permana</v>
      </c>
      <c r="U951" s="12" t="s">
        <v>5019</v>
      </c>
      <c r="W951" s="25">
        <f>COUNTIFS('Form Presensi SCC'!$B:$B, IF($C951&lt;&gt;0, TEXT($C951, "0000000000"), $D951), 'Form Presensi SCC'!$C:$C, "Hadir")</f>
        <v>0</v>
      </c>
      <c r="Y951" s="26"/>
    </row>
    <row r="952" ht="22.5" customHeight="1">
      <c r="A952" s="18">
        <v>555.0</v>
      </c>
      <c r="B952" s="36">
        <v>36.0</v>
      </c>
      <c r="C952" s="18" t="s">
        <v>5045</v>
      </c>
      <c r="D952" s="36" t="s">
        <v>5046</v>
      </c>
      <c r="E952" s="37" t="s">
        <v>227</v>
      </c>
      <c r="F952" s="12">
        <v>32.0</v>
      </c>
      <c r="G952" s="12" t="s">
        <v>4867</v>
      </c>
      <c r="H952" s="29"/>
      <c r="I952" s="20"/>
      <c r="J952" s="10"/>
      <c r="K952" s="10" t="s">
        <v>4867</v>
      </c>
      <c r="L952" s="10"/>
      <c r="M952" s="35"/>
      <c r="N952" s="34"/>
      <c r="O952" s="34"/>
      <c r="P952" s="12" t="str">
        <f t="shared" si="1"/>
        <v>https://docs.google.com/forms/d/e/1FAIpQLSeZ-R1GrWlAPkfaThGqxeTj0QTtrARw4rroxIIepf2kipn1nw/formResponse?usp=pp_url&amp;entry.1313582257=0097253280 / 242510415&amp;entry.1578404635=Hadir</v>
      </c>
      <c r="Q952" s="23" t="s">
        <v>5047</v>
      </c>
      <c r="R952" s="12" t="s">
        <v>5048</v>
      </c>
      <c r="S952" s="24" t="s">
        <v>5049</v>
      </c>
      <c r="T952" s="23" t="str">
        <f>HYPERLINK("https://drive.google.com/file/d/12FaQOb635nJWHM1NM7FnFCgAfIDMn-9h/view?usp=drivesdk","32 - XI F-1 - Windy Kenez Ayu Pramesty")</f>
        <v>32 - XI F-1 - Windy Kenez Ayu Pramesty</v>
      </c>
      <c r="U952" s="12" t="s">
        <v>5019</v>
      </c>
      <c r="W952" s="25">
        <f>COUNTIFS('Form Presensi SCC'!$B:$B, IF($C952&lt;&gt;0, TEXT($C952, "0000000000"), $D952), 'Form Presensi SCC'!$C:$C, "Hadir")</f>
        <v>0</v>
      </c>
      <c r="Y952" s="26"/>
    </row>
    <row r="953" ht="22.5" customHeight="1">
      <c r="A953" s="18">
        <v>555.0</v>
      </c>
      <c r="B953" s="36">
        <v>1.0</v>
      </c>
      <c r="C953" s="18" t="s">
        <v>5050</v>
      </c>
      <c r="D953" s="36" t="s">
        <v>5051</v>
      </c>
      <c r="E953" s="37" t="s">
        <v>227</v>
      </c>
      <c r="F953" s="12">
        <v>32.0</v>
      </c>
      <c r="G953" s="12" t="s">
        <v>5052</v>
      </c>
      <c r="H953" s="29"/>
      <c r="I953" s="20"/>
      <c r="J953" s="10"/>
      <c r="K953" s="10" t="s">
        <v>5052</v>
      </c>
      <c r="L953" s="10"/>
      <c r="M953" s="35"/>
      <c r="N953" s="34"/>
      <c r="O953" s="34"/>
      <c r="P953" s="12" t="str">
        <f t="shared" si="1"/>
        <v>https://docs.google.com/forms/d/e/1FAIpQLSeZ-R1GrWlAPkfaThGqxeTj0QTtrARw4rroxIIepf2kipn1nw/formResponse?usp=pp_url&amp;entry.1313582257=0083949375 / 242510009&amp;entry.1578404635=Hadir</v>
      </c>
      <c r="Q953" s="23" t="s">
        <v>5053</v>
      </c>
      <c r="R953" s="12" t="s">
        <v>5054</v>
      </c>
      <c r="S953" s="24" t="s">
        <v>5055</v>
      </c>
      <c r="T953" s="23" t="str">
        <f>HYPERLINK("https://drive.google.com/file/d/1BpzIVTgtlWPVeqSJgY_6_IwbgR74mjUk/view?usp=drivesdk","32 - XI F-2 - Agisha Melandri")</f>
        <v>32 - XI F-2 - Agisha Melandri</v>
      </c>
      <c r="U953" s="12" t="s">
        <v>5056</v>
      </c>
      <c r="W953" s="25">
        <f>COUNTIFS('Form Presensi SCC'!$B:$B, IF($C953&lt;&gt;0, TEXT($C953, "0000000000"), $D953), 'Form Presensi SCC'!$C:$C, "Hadir")</f>
        <v>0</v>
      </c>
      <c r="Y953" s="26"/>
    </row>
    <row r="954" ht="22.5" customHeight="1">
      <c r="A954" s="18">
        <v>555.0</v>
      </c>
      <c r="B954" s="36">
        <v>2.0</v>
      </c>
      <c r="C954" s="18" t="s">
        <v>5057</v>
      </c>
      <c r="D954" s="36" t="s">
        <v>5058</v>
      </c>
      <c r="E954" s="37" t="s">
        <v>227</v>
      </c>
      <c r="F954" s="12">
        <v>32.0</v>
      </c>
      <c r="G954" s="12" t="s">
        <v>5052</v>
      </c>
      <c r="H954" s="29"/>
      <c r="I954" s="20"/>
      <c r="J954" s="10"/>
      <c r="K954" s="10" t="s">
        <v>5052</v>
      </c>
      <c r="L954" s="10"/>
      <c r="M954" s="35"/>
      <c r="N954" s="34"/>
      <c r="O954" s="34"/>
      <c r="P954" s="12" t="str">
        <f t="shared" si="1"/>
        <v>https://docs.google.com/forms/d/e/1FAIpQLSeZ-R1GrWlAPkfaThGqxeTj0QTtrARw4rroxIIepf2kipn1nw/formResponse?usp=pp_url&amp;entry.1313582257=3091238165 / 242510015&amp;entry.1578404635=Hadir</v>
      </c>
      <c r="Q954" s="23" t="s">
        <v>5059</v>
      </c>
      <c r="R954" s="12" t="s">
        <v>5060</v>
      </c>
      <c r="S954" s="24" t="s">
        <v>5061</v>
      </c>
      <c r="T954" s="23" t="str">
        <f>HYPERLINK("https://drive.google.com/file/d/1vOP4aqgN2byLYvg7oJEOOQrx4itjfhbL/view?usp=drivesdk","32 - XI F-2 - Aisha Syakira Putri")</f>
        <v>32 - XI F-2 - Aisha Syakira Putri</v>
      </c>
      <c r="U954" s="12" t="s">
        <v>5056</v>
      </c>
      <c r="W954" s="25">
        <f>COUNTIFS('Form Presensi SCC'!$B:$B, IF($C954&lt;&gt;0, TEXT($C954, "0000000000"), $D954), 'Form Presensi SCC'!$C:$C, "Hadir")</f>
        <v>0</v>
      </c>
      <c r="Y954" s="26"/>
    </row>
    <row r="955" ht="22.5" customHeight="1">
      <c r="A955" s="18">
        <v>555.0</v>
      </c>
      <c r="B955" s="36">
        <v>3.0</v>
      </c>
      <c r="C955" s="18" t="s">
        <v>5062</v>
      </c>
      <c r="D955" s="36" t="s">
        <v>5063</v>
      </c>
      <c r="E955" s="37" t="s">
        <v>227</v>
      </c>
      <c r="F955" s="12">
        <v>32.0</v>
      </c>
      <c r="G955" s="12" t="s">
        <v>5052</v>
      </c>
      <c r="H955" s="29"/>
      <c r="I955" s="20"/>
      <c r="J955" s="10"/>
      <c r="K955" s="10" t="s">
        <v>5052</v>
      </c>
      <c r="L955" s="10"/>
      <c r="M955" s="35"/>
      <c r="N955" s="34"/>
      <c r="O955" s="34"/>
      <c r="P955" s="12" t="str">
        <f t="shared" si="1"/>
        <v>https://docs.google.com/forms/d/e/1FAIpQLSeZ-R1GrWlAPkfaThGqxeTj0QTtrARw4rroxIIepf2kipn1nw/formResponse?usp=pp_url&amp;entry.1313582257=0084218795 / 242510016&amp;entry.1578404635=Hadir</v>
      </c>
      <c r="Q955" s="23" t="s">
        <v>5064</v>
      </c>
      <c r="R955" s="12" t="s">
        <v>5065</v>
      </c>
      <c r="S955" s="24" t="s">
        <v>5066</v>
      </c>
      <c r="T955" s="23" t="str">
        <f>HYPERLINK("https://drive.google.com/file/d/1cuoRmibrQBLplWtY4Z9MD1TrDsqbCHpR/view?usp=drivesdk","32 - XI F-2 - Aisyah Nara Purusa Ningsa")</f>
        <v>32 - XI F-2 - Aisyah Nara Purusa Ningsa</v>
      </c>
      <c r="U955" s="12" t="s">
        <v>5056</v>
      </c>
      <c r="W955" s="25">
        <f>COUNTIFS('Form Presensi SCC'!$B:$B, IF($C955&lt;&gt;0, TEXT($C955, "0000000000"), $D955), 'Form Presensi SCC'!$C:$C, "Hadir")</f>
        <v>0</v>
      </c>
      <c r="Y955" s="26"/>
    </row>
    <row r="956" ht="22.5" customHeight="1">
      <c r="A956" s="18">
        <v>555.0</v>
      </c>
      <c r="B956" s="36">
        <v>4.0</v>
      </c>
      <c r="C956" s="18" t="s">
        <v>5067</v>
      </c>
      <c r="D956" s="36" t="s">
        <v>5068</v>
      </c>
      <c r="E956" s="37" t="s">
        <v>220</v>
      </c>
      <c r="F956" s="12">
        <v>32.0</v>
      </c>
      <c r="G956" s="12" t="s">
        <v>5052</v>
      </c>
      <c r="H956" s="29"/>
      <c r="I956" s="20"/>
      <c r="J956" s="10"/>
      <c r="K956" s="10" t="s">
        <v>5052</v>
      </c>
      <c r="L956" s="10"/>
      <c r="M956" s="35"/>
      <c r="N956" s="34"/>
      <c r="O956" s="34"/>
      <c r="P956" s="12" t="str">
        <f t="shared" si="1"/>
        <v>https://docs.google.com/forms/d/e/1FAIpQLSeZ-R1GrWlAPkfaThGqxeTj0QTtrARw4rroxIIepf2kipn1nw/formResponse?usp=pp_url&amp;entry.1313582257=0098551657 / 242510020&amp;entry.1578404635=Hadir</v>
      </c>
      <c r="Q956" s="23" t="s">
        <v>5069</v>
      </c>
      <c r="R956" s="12" t="s">
        <v>5070</v>
      </c>
      <c r="S956" s="24" t="s">
        <v>5071</v>
      </c>
      <c r="T956" s="23" t="str">
        <f>HYPERLINK("https://drive.google.com/file/d/1Iqi9aZkX_PhfcZ8OvVeo0uUmhCMYaZ30/view?usp=drivesdk","32 - XI F-2 - Al Gofi Patra")</f>
        <v>32 - XI F-2 - Al Gofi Patra</v>
      </c>
      <c r="U956" s="12" t="s">
        <v>5056</v>
      </c>
      <c r="W956" s="25">
        <f>COUNTIFS('Form Presensi SCC'!$B:$B, IF($C956&lt;&gt;0, TEXT($C956, "0000000000"), $D956), 'Form Presensi SCC'!$C:$C, "Hadir")</f>
        <v>0</v>
      </c>
      <c r="Y956" s="26"/>
    </row>
    <row r="957" ht="22.5" customHeight="1">
      <c r="A957" s="18">
        <v>555.0</v>
      </c>
      <c r="B957" s="36">
        <v>5.0</v>
      </c>
      <c r="C957" s="18" t="s">
        <v>5072</v>
      </c>
      <c r="D957" s="36" t="s">
        <v>5073</v>
      </c>
      <c r="E957" s="37" t="s">
        <v>227</v>
      </c>
      <c r="F957" s="12">
        <v>32.0</v>
      </c>
      <c r="G957" s="12" t="s">
        <v>5052</v>
      </c>
      <c r="H957" s="29"/>
      <c r="I957" s="20"/>
      <c r="J957" s="10"/>
      <c r="K957" s="10" t="s">
        <v>5052</v>
      </c>
      <c r="L957" s="10"/>
      <c r="M957" s="35"/>
      <c r="N957" s="34"/>
      <c r="O957" s="34"/>
      <c r="P957" s="12" t="str">
        <f t="shared" si="1"/>
        <v>https://docs.google.com/forms/d/e/1FAIpQLSeZ-R1GrWlAPkfaThGqxeTj0QTtrARw4rroxIIepf2kipn1nw/formResponse?usp=pp_url&amp;entry.1313582257=0087718590 / 242510060&amp;entry.1578404635=Hadir</v>
      </c>
      <c r="Q957" s="23" t="s">
        <v>5074</v>
      </c>
      <c r="R957" s="12" t="s">
        <v>5075</v>
      </c>
      <c r="S957" s="24" t="s">
        <v>5076</v>
      </c>
      <c r="T957" s="23" t="str">
        <f>HYPERLINK("https://drive.google.com/file/d/1c43TTQ_HsZyYDSmxKJLBh5-9pzckXRHN/view?usp=drivesdk","32 - XI F-2 - Ashya Navisha")</f>
        <v>32 - XI F-2 - Ashya Navisha</v>
      </c>
      <c r="U957" s="12" t="s">
        <v>5056</v>
      </c>
      <c r="W957" s="25">
        <f>COUNTIFS('Form Presensi SCC'!$B:$B, IF($C957&lt;&gt;0, TEXT($C957, "0000000000"), $D957), 'Form Presensi SCC'!$C:$C, "Hadir")</f>
        <v>0</v>
      </c>
      <c r="Y957" s="26"/>
    </row>
    <row r="958" ht="22.5" customHeight="1">
      <c r="A958" s="18">
        <v>555.0</v>
      </c>
      <c r="B958" s="36">
        <v>6.0</v>
      </c>
      <c r="C958" s="18" t="s">
        <v>5077</v>
      </c>
      <c r="D958" s="36" t="s">
        <v>5078</v>
      </c>
      <c r="E958" s="37" t="s">
        <v>227</v>
      </c>
      <c r="F958" s="12">
        <v>32.0</v>
      </c>
      <c r="G958" s="12" t="s">
        <v>5052</v>
      </c>
      <c r="H958" s="29"/>
      <c r="I958" s="20"/>
      <c r="J958" s="10"/>
      <c r="K958" s="10" t="s">
        <v>5052</v>
      </c>
      <c r="L958" s="10"/>
      <c r="M958" s="35"/>
      <c r="N958" s="34"/>
      <c r="O958" s="34"/>
      <c r="P958" s="12" t="str">
        <f t="shared" si="1"/>
        <v>https://docs.google.com/forms/d/e/1FAIpQLSeZ-R1GrWlAPkfaThGqxeTj0QTtrARw4rroxIIepf2kipn1nw/formResponse?usp=pp_url&amp;entry.1313582257=0096418415 / 242510078&amp;entry.1578404635=Hadir</v>
      </c>
      <c r="Q958" s="23" t="s">
        <v>5079</v>
      </c>
      <c r="R958" s="12" t="s">
        <v>5080</v>
      </c>
      <c r="S958" s="24" t="s">
        <v>5081</v>
      </c>
      <c r="T958" s="23" t="str">
        <f>HYPERLINK("https://drive.google.com/file/d/1SySXcNnBSI5c6azARl88-QUClOgpbKlG/view?usp=drivesdk","32 - XI F-2 - Azka  Abidah Sukma Cahyani")</f>
        <v>32 - XI F-2 - Azka  Abidah Sukma Cahyani</v>
      </c>
      <c r="U958" s="12" t="s">
        <v>5056</v>
      </c>
      <c r="W958" s="25">
        <f>COUNTIFS('Form Presensi SCC'!$B:$B, IF($C958&lt;&gt;0, TEXT($C958, "0000000000"), $D958), 'Form Presensi SCC'!$C:$C, "Hadir")</f>
        <v>0</v>
      </c>
      <c r="Y958" s="26"/>
    </row>
    <row r="959" ht="22.5" customHeight="1">
      <c r="A959" s="18">
        <v>555.0</v>
      </c>
      <c r="B959" s="36">
        <v>7.0</v>
      </c>
      <c r="C959" s="18" t="s">
        <v>53</v>
      </c>
      <c r="D959" s="36" t="s">
        <v>5082</v>
      </c>
      <c r="E959" s="37" t="s">
        <v>227</v>
      </c>
      <c r="F959" s="12">
        <v>32.0</v>
      </c>
      <c r="G959" s="12" t="s">
        <v>5052</v>
      </c>
      <c r="H959" s="29"/>
      <c r="I959" s="20"/>
      <c r="J959" s="10"/>
      <c r="K959" s="10" t="s">
        <v>5052</v>
      </c>
      <c r="L959" s="10"/>
      <c r="M959" s="35"/>
      <c r="N959" s="34"/>
      <c r="O959" s="34"/>
      <c r="P959" s="12" t="str">
        <f t="shared" si="1"/>
        <v>https://docs.google.com/forms/d/e/1FAIpQLSeZ-R1GrWlAPkfaThGqxeTj0QTtrARw4rroxIIepf2kipn1nw/formResponse?usp=pp_url&amp;entry.1313582257=0096383417 / 242510089&amp;entry.1578404635=Hadir</v>
      </c>
      <c r="Q959" s="23" t="s">
        <v>5083</v>
      </c>
      <c r="R959" s="12" t="s">
        <v>5084</v>
      </c>
      <c r="S959" s="24" t="s">
        <v>5085</v>
      </c>
      <c r="T959" s="23" t="str">
        <f>HYPERLINK("https://drive.google.com/file/d/1fxwM1SZg2LdNNk91UMpQKuckqLzPfGd8/view?usp=drivesdk","32 - XI F-2 - Callysta Sadira Rizqullah Khaniza")</f>
        <v>32 - XI F-2 - Callysta Sadira Rizqullah Khaniza</v>
      </c>
      <c r="U959" s="12" t="s">
        <v>5056</v>
      </c>
      <c r="W959" s="25">
        <f>COUNTIFS('Form Presensi SCC'!$B:$B, IF($C959&lt;&gt;0, TEXT($C959, "0000000000"), $D959), 'Form Presensi SCC'!$C:$C, "Hadir")</f>
        <v>1</v>
      </c>
      <c r="Y959" s="26"/>
    </row>
    <row r="960" ht="22.5" customHeight="1">
      <c r="A960" s="18">
        <v>555.0</v>
      </c>
      <c r="B960" s="36">
        <v>8.0</v>
      </c>
      <c r="C960" s="18" t="s">
        <v>5086</v>
      </c>
      <c r="D960" s="36" t="s">
        <v>5087</v>
      </c>
      <c r="E960" s="37" t="s">
        <v>227</v>
      </c>
      <c r="F960" s="12">
        <v>32.0</v>
      </c>
      <c r="G960" s="12" t="s">
        <v>5052</v>
      </c>
      <c r="H960" s="29"/>
      <c r="I960" s="20"/>
      <c r="J960" s="10"/>
      <c r="K960" s="10" t="s">
        <v>5052</v>
      </c>
      <c r="L960" s="10"/>
      <c r="M960" s="35"/>
      <c r="N960" s="34"/>
      <c r="O960" s="34"/>
      <c r="P960" s="12" t="str">
        <f t="shared" si="1"/>
        <v>https://docs.google.com/forms/d/e/1FAIpQLSeZ-R1GrWlAPkfaThGqxeTj0QTtrARw4rroxIIepf2kipn1nw/formResponse?usp=pp_url&amp;entry.1313582257=0093167605 / 242510093&amp;entry.1578404635=Hadir</v>
      </c>
      <c r="Q960" s="23" t="s">
        <v>5088</v>
      </c>
      <c r="R960" s="12" t="s">
        <v>5089</v>
      </c>
      <c r="S960" s="24" t="s">
        <v>5090</v>
      </c>
      <c r="T960" s="23" t="str">
        <f>HYPERLINK("https://drive.google.com/file/d/1HFSxXS06YxsfuS_eQU_nzbHc-pmFpUGs/view?usp=drivesdk","32 - XI F-2 - Cheysa Dara Maharani")</f>
        <v>32 - XI F-2 - Cheysa Dara Maharani</v>
      </c>
      <c r="U960" s="12" t="s">
        <v>5056</v>
      </c>
      <c r="W960" s="25">
        <f>COUNTIFS('Form Presensi SCC'!$B:$B, IF($C960&lt;&gt;0, TEXT($C960, "0000000000"), $D960), 'Form Presensi SCC'!$C:$C, "Hadir")</f>
        <v>0</v>
      </c>
      <c r="Y960" s="26"/>
    </row>
    <row r="961" ht="22.5" customHeight="1">
      <c r="A961" s="18">
        <v>555.0</v>
      </c>
      <c r="B961" s="36">
        <v>9.0</v>
      </c>
      <c r="C961" s="18" t="s">
        <v>5091</v>
      </c>
      <c r="D961" s="36" t="s">
        <v>5092</v>
      </c>
      <c r="E961" s="37" t="s">
        <v>227</v>
      </c>
      <c r="F961" s="12">
        <v>32.0</v>
      </c>
      <c r="G961" s="12" t="s">
        <v>5052</v>
      </c>
      <c r="H961" s="29"/>
      <c r="I961" s="20"/>
      <c r="J961" s="10"/>
      <c r="K961" s="10" t="s">
        <v>5052</v>
      </c>
      <c r="L961" s="10"/>
      <c r="M961" s="35"/>
      <c r="N961" s="34"/>
      <c r="O961" s="34"/>
      <c r="P961" s="12" t="str">
        <f t="shared" si="1"/>
        <v>https://docs.google.com/forms/d/e/1FAIpQLSeZ-R1GrWlAPkfaThGqxeTj0QTtrARw4rroxIIepf2kipn1nw/formResponse?usp=pp_url&amp;entry.1313582257=0096872219 / 242510106&amp;entry.1578404635=Hadir</v>
      </c>
      <c r="Q961" s="23" t="s">
        <v>5093</v>
      </c>
      <c r="R961" s="12" t="s">
        <v>5094</v>
      </c>
      <c r="S961" s="24" t="s">
        <v>5095</v>
      </c>
      <c r="T961" s="23" t="str">
        <f>HYPERLINK("https://drive.google.com/file/d/1vkGgoJrhn_fvN20K9qUtLwc8qFgyAiW7/view?usp=drivesdk","32 - XI F-2 - Desya Maulida")</f>
        <v>32 - XI F-2 - Desya Maulida</v>
      </c>
      <c r="U961" s="12" t="s">
        <v>5096</v>
      </c>
      <c r="W961" s="25">
        <f>COUNTIFS('Form Presensi SCC'!$B:$B, IF($C961&lt;&gt;0, TEXT($C961, "0000000000"), $D961), 'Form Presensi SCC'!$C:$C, "Hadir")</f>
        <v>0</v>
      </c>
      <c r="Y961" s="26"/>
    </row>
    <row r="962" ht="22.5" customHeight="1">
      <c r="A962" s="18">
        <v>555.0</v>
      </c>
      <c r="B962" s="36">
        <v>10.0</v>
      </c>
      <c r="C962" s="18" t="s">
        <v>5097</v>
      </c>
      <c r="D962" s="36" t="s">
        <v>5098</v>
      </c>
      <c r="E962" s="37" t="s">
        <v>227</v>
      </c>
      <c r="F962" s="12">
        <v>32.0</v>
      </c>
      <c r="G962" s="12" t="s">
        <v>5052</v>
      </c>
      <c r="H962" s="29"/>
      <c r="I962" s="20"/>
      <c r="J962" s="10"/>
      <c r="K962" s="10" t="s">
        <v>5052</v>
      </c>
      <c r="L962" s="10"/>
      <c r="M962" s="35"/>
      <c r="N962" s="34"/>
      <c r="O962" s="34"/>
      <c r="P962" s="12" t="str">
        <f t="shared" si="1"/>
        <v>https://docs.google.com/forms/d/e/1FAIpQLSeZ-R1GrWlAPkfaThGqxeTj0QTtrARw4rroxIIepf2kipn1nw/formResponse?usp=pp_url&amp;entry.1313582257=0093311941 / 242510107&amp;entry.1578404635=Hadir</v>
      </c>
      <c r="Q962" s="23" t="s">
        <v>5099</v>
      </c>
      <c r="R962" s="12" t="s">
        <v>5100</v>
      </c>
      <c r="S962" s="24" t="s">
        <v>5101</v>
      </c>
      <c r="T962" s="23" t="str">
        <f>HYPERLINK("https://drive.google.com/file/d/1q-Bsjux7oE1xeMzCdXlTz11Jq8XzyJnE/view?usp=drivesdk","32 - XI F-2 - Devi Nuraini")</f>
        <v>32 - XI F-2 - Devi Nuraini</v>
      </c>
      <c r="U962" s="12" t="s">
        <v>5096</v>
      </c>
      <c r="W962" s="25">
        <f>COUNTIFS('Form Presensi SCC'!$B:$B, IF($C962&lt;&gt;0, TEXT($C962, "0000000000"), $D962), 'Form Presensi SCC'!$C:$C, "Hadir")</f>
        <v>0</v>
      </c>
      <c r="Y962" s="26"/>
    </row>
    <row r="963" ht="22.5" customHeight="1">
      <c r="A963" s="18">
        <v>555.0</v>
      </c>
      <c r="B963" s="36">
        <v>11.0</v>
      </c>
      <c r="C963" s="18" t="s">
        <v>5102</v>
      </c>
      <c r="D963" s="36" t="s">
        <v>5103</v>
      </c>
      <c r="E963" s="37" t="s">
        <v>220</v>
      </c>
      <c r="F963" s="12">
        <v>32.0</v>
      </c>
      <c r="G963" s="12" t="s">
        <v>5052</v>
      </c>
      <c r="H963" s="29"/>
      <c r="I963" s="20"/>
      <c r="J963" s="10"/>
      <c r="K963" s="10" t="s">
        <v>5052</v>
      </c>
      <c r="L963" s="10"/>
      <c r="M963" s="35"/>
      <c r="N963" s="34"/>
      <c r="O963" s="34"/>
      <c r="P963" s="12" t="str">
        <f t="shared" si="1"/>
        <v>https://docs.google.com/forms/d/e/1FAIpQLSeZ-R1GrWlAPkfaThGqxeTj0QTtrARw4rroxIIepf2kipn1nw/formResponse?usp=pp_url&amp;entry.1313582257=0091519291 / 242510109&amp;entry.1578404635=Hadir</v>
      </c>
      <c r="Q963" s="23" t="s">
        <v>5104</v>
      </c>
      <c r="R963" s="12" t="s">
        <v>5105</v>
      </c>
      <c r="S963" s="24" t="s">
        <v>5106</v>
      </c>
      <c r="T963" s="23" t="str">
        <f>HYPERLINK("https://drive.google.com/file/d/1ZGPxaZdywJjuaLDHbq7ojU3ZQncYRW2l/view?usp=drivesdk","32 - XI F-2 - Dhiyaul Aqlan Abqory")</f>
        <v>32 - XI F-2 - Dhiyaul Aqlan Abqory</v>
      </c>
      <c r="U963" s="12" t="s">
        <v>5096</v>
      </c>
      <c r="W963" s="25">
        <f>COUNTIFS('Form Presensi SCC'!$B:$B, IF($C963&lt;&gt;0, TEXT($C963, "0000000000"), $D963), 'Form Presensi SCC'!$C:$C, "Hadir")</f>
        <v>0</v>
      </c>
      <c r="Y963" s="26"/>
    </row>
    <row r="964" ht="22.5" customHeight="1">
      <c r="A964" s="18">
        <v>555.0</v>
      </c>
      <c r="B964" s="36">
        <v>12.0</v>
      </c>
      <c r="C964" s="18" t="s">
        <v>5107</v>
      </c>
      <c r="D964" s="36" t="s">
        <v>5108</v>
      </c>
      <c r="E964" s="37" t="s">
        <v>220</v>
      </c>
      <c r="F964" s="12">
        <v>32.0</v>
      </c>
      <c r="G964" s="12" t="s">
        <v>5052</v>
      </c>
      <c r="H964" s="29"/>
      <c r="I964" s="20"/>
      <c r="J964" s="10"/>
      <c r="K964" s="10" t="s">
        <v>5052</v>
      </c>
      <c r="L964" s="10"/>
      <c r="M964" s="35"/>
      <c r="N964" s="34"/>
      <c r="O964" s="34"/>
      <c r="P964" s="12" t="str">
        <f t="shared" si="1"/>
        <v>https://docs.google.com/forms/d/e/1FAIpQLSeZ-R1GrWlAPkfaThGqxeTj0QTtrARw4rroxIIepf2kipn1nw/formResponse?usp=pp_url&amp;entry.1313582257=0093772011 / 242510125&amp;entry.1578404635=Hadir</v>
      </c>
      <c r="Q964" s="23" t="s">
        <v>5109</v>
      </c>
      <c r="R964" s="12" t="s">
        <v>5110</v>
      </c>
      <c r="S964" s="24" t="s">
        <v>5111</v>
      </c>
      <c r="T964" s="23" t="str">
        <f>HYPERLINK("https://drive.google.com/file/d/11xwY4f1vozZuLsy15c1-NhrryMzScPNR/view?usp=drivesdk","32 - XI F-2 - Evandika Juliandi")</f>
        <v>32 - XI F-2 - Evandika Juliandi</v>
      </c>
      <c r="U964" s="12" t="s">
        <v>5096</v>
      </c>
      <c r="W964" s="25">
        <f>COUNTIFS('Form Presensi SCC'!$B:$B, IF($C964&lt;&gt;0, TEXT($C964, "0000000000"), $D964), 'Form Presensi SCC'!$C:$C, "Hadir")</f>
        <v>0</v>
      </c>
      <c r="Y964" s="26"/>
    </row>
    <row r="965" ht="22.5" customHeight="1">
      <c r="A965" s="18">
        <v>555.0</v>
      </c>
      <c r="B965" s="36">
        <v>13.0</v>
      </c>
      <c r="C965" s="18" t="s">
        <v>5112</v>
      </c>
      <c r="D965" s="36" t="s">
        <v>5113</v>
      </c>
      <c r="E965" s="37" t="s">
        <v>227</v>
      </c>
      <c r="F965" s="12">
        <v>32.0</v>
      </c>
      <c r="G965" s="12" t="s">
        <v>5052</v>
      </c>
      <c r="H965" s="29"/>
      <c r="I965" s="20"/>
      <c r="J965" s="10"/>
      <c r="K965" s="10" t="s">
        <v>5052</v>
      </c>
      <c r="L965" s="10"/>
      <c r="M965" s="35"/>
      <c r="N965" s="34"/>
      <c r="O965" s="34"/>
      <c r="P965" s="12" t="str">
        <f t="shared" si="1"/>
        <v>https://docs.google.com/forms/d/e/1FAIpQLSeZ-R1GrWlAPkfaThGqxeTj0QTtrARw4rroxIIepf2kipn1nw/formResponse?usp=pp_url&amp;entry.1313582257=0083597126 / 242510127&amp;entry.1578404635=Hadir</v>
      </c>
      <c r="Q965" s="23" t="s">
        <v>5114</v>
      </c>
      <c r="R965" s="12" t="s">
        <v>5115</v>
      </c>
      <c r="S965" s="24" t="s">
        <v>5116</v>
      </c>
      <c r="T965" s="23" t="str">
        <f>HYPERLINK("https://drive.google.com/file/d/1x_UyXWiqgzpj3xKyo43sQruyXMr_Hvxr/view?usp=drivesdk","32 - XI F-2 - Excellita Mayda Nurussyfa")</f>
        <v>32 - XI F-2 - Excellita Mayda Nurussyfa</v>
      </c>
      <c r="U965" s="12" t="s">
        <v>5096</v>
      </c>
      <c r="W965" s="25">
        <f>COUNTIFS('Form Presensi SCC'!$B:$B, IF($C965&lt;&gt;0, TEXT($C965, "0000000000"), $D965), 'Form Presensi SCC'!$C:$C, "Hadir")</f>
        <v>0</v>
      </c>
      <c r="Y965" s="26"/>
    </row>
    <row r="966" ht="22.5" customHeight="1">
      <c r="A966" s="18">
        <v>555.0</v>
      </c>
      <c r="B966" s="36">
        <v>14.0</v>
      </c>
      <c r="C966" s="18" t="s">
        <v>5117</v>
      </c>
      <c r="D966" s="38" t="s">
        <v>5118</v>
      </c>
      <c r="E966" s="37" t="s">
        <v>220</v>
      </c>
      <c r="F966" s="12">
        <v>32.0</v>
      </c>
      <c r="G966" s="12" t="s">
        <v>5052</v>
      </c>
      <c r="H966" s="29"/>
      <c r="I966" s="20"/>
      <c r="J966" s="10"/>
      <c r="K966" s="10" t="s">
        <v>5052</v>
      </c>
      <c r="L966" s="10"/>
      <c r="M966" s="35"/>
      <c r="N966" s="34"/>
      <c r="O966" s="34"/>
      <c r="P966" s="12" t="str">
        <f t="shared" si="1"/>
        <v>https://docs.google.com/forms/d/e/1FAIpQLSeZ-R1GrWlAPkfaThGqxeTj0QTtrARw4rroxIIepf2kipn1nw/formResponse?usp=pp_url&amp;entry.1313582257=0081527579 / 242510147&amp;entry.1578404635=Hadir</v>
      </c>
      <c r="Q966" s="23" t="s">
        <v>5119</v>
      </c>
      <c r="R966" s="12" t="s">
        <v>5120</v>
      </c>
      <c r="S966" s="24" t="s">
        <v>5121</v>
      </c>
      <c r="T966" s="23" t="str">
        <f>HYPERLINK("https://drive.google.com/file/d/1SFlmtBY0wTLkvSwSshsSM-bmv1Eoeeos/view?usp=drivesdk","32 - XI F-2 - Fx Arya Bima Saputra")</f>
        <v>32 - XI F-2 - Fx Arya Bima Saputra</v>
      </c>
      <c r="U966" s="12" t="s">
        <v>5096</v>
      </c>
      <c r="W966" s="25">
        <f>COUNTIFS('Form Presensi SCC'!$B:$B, IF($C966&lt;&gt;0, TEXT($C966, "0000000000"), $D966), 'Form Presensi SCC'!$C:$C, "Hadir")</f>
        <v>0</v>
      </c>
      <c r="Y966" s="26"/>
    </row>
    <row r="967" ht="22.5" customHeight="1">
      <c r="A967" s="18">
        <v>555.0</v>
      </c>
      <c r="B967" s="36">
        <v>15.0</v>
      </c>
      <c r="C967" s="18" t="s">
        <v>5122</v>
      </c>
      <c r="D967" s="36" t="s">
        <v>5123</v>
      </c>
      <c r="E967" s="37" t="s">
        <v>227</v>
      </c>
      <c r="F967" s="12">
        <v>32.0</v>
      </c>
      <c r="G967" s="12" t="s">
        <v>5052</v>
      </c>
      <c r="H967" s="29"/>
      <c r="I967" s="20"/>
      <c r="J967" s="10"/>
      <c r="K967" s="10" t="s">
        <v>5052</v>
      </c>
      <c r="L967" s="10"/>
      <c r="M967" s="35"/>
      <c r="N967" s="34"/>
      <c r="O967" s="34"/>
      <c r="P967" s="12" t="str">
        <f t="shared" si="1"/>
        <v>https://docs.google.com/forms/d/e/1FAIpQLSeZ-R1GrWlAPkfaThGqxeTj0QTtrARw4rroxIIepf2kipn1nw/formResponse?usp=pp_url&amp;entry.1313582257=3088903236 / 242510154&amp;entry.1578404635=Hadir</v>
      </c>
      <c r="Q967" s="23" t="s">
        <v>5124</v>
      </c>
      <c r="R967" s="12" t="s">
        <v>5125</v>
      </c>
      <c r="S967" s="24" t="s">
        <v>5126</v>
      </c>
      <c r="T967" s="23" t="str">
        <f>HYPERLINK("https://drive.google.com/file/d/1eM9PIHqE7EOB3LYr7_LAaNbE4jWvwor1/view?usp=drivesdk","32 - XI F-2 - Graceya Felisya Sinurat")</f>
        <v>32 - XI F-2 - Graceya Felisya Sinurat</v>
      </c>
      <c r="U967" s="12" t="s">
        <v>5096</v>
      </c>
      <c r="W967" s="25">
        <f>COUNTIFS('Form Presensi SCC'!$B:$B, IF($C967&lt;&gt;0, TEXT($C967, "0000000000"), $D967), 'Form Presensi SCC'!$C:$C, "Hadir")</f>
        <v>0</v>
      </c>
      <c r="Y967" s="26"/>
    </row>
    <row r="968" ht="22.5" customHeight="1">
      <c r="A968" s="18">
        <v>555.0</v>
      </c>
      <c r="B968" s="36">
        <v>16.0</v>
      </c>
      <c r="C968" s="18" t="s">
        <v>5127</v>
      </c>
      <c r="D968" s="36" t="s">
        <v>5128</v>
      </c>
      <c r="E968" s="37" t="s">
        <v>227</v>
      </c>
      <c r="F968" s="12">
        <v>32.0</v>
      </c>
      <c r="G968" s="12" t="s">
        <v>5052</v>
      </c>
      <c r="H968" s="29"/>
      <c r="I968" s="20"/>
      <c r="J968" s="10"/>
      <c r="K968" s="10" t="s">
        <v>5052</v>
      </c>
      <c r="L968" s="10"/>
      <c r="M968" s="35"/>
      <c r="N968" s="34"/>
      <c r="O968" s="34"/>
      <c r="P968" s="12" t="str">
        <f t="shared" si="1"/>
        <v>https://docs.google.com/forms/d/e/1FAIpQLSeZ-R1GrWlAPkfaThGqxeTj0QTtrARw4rroxIIepf2kipn1nw/formResponse?usp=pp_url&amp;entry.1313582257=0098700438 / 242510156&amp;entry.1578404635=Hadir</v>
      </c>
      <c r="Q968" s="23" t="s">
        <v>5129</v>
      </c>
      <c r="R968" s="12" t="s">
        <v>5130</v>
      </c>
      <c r="S968" s="24" t="s">
        <v>5131</v>
      </c>
      <c r="T968" s="23" t="str">
        <f>HYPERLINK("https://drive.google.com/file/d/1PRkkpOq7dWlmRmFlpUK0OSJdN56xW_qn/view?usp=drivesdk","32 - XI F-2 - Hadaya Bassam Faris Sawaftah")</f>
        <v>32 - XI F-2 - Hadaya Bassam Faris Sawaftah</v>
      </c>
      <c r="U968" s="12" t="s">
        <v>5096</v>
      </c>
      <c r="W968" s="25">
        <f>COUNTIFS('Form Presensi SCC'!$B:$B, IF($C968&lt;&gt;0, TEXT($C968, "0000000000"), $D968), 'Form Presensi SCC'!$C:$C, "Hadir")</f>
        <v>0</v>
      </c>
      <c r="Y968" s="26"/>
    </row>
    <row r="969" ht="22.5" customHeight="1">
      <c r="A969" s="18">
        <v>555.0</v>
      </c>
      <c r="B969" s="36">
        <v>17.0</v>
      </c>
      <c r="C969" s="18" t="s">
        <v>5132</v>
      </c>
      <c r="D969" s="36" t="s">
        <v>5133</v>
      </c>
      <c r="E969" s="37" t="s">
        <v>227</v>
      </c>
      <c r="F969" s="12">
        <v>32.0</v>
      </c>
      <c r="G969" s="12" t="s">
        <v>5052</v>
      </c>
      <c r="H969" s="29"/>
      <c r="I969" s="20"/>
      <c r="J969" s="10"/>
      <c r="K969" s="10" t="s">
        <v>5052</v>
      </c>
      <c r="L969" s="10"/>
      <c r="M969" s="35"/>
      <c r="N969" s="34"/>
      <c r="O969" s="34"/>
      <c r="P969" s="12" t="str">
        <f t="shared" si="1"/>
        <v>https://docs.google.com/forms/d/e/1FAIpQLSeZ-R1GrWlAPkfaThGqxeTj0QTtrARw4rroxIIepf2kipn1nw/formResponse?usp=pp_url&amp;entry.1313582257=0095159012 / 242510166&amp;entry.1578404635=Hadir</v>
      </c>
      <c r="Q969" s="23" t="s">
        <v>5134</v>
      </c>
      <c r="R969" s="12" t="s">
        <v>5135</v>
      </c>
      <c r="S969" s="24" t="s">
        <v>5136</v>
      </c>
      <c r="T969" s="23" t="str">
        <f>HYPERLINK("https://drive.google.com/file/d/1ERSWW78wegy_ZFXCbUGxb1LhZHadoysw/view?usp=drivesdk","32 - XI F-2 - Hilwa Zakiyyah")</f>
        <v>32 - XI F-2 - Hilwa Zakiyyah</v>
      </c>
      <c r="U969" s="12" t="s">
        <v>5137</v>
      </c>
      <c r="W969" s="25">
        <f>COUNTIFS('Form Presensi SCC'!$B:$B, IF($C969&lt;&gt;0, TEXT($C969, "0000000000"), $D969), 'Form Presensi SCC'!$C:$C, "Hadir")</f>
        <v>0</v>
      </c>
      <c r="Y969" s="26"/>
    </row>
    <row r="970" ht="22.5" customHeight="1">
      <c r="A970" s="18">
        <v>555.0</v>
      </c>
      <c r="B970" s="36">
        <v>18.0</v>
      </c>
      <c r="C970" s="18" t="s">
        <v>5138</v>
      </c>
      <c r="D970" s="36" t="s">
        <v>5139</v>
      </c>
      <c r="E970" s="37" t="s">
        <v>220</v>
      </c>
      <c r="F970" s="12">
        <v>32.0</v>
      </c>
      <c r="G970" s="12" t="s">
        <v>5052</v>
      </c>
      <c r="H970" s="29"/>
      <c r="I970" s="20"/>
      <c r="J970" s="10"/>
      <c r="K970" s="10" t="s">
        <v>5052</v>
      </c>
      <c r="L970" s="10"/>
      <c r="M970" s="35"/>
      <c r="N970" s="34"/>
      <c r="O970" s="34"/>
      <c r="P970" s="12" t="str">
        <f t="shared" si="1"/>
        <v>https://docs.google.com/forms/d/e/1FAIpQLSeZ-R1GrWlAPkfaThGqxeTj0QTtrARw4rroxIIepf2kipn1nw/formResponse?usp=pp_url&amp;entry.1313582257=0098994125 / 252611567&amp;entry.1578404635=Hadir</v>
      </c>
      <c r="Q970" s="23" t="s">
        <v>5140</v>
      </c>
      <c r="R970" s="12" t="s">
        <v>5141</v>
      </c>
      <c r="S970" s="24" t="s">
        <v>5142</v>
      </c>
      <c r="T970" s="23" t="str">
        <f>HYPERLINK("https://drive.google.com/file/d/1ynw9xhhNmMPt-kSloI-lrNvNAKyYsp_a/view?usp=drivesdk","32 - XI F-2 - Akhmad Kevin Ahdiansyah Lesmanu")</f>
        <v>32 - XI F-2 - Akhmad Kevin Ahdiansyah Lesmanu</v>
      </c>
      <c r="U970" s="12" t="s">
        <v>5137</v>
      </c>
      <c r="W970" s="25">
        <f>COUNTIFS('Form Presensi SCC'!$B:$B, IF($C970&lt;&gt;0, TEXT($C970, "0000000000"), $D970), 'Form Presensi SCC'!$C:$C, "Hadir")</f>
        <v>0</v>
      </c>
      <c r="Y970" s="26"/>
    </row>
    <row r="971" ht="22.5" customHeight="1">
      <c r="A971" s="18">
        <v>555.0</v>
      </c>
      <c r="B971" s="36">
        <v>19.0</v>
      </c>
      <c r="C971" s="18" t="s">
        <v>5143</v>
      </c>
      <c r="D971" s="36" t="s">
        <v>5144</v>
      </c>
      <c r="E971" s="37" t="s">
        <v>227</v>
      </c>
      <c r="F971" s="12">
        <v>32.0</v>
      </c>
      <c r="G971" s="12" t="s">
        <v>5052</v>
      </c>
      <c r="H971" s="29"/>
      <c r="I971" s="20"/>
      <c r="J971" s="10"/>
      <c r="K971" s="10" t="s">
        <v>5052</v>
      </c>
      <c r="L971" s="10"/>
      <c r="M971" s="35"/>
      <c r="N971" s="34"/>
      <c r="O971" s="34"/>
      <c r="P971" s="12" t="str">
        <f t="shared" si="1"/>
        <v>https://docs.google.com/forms/d/e/1FAIpQLSeZ-R1GrWlAPkfaThGqxeTj0QTtrARw4rroxIIepf2kipn1nw/formResponse?usp=pp_url&amp;entry.1313582257=0087336074 / 242510195&amp;entry.1578404635=Hadir</v>
      </c>
      <c r="Q971" s="23" t="s">
        <v>5145</v>
      </c>
      <c r="R971" s="12" t="s">
        <v>5146</v>
      </c>
      <c r="S971" s="24" t="s">
        <v>5147</v>
      </c>
      <c r="T971" s="23" t="str">
        <f>HYPERLINK("https://drive.google.com/file/d/1JdL55ZEh6gyO13o_UqRzeOgwDiAZk7QC/view?usp=drivesdk","32 - XI F-2 - Keysa Novasari")</f>
        <v>32 - XI F-2 - Keysa Novasari</v>
      </c>
      <c r="U971" s="12" t="s">
        <v>5137</v>
      </c>
      <c r="W971" s="25">
        <f>COUNTIFS('Form Presensi SCC'!$B:$B, IF($C971&lt;&gt;0, TEXT($C971, "0000000000"), $D971), 'Form Presensi SCC'!$C:$C, "Hadir")</f>
        <v>0</v>
      </c>
      <c r="Y971" s="26"/>
    </row>
    <row r="972" ht="22.5" customHeight="1">
      <c r="A972" s="18">
        <v>555.0</v>
      </c>
      <c r="B972" s="36">
        <v>20.0</v>
      </c>
      <c r="C972" s="18" t="s">
        <v>5148</v>
      </c>
      <c r="D972" s="36" t="s">
        <v>5149</v>
      </c>
      <c r="E972" s="37" t="s">
        <v>227</v>
      </c>
      <c r="F972" s="12">
        <v>32.0</v>
      </c>
      <c r="G972" s="12" t="s">
        <v>5052</v>
      </c>
      <c r="H972" s="29"/>
      <c r="I972" s="20"/>
      <c r="J972" s="10"/>
      <c r="K972" s="10" t="s">
        <v>5052</v>
      </c>
      <c r="L972" s="10"/>
      <c r="M972" s="35"/>
      <c r="N972" s="34"/>
      <c r="O972" s="34"/>
      <c r="P972" s="12" t="str">
        <f t="shared" si="1"/>
        <v>https://docs.google.com/forms/d/e/1FAIpQLSeZ-R1GrWlAPkfaThGqxeTj0QTtrARw4rroxIIepf2kipn1nw/formResponse?usp=pp_url&amp;entry.1313582257=0083317171 / 242510203&amp;entry.1578404635=Hadir</v>
      </c>
      <c r="Q972" s="23" t="s">
        <v>5150</v>
      </c>
      <c r="R972" s="12" t="s">
        <v>5151</v>
      </c>
      <c r="S972" s="24" t="s">
        <v>5152</v>
      </c>
      <c r="T972" s="23" t="str">
        <f>HYPERLINK("https://drive.google.com/file/d/1pOmbTLDejd4qyswmHWJ_4Anmre-FPtTE/view?usp=drivesdk","32 - XI F-2 - Khansaa Dhiyaa Aqiilaa")</f>
        <v>32 - XI F-2 - Khansaa Dhiyaa Aqiilaa</v>
      </c>
      <c r="U972" s="12" t="s">
        <v>5137</v>
      </c>
      <c r="W972" s="25">
        <f>COUNTIFS('Form Presensi SCC'!$B:$B, IF($C972&lt;&gt;0, TEXT($C972, "0000000000"), $D972), 'Form Presensi SCC'!$C:$C, "Hadir")</f>
        <v>0</v>
      </c>
      <c r="Y972" s="26"/>
    </row>
    <row r="973" ht="22.5" customHeight="1">
      <c r="A973" s="18">
        <v>555.0</v>
      </c>
      <c r="B973" s="36">
        <v>21.0</v>
      </c>
      <c r="C973" s="18" t="s">
        <v>5153</v>
      </c>
      <c r="D973" s="36" t="s">
        <v>5154</v>
      </c>
      <c r="E973" s="37" t="s">
        <v>220</v>
      </c>
      <c r="F973" s="12">
        <v>32.0</v>
      </c>
      <c r="G973" s="12" t="s">
        <v>5052</v>
      </c>
      <c r="H973" s="29"/>
      <c r="I973" s="20"/>
      <c r="J973" s="10"/>
      <c r="K973" s="10" t="s">
        <v>5052</v>
      </c>
      <c r="L973" s="10"/>
      <c r="M973" s="35"/>
      <c r="N973" s="34"/>
      <c r="O973" s="34"/>
      <c r="P973" s="12" t="str">
        <f t="shared" si="1"/>
        <v>https://docs.google.com/forms/d/e/1FAIpQLSeZ-R1GrWlAPkfaThGqxeTj0QTtrARw4rroxIIepf2kipn1nw/formResponse?usp=pp_url&amp;entry.1313582257=3081754398 / 242510219&amp;entry.1578404635=Hadir</v>
      </c>
      <c r="Q973" s="23" t="s">
        <v>5155</v>
      </c>
      <c r="R973" s="12" t="s">
        <v>5156</v>
      </c>
      <c r="S973" s="24" t="s">
        <v>5157</v>
      </c>
      <c r="T973" s="23" t="str">
        <f>HYPERLINK("https://drive.google.com/file/d/1KWDa0H-QvIm9ECrIuqOOmoSVJs0CPY7C/view?usp=drivesdk","32 - XI F-2 - M. Fauzan Aifa Hafizh")</f>
        <v>32 - XI F-2 - M. Fauzan Aifa Hafizh</v>
      </c>
      <c r="U973" s="12" t="s">
        <v>5137</v>
      </c>
      <c r="W973" s="25">
        <f>COUNTIFS('Form Presensi SCC'!$B:$B, IF($C973&lt;&gt;0, TEXT($C973, "0000000000"), $D973), 'Form Presensi SCC'!$C:$C, "Hadir")</f>
        <v>0</v>
      </c>
      <c r="Y973" s="26"/>
    </row>
    <row r="974" ht="22.5" customHeight="1">
      <c r="A974" s="18">
        <v>555.0</v>
      </c>
      <c r="B974" s="36">
        <v>22.0</v>
      </c>
      <c r="C974" s="18" t="s">
        <v>5158</v>
      </c>
      <c r="D974" s="36" t="s">
        <v>5159</v>
      </c>
      <c r="E974" s="37" t="s">
        <v>227</v>
      </c>
      <c r="F974" s="12">
        <v>32.0</v>
      </c>
      <c r="G974" s="12" t="s">
        <v>5052</v>
      </c>
      <c r="H974" s="29"/>
      <c r="I974" s="20"/>
      <c r="J974" s="10"/>
      <c r="K974" s="10" t="s">
        <v>5052</v>
      </c>
      <c r="L974" s="10"/>
      <c r="M974" s="35"/>
      <c r="N974" s="34"/>
      <c r="O974" s="34"/>
      <c r="P974" s="12" t="str">
        <f t="shared" si="1"/>
        <v>https://docs.google.com/forms/d/e/1FAIpQLSeZ-R1GrWlAPkfaThGqxeTj0QTtrARw4rroxIIepf2kipn1nw/formResponse?usp=pp_url&amp;entry.1313582257=0098773886 / 242510223&amp;entry.1578404635=Hadir</v>
      </c>
      <c r="Q974" s="23" t="s">
        <v>5160</v>
      </c>
      <c r="R974" s="12" t="s">
        <v>5161</v>
      </c>
      <c r="S974" s="24" t="s">
        <v>5162</v>
      </c>
      <c r="T974" s="23" t="str">
        <f>HYPERLINK("https://drive.google.com/file/d/14ihsXSYq0Q5gqzrAVPAsKbeI2uHo4SlY/view?usp=drivesdk","32 - XI F-2 - Malikah Putri Rafan")</f>
        <v>32 - XI F-2 - Malikah Putri Rafan</v>
      </c>
      <c r="U974" s="12" t="s">
        <v>5137</v>
      </c>
      <c r="W974" s="25">
        <f>COUNTIFS('Form Presensi SCC'!$B:$B, IF($C974&lt;&gt;0, TEXT($C974, "0000000000"), $D974), 'Form Presensi SCC'!$C:$C, "Hadir")</f>
        <v>0</v>
      </c>
      <c r="Y974" s="26"/>
    </row>
    <row r="975" ht="22.5" customHeight="1">
      <c r="A975" s="18">
        <v>555.0</v>
      </c>
      <c r="B975" s="36">
        <v>23.0</v>
      </c>
      <c r="C975" s="18" t="s">
        <v>129</v>
      </c>
      <c r="D975" s="36" t="s">
        <v>5163</v>
      </c>
      <c r="E975" s="37" t="s">
        <v>227</v>
      </c>
      <c r="F975" s="12">
        <v>32.0</v>
      </c>
      <c r="G975" s="12" t="s">
        <v>5052</v>
      </c>
      <c r="H975" s="29"/>
      <c r="I975" s="20"/>
      <c r="J975" s="10"/>
      <c r="K975" s="10" t="s">
        <v>5052</v>
      </c>
      <c r="L975" s="10"/>
      <c r="M975" s="35"/>
      <c r="N975" s="34"/>
      <c r="O975" s="34"/>
      <c r="P975" s="12" t="str">
        <f t="shared" si="1"/>
        <v>https://docs.google.com/forms/d/e/1FAIpQLSeZ-R1GrWlAPkfaThGqxeTj0QTtrARw4rroxIIepf2kipn1nw/formResponse?usp=pp_url&amp;entry.1313582257=0098848130 / 242510228&amp;entry.1578404635=Hadir</v>
      </c>
      <c r="Q975" s="23" t="s">
        <v>5164</v>
      </c>
      <c r="R975" s="12" t="s">
        <v>5165</v>
      </c>
      <c r="S975" s="24" t="s">
        <v>5166</v>
      </c>
      <c r="T975" s="23" t="str">
        <f>HYPERLINK("https://drive.google.com/file/d/1GsL1HoAf_J8xjcHIBFSXntQ2N5qLYhEA/view?usp=drivesdk","32 - XI F-2 - Maulida Maftuhah")</f>
        <v>32 - XI F-2 - Maulida Maftuhah</v>
      </c>
      <c r="U975" s="12" t="s">
        <v>5137</v>
      </c>
      <c r="W975" s="25">
        <f>COUNTIFS('Form Presensi SCC'!$B:$B, IF($C975&lt;&gt;0, TEXT($C975, "0000000000"), $D975), 'Form Presensi SCC'!$C:$C, "Hadir")</f>
        <v>1</v>
      </c>
      <c r="Y975" s="26"/>
    </row>
    <row r="976" ht="22.5" customHeight="1">
      <c r="A976" s="18">
        <v>555.0</v>
      </c>
      <c r="B976" s="36">
        <v>24.0</v>
      </c>
      <c r="C976" s="18" t="s">
        <v>5167</v>
      </c>
      <c r="D976" s="36" t="s">
        <v>5168</v>
      </c>
      <c r="E976" s="37" t="s">
        <v>227</v>
      </c>
      <c r="F976" s="12">
        <v>32.0</v>
      </c>
      <c r="G976" s="12" t="s">
        <v>5052</v>
      </c>
      <c r="H976" s="29"/>
      <c r="I976" s="20"/>
      <c r="J976" s="10"/>
      <c r="K976" s="10" t="s">
        <v>5052</v>
      </c>
      <c r="L976" s="10"/>
      <c r="M976" s="35"/>
      <c r="N976" s="34"/>
      <c r="O976" s="34"/>
      <c r="P976" s="12" t="str">
        <f t="shared" si="1"/>
        <v>https://docs.google.com/forms/d/e/1FAIpQLSeZ-R1GrWlAPkfaThGqxeTj0QTtrARw4rroxIIepf2kipn1nw/formResponse?usp=pp_url&amp;entry.1313582257=0086293694 / 242510229&amp;entry.1578404635=Hadir</v>
      </c>
      <c r="Q976" s="23" t="s">
        <v>5169</v>
      </c>
      <c r="R976" s="12" t="s">
        <v>5170</v>
      </c>
      <c r="S976" s="24" t="s">
        <v>5171</v>
      </c>
      <c r="T976" s="23" t="str">
        <f>HYPERLINK("https://drive.google.com/file/d/1xRJ2B1UNYgq95L_VpL_X_PJh9RP-ZL37/view?usp=drivesdk","32 - XI F-2 - Maykaila Aini Suryaningtyas Tamin")</f>
        <v>32 - XI F-2 - Maykaila Aini Suryaningtyas Tamin</v>
      </c>
      <c r="U976" s="12" t="s">
        <v>5172</v>
      </c>
      <c r="W976" s="25">
        <f>COUNTIFS('Form Presensi SCC'!$B:$B, IF($C976&lt;&gt;0, TEXT($C976, "0000000000"), $D976), 'Form Presensi SCC'!$C:$C, "Hadir")</f>
        <v>0</v>
      </c>
      <c r="Y976" s="26"/>
    </row>
    <row r="977" ht="22.5" customHeight="1">
      <c r="A977" s="18">
        <v>555.0</v>
      </c>
      <c r="B977" s="36">
        <v>25.0</v>
      </c>
      <c r="C977" s="18" t="s">
        <v>5173</v>
      </c>
      <c r="D977" s="36" t="s">
        <v>5174</v>
      </c>
      <c r="E977" s="37" t="s">
        <v>220</v>
      </c>
      <c r="F977" s="12">
        <v>32.0</v>
      </c>
      <c r="G977" s="12" t="s">
        <v>5052</v>
      </c>
      <c r="H977" s="29"/>
      <c r="I977" s="20"/>
      <c r="J977" s="10"/>
      <c r="K977" s="10" t="s">
        <v>5052</v>
      </c>
      <c r="L977" s="10"/>
      <c r="M977" s="35"/>
      <c r="N977" s="34"/>
      <c r="O977" s="34"/>
      <c r="P977" s="12" t="str">
        <f t="shared" si="1"/>
        <v>https://docs.google.com/forms/d/e/1FAIpQLSeZ-R1GrWlAPkfaThGqxeTj0QTtrARw4rroxIIepf2kipn1nw/formResponse?usp=pp_url&amp;entry.1313582257=0088667313 / 242510236&amp;entry.1578404635=Hadir</v>
      </c>
      <c r="Q977" s="23" t="s">
        <v>5175</v>
      </c>
      <c r="R977" s="12" t="s">
        <v>5176</v>
      </c>
      <c r="S977" s="24" t="s">
        <v>5177</v>
      </c>
      <c r="T977" s="23" t="str">
        <f>HYPERLINK("https://drive.google.com/file/d/12lH-KTphbWkYlEjwh6UeCoZtsscl_IdP/view?usp=drivesdk","32 - XI F-2 - Mochamad Farid Reza")</f>
        <v>32 - XI F-2 - Mochamad Farid Reza</v>
      </c>
      <c r="U977" s="12" t="s">
        <v>5172</v>
      </c>
      <c r="W977" s="25">
        <f>COUNTIFS('Form Presensi SCC'!$B:$B, IF($C977&lt;&gt;0, TEXT($C977, "0000000000"), $D977), 'Form Presensi SCC'!$C:$C, "Hadir")</f>
        <v>0</v>
      </c>
      <c r="Y977" s="26"/>
    </row>
    <row r="978" ht="22.5" customHeight="1">
      <c r="A978" s="18">
        <v>555.0</v>
      </c>
      <c r="B978" s="36">
        <v>26.0</v>
      </c>
      <c r="C978" s="18" t="s">
        <v>5178</v>
      </c>
      <c r="D978" s="36" t="s">
        <v>5179</v>
      </c>
      <c r="E978" s="37" t="s">
        <v>220</v>
      </c>
      <c r="F978" s="12">
        <v>32.0</v>
      </c>
      <c r="G978" s="12" t="s">
        <v>5052</v>
      </c>
      <c r="H978" s="29"/>
      <c r="I978" s="20"/>
      <c r="J978" s="10"/>
      <c r="K978" s="10" t="s">
        <v>5052</v>
      </c>
      <c r="L978" s="10"/>
      <c r="M978" s="35"/>
      <c r="N978" s="34"/>
      <c r="O978" s="34"/>
      <c r="P978" s="12" t="str">
        <f t="shared" si="1"/>
        <v>https://docs.google.com/forms/d/e/1FAIpQLSeZ-R1GrWlAPkfaThGqxeTj0QTtrARw4rroxIIepf2kipn1nw/formResponse?usp=pp_url&amp;entry.1313582257=0093423349 / 242510245&amp;entry.1578404635=Hadir</v>
      </c>
      <c r="Q978" s="23" t="s">
        <v>5180</v>
      </c>
      <c r="R978" s="12" t="s">
        <v>5181</v>
      </c>
      <c r="S978" s="24" t="s">
        <v>5182</v>
      </c>
      <c r="T978" s="23" t="str">
        <f>HYPERLINK("https://drive.google.com/file/d/196bX9sZASKWlIGi7dOz1uKn9omditKfB/view?usp=drivesdk","32 - XI F-2 - Muhamad Rizki Saputra")</f>
        <v>32 - XI F-2 - Muhamad Rizki Saputra</v>
      </c>
      <c r="U978" s="12" t="s">
        <v>5172</v>
      </c>
      <c r="W978" s="25">
        <f>COUNTIFS('Form Presensi SCC'!$B:$B, IF($C978&lt;&gt;0, TEXT($C978, "0000000000"), $D978), 'Form Presensi SCC'!$C:$C, "Hadir")</f>
        <v>0</v>
      </c>
      <c r="Y978" s="26"/>
    </row>
    <row r="979" ht="22.5" customHeight="1">
      <c r="A979" s="18">
        <v>555.0</v>
      </c>
      <c r="B979" s="36">
        <v>27.0</v>
      </c>
      <c r="C979" s="18" t="s">
        <v>5183</v>
      </c>
      <c r="D979" s="36" t="s">
        <v>5184</v>
      </c>
      <c r="E979" s="37" t="s">
        <v>220</v>
      </c>
      <c r="F979" s="12">
        <v>32.0</v>
      </c>
      <c r="G979" s="12" t="s">
        <v>5052</v>
      </c>
      <c r="H979" s="29"/>
      <c r="I979" s="20"/>
      <c r="J979" s="10"/>
      <c r="K979" s="10" t="s">
        <v>5052</v>
      </c>
      <c r="L979" s="10"/>
      <c r="M979" s="35"/>
      <c r="N979" s="34"/>
      <c r="O979" s="34"/>
      <c r="P979" s="12" t="str">
        <f t="shared" si="1"/>
        <v>https://docs.google.com/forms/d/e/1FAIpQLSeZ-R1GrWlAPkfaThGqxeTj0QTtrARw4rroxIIepf2kipn1nw/formResponse?usp=pp_url&amp;entry.1313582257=0089737965 / 242510247&amp;entry.1578404635=Hadir</v>
      </c>
      <c r="Q979" s="23" t="s">
        <v>5185</v>
      </c>
      <c r="R979" s="12" t="s">
        <v>5186</v>
      </c>
      <c r="S979" s="24" t="s">
        <v>5187</v>
      </c>
      <c r="T979" s="23" t="str">
        <f>HYPERLINK("https://drive.google.com/file/d/1-zvc8oz8sN8m1qhF11UAMwzR95l7Mj5N/view?usp=drivesdk","32 - XI F-2 - Muhamad Zidan")</f>
        <v>32 - XI F-2 - Muhamad Zidan</v>
      </c>
      <c r="U979" s="12" t="s">
        <v>5172</v>
      </c>
      <c r="W979" s="25">
        <f>COUNTIFS('Form Presensi SCC'!$B:$B, IF($C979&lt;&gt;0, TEXT($C979, "0000000000"), $D979), 'Form Presensi SCC'!$C:$C, "Hadir")</f>
        <v>0</v>
      </c>
      <c r="Y979" s="26"/>
    </row>
    <row r="980" ht="22.5" customHeight="1">
      <c r="A980" s="18">
        <v>555.0</v>
      </c>
      <c r="B980" s="36">
        <v>28.0</v>
      </c>
      <c r="C980" s="18" t="s">
        <v>5188</v>
      </c>
      <c r="D980" s="36" t="s">
        <v>5189</v>
      </c>
      <c r="E980" s="37" t="s">
        <v>220</v>
      </c>
      <c r="F980" s="12">
        <v>32.0</v>
      </c>
      <c r="G980" s="12" t="s">
        <v>5052</v>
      </c>
      <c r="H980" s="29"/>
      <c r="I980" s="20"/>
      <c r="J980" s="10"/>
      <c r="K980" s="10" t="s">
        <v>5052</v>
      </c>
      <c r="L980" s="10"/>
      <c r="M980" s="35"/>
      <c r="N980" s="34"/>
      <c r="O980" s="34"/>
      <c r="P980" s="12" t="str">
        <f t="shared" si="1"/>
        <v>https://docs.google.com/forms/d/e/1FAIpQLSeZ-R1GrWlAPkfaThGqxeTj0QTtrARw4rroxIIepf2kipn1nw/formResponse?usp=pp_url&amp;entry.1313582257=0091624427 / 242510249&amp;entry.1578404635=Hadir</v>
      </c>
      <c r="Q980" s="23" t="s">
        <v>5190</v>
      </c>
      <c r="R980" s="12" t="s">
        <v>5191</v>
      </c>
      <c r="S980" s="24" t="s">
        <v>5192</v>
      </c>
      <c r="T980" s="23" t="str">
        <f>HYPERLINK("https://drive.google.com/file/d/1QbhvdLb9tXkHcCzJ8eCSG8vY7e3yZbPT/view?usp=drivesdk","32 - XI F-2 - Muhammad Alfiansyah")</f>
        <v>32 - XI F-2 - Muhammad Alfiansyah</v>
      </c>
      <c r="U980" s="12" t="s">
        <v>5172</v>
      </c>
      <c r="W980" s="25">
        <f>COUNTIFS('Form Presensi SCC'!$B:$B, IF($C980&lt;&gt;0, TEXT($C980, "0000000000"), $D980), 'Form Presensi SCC'!$C:$C, "Hadir")</f>
        <v>0</v>
      </c>
      <c r="Y980" s="26"/>
    </row>
    <row r="981" ht="22.5" customHeight="1">
      <c r="A981" s="18">
        <v>555.0</v>
      </c>
      <c r="B981" s="36">
        <v>29.0</v>
      </c>
      <c r="C981" s="18" t="s">
        <v>5193</v>
      </c>
      <c r="D981" s="36" t="s">
        <v>5194</v>
      </c>
      <c r="E981" s="37" t="s">
        <v>220</v>
      </c>
      <c r="F981" s="12">
        <v>32.0</v>
      </c>
      <c r="G981" s="12" t="s">
        <v>5052</v>
      </c>
      <c r="H981" s="29"/>
      <c r="I981" s="20"/>
      <c r="J981" s="10"/>
      <c r="K981" s="10" t="s">
        <v>5052</v>
      </c>
      <c r="L981" s="10"/>
      <c r="M981" s="35"/>
      <c r="N981" s="34"/>
      <c r="O981" s="34"/>
      <c r="P981" s="12" t="str">
        <f t="shared" si="1"/>
        <v>https://docs.google.com/forms/d/e/1FAIpQLSeZ-R1GrWlAPkfaThGqxeTj0QTtrARw4rroxIIepf2kipn1nw/formResponse?usp=pp_url&amp;entry.1313582257=0083876462 / 242510267&amp;entry.1578404635=Hadir</v>
      </c>
      <c r="Q981" s="23" t="s">
        <v>5195</v>
      </c>
      <c r="R981" s="12" t="s">
        <v>5196</v>
      </c>
      <c r="S981" s="24" t="s">
        <v>5197</v>
      </c>
      <c r="T981" s="23" t="str">
        <f>HYPERLINK("https://drive.google.com/file/d/17mjLhrEmeoQu__pI0HfLkQPvX7wWnGWB/view?usp=drivesdk","32 - XI F-2 - Muhammad Hiroshi Ali Muzaffar")</f>
        <v>32 - XI F-2 - Muhammad Hiroshi Ali Muzaffar</v>
      </c>
      <c r="U981" s="12" t="s">
        <v>5172</v>
      </c>
      <c r="W981" s="25">
        <f>COUNTIFS('Form Presensi SCC'!$B:$B, IF($C981&lt;&gt;0, TEXT($C981, "0000000000"), $D981), 'Form Presensi SCC'!$C:$C, "Hadir")</f>
        <v>0</v>
      </c>
      <c r="Y981" s="26"/>
    </row>
    <row r="982" ht="22.5" customHeight="1">
      <c r="A982" s="18">
        <v>555.0</v>
      </c>
      <c r="B982" s="36">
        <v>31.0</v>
      </c>
      <c r="C982" s="18" t="s">
        <v>5198</v>
      </c>
      <c r="D982" s="36" t="s">
        <v>5199</v>
      </c>
      <c r="E982" s="37" t="s">
        <v>220</v>
      </c>
      <c r="F982" s="12">
        <v>32.0</v>
      </c>
      <c r="G982" s="12" t="s">
        <v>5052</v>
      </c>
      <c r="H982" s="29"/>
      <c r="I982" s="20"/>
      <c r="J982" s="10"/>
      <c r="K982" s="10" t="s">
        <v>5052</v>
      </c>
      <c r="L982" s="10"/>
      <c r="M982" s="35"/>
      <c r="N982" s="34"/>
      <c r="O982" s="34"/>
      <c r="P982" s="12" t="str">
        <f t="shared" si="1"/>
        <v>https://docs.google.com/forms/d/e/1FAIpQLSeZ-R1GrWlAPkfaThGqxeTj0QTtrARw4rroxIIepf2kipn1nw/formResponse?usp=pp_url&amp;entry.1313582257=0082604990 / 242510276&amp;entry.1578404635=Hadir</v>
      </c>
      <c r="Q982" s="23" t="s">
        <v>5200</v>
      </c>
      <c r="R982" s="12" t="s">
        <v>5201</v>
      </c>
      <c r="S982" s="24" t="s">
        <v>5202</v>
      </c>
      <c r="T982" s="23" t="str">
        <f>HYPERLINK("https://drive.google.com/file/d/18_A2hAwzqx2eGVR8HGIKAahNutfA394b/view?usp=drivesdk","32 - XI F-2 - Muhammad Royyan")</f>
        <v>32 - XI F-2 - Muhammad Royyan</v>
      </c>
      <c r="U982" s="12" t="s">
        <v>5172</v>
      </c>
      <c r="W982" s="25">
        <f>COUNTIFS('Form Presensi SCC'!$B:$B, IF($C982&lt;&gt;0, TEXT($C982, "0000000000"), $D982), 'Form Presensi SCC'!$C:$C, "Hadir")</f>
        <v>0</v>
      </c>
      <c r="Y982" s="26"/>
    </row>
    <row r="983" ht="22.5" customHeight="1">
      <c r="A983" s="18">
        <v>555.0</v>
      </c>
      <c r="B983" s="36">
        <v>32.0</v>
      </c>
      <c r="C983" s="18" t="s">
        <v>5203</v>
      </c>
      <c r="D983" s="36" t="s">
        <v>5204</v>
      </c>
      <c r="E983" s="37" t="s">
        <v>227</v>
      </c>
      <c r="F983" s="12">
        <v>32.0</v>
      </c>
      <c r="G983" s="12" t="s">
        <v>5052</v>
      </c>
      <c r="H983" s="29"/>
      <c r="I983" s="20"/>
      <c r="J983" s="10"/>
      <c r="K983" s="10" t="s">
        <v>5052</v>
      </c>
      <c r="L983" s="10"/>
      <c r="M983" s="35"/>
      <c r="N983" s="34"/>
      <c r="O983" s="34"/>
      <c r="P983" s="12" t="str">
        <f t="shared" si="1"/>
        <v>https://docs.google.com/forms/d/e/1FAIpQLSeZ-R1GrWlAPkfaThGqxeTj0QTtrARw4rroxIIepf2kipn1nw/formResponse?usp=pp_url&amp;entry.1313582257=0087043705 / 242510307&amp;entry.1578404635=Hadir</v>
      </c>
      <c r="Q983" s="23" t="s">
        <v>5205</v>
      </c>
      <c r="R983" s="12" t="s">
        <v>5206</v>
      </c>
      <c r="S983" s="24" t="s">
        <v>5207</v>
      </c>
      <c r="T983" s="23" t="str">
        <f>HYPERLINK("https://drive.google.com/file/d/1ycMGb6LaVrGmir_K7veL7ibaQrzG6PY-/view?usp=drivesdk","32 - XI F-2 - Nur Syifa Az Zahra")</f>
        <v>32 - XI F-2 - Nur Syifa Az Zahra</v>
      </c>
      <c r="U983" s="12" t="s">
        <v>5208</v>
      </c>
      <c r="W983" s="25">
        <f>COUNTIFS('Form Presensi SCC'!$B:$B, IF($C983&lt;&gt;0, TEXT($C983, "0000000000"), $D983), 'Form Presensi SCC'!$C:$C, "Hadir")</f>
        <v>0</v>
      </c>
      <c r="Y983" s="26"/>
    </row>
    <row r="984" ht="22.5" customHeight="1">
      <c r="A984" s="18">
        <v>555.0</v>
      </c>
      <c r="B984" s="36">
        <v>33.0</v>
      </c>
      <c r="C984" s="18" t="s">
        <v>5209</v>
      </c>
      <c r="D984" s="36" t="s">
        <v>5210</v>
      </c>
      <c r="E984" s="37" t="s">
        <v>227</v>
      </c>
      <c r="F984" s="12">
        <v>32.0</v>
      </c>
      <c r="G984" s="12" t="s">
        <v>5052</v>
      </c>
      <c r="H984" s="29"/>
      <c r="I984" s="20"/>
      <c r="J984" s="10"/>
      <c r="K984" s="10" t="s">
        <v>5052</v>
      </c>
      <c r="L984" s="10"/>
      <c r="M984" s="35"/>
      <c r="N984" s="34"/>
      <c r="O984" s="34"/>
      <c r="P984" s="12" t="str">
        <f t="shared" si="1"/>
        <v>https://docs.google.com/forms/d/e/1FAIpQLSeZ-R1GrWlAPkfaThGqxeTj0QTtrARw4rroxIIepf2kipn1nw/formResponse?usp=pp_url&amp;entry.1313582257=0081683598 / 242510316&amp;entry.1578404635=Hadir</v>
      </c>
      <c r="Q984" s="23" t="s">
        <v>5211</v>
      </c>
      <c r="R984" s="12" t="s">
        <v>5212</v>
      </c>
      <c r="S984" s="24" t="s">
        <v>5213</v>
      </c>
      <c r="T984" s="23" t="str">
        <f>HYPERLINK("https://drive.google.com/file/d/1_t-Yk_ZzGk_avRLv1o2bVEUj_dnkRwwO/view?usp=drivesdk","32 - XI F-2 - Puteri Kinnayya Saepudin")</f>
        <v>32 - XI F-2 - Puteri Kinnayya Saepudin</v>
      </c>
      <c r="U984" s="12" t="s">
        <v>5208</v>
      </c>
      <c r="W984" s="25">
        <f>COUNTIFS('Form Presensi SCC'!$B:$B, IF($C984&lt;&gt;0, TEXT($C984, "0000000000"), $D984), 'Form Presensi SCC'!$C:$C, "Hadir")</f>
        <v>0</v>
      </c>
      <c r="Y984" s="26"/>
    </row>
    <row r="985" ht="22.5" customHeight="1">
      <c r="A985" s="18">
        <v>555.0</v>
      </c>
      <c r="B985" s="36">
        <v>34.0</v>
      </c>
      <c r="C985" s="18" t="s">
        <v>5214</v>
      </c>
      <c r="D985" s="36" t="s">
        <v>5215</v>
      </c>
      <c r="E985" s="37" t="s">
        <v>220</v>
      </c>
      <c r="F985" s="12">
        <v>32.0</v>
      </c>
      <c r="G985" s="12" t="s">
        <v>5052</v>
      </c>
      <c r="H985" s="29"/>
      <c r="I985" s="20"/>
      <c r="J985" s="10"/>
      <c r="K985" s="10" t="s">
        <v>5052</v>
      </c>
      <c r="L985" s="10"/>
      <c r="M985" s="35"/>
      <c r="N985" s="34"/>
      <c r="O985" s="34"/>
      <c r="P985" s="12" t="str">
        <f t="shared" si="1"/>
        <v>https://docs.google.com/forms/d/e/1FAIpQLSeZ-R1GrWlAPkfaThGqxeTj0QTtrARw4rroxIIepf2kipn1nw/formResponse?usp=pp_url&amp;entry.1313582257=0094092301 / 252611572&amp;entry.1578404635=Hadir</v>
      </c>
      <c r="Q985" s="23" t="s">
        <v>5216</v>
      </c>
      <c r="R985" s="12" t="s">
        <v>5217</v>
      </c>
      <c r="S985" s="24" t="s">
        <v>5218</v>
      </c>
      <c r="T985" s="23" t="str">
        <f>HYPERLINK("https://drive.google.com/file/d/1Cax-EwnM33g8DFrB5nBN7jyANTbgK3Ul/view?usp=drivesdk","32 - XI F-2 - Raja Gilang Faizin")</f>
        <v>32 - XI F-2 - Raja Gilang Faizin</v>
      </c>
      <c r="U985" s="12" t="s">
        <v>5208</v>
      </c>
      <c r="W985" s="25">
        <f>COUNTIFS('Form Presensi SCC'!$B:$B, IF($C985&lt;&gt;0, TEXT($C985, "0000000000"), $D985), 'Form Presensi SCC'!$C:$C, "Hadir")</f>
        <v>0</v>
      </c>
      <c r="Y985" s="26"/>
    </row>
    <row r="986" ht="22.5" customHeight="1">
      <c r="A986" s="18">
        <v>555.0</v>
      </c>
      <c r="B986" s="36">
        <v>35.0</v>
      </c>
      <c r="C986" s="18" t="s">
        <v>5219</v>
      </c>
      <c r="D986" s="36" t="s">
        <v>5220</v>
      </c>
      <c r="E986" s="37" t="s">
        <v>227</v>
      </c>
      <c r="F986" s="12">
        <v>32.0</v>
      </c>
      <c r="G986" s="12" t="s">
        <v>5052</v>
      </c>
      <c r="H986" s="29"/>
      <c r="I986" s="20"/>
      <c r="J986" s="10"/>
      <c r="K986" s="10" t="s">
        <v>5052</v>
      </c>
      <c r="L986" s="10"/>
      <c r="M986" s="35"/>
      <c r="N986" s="34"/>
      <c r="O986" s="34"/>
      <c r="P986" s="12" t="str">
        <f t="shared" si="1"/>
        <v>https://docs.google.com/forms/d/e/1FAIpQLSeZ-R1GrWlAPkfaThGqxeTj0QTtrARw4rroxIIepf2kipn1nw/formResponse?usp=pp_url&amp;entry.1313582257=0092685479 / 252611573&amp;entry.1578404635=Hadir</v>
      </c>
      <c r="Q986" s="23" t="s">
        <v>5221</v>
      </c>
      <c r="R986" s="12" t="s">
        <v>5222</v>
      </c>
      <c r="S986" s="24" t="s">
        <v>5223</v>
      </c>
      <c r="T986" s="23" t="str">
        <f>HYPERLINK("https://drive.google.com/file/d/1Nma27W39-7O2HkNUR0TxmreAT0MoDd5-/view?usp=drivesdk","32 - XI F-2 - Randacaya Hada Sangadji")</f>
        <v>32 - XI F-2 - Randacaya Hada Sangadji</v>
      </c>
      <c r="U986" s="12" t="s">
        <v>5208</v>
      </c>
      <c r="W986" s="25">
        <f>COUNTIFS('Form Presensi SCC'!$B:$B, IF($C986&lt;&gt;0, TEXT($C986, "0000000000"), $D986), 'Form Presensi SCC'!$C:$C, "Hadir")</f>
        <v>0</v>
      </c>
      <c r="Y986" s="26"/>
    </row>
    <row r="987" ht="22.5" customHeight="1">
      <c r="A987" s="18">
        <v>555.0</v>
      </c>
      <c r="B987" s="36">
        <v>36.0</v>
      </c>
      <c r="C987" s="18" t="s">
        <v>5224</v>
      </c>
      <c r="D987" s="36" t="s">
        <v>5225</v>
      </c>
      <c r="E987" s="37" t="s">
        <v>227</v>
      </c>
      <c r="F987" s="12">
        <v>32.0</v>
      </c>
      <c r="G987" s="12" t="s">
        <v>5052</v>
      </c>
      <c r="H987" s="29"/>
      <c r="I987" s="20"/>
      <c r="J987" s="10"/>
      <c r="K987" s="10" t="s">
        <v>5052</v>
      </c>
      <c r="L987" s="10"/>
      <c r="M987" s="35"/>
      <c r="N987" s="34"/>
      <c r="O987" s="34"/>
      <c r="P987" s="12" t="str">
        <f t="shared" si="1"/>
        <v>https://docs.google.com/forms/d/e/1FAIpQLSeZ-R1GrWlAPkfaThGqxeTj0QTtrARw4rroxIIepf2kipn1nw/formResponse?usp=pp_url&amp;entry.1313582257=0095319720 / 242510364&amp;entry.1578404635=Hadir</v>
      </c>
      <c r="Q987" s="23" t="s">
        <v>5226</v>
      </c>
      <c r="R987" s="12" t="s">
        <v>5227</v>
      </c>
      <c r="S987" s="24" t="s">
        <v>5228</v>
      </c>
      <c r="T987" s="23" t="str">
        <f>HYPERLINK("https://drive.google.com/file/d/1miPAL_yPRK6BbLnc2MLrLAddMTUHu8Ss/view?usp=drivesdk","32 - XI F-2 - Sakinah Nasution")</f>
        <v>32 - XI F-2 - Sakinah Nasution</v>
      </c>
      <c r="U987" s="12" t="s">
        <v>5208</v>
      </c>
      <c r="W987" s="25">
        <f>COUNTIFS('Form Presensi SCC'!$B:$B, IF($C987&lt;&gt;0, TEXT($C987, "0000000000"), $D987), 'Form Presensi SCC'!$C:$C, "Hadir")</f>
        <v>0</v>
      </c>
      <c r="Y987" s="26"/>
    </row>
    <row r="988" ht="22.5" customHeight="1">
      <c r="A988" s="18">
        <v>555.0</v>
      </c>
      <c r="B988" s="36">
        <v>37.0</v>
      </c>
      <c r="C988" s="18" t="s">
        <v>5229</v>
      </c>
      <c r="D988" s="36" t="s">
        <v>5230</v>
      </c>
      <c r="E988" s="37" t="s">
        <v>227</v>
      </c>
      <c r="F988" s="12">
        <v>32.0</v>
      </c>
      <c r="G988" s="12" t="s">
        <v>5052</v>
      </c>
      <c r="H988" s="29"/>
      <c r="I988" s="20"/>
      <c r="J988" s="10"/>
      <c r="K988" s="10" t="s">
        <v>5052</v>
      </c>
      <c r="L988" s="10"/>
      <c r="M988" s="35"/>
      <c r="N988" s="34"/>
      <c r="O988" s="34"/>
      <c r="P988" s="12" t="str">
        <f t="shared" si="1"/>
        <v>https://docs.google.com/forms/d/e/1FAIpQLSeZ-R1GrWlAPkfaThGqxeTj0QTtrARw4rroxIIepf2kipn1nw/formResponse?usp=pp_url&amp;entry.1313582257=0084006956 / 242510400&amp;entry.1578404635=Hadir</v>
      </c>
      <c r="Q988" s="23" t="s">
        <v>5231</v>
      </c>
      <c r="R988" s="12" t="s">
        <v>5232</v>
      </c>
      <c r="S988" s="24" t="s">
        <v>5233</v>
      </c>
      <c r="T988" s="23" t="str">
        <f>HYPERLINK("https://drive.google.com/file/d/1XutWAJV2EODR2OeXMHgARHH-IxMxQkD6/view?usp=drivesdk","32 - XI F-2 - Tiara Thalita Dzaky")</f>
        <v>32 - XI F-2 - Tiara Thalita Dzaky</v>
      </c>
      <c r="U988" s="12" t="s">
        <v>5208</v>
      </c>
      <c r="W988" s="25">
        <f>COUNTIFS('Form Presensi SCC'!$B:$B, IF($C988&lt;&gt;0, TEXT($C988, "0000000000"), $D988), 'Form Presensi SCC'!$C:$C, "Hadir")</f>
        <v>0</v>
      </c>
      <c r="Y988" s="26"/>
    </row>
    <row r="989" ht="22.5" customHeight="1">
      <c r="A989" s="18"/>
      <c r="B989" s="36"/>
      <c r="C989" s="36"/>
      <c r="D989" s="36"/>
      <c r="E989" s="36"/>
      <c r="F989" s="12"/>
      <c r="G989" s="12"/>
      <c r="H989" s="29"/>
      <c r="I989" s="20"/>
      <c r="J989" s="10"/>
      <c r="K989" s="10"/>
      <c r="L989" s="10"/>
      <c r="M989" s="35"/>
      <c r="N989" s="34"/>
      <c r="O989" s="34"/>
      <c r="P989" s="12"/>
      <c r="Q989" s="39" t="s">
        <v>5234</v>
      </c>
      <c r="R989" s="39"/>
      <c r="S989" s="39"/>
      <c r="T989" s="39"/>
      <c r="U989" s="39"/>
      <c r="Y989" s="26"/>
    </row>
    <row r="990" ht="22.5" customHeight="1">
      <c r="A990" s="18"/>
      <c r="B990" s="36"/>
      <c r="C990" s="36"/>
      <c r="D990" s="36"/>
      <c r="E990" s="36"/>
      <c r="F990" s="12"/>
      <c r="G990" s="12"/>
      <c r="H990" s="29"/>
      <c r="I990" s="20"/>
      <c r="J990" s="10"/>
      <c r="K990" s="10"/>
      <c r="L990" s="10"/>
      <c r="M990" s="35"/>
      <c r="N990" s="34"/>
      <c r="O990" s="34"/>
      <c r="P990" s="12"/>
      <c r="Q990" s="39" t="s">
        <v>5234</v>
      </c>
      <c r="R990" s="39"/>
      <c r="S990" s="39"/>
      <c r="T990" s="39"/>
      <c r="U990" s="39"/>
      <c r="Y990" s="26"/>
    </row>
    <row r="991" ht="22.5" customHeight="1">
      <c r="A991" s="18"/>
      <c r="B991" s="36"/>
      <c r="C991" s="36"/>
      <c r="D991" s="36"/>
      <c r="E991" s="36"/>
      <c r="F991" s="12"/>
      <c r="G991" s="12"/>
      <c r="H991" s="29"/>
      <c r="I991" s="20"/>
      <c r="J991" s="10"/>
      <c r="K991" s="10"/>
      <c r="L991" s="10"/>
      <c r="M991" s="35"/>
      <c r="N991" s="34"/>
      <c r="O991" s="34"/>
      <c r="P991" s="12"/>
      <c r="Q991" s="39" t="s">
        <v>5234</v>
      </c>
      <c r="R991" s="39"/>
      <c r="S991" s="39"/>
      <c r="T991" s="39"/>
      <c r="U991" s="39"/>
      <c r="Y991" s="26"/>
    </row>
    <row r="992" ht="22.5" customHeight="1">
      <c r="A992" s="18"/>
      <c r="B992" s="36"/>
      <c r="C992" s="36"/>
      <c r="D992" s="36"/>
      <c r="E992" s="36"/>
      <c r="F992" s="12"/>
      <c r="G992" s="12"/>
      <c r="H992" s="29"/>
      <c r="I992" s="20"/>
      <c r="J992" s="10"/>
      <c r="K992" s="10"/>
      <c r="L992" s="10"/>
      <c r="M992" s="35"/>
      <c r="N992" s="34"/>
      <c r="O992" s="34"/>
      <c r="P992" s="12"/>
      <c r="Q992" s="39" t="s">
        <v>5234</v>
      </c>
      <c r="R992" s="39"/>
      <c r="S992" s="39"/>
      <c r="T992" s="39"/>
      <c r="U992" s="39"/>
      <c r="Y992" s="26"/>
    </row>
    <row r="993" ht="22.5" customHeight="1">
      <c r="A993" s="18"/>
      <c r="B993" s="36"/>
      <c r="C993" s="36"/>
      <c r="D993" s="36"/>
      <c r="E993" s="36"/>
      <c r="F993" s="12"/>
      <c r="G993" s="12"/>
      <c r="H993" s="29"/>
      <c r="I993" s="20"/>
      <c r="J993" s="10"/>
      <c r="K993" s="10"/>
      <c r="L993" s="10"/>
      <c r="M993" s="35"/>
      <c r="N993" s="34"/>
      <c r="O993" s="34"/>
      <c r="P993" s="12"/>
      <c r="Q993" s="39" t="s">
        <v>5234</v>
      </c>
      <c r="R993" s="39"/>
      <c r="S993" s="39"/>
      <c r="T993" s="39"/>
      <c r="U993" s="39"/>
      <c r="Y993" s="26"/>
    </row>
    <row r="994" ht="22.5" customHeight="1">
      <c r="A994" s="18"/>
      <c r="B994" s="36"/>
      <c r="C994" s="36"/>
      <c r="D994" s="36"/>
      <c r="E994" s="36"/>
      <c r="F994" s="12"/>
      <c r="G994" s="12"/>
      <c r="H994" s="29"/>
      <c r="I994" s="20"/>
      <c r="J994" s="10"/>
      <c r="K994" s="10"/>
      <c r="L994" s="10"/>
      <c r="M994" s="35"/>
      <c r="N994" s="34"/>
      <c r="O994" s="34"/>
      <c r="P994" s="12"/>
      <c r="Q994" s="39" t="s">
        <v>5234</v>
      </c>
      <c r="R994" s="39"/>
      <c r="S994" s="39"/>
      <c r="T994" s="39"/>
      <c r="U994" s="39"/>
      <c r="Y994" s="26"/>
    </row>
    <row r="995" ht="22.5" customHeight="1">
      <c r="A995" s="18"/>
      <c r="B995" s="36"/>
      <c r="C995" s="36"/>
      <c r="D995" s="36"/>
      <c r="E995" s="36"/>
      <c r="F995" s="12"/>
      <c r="G995" s="12"/>
      <c r="H995" s="29"/>
      <c r="I995" s="20"/>
      <c r="J995" s="10"/>
      <c r="K995" s="10"/>
      <c r="L995" s="10"/>
      <c r="M995" s="35"/>
      <c r="N995" s="34"/>
      <c r="O995" s="34"/>
      <c r="P995" s="12"/>
      <c r="Q995" s="39" t="s">
        <v>5234</v>
      </c>
      <c r="R995" s="39"/>
      <c r="S995" s="39"/>
      <c r="T995" s="39"/>
      <c r="U995" s="39"/>
      <c r="Y995" s="26"/>
    </row>
    <row r="996" ht="22.5" customHeight="1">
      <c r="A996" s="18"/>
      <c r="B996" s="36"/>
      <c r="C996" s="36"/>
      <c r="D996" s="36"/>
      <c r="E996" s="36"/>
      <c r="F996" s="12"/>
      <c r="G996" s="12"/>
      <c r="H996" s="29"/>
      <c r="I996" s="20"/>
      <c r="J996" s="10"/>
      <c r="K996" s="10"/>
      <c r="L996" s="10"/>
      <c r="M996" s="35"/>
      <c r="N996" s="34"/>
      <c r="O996" s="34"/>
      <c r="P996" s="12"/>
      <c r="Q996" s="39" t="s">
        <v>5234</v>
      </c>
      <c r="R996" s="39"/>
      <c r="S996" s="39"/>
      <c r="T996" s="39"/>
      <c r="U996" s="39"/>
      <c r="Y996" s="26"/>
    </row>
    <row r="997" ht="22.5" customHeight="1">
      <c r="A997" s="18"/>
      <c r="B997" s="36"/>
      <c r="C997" s="36"/>
      <c r="D997" s="36"/>
      <c r="E997" s="36"/>
      <c r="F997" s="12"/>
      <c r="G997" s="12"/>
      <c r="H997" s="29"/>
      <c r="I997" s="20"/>
      <c r="J997" s="10"/>
      <c r="K997" s="10"/>
      <c r="L997" s="10"/>
      <c r="M997" s="35"/>
      <c r="N997" s="34"/>
      <c r="O997" s="34"/>
      <c r="P997" s="12"/>
      <c r="Q997" s="39" t="s">
        <v>5234</v>
      </c>
      <c r="R997" s="39"/>
      <c r="S997" s="39"/>
      <c r="T997" s="39"/>
      <c r="U997" s="39"/>
      <c r="Y997" s="26"/>
    </row>
    <row r="998" ht="22.5" customHeight="1">
      <c r="A998" s="18"/>
      <c r="B998" s="36"/>
      <c r="C998" s="36"/>
      <c r="D998" s="36"/>
      <c r="E998" s="36"/>
      <c r="F998" s="12"/>
      <c r="G998" s="12"/>
      <c r="H998" s="29"/>
      <c r="I998" s="20"/>
      <c r="J998" s="10"/>
      <c r="K998" s="10"/>
      <c r="L998" s="10"/>
      <c r="M998" s="35"/>
      <c r="N998" s="34"/>
      <c r="O998" s="34"/>
      <c r="P998" s="12"/>
      <c r="Q998" s="39" t="s">
        <v>5234</v>
      </c>
      <c r="R998" s="39"/>
      <c r="S998" s="39"/>
      <c r="T998" s="39"/>
      <c r="U998" s="39"/>
      <c r="Y998" s="26"/>
    </row>
    <row r="999" ht="22.5" customHeight="1">
      <c r="A999" s="18"/>
      <c r="B999" s="36"/>
      <c r="C999" s="36"/>
      <c r="D999" s="36"/>
      <c r="E999" s="36"/>
      <c r="F999" s="12"/>
      <c r="G999" s="12"/>
      <c r="H999" s="29"/>
      <c r="I999" s="20"/>
      <c r="J999" s="10"/>
      <c r="K999" s="10"/>
      <c r="L999" s="10"/>
      <c r="M999" s="35"/>
      <c r="N999" s="34"/>
      <c r="O999" s="34"/>
      <c r="P999" s="12"/>
      <c r="Q999" s="39" t="s">
        <v>5234</v>
      </c>
      <c r="R999" s="39"/>
      <c r="S999" s="39"/>
      <c r="T999" s="39"/>
      <c r="U999" s="39"/>
      <c r="Y999" s="26"/>
    </row>
    <row r="1000" ht="22.5" customHeight="1">
      <c r="A1000" s="18"/>
      <c r="B1000" s="36"/>
      <c r="C1000" s="36"/>
      <c r="D1000" s="36"/>
      <c r="E1000" s="36"/>
      <c r="F1000" s="12"/>
      <c r="G1000" s="12"/>
      <c r="H1000" s="29"/>
      <c r="I1000" s="20"/>
      <c r="J1000" s="10"/>
      <c r="K1000" s="10"/>
      <c r="L1000" s="10"/>
      <c r="M1000" s="35"/>
      <c r="N1000" s="34"/>
      <c r="O1000" s="34"/>
      <c r="P1000" s="12"/>
      <c r="Q1000" s="39" t="s">
        <v>5234</v>
      </c>
      <c r="R1000" s="39"/>
      <c r="S1000" s="39"/>
      <c r="T1000" s="39"/>
      <c r="U1000" s="39"/>
      <c r="Y1000" s="26"/>
    </row>
    <row r="1001" ht="22.5" customHeight="1">
      <c r="A1001" s="18"/>
      <c r="B1001" s="36"/>
      <c r="C1001" s="36"/>
      <c r="D1001" s="36"/>
      <c r="E1001" s="36"/>
      <c r="F1001" s="12"/>
      <c r="G1001" s="12"/>
      <c r="H1001" s="29"/>
      <c r="I1001" s="20"/>
      <c r="J1001" s="10"/>
      <c r="K1001" s="10"/>
      <c r="L1001" s="10"/>
      <c r="M1001" s="35"/>
      <c r="N1001" s="34"/>
      <c r="O1001" s="34"/>
      <c r="P1001" s="12"/>
      <c r="Q1001" s="39" t="s">
        <v>5234</v>
      </c>
      <c r="R1001" s="39"/>
      <c r="S1001" s="39"/>
      <c r="T1001" s="39"/>
      <c r="U1001" s="39"/>
      <c r="Y1001" s="26"/>
    </row>
    <row r="1002" ht="22.5" customHeight="1">
      <c r="A1002" s="18"/>
      <c r="B1002" s="36"/>
      <c r="C1002" s="36"/>
      <c r="D1002" s="36"/>
      <c r="E1002" s="36"/>
      <c r="F1002" s="12"/>
      <c r="G1002" s="12"/>
      <c r="H1002" s="29"/>
      <c r="I1002" s="20"/>
      <c r="J1002" s="10"/>
      <c r="K1002" s="10"/>
      <c r="L1002" s="10"/>
      <c r="M1002" s="35"/>
      <c r="N1002" s="34"/>
      <c r="O1002" s="34"/>
      <c r="P1002" s="12"/>
      <c r="Q1002" s="39" t="s">
        <v>5234</v>
      </c>
      <c r="R1002" s="39"/>
      <c r="S1002" s="39"/>
      <c r="T1002" s="39"/>
      <c r="U1002" s="39"/>
      <c r="Y1002" s="26"/>
    </row>
    <row r="1003" ht="22.5" customHeight="1">
      <c r="A1003" s="18"/>
      <c r="B1003" s="36"/>
      <c r="C1003" s="36"/>
      <c r="D1003" s="36"/>
      <c r="E1003" s="36"/>
      <c r="F1003" s="12"/>
      <c r="G1003" s="12"/>
      <c r="H1003" s="29"/>
      <c r="I1003" s="20"/>
      <c r="J1003" s="10"/>
      <c r="K1003" s="10"/>
      <c r="L1003" s="10"/>
      <c r="M1003" s="35"/>
      <c r="N1003" s="34"/>
      <c r="O1003" s="34"/>
      <c r="P1003" s="12"/>
      <c r="Q1003" s="39" t="s">
        <v>5234</v>
      </c>
      <c r="R1003" s="39"/>
      <c r="S1003" s="39"/>
      <c r="T1003" s="39"/>
      <c r="U1003" s="39"/>
      <c r="Y1003" s="26"/>
    </row>
    <row r="1004" ht="22.5" customHeight="1">
      <c r="A1004" s="18"/>
      <c r="B1004" s="36"/>
      <c r="C1004" s="36"/>
      <c r="D1004" s="36"/>
      <c r="E1004" s="36"/>
      <c r="F1004" s="12"/>
      <c r="G1004" s="12"/>
      <c r="H1004" s="29"/>
      <c r="I1004" s="20"/>
      <c r="J1004" s="10"/>
      <c r="K1004" s="10"/>
      <c r="L1004" s="10"/>
      <c r="M1004" s="35"/>
      <c r="N1004" s="34"/>
      <c r="O1004" s="34"/>
      <c r="P1004" s="12"/>
      <c r="Q1004" s="39" t="s">
        <v>5234</v>
      </c>
      <c r="R1004" s="39"/>
      <c r="S1004" s="39"/>
      <c r="T1004" s="39"/>
      <c r="U1004" s="39"/>
      <c r="Y1004" s="26"/>
    </row>
    <row r="1005" ht="22.5" customHeight="1">
      <c r="A1005" s="18"/>
      <c r="B1005" s="36"/>
      <c r="C1005" s="36"/>
      <c r="D1005" s="36"/>
      <c r="E1005" s="36"/>
      <c r="F1005" s="12"/>
      <c r="G1005" s="12"/>
      <c r="H1005" s="29"/>
      <c r="I1005" s="20"/>
      <c r="J1005" s="10"/>
      <c r="K1005" s="10"/>
      <c r="L1005" s="10"/>
      <c r="M1005" s="35"/>
      <c r="N1005" s="34"/>
      <c r="O1005" s="34"/>
      <c r="P1005" s="12"/>
      <c r="Q1005" s="39" t="s">
        <v>5234</v>
      </c>
      <c r="R1005" s="39"/>
      <c r="S1005" s="39"/>
      <c r="T1005" s="39"/>
      <c r="U1005" s="39"/>
      <c r="Y1005" s="26"/>
    </row>
    <row r="1006" ht="22.5" customHeight="1">
      <c r="A1006" s="18"/>
      <c r="B1006" s="36"/>
      <c r="C1006" s="36"/>
      <c r="D1006" s="36"/>
      <c r="E1006" s="36"/>
      <c r="F1006" s="12"/>
      <c r="G1006" s="12"/>
      <c r="H1006" s="29"/>
      <c r="I1006" s="20"/>
      <c r="J1006" s="10"/>
      <c r="K1006" s="10"/>
      <c r="L1006" s="10"/>
      <c r="M1006" s="35"/>
      <c r="N1006" s="34"/>
      <c r="O1006" s="34"/>
      <c r="P1006" s="12"/>
      <c r="Q1006" s="39" t="s">
        <v>5234</v>
      </c>
      <c r="R1006" s="39"/>
      <c r="S1006" s="39"/>
      <c r="T1006" s="39"/>
      <c r="U1006" s="39"/>
      <c r="Y1006" s="26"/>
    </row>
    <row r="1007" ht="22.5" customHeight="1">
      <c r="A1007" s="18"/>
      <c r="B1007" s="36"/>
      <c r="C1007" s="36"/>
      <c r="D1007" s="36"/>
      <c r="E1007" s="36"/>
      <c r="F1007" s="12"/>
      <c r="G1007" s="12"/>
      <c r="H1007" s="29"/>
      <c r="I1007" s="20"/>
      <c r="J1007" s="10"/>
      <c r="K1007" s="10"/>
      <c r="L1007" s="10"/>
      <c r="M1007" s="35"/>
      <c r="N1007" s="34"/>
      <c r="O1007" s="34"/>
      <c r="P1007" s="12"/>
      <c r="Q1007" s="39" t="s">
        <v>5234</v>
      </c>
      <c r="R1007" s="39"/>
      <c r="S1007" s="39"/>
      <c r="T1007" s="39"/>
      <c r="U1007" s="39"/>
      <c r="Y1007" s="26"/>
    </row>
    <row r="1008" ht="22.5" customHeight="1">
      <c r="A1008" s="18"/>
      <c r="B1008" s="36"/>
      <c r="C1008" s="36"/>
      <c r="D1008" s="36"/>
      <c r="E1008" s="36"/>
      <c r="F1008" s="12"/>
      <c r="G1008" s="12"/>
      <c r="H1008" s="29"/>
      <c r="I1008" s="20"/>
      <c r="J1008" s="10"/>
      <c r="K1008" s="10"/>
      <c r="L1008" s="10"/>
      <c r="M1008" s="35"/>
      <c r="N1008" s="34"/>
      <c r="O1008" s="34"/>
      <c r="P1008" s="12"/>
      <c r="Q1008" s="39" t="s">
        <v>5234</v>
      </c>
      <c r="R1008" s="39"/>
      <c r="S1008" s="39"/>
      <c r="T1008" s="39"/>
      <c r="U1008" s="39"/>
      <c r="Y1008" s="26"/>
    </row>
    <row r="1009" ht="22.5" customHeight="1">
      <c r="A1009" s="18"/>
      <c r="B1009" s="36"/>
      <c r="C1009" s="36"/>
      <c r="D1009" s="36"/>
      <c r="E1009" s="36"/>
      <c r="F1009" s="12"/>
      <c r="G1009" s="12"/>
      <c r="H1009" s="29"/>
      <c r="I1009" s="20"/>
      <c r="J1009" s="10"/>
      <c r="K1009" s="10"/>
      <c r="L1009" s="10"/>
      <c r="M1009" s="35"/>
      <c r="N1009" s="34"/>
      <c r="O1009" s="34"/>
      <c r="P1009" s="12"/>
      <c r="Q1009" s="39" t="s">
        <v>5234</v>
      </c>
      <c r="R1009" s="39"/>
      <c r="S1009" s="39"/>
      <c r="T1009" s="39"/>
      <c r="U1009" s="39"/>
      <c r="Y1009" s="26"/>
    </row>
    <row r="1010" ht="22.5" customHeight="1">
      <c r="A1010" s="18"/>
      <c r="B1010" s="36"/>
      <c r="C1010" s="36"/>
      <c r="D1010" s="36"/>
      <c r="E1010" s="36"/>
      <c r="F1010" s="12"/>
      <c r="G1010" s="12"/>
      <c r="H1010" s="29"/>
      <c r="I1010" s="20"/>
      <c r="J1010" s="10"/>
      <c r="K1010" s="10"/>
      <c r="L1010" s="10"/>
      <c r="M1010" s="35"/>
      <c r="N1010" s="34"/>
      <c r="O1010" s="34"/>
      <c r="P1010" s="12"/>
      <c r="Q1010" s="39" t="s">
        <v>5234</v>
      </c>
      <c r="R1010" s="39"/>
      <c r="S1010" s="39"/>
      <c r="T1010" s="39"/>
      <c r="U1010" s="39"/>
      <c r="Y1010" s="26"/>
    </row>
    <row r="1011" ht="22.5" customHeight="1">
      <c r="A1011" s="18"/>
      <c r="B1011" s="36"/>
      <c r="C1011" s="36"/>
      <c r="D1011" s="36"/>
      <c r="E1011" s="36"/>
      <c r="F1011" s="12"/>
      <c r="G1011" s="12"/>
      <c r="H1011" s="29"/>
      <c r="I1011" s="20"/>
      <c r="J1011" s="10"/>
      <c r="K1011" s="10"/>
      <c r="L1011" s="10"/>
      <c r="M1011" s="35"/>
      <c r="N1011" s="34"/>
      <c r="O1011" s="34"/>
      <c r="P1011" s="12"/>
      <c r="Q1011" s="39" t="s">
        <v>5234</v>
      </c>
      <c r="R1011" s="39"/>
      <c r="S1011" s="39"/>
      <c r="T1011" s="39"/>
      <c r="U1011" s="39"/>
      <c r="Y1011" s="26"/>
    </row>
    <row r="1012" ht="22.5" customHeight="1">
      <c r="A1012" s="18"/>
      <c r="B1012" s="36"/>
      <c r="C1012" s="36"/>
      <c r="D1012" s="36"/>
      <c r="E1012" s="36"/>
      <c r="F1012" s="12"/>
      <c r="G1012" s="12"/>
      <c r="H1012" s="29"/>
      <c r="I1012" s="20"/>
      <c r="J1012" s="10"/>
      <c r="K1012" s="10"/>
      <c r="L1012" s="10"/>
      <c r="M1012" s="35"/>
      <c r="N1012" s="34"/>
      <c r="O1012" s="34"/>
      <c r="P1012" s="12"/>
      <c r="Q1012" s="39" t="s">
        <v>5234</v>
      </c>
      <c r="R1012" s="39"/>
      <c r="S1012" s="39"/>
      <c r="T1012" s="39"/>
      <c r="U1012" s="39"/>
      <c r="Y1012" s="26"/>
    </row>
    <row r="1013" ht="22.5" customHeight="1">
      <c r="A1013" s="18"/>
      <c r="B1013" s="36"/>
      <c r="C1013" s="36"/>
      <c r="D1013" s="36"/>
      <c r="E1013" s="36"/>
      <c r="F1013" s="12"/>
      <c r="G1013" s="12"/>
      <c r="H1013" s="29"/>
      <c r="I1013" s="20"/>
      <c r="J1013" s="10"/>
      <c r="K1013" s="10"/>
      <c r="L1013" s="10"/>
      <c r="M1013" s="35"/>
      <c r="N1013" s="34"/>
      <c r="O1013" s="34"/>
      <c r="P1013" s="12"/>
      <c r="Q1013" s="39" t="s">
        <v>5234</v>
      </c>
      <c r="R1013" s="39"/>
      <c r="S1013" s="39"/>
      <c r="T1013" s="39"/>
      <c r="U1013" s="39"/>
      <c r="Y1013" s="26"/>
    </row>
    <row r="1014" ht="22.5" customHeight="1">
      <c r="A1014" s="18"/>
      <c r="B1014" s="36"/>
      <c r="C1014" s="36"/>
      <c r="D1014" s="36"/>
      <c r="E1014" s="36"/>
      <c r="F1014" s="12"/>
      <c r="G1014" s="12"/>
      <c r="H1014" s="29"/>
      <c r="I1014" s="20"/>
      <c r="J1014" s="10"/>
      <c r="K1014" s="10"/>
      <c r="L1014" s="10"/>
      <c r="M1014" s="35"/>
      <c r="N1014" s="34"/>
      <c r="O1014" s="34"/>
      <c r="P1014" s="12"/>
      <c r="Q1014" s="39" t="s">
        <v>5234</v>
      </c>
      <c r="R1014" s="39"/>
      <c r="S1014" s="39"/>
      <c r="T1014" s="39"/>
      <c r="U1014" s="39"/>
      <c r="Y1014" s="26"/>
    </row>
    <row r="1015" ht="22.5" customHeight="1">
      <c r="A1015" s="18"/>
      <c r="B1015" s="36"/>
      <c r="C1015" s="36"/>
      <c r="D1015" s="36"/>
      <c r="E1015" s="36"/>
      <c r="F1015" s="12"/>
      <c r="G1015" s="12"/>
      <c r="H1015" s="29"/>
      <c r="I1015" s="20"/>
      <c r="J1015" s="10"/>
      <c r="K1015" s="10"/>
      <c r="L1015" s="10"/>
      <c r="M1015" s="35"/>
      <c r="N1015" s="34"/>
      <c r="O1015" s="34"/>
      <c r="P1015" s="12"/>
      <c r="Q1015" s="39" t="s">
        <v>5234</v>
      </c>
      <c r="R1015" s="39"/>
      <c r="S1015" s="39"/>
      <c r="T1015" s="39"/>
      <c r="U1015" s="39"/>
      <c r="Y1015" s="26"/>
    </row>
    <row r="1016" ht="22.5" customHeight="1">
      <c r="A1016" s="18"/>
      <c r="B1016" s="36"/>
      <c r="C1016" s="36"/>
      <c r="D1016" s="36"/>
      <c r="E1016" s="36"/>
      <c r="F1016" s="12"/>
      <c r="G1016" s="12"/>
      <c r="H1016" s="29"/>
      <c r="I1016" s="20"/>
      <c r="J1016" s="10"/>
      <c r="K1016" s="10"/>
      <c r="L1016" s="10"/>
      <c r="M1016" s="35"/>
      <c r="N1016" s="34"/>
      <c r="O1016" s="34"/>
      <c r="P1016" s="12"/>
      <c r="Q1016" s="39" t="s">
        <v>5234</v>
      </c>
      <c r="R1016" s="39"/>
      <c r="S1016" s="39"/>
      <c r="T1016" s="39"/>
      <c r="U1016" s="39"/>
      <c r="Y1016" s="26"/>
    </row>
    <row r="1017" ht="22.5" customHeight="1">
      <c r="A1017" s="18"/>
      <c r="B1017" s="36"/>
      <c r="C1017" s="36"/>
      <c r="D1017" s="36"/>
      <c r="E1017" s="36"/>
      <c r="F1017" s="12"/>
      <c r="G1017" s="12"/>
      <c r="H1017" s="29"/>
      <c r="I1017" s="20"/>
      <c r="J1017" s="10"/>
      <c r="K1017" s="10"/>
      <c r="L1017" s="10"/>
      <c r="M1017" s="35"/>
      <c r="N1017" s="34"/>
      <c r="O1017" s="34"/>
      <c r="P1017" s="12"/>
      <c r="Q1017" s="39" t="s">
        <v>5234</v>
      </c>
      <c r="R1017" s="39"/>
      <c r="S1017" s="39"/>
      <c r="T1017" s="39"/>
      <c r="U1017" s="39"/>
      <c r="Y1017" s="26"/>
    </row>
    <row r="1018" ht="22.5" customHeight="1">
      <c r="A1018" s="18"/>
      <c r="B1018" s="36"/>
      <c r="C1018" s="36"/>
      <c r="D1018" s="36"/>
      <c r="E1018" s="36"/>
      <c r="F1018" s="12"/>
      <c r="G1018" s="12"/>
      <c r="H1018" s="29"/>
      <c r="I1018" s="20"/>
      <c r="J1018" s="10"/>
      <c r="K1018" s="10"/>
      <c r="L1018" s="10"/>
      <c r="M1018" s="35"/>
      <c r="N1018" s="34"/>
      <c r="O1018" s="34"/>
      <c r="P1018" s="12"/>
      <c r="Q1018" s="39" t="s">
        <v>5234</v>
      </c>
      <c r="R1018" s="39"/>
      <c r="S1018" s="39"/>
      <c r="T1018" s="39"/>
      <c r="U1018" s="39"/>
      <c r="Y1018" s="26"/>
    </row>
    <row r="1019" ht="22.5" customHeight="1">
      <c r="A1019" s="18"/>
      <c r="B1019" s="36"/>
      <c r="C1019" s="36"/>
      <c r="D1019" s="36"/>
      <c r="E1019" s="36"/>
      <c r="F1019" s="12"/>
      <c r="G1019" s="12"/>
      <c r="H1019" s="29"/>
      <c r="I1019" s="20"/>
      <c r="J1019" s="10"/>
      <c r="K1019" s="10"/>
      <c r="L1019" s="10"/>
      <c r="M1019" s="35"/>
      <c r="N1019" s="34"/>
      <c r="O1019" s="34"/>
      <c r="P1019" s="12"/>
      <c r="Q1019" s="39" t="s">
        <v>5234</v>
      </c>
      <c r="R1019" s="39"/>
      <c r="S1019" s="39"/>
      <c r="T1019" s="39"/>
      <c r="U1019" s="39"/>
      <c r="Y1019" s="26"/>
    </row>
    <row r="1020" ht="22.5" customHeight="1">
      <c r="A1020" s="18"/>
      <c r="B1020" s="36"/>
      <c r="C1020" s="36"/>
      <c r="D1020" s="36"/>
      <c r="E1020" s="36"/>
      <c r="F1020" s="12"/>
      <c r="G1020" s="12"/>
      <c r="H1020" s="29"/>
      <c r="I1020" s="20"/>
      <c r="J1020" s="10"/>
      <c r="K1020" s="10"/>
      <c r="L1020" s="10"/>
      <c r="M1020" s="35"/>
      <c r="N1020" s="34"/>
      <c r="O1020" s="34"/>
      <c r="P1020" s="12"/>
      <c r="Q1020" s="39" t="s">
        <v>5234</v>
      </c>
      <c r="R1020" s="39"/>
      <c r="S1020" s="39"/>
      <c r="T1020" s="39"/>
      <c r="U1020" s="39"/>
      <c r="Y1020" s="26"/>
    </row>
    <row r="1021" ht="22.5" customHeight="1">
      <c r="A1021" s="18"/>
      <c r="B1021" s="36"/>
      <c r="C1021" s="36"/>
      <c r="D1021" s="36"/>
      <c r="E1021" s="36"/>
      <c r="F1021" s="12"/>
      <c r="G1021" s="12"/>
      <c r="H1021" s="29"/>
      <c r="I1021" s="20"/>
      <c r="J1021" s="10"/>
      <c r="K1021" s="10"/>
      <c r="L1021" s="10"/>
      <c r="M1021" s="35"/>
      <c r="N1021" s="34"/>
      <c r="O1021" s="34"/>
      <c r="P1021" s="12"/>
      <c r="Q1021" s="39" t="s">
        <v>5234</v>
      </c>
      <c r="R1021" s="39"/>
      <c r="S1021" s="39"/>
      <c r="T1021" s="39"/>
      <c r="U1021" s="39"/>
      <c r="Y1021" s="26"/>
    </row>
    <row r="1022" ht="22.5" customHeight="1">
      <c r="A1022" s="18"/>
      <c r="B1022" s="36"/>
      <c r="C1022" s="36"/>
      <c r="D1022" s="36"/>
      <c r="E1022" s="36"/>
      <c r="F1022" s="12"/>
      <c r="G1022" s="12"/>
      <c r="H1022" s="29"/>
      <c r="I1022" s="20"/>
      <c r="J1022" s="10"/>
      <c r="K1022" s="10"/>
      <c r="L1022" s="10"/>
      <c r="M1022" s="35"/>
      <c r="N1022" s="34"/>
      <c r="O1022" s="34"/>
      <c r="P1022" s="12"/>
      <c r="Q1022" s="39" t="s">
        <v>5234</v>
      </c>
      <c r="R1022" s="39"/>
      <c r="S1022" s="39"/>
      <c r="T1022" s="39"/>
      <c r="U1022" s="39"/>
      <c r="Y1022" s="26"/>
    </row>
    <row r="1023" ht="22.5" customHeight="1">
      <c r="A1023" s="18"/>
      <c r="B1023" s="36"/>
      <c r="C1023" s="36"/>
      <c r="D1023" s="36"/>
      <c r="E1023" s="36"/>
      <c r="F1023" s="12"/>
      <c r="G1023" s="12"/>
      <c r="H1023" s="29"/>
      <c r="I1023" s="20"/>
      <c r="J1023" s="10"/>
      <c r="K1023" s="10"/>
      <c r="L1023" s="10"/>
      <c r="M1023" s="35"/>
      <c r="N1023" s="34"/>
      <c r="O1023" s="34"/>
      <c r="P1023" s="12"/>
      <c r="Q1023" s="39" t="s">
        <v>5234</v>
      </c>
      <c r="R1023" s="39"/>
      <c r="S1023" s="39"/>
      <c r="T1023" s="39"/>
      <c r="U1023" s="39"/>
      <c r="Y1023" s="26"/>
    </row>
    <row r="1024" ht="22.5" customHeight="1">
      <c r="A1024" s="18"/>
      <c r="B1024" s="36"/>
      <c r="C1024" s="36"/>
      <c r="D1024" s="36"/>
      <c r="E1024" s="36"/>
      <c r="F1024" s="12"/>
      <c r="G1024" s="12"/>
      <c r="H1024" s="29"/>
      <c r="I1024" s="20"/>
      <c r="J1024" s="10"/>
      <c r="K1024" s="10"/>
      <c r="L1024" s="10"/>
      <c r="M1024" s="35"/>
      <c r="N1024" s="34"/>
      <c r="O1024" s="34"/>
      <c r="P1024" s="12"/>
      <c r="Q1024" s="39" t="s">
        <v>5234</v>
      </c>
      <c r="R1024" s="39"/>
      <c r="S1024" s="39"/>
      <c r="T1024" s="39"/>
      <c r="U1024" s="39"/>
      <c r="Y1024" s="26"/>
    </row>
    <row r="1025" ht="22.5" customHeight="1">
      <c r="A1025" s="18"/>
      <c r="B1025" s="36"/>
      <c r="C1025" s="36"/>
      <c r="D1025" s="36"/>
      <c r="E1025" s="36"/>
      <c r="F1025" s="12"/>
      <c r="G1025" s="12"/>
      <c r="H1025" s="29"/>
      <c r="I1025" s="20"/>
      <c r="J1025" s="10"/>
      <c r="K1025" s="10"/>
      <c r="L1025" s="10"/>
      <c r="M1025" s="35"/>
      <c r="N1025" s="34"/>
      <c r="O1025" s="34"/>
      <c r="P1025" s="12"/>
      <c r="Q1025" s="39" t="s">
        <v>5234</v>
      </c>
      <c r="R1025" s="39"/>
      <c r="S1025" s="39"/>
      <c r="T1025" s="39"/>
      <c r="U1025" s="39"/>
      <c r="Y1025" s="26"/>
    </row>
    <row r="1026" ht="22.5" customHeight="1">
      <c r="A1026" s="18"/>
      <c r="B1026" s="36"/>
      <c r="C1026" s="36"/>
      <c r="D1026" s="36"/>
      <c r="E1026" s="36"/>
      <c r="F1026" s="12"/>
      <c r="G1026" s="12"/>
      <c r="H1026" s="29"/>
      <c r="I1026" s="20"/>
      <c r="J1026" s="10"/>
      <c r="K1026" s="10"/>
      <c r="L1026" s="10"/>
      <c r="M1026" s="35"/>
      <c r="N1026" s="34"/>
      <c r="O1026" s="34"/>
      <c r="P1026" s="12"/>
      <c r="Q1026" s="39" t="s">
        <v>5234</v>
      </c>
      <c r="R1026" s="39"/>
      <c r="S1026" s="39"/>
      <c r="T1026" s="39"/>
      <c r="U1026" s="39"/>
      <c r="Y1026" s="26"/>
    </row>
    <row r="1027" ht="22.5" customHeight="1">
      <c r="A1027" s="18"/>
      <c r="B1027" s="36"/>
      <c r="C1027" s="36"/>
      <c r="D1027" s="36"/>
      <c r="E1027" s="36"/>
      <c r="F1027" s="12"/>
      <c r="G1027" s="12"/>
      <c r="H1027" s="29"/>
      <c r="I1027" s="20"/>
      <c r="J1027" s="10"/>
      <c r="K1027" s="10"/>
      <c r="L1027" s="10"/>
      <c r="M1027" s="35"/>
      <c r="N1027" s="34"/>
      <c r="O1027" s="34"/>
      <c r="P1027" s="12"/>
      <c r="Q1027" s="39" t="s">
        <v>5234</v>
      </c>
      <c r="R1027" s="39"/>
      <c r="S1027" s="39"/>
      <c r="T1027" s="39"/>
      <c r="U1027" s="39"/>
      <c r="Y1027" s="26"/>
    </row>
    <row r="1028" ht="22.5" customHeight="1">
      <c r="A1028" s="18"/>
      <c r="B1028" s="36"/>
      <c r="C1028" s="36"/>
      <c r="D1028" s="36"/>
      <c r="E1028" s="36"/>
      <c r="F1028" s="12"/>
      <c r="G1028" s="12"/>
      <c r="H1028" s="29"/>
      <c r="I1028" s="20"/>
      <c r="J1028" s="10"/>
      <c r="K1028" s="10"/>
      <c r="L1028" s="10"/>
      <c r="M1028" s="35"/>
      <c r="N1028" s="34"/>
      <c r="O1028" s="34"/>
      <c r="P1028" s="12"/>
      <c r="Q1028" s="39" t="s">
        <v>5234</v>
      </c>
      <c r="R1028" s="39"/>
      <c r="S1028" s="39"/>
      <c r="T1028" s="39"/>
      <c r="U1028" s="39"/>
      <c r="Y1028" s="26"/>
    </row>
    <row r="1029" ht="22.5" customHeight="1">
      <c r="A1029" s="18"/>
      <c r="B1029" s="36"/>
      <c r="C1029" s="36"/>
      <c r="D1029" s="36"/>
      <c r="E1029" s="36"/>
      <c r="F1029" s="12"/>
      <c r="G1029" s="12"/>
      <c r="H1029" s="29"/>
      <c r="I1029" s="20"/>
      <c r="J1029" s="10"/>
      <c r="K1029" s="10"/>
      <c r="L1029" s="10"/>
      <c r="M1029" s="35"/>
      <c r="N1029" s="34"/>
      <c r="O1029" s="34"/>
      <c r="P1029" s="12"/>
      <c r="Q1029" s="39" t="s">
        <v>5234</v>
      </c>
      <c r="R1029" s="39"/>
      <c r="S1029" s="39"/>
      <c r="T1029" s="39"/>
      <c r="U1029" s="39"/>
      <c r="Y1029" s="26"/>
    </row>
    <row r="1030" ht="22.5" customHeight="1">
      <c r="A1030" s="18"/>
      <c r="B1030" s="36"/>
      <c r="C1030" s="36"/>
      <c r="D1030" s="36"/>
      <c r="E1030" s="36"/>
      <c r="F1030" s="12"/>
      <c r="G1030" s="12"/>
      <c r="H1030" s="29"/>
      <c r="I1030" s="20"/>
      <c r="J1030" s="10"/>
      <c r="K1030" s="10"/>
      <c r="L1030" s="10"/>
      <c r="M1030" s="35"/>
      <c r="N1030" s="34"/>
      <c r="O1030" s="34"/>
      <c r="P1030" s="12"/>
      <c r="Q1030" s="39" t="s">
        <v>5234</v>
      </c>
      <c r="R1030" s="39"/>
      <c r="S1030" s="39"/>
      <c r="T1030" s="39"/>
      <c r="U1030" s="39"/>
      <c r="Y1030" s="26"/>
    </row>
    <row r="1031" ht="22.5" customHeight="1">
      <c r="A1031" s="18"/>
      <c r="B1031" s="36"/>
      <c r="C1031" s="36"/>
      <c r="D1031" s="36"/>
      <c r="E1031" s="36"/>
      <c r="F1031" s="12"/>
      <c r="G1031" s="12"/>
      <c r="H1031" s="29"/>
      <c r="I1031" s="20"/>
      <c r="J1031" s="10"/>
      <c r="K1031" s="10"/>
      <c r="L1031" s="10"/>
      <c r="M1031" s="35"/>
      <c r="N1031" s="34"/>
      <c r="O1031" s="34"/>
      <c r="P1031" s="12"/>
      <c r="Q1031" s="39" t="s">
        <v>5234</v>
      </c>
      <c r="R1031" s="39"/>
      <c r="S1031" s="39"/>
      <c r="T1031" s="39"/>
      <c r="U1031" s="39"/>
      <c r="Y1031" s="26"/>
    </row>
    <row r="1032" ht="22.5" customHeight="1">
      <c r="A1032" s="18"/>
      <c r="B1032" s="36"/>
      <c r="C1032" s="36"/>
      <c r="D1032" s="36"/>
      <c r="E1032" s="36"/>
      <c r="F1032" s="12"/>
      <c r="G1032" s="12"/>
      <c r="H1032" s="29"/>
      <c r="I1032" s="20"/>
      <c r="J1032" s="10"/>
      <c r="K1032" s="10"/>
      <c r="L1032" s="10"/>
      <c r="M1032" s="35"/>
      <c r="N1032" s="34"/>
      <c r="O1032" s="34"/>
      <c r="P1032" s="12"/>
      <c r="Q1032" s="39" t="s">
        <v>5234</v>
      </c>
      <c r="R1032" s="39"/>
      <c r="S1032" s="39"/>
      <c r="T1032" s="39"/>
      <c r="U1032" s="39"/>
      <c r="Y1032" s="26"/>
    </row>
    <row r="1033" ht="22.5" customHeight="1">
      <c r="A1033" s="18"/>
      <c r="B1033" s="36"/>
      <c r="C1033" s="36"/>
      <c r="D1033" s="36"/>
      <c r="E1033" s="36"/>
      <c r="F1033" s="12"/>
      <c r="G1033" s="12"/>
      <c r="H1033" s="29"/>
      <c r="I1033" s="20"/>
      <c r="J1033" s="10"/>
      <c r="K1033" s="10"/>
      <c r="L1033" s="10"/>
      <c r="M1033" s="35"/>
      <c r="N1033" s="34"/>
      <c r="O1033" s="34"/>
      <c r="P1033" s="12"/>
      <c r="Q1033" s="39" t="s">
        <v>5234</v>
      </c>
      <c r="R1033" s="39"/>
      <c r="S1033" s="39"/>
      <c r="T1033" s="39"/>
      <c r="U1033" s="39"/>
      <c r="Y1033" s="26"/>
    </row>
    <row r="1034" ht="22.5" customHeight="1">
      <c r="A1034" s="18"/>
      <c r="B1034" s="36"/>
      <c r="C1034" s="36"/>
      <c r="D1034" s="36"/>
      <c r="E1034" s="36"/>
      <c r="F1034" s="12"/>
      <c r="G1034" s="12"/>
      <c r="H1034" s="29"/>
      <c r="I1034" s="20"/>
      <c r="J1034" s="10"/>
      <c r="K1034" s="10"/>
      <c r="L1034" s="10"/>
      <c r="M1034" s="35"/>
      <c r="N1034" s="34"/>
      <c r="O1034" s="34"/>
      <c r="P1034" s="12"/>
      <c r="Q1034" s="39" t="s">
        <v>5234</v>
      </c>
      <c r="R1034" s="39"/>
      <c r="S1034" s="39"/>
      <c r="T1034" s="39"/>
      <c r="U1034" s="39"/>
      <c r="Y1034" s="26"/>
    </row>
    <row r="1035" ht="22.5" customHeight="1">
      <c r="A1035" s="18"/>
      <c r="B1035" s="36"/>
      <c r="C1035" s="36"/>
      <c r="D1035" s="36"/>
      <c r="E1035" s="36"/>
      <c r="F1035" s="12"/>
      <c r="G1035" s="12"/>
      <c r="H1035" s="29"/>
      <c r="I1035" s="20"/>
      <c r="J1035" s="10"/>
      <c r="K1035" s="10"/>
      <c r="L1035" s="10"/>
      <c r="M1035" s="35"/>
      <c r="N1035" s="34"/>
      <c r="O1035" s="34"/>
      <c r="P1035" s="12"/>
      <c r="Q1035" s="39" t="s">
        <v>5234</v>
      </c>
      <c r="R1035" s="39"/>
      <c r="S1035" s="39"/>
      <c r="T1035" s="39"/>
      <c r="U1035" s="39"/>
      <c r="Y1035" s="26"/>
    </row>
    <row r="1036" ht="22.5" customHeight="1">
      <c r="A1036" s="18"/>
      <c r="B1036" s="36"/>
      <c r="C1036" s="40"/>
      <c r="D1036" s="40"/>
      <c r="E1036" s="40"/>
      <c r="F1036" s="12"/>
      <c r="G1036" s="12"/>
      <c r="H1036" s="29"/>
      <c r="I1036" s="20"/>
      <c r="J1036" s="10"/>
      <c r="K1036" s="10"/>
      <c r="L1036" s="10"/>
      <c r="M1036" s="35"/>
      <c r="N1036" s="34"/>
      <c r="O1036" s="34"/>
      <c r="P1036" s="12"/>
      <c r="Q1036" s="39" t="s">
        <v>5234</v>
      </c>
      <c r="R1036" s="39"/>
      <c r="S1036" s="39"/>
      <c r="T1036" s="39"/>
      <c r="U1036" s="39"/>
      <c r="Y1036" s="26"/>
    </row>
    <row r="1037" ht="22.5" customHeight="1">
      <c r="A1037" s="18"/>
      <c r="B1037" s="36"/>
      <c r="C1037" s="36"/>
      <c r="D1037" s="36"/>
      <c r="E1037" s="36"/>
      <c r="F1037" s="12"/>
      <c r="G1037" s="12"/>
      <c r="H1037" s="29"/>
      <c r="I1037" s="20"/>
      <c r="J1037" s="10"/>
      <c r="K1037" s="10"/>
      <c r="L1037" s="10"/>
      <c r="M1037" s="35"/>
      <c r="N1037" s="34"/>
      <c r="O1037" s="34"/>
      <c r="P1037" s="12"/>
      <c r="Q1037" s="39" t="s">
        <v>5234</v>
      </c>
      <c r="R1037" s="39"/>
      <c r="S1037" s="39"/>
      <c r="T1037" s="39"/>
      <c r="U1037" s="39"/>
      <c r="Y1037" s="26"/>
    </row>
    <row r="1038" ht="22.5" customHeight="1">
      <c r="A1038" s="18"/>
      <c r="B1038" s="36"/>
      <c r="C1038" s="36"/>
      <c r="D1038" s="36"/>
      <c r="E1038" s="36"/>
      <c r="F1038" s="12"/>
      <c r="G1038" s="12"/>
      <c r="H1038" s="29"/>
      <c r="I1038" s="20"/>
      <c r="J1038" s="10"/>
      <c r="K1038" s="10"/>
      <c r="L1038" s="10"/>
      <c r="M1038" s="35"/>
      <c r="N1038" s="34"/>
      <c r="O1038" s="34"/>
      <c r="P1038" s="12"/>
      <c r="Q1038" s="39" t="s">
        <v>5234</v>
      </c>
      <c r="R1038" s="39"/>
      <c r="S1038" s="39"/>
      <c r="T1038" s="39"/>
      <c r="U1038" s="39"/>
      <c r="Y1038" s="26"/>
    </row>
    <row r="1039" ht="22.5" customHeight="1">
      <c r="A1039" s="18"/>
      <c r="B1039" s="36"/>
      <c r="C1039" s="36"/>
      <c r="D1039" s="36"/>
      <c r="E1039" s="36"/>
      <c r="F1039" s="12"/>
      <c r="G1039" s="12"/>
      <c r="H1039" s="29"/>
      <c r="I1039" s="20"/>
      <c r="J1039" s="10"/>
      <c r="K1039" s="10"/>
      <c r="L1039" s="10"/>
      <c r="M1039" s="35"/>
      <c r="N1039" s="34"/>
      <c r="O1039" s="34"/>
      <c r="P1039" s="12"/>
      <c r="Q1039" s="39" t="s">
        <v>5234</v>
      </c>
      <c r="R1039" s="39"/>
      <c r="S1039" s="39"/>
      <c r="T1039" s="39"/>
      <c r="U1039" s="39"/>
      <c r="Y1039" s="26"/>
    </row>
    <row r="1040" ht="22.5" customHeight="1">
      <c r="A1040" s="18"/>
      <c r="B1040" s="36"/>
      <c r="C1040" s="36"/>
      <c r="D1040" s="36"/>
      <c r="E1040" s="36"/>
      <c r="F1040" s="12"/>
      <c r="G1040" s="12"/>
      <c r="H1040" s="29"/>
      <c r="I1040" s="20"/>
      <c r="J1040" s="10"/>
      <c r="K1040" s="10"/>
      <c r="L1040" s="10"/>
      <c r="M1040" s="35"/>
      <c r="N1040" s="34"/>
      <c r="O1040" s="34"/>
      <c r="P1040" s="12"/>
      <c r="Q1040" s="39" t="s">
        <v>5234</v>
      </c>
      <c r="R1040" s="39"/>
      <c r="S1040" s="39"/>
      <c r="T1040" s="39"/>
      <c r="U1040" s="39"/>
      <c r="Y1040" s="26"/>
    </row>
    <row r="1041" ht="22.5" customHeight="1">
      <c r="A1041" s="18"/>
      <c r="B1041" s="36"/>
      <c r="C1041" s="36"/>
      <c r="D1041" s="36"/>
      <c r="E1041" s="36"/>
      <c r="F1041" s="12"/>
      <c r="G1041" s="12"/>
      <c r="H1041" s="29"/>
      <c r="I1041" s="20"/>
      <c r="J1041" s="10"/>
      <c r="K1041" s="10"/>
      <c r="L1041" s="10"/>
      <c r="M1041" s="35"/>
      <c r="N1041" s="34"/>
      <c r="O1041" s="34"/>
      <c r="P1041" s="12"/>
      <c r="Q1041" s="39" t="s">
        <v>5234</v>
      </c>
      <c r="R1041" s="39"/>
      <c r="S1041" s="39"/>
      <c r="T1041" s="39"/>
      <c r="U1041" s="39"/>
      <c r="Y1041" s="26"/>
    </row>
    <row r="1042" ht="22.5" customHeight="1">
      <c r="A1042" s="18"/>
      <c r="B1042" s="36"/>
      <c r="C1042" s="36"/>
      <c r="D1042" s="36"/>
      <c r="E1042" s="36"/>
      <c r="F1042" s="12"/>
      <c r="G1042" s="12"/>
      <c r="H1042" s="29"/>
      <c r="I1042" s="20"/>
      <c r="J1042" s="10"/>
      <c r="K1042" s="10"/>
      <c r="L1042" s="10"/>
      <c r="M1042" s="35"/>
      <c r="N1042" s="34"/>
      <c r="O1042" s="34"/>
      <c r="P1042" s="12"/>
      <c r="Q1042" s="39" t="s">
        <v>5234</v>
      </c>
      <c r="R1042" s="39"/>
      <c r="S1042" s="39"/>
      <c r="T1042" s="39"/>
      <c r="U1042" s="39"/>
      <c r="Y1042" s="26"/>
    </row>
    <row r="1043" ht="22.5" customHeight="1">
      <c r="A1043" s="18"/>
      <c r="B1043" s="36"/>
      <c r="C1043" s="36"/>
      <c r="D1043" s="36"/>
      <c r="E1043" s="36"/>
      <c r="F1043" s="12"/>
      <c r="G1043" s="12"/>
      <c r="H1043" s="29"/>
      <c r="I1043" s="20"/>
      <c r="J1043" s="10"/>
      <c r="K1043" s="10"/>
      <c r="L1043" s="10"/>
      <c r="M1043" s="35"/>
      <c r="N1043" s="34"/>
      <c r="O1043" s="34"/>
      <c r="P1043" s="12"/>
      <c r="Q1043" s="39" t="s">
        <v>5234</v>
      </c>
      <c r="R1043" s="39"/>
      <c r="S1043" s="39"/>
      <c r="T1043" s="39"/>
      <c r="U1043" s="39"/>
      <c r="Y1043" s="26"/>
    </row>
    <row r="1044" ht="22.5" customHeight="1">
      <c r="A1044" s="18"/>
      <c r="B1044" s="36"/>
      <c r="C1044" s="36"/>
      <c r="D1044" s="36"/>
      <c r="E1044" s="36"/>
      <c r="F1044" s="12"/>
      <c r="G1044" s="12"/>
      <c r="H1044" s="29"/>
      <c r="I1044" s="20"/>
      <c r="J1044" s="10"/>
      <c r="K1044" s="10"/>
      <c r="L1044" s="10"/>
      <c r="M1044" s="35"/>
      <c r="N1044" s="34"/>
      <c r="O1044" s="34"/>
      <c r="P1044" s="12"/>
      <c r="Q1044" s="39" t="s">
        <v>5234</v>
      </c>
      <c r="R1044" s="39"/>
      <c r="S1044" s="39"/>
      <c r="T1044" s="39"/>
      <c r="U1044" s="39"/>
      <c r="Y1044" s="26"/>
    </row>
    <row r="1045" ht="22.5" customHeight="1">
      <c r="A1045" s="18"/>
      <c r="B1045" s="36"/>
      <c r="C1045" s="36"/>
      <c r="D1045" s="36"/>
      <c r="E1045" s="36"/>
      <c r="F1045" s="12"/>
      <c r="G1045" s="12"/>
      <c r="H1045" s="29"/>
      <c r="I1045" s="20"/>
      <c r="J1045" s="10"/>
      <c r="K1045" s="10"/>
      <c r="L1045" s="10"/>
      <c r="M1045" s="35"/>
      <c r="N1045" s="34"/>
      <c r="O1045" s="34"/>
      <c r="P1045" s="12"/>
      <c r="Q1045" s="39" t="s">
        <v>5234</v>
      </c>
      <c r="R1045" s="39"/>
      <c r="S1045" s="39"/>
      <c r="T1045" s="39"/>
      <c r="U1045" s="39"/>
      <c r="Y1045" s="26"/>
    </row>
    <row r="1046" ht="22.5" customHeight="1">
      <c r="A1046" s="18"/>
      <c r="B1046" s="36"/>
      <c r="C1046" s="36"/>
      <c r="D1046" s="36"/>
      <c r="E1046" s="36"/>
      <c r="F1046" s="12"/>
      <c r="G1046" s="12"/>
      <c r="H1046" s="29"/>
      <c r="I1046" s="20"/>
      <c r="J1046" s="10"/>
      <c r="K1046" s="10"/>
      <c r="L1046" s="10"/>
      <c r="M1046" s="35"/>
      <c r="N1046" s="34"/>
      <c r="O1046" s="34"/>
      <c r="P1046" s="12"/>
      <c r="Q1046" s="39" t="s">
        <v>5234</v>
      </c>
      <c r="R1046" s="39"/>
      <c r="S1046" s="39"/>
      <c r="T1046" s="39"/>
      <c r="U1046" s="39"/>
      <c r="Y1046" s="26"/>
    </row>
    <row r="1047" ht="22.5" customHeight="1">
      <c r="A1047" s="18"/>
      <c r="B1047" s="36"/>
      <c r="C1047" s="36"/>
      <c r="D1047" s="36"/>
      <c r="E1047" s="36"/>
      <c r="F1047" s="12"/>
      <c r="G1047" s="12"/>
      <c r="H1047" s="29"/>
      <c r="I1047" s="20"/>
      <c r="J1047" s="10"/>
      <c r="K1047" s="10"/>
      <c r="L1047" s="10"/>
      <c r="M1047" s="35"/>
      <c r="N1047" s="34"/>
      <c r="O1047" s="34"/>
      <c r="P1047" s="12"/>
      <c r="Q1047" s="39" t="s">
        <v>5234</v>
      </c>
      <c r="R1047" s="39"/>
      <c r="S1047" s="39"/>
      <c r="T1047" s="39"/>
      <c r="U1047" s="39"/>
      <c r="Y1047" s="26"/>
    </row>
    <row r="1048" ht="22.5" customHeight="1">
      <c r="A1048" s="18"/>
      <c r="B1048" s="36"/>
      <c r="C1048" s="36"/>
      <c r="D1048" s="36"/>
      <c r="E1048" s="36"/>
      <c r="F1048" s="12"/>
      <c r="G1048" s="12"/>
      <c r="H1048" s="29"/>
      <c r="I1048" s="20"/>
      <c r="J1048" s="10"/>
      <c r="K1048" s="10"/>
      <c r="L1048" s="10"/>
      <c r="M1048" s="35"/>
      <c r="N1048" s="34"/>
      <c r="O1048" s="34"/>
      <c r="P1048" s="12"/>
      <c r="Q1048" s="39" t="s">
        <v>5234</v>
      </c>
      <c r="R1048" s="39"/>
      <c r="S1048" s="39"/>
      <c r="T1048" s="39"/>
      <c r="U1048" s="39"/>
      <c r="Y1048" s="26"/>
    </row>
    <row r="1049" ht="22.5" customHeight="1">
      <c r="A1049" s="18"/>
      <c r="B1049" s="36"/>
      <c r="C1049" s="36"/>
      <c r="D1049" s="36"/>
      <c r="E1049" s="36"/>
      <c r="F1049" s="12"/>
      <c r="G1049" s="12"/>
      <c r="H1049" s="29"/>
      <c r="I1049" s="20"/>
      <c r="J1049" s="10"/>
      <c r="K1049" s="10"/>
      <c r="L1049" s="10"/>
      <c r="M1049" s="35"/>
      <c r="N1049" s="34"/>
      <c r="O1049" s="34"/>
      <c r="P1049" s="12"/>
      <c r="Q1049" s="39" t="s">
        <v>5234</v>
      </c>
      <c r="R1049" s="39"/>
      <c r="S1049" s="39"/>
      <c r="T1049" s="39"/>
      <c r="U1049" s="39"/>
      <c r="Y1049" s="26"/>
    </row>
    <row r="1050" ht="22.5" customHeight="1">
      <c r="A1050" s="18"/>
      <c r="B1050" s="36"/>
      <c r="C1050" s="36"/>
      <c r="D1050" s="36"/>
      <c r="E1050" s="36"/>
      <c r="F1050" s="12"/>
      <c r="G1050" s="12"/>
      <c r="H1050" s="29"/>
      <c r="I1050" s="20"/>
      <c r="J1050" s="10"/>
      <c r="K1050" s="10"/>
      <c r="L1050" s="10"/>
      <c r="M1050" s="35"/>
      <c r="N1050" s="34"/>
      <c r="O1050" s="34"/>
      <c r="P1050" s="12"/>
      <c r="Q1050" s="39" t="s">
        <v>5234</v>
      </c>
      <c r="R1050" s="39"/>
      <c r="S1050" s="39"/>
      <c r="T1050" s="39"/>
      <c r="U1050" s="39"/>
      <c r="Y1050" s="26"/>
    </row>
    <row r="1051" ht="22.5" customHeight="1">
      <c r="A1051" s="18"/>
      <c r="B1051" s="36"/>
      <c r="C1051" s="36"/>
      <c r="D1051" s="36"/>
      <c r="E1051" s="36"/>
      <c r="F1051" s="12"/>
      <c r="G1051" s="12"/>
      <c r="H1051" s="29"/>
      <c r="I1051" s="20"/>
      <c r="J1051" s="10"/>
      <c r="K1051" s="10"/>
      <c r="L1051" s="10"/>
      <c r="M1051" s="35"/>
      <c r="N1051" s="34"/>
      <c r="O1051" s="34"/>
      <c r="P1051" s="12"/>
      <c r="Q1051" s="39" t="s">
        <v>5234</v>
      </c>
      <c r="R1051" s="39"/>
      <c r="S1051" s="39"/>
      <c r="T1051" s="39"/>
      <c r="U1051" s="39"/>
      <c r="Y1051" s="26"/>
    </row>
    <row r="1052" ht="22.5" customHeight="1">
      <c r="A1052" s="18"/>
      <c r="B1052" s="36"/>
      <c r="C1052" s="36"/>
      <c r="D1052" s="36"/>
      <c r="E1052" s="36"/>
      <c r="F1052" s="12"/>
      <c r="G1052" s="12"/>
      <c r="H1052" s="29"/>
      <c r="I1052" s="20"/>
      <c r="J1052" s="10"/>
      <c r="K1052" s="10"/>
      <c r="L1052" s="10"/>
      <c r="M1052" s="35"/>
      <c r="N1052" s="34"/>
      <c r="O1052" s="34"/>
      <c r="P1052" s="12"/>
      <c r="Q1052" s="39" t="s">
        <v>5234</v>
      </c>
      <c r="R1052" s="39"/>
      <c r="S1052" s="39"/>
      <c r="T1052" s="39"/>
      <c r="U1052" s="39"/>
      <c r="Y1052" s="26"/>
    </row>
    <row r="1053" ht="22.5" customHeight="1">
      <c r="A1053" s="18"/>
      <c r="B1053" s="36"/>
      <c r="C1053" s="36"/>
      <c r="D1053" s="36"/>
      <c r="E1053" s="36"/>
      <c r="F1053" s="12"/>
      <c r="G1053" s="12"/>
      <c r="H1053" s="29"/>
      <c r="I1053" s="20"/>
      <c r="J1053" s="10"/>
      <c r="K1053" s="10"/>
      <c r="L1053" s="10"/>
      <c r="M1053" s="35"/>
      <c r="N1053" s="34"/>
      <c r="O1053" s="34"/>
      <c r="P1053" s="12"/>
      <c r="Q1053" s="39" t="s">
        <v>5234</v>
      </c>
      <c r="R1053" s="39"/>
      <c r="S1053" s="39"/>
      <c r="T1053" s="39"/>
      <c r="U1053" s="39"/>
      <c r="Y1053" s="26"/>
    </row>
    <row r="1054" ht="22.5" customHeight="1">
      <c r="A1054" s="18"/>
      <c r="B1054" s="36"/>
      <c r="C1054" s="36"/>
      <c r="D1054" s="36"/>
      <c r="E1054" s="36"/>
      <c r="F1054" s="12"/>
      <c r="G1054" s="12"/>
      <c r="H1054" s="29"/>
      <c r="I1054" s="20"/>
      <c r="J1054" s="10"/>
      <c r="K1054" s="10"/>
      <c r="L1054" s="10"/>
      <c r="M1054" s="35"/>
      <c r="N1054" s="34"/>
      <c r="O1054" s="34"/>
      <c r="P1054" s="12"/>
      <c r="Q1054" s="39" t="s">
        <v>5234</v>
      </c>
      <c r="R1054" s="39"/>
      <c r="S1054" s="39"/>
      <c r="T1054" s="39"/>
      <c r="U1054" s="39"/>
      <c r="Y1054" s="26"/>
    </row>
    <row r="1055" ht="22.5" customHeight="1">
      <c r="A1055" s="18"/>
      <c r="B1055" s="36"/>
      <c r="C1055" s="36"/>
      <c r="D1055" s="36"/>
      <c r="E1055" s="36"/>
      <c r="F1055" s="12"/>
      <c r="G1055" s="12"/>
      <c r="H1055" s="29"/>
      <c r="I1055" s="20"/>
      <c r="J1055" s="10"/>
      <c r="K1055" s="10"/>
      <c r="L1055" s="10"/>
      <c r="M1055" s="35"/>
      <c r="N1055" s="34"/>
      <c r="O1055" s="34"/>
      <c r="P1055" s="12"/>
      <c r="Q1055" s="39" t="s">
        <v>5234</v>
      </c>
      <c r="R1055" s="39"/>
      <c r="S1055" s="39"/>
      <c r="T1055" s="39"/>
      <c r="U1055" s="39"/>
      <c r="Y1055" s="26"/>
    </row>
    <row r="1056" ht="22.5" customHeight="1">
      <c r="A1056" s="18"/>
      <c r="B1056" s="36"/>
      <c r="C1056" s="36"/>
      <c r="D1056" s="36"/>
      <c r="E1056" s="36"/>
      <c r="F1056" s="12"/>
      <c r="G1056" s="12"/>
      <c r="H1056" s="29"/>
      <c r="I1056" s="20"/>
      <c r="J1056" s="10"/>
      <c r="K1056" s="10"/>
      <c r="L1056" s="10"/>
      <c r="M1056" s="35"/>
      <c r="N1056" s="34"/>
      <c r="O1056" s="34"/>
      <c r="P1056" s="12"/>
      <c r="Q1056" s="39" t="s">
        <v>5234</v>
      </c>
      <c r="R1056" s="39"/>
      <c r="S1056" s="39"/>
      <c r="T1056" s="39"/>
      <c r="U1056" s="39"/>
      <c r="Y1056" s="26"/>
    </row>
    <row r="1057" ht="22.5" customHeight="1">
      <c r="A1057" s="18"/>
      <c r="B1057" s="36"/>
      <c r="C1057" s="36"/>
      <c r="D1057" s="36"/>
      <c r="E1057" s="36"/>
      <c r="F1057" s="12"/>
      <c r="G1057" s="12"/>
      <c r="H1057" s="29"/>
      <c r="I1057" s="20"/>
      <c r="J1057" s="10"/>
      <c r="K1057" s="10"/>
      <c r="L1057" s="10"/>
      <c r="M1057" s="35"/>
      <c r="N1057" s="34"/>
      <c r="O1057" s="34"/>
      <c r="P1057" s="12"/>
      <c r="Q1057" s="39" t="s">
        <v>5234</v>
      </c>
      <c r="R1057" s="39"/>
      <c r="S1057" s="39"/>
      <c r="T1057" s="39"/>
      <c r="U1057" s="39"/>
      <c r="Y1057" s="26"/>
    </row>
    <row r="1058" ht="22.5" customHeight="1">
      <c r="A1058" s="18"/>
      <c r="B1058" s="36"/>
      <c r="C1058" s="36"/>
      <c r="D1058" s="36"/>
      <c r="E1058" s="36"/>
      <c r="F1058" s="12"/>
      <c r="G1058" s="12"/>
      <c r="H1058" s="29"/>
      <c r="I1058" s="20"/>
      <c r="J1058" s="10"/>
      <c r="K1058" s="10"/>
      <c r="L1058" s="10"/>
      <c r="M1058" s="35"/>
      <c r="N1058" s="34"/>
      <c r="O1058" s="34"/>
      <c r="P1058" s="12"/>
      <c r="Q1058" s="39" t="s">
        <v>5234</v>
      </c>
      <c r="R1058" s="39"/>
      <c r="S1058" s="39"/>
      <c r="T1058" s="39"/>
      <c r="U1058" s="39"/>
      <c r="Y1058" s="26"/>
    </row>
    <row r="1059" ht="22.5" customHeight="1">
      <c r="A1059" s="18"/>
      <c r="B1059" s="36"/>
      <c r="C1059" s="36"/>
      <c r="D1059" s="36"/>
      <c r="E1059" s="36"/>
      <c r="F1059" s="12"/>
      <c r="G1059" s="12"/>
      <c r="H1059" s="29"/>
      <c r="I1059" s="20"/>
      <c r="J1059" s="10"/>
      <c r="K1059" s="10"/>
      <c r="L1059" s="10"/>
      <c r="M1059" s="35"/>
      <c r="N1059" s="34"/>
      <c r="O1059" s="34"/>
      <c r="P1059" s="12"/>
      <c r="Q1059" s="39" t="s">
        <v>5234</v>
      </c>
      <c r="R1059" s="39"/>
      <c r="S1059" s="39"/>
      <c r="T1059" s="39"/>
      <c r="U1059" s="39"/>
      <c r="Y1059" s="26"/>
    </row>
    <row r="1060" ht="22.5" customHeight="1">
      <c r="A1060" s="18"/>
      <c r="B1060" s="36"/>
      <c r="C1060" s="36"/>
      <c r="D1060" s="36"/>
      <c r="E1060" s="36"/>
      <c r="F1060" s="12"/>
      <c r="G1060" s="12"/>
      <c r="H1060" s="29"/>
      <c r="I1060" s="20"/>
      <c r="J1060" s="10"/>
      <c r="K1060" s="10"/>
      <c r="L1060" s="10"/>
      <c r="M1060" s="35"/>
      <c r="N1060" s="34"/>
      <c r="O1060" s="34"/>
      <c r="P1060" s="12"/>
      <c r="Q1060" s="39" t="s">
        <v>5234</v>
      </c>
      <c r="R1060" s="39"/>
      <c r="S1060" s="39"/>
      <c r="T1060" s="39"/>
      <c r="U1060" s="39"/>
      <c r="Y1060" s="26"/>
    </row>
    <row r="1061" ht="22.5" customHeight="1">
      <c r="A1061" s="18"/>
      <c r="B1061" s="36"/>
      <c r="C1061" s="36"/>
      <c r="D1061" s="36"/>
      <c r="E1061" s="36"/>
      <c r="F1061" s="12"/>
      <c r="G1061" s="12"/>
      <c r="H1061" s="29"/>
      <c r="I1061" s="20"/>
      <c r="J1061" s="10"/>
      <c r="K1061" s="10"/>
      <c r="L1061" s="10"/>
      <c r="M1061" s="35"/>
      <c r="N1061" s="34"/>
      <c r="O1061" s="34"/>
      <c r="P1061" s="12"/>
      <c r="Q1061" s="39" t="s">
        <v>5234</v>
      </c>
      <c r="R1061" s="39"/>
      <c r="S1061" s="39"/>
      <c r="T1061" s="39"/>
      <c r="U1061" s="39"/>
      <c r="Y1061" s="26"/>
    </row>
    <row r="1062" ht="22.5" customHeight="1">
      <c r="A1062" s="18"/>
      <c r="B1062" s="36"/>
      <c r="C1062" s="36"/>
      <c r="D1062" s="36"/>
      <c r="E1062" s="36"/>
      <c r="F1062" s="12"/>
      <c r="G1062" s="12"/>
      <c r="H1062" s="29"/>
      <c r="I1062" s="20"/>
      <c r="J1062" s="10"/>
      <c r="K1062" s="10"/>
      <c r="L1062" s="10"/>
      <c r="M1062" s="35"/>
      <c r="N1062" s="34"/>
      <c r="O1062" s="34"/>
      <c r="P1062" s="12"/>
      <c r="Q1062" s="39" t="s">
        <v>5234</v>
      </c>
      <c r="R1062" s="39"/>
      <c r="S1062" s="39"/>
      <c r="T1062" s="39"/>
      <c r="U1062" s="39"/>
      <c r="Y1062" s="26"/>
    </row>
    <row r="1063" ht="22.5" customHeight="1">
      <c r="A1063" s="18"/>
      <c r="B1063" s="36"/>
      <c r="C1063" s="36"/>
      <c r="D1063" s="36"/>
      <c r="E1063" s="36"/>
      <c r="F1063" s="12"/>
      <c r="G1063" s="12"/>
      <c r="H1063" s="29"/>
      <c r="I1063" s="20"/>
      <c r="J1063" s="10"/>
      <c r="K1063" s="10"/>
      <c r="L1063" s="10"/>
      <c r="M1063" s="35"/>
      <c r="N1063" s="34"/>
      <c r="O1063" s="34"/>
      <c r="P1063" s="12"/>
      <c r="Q1063" s="39" t="s">
        <v>5234</v>
      </c>
      <c r="R1063" s="39"/>
      <c r="S1063" s="39"/>
      <c r="T1063" s="39"/>
      <c r="U1063" s="39"/>
      <c r="Y1063" s="26"/>
    </row>
    <row r="1064" ht="22.5" customHeight="1">
      <c r="A1064" s="18"/>
      <c r="B1064" s="36"/>
      <c r="C1064" s="36"/>
      <c r="D1064" s="36"/>
      <c r="E1064" s="36"/>
      <c r="F1064" s="12"/>
      <c r="G1064" s="12"/>
      <c r="H1064" s="29"/>
      <c r="I1064" s="20"/>
      <c r="J1064" s="10"/>
      <c r="K1064" s="10"/>
      <c r="L1064" s="10"/>
      <c r="M1064" s="35"/>
      <c r="N1064" s="34"/>
      <c r="O1064" s="34"/>
      <c r="P1064" s="12"/>
      <c r="Q1064" s="39" t="s">
        <v>5234</v>
      </c>
      <c r="R1064" s="39"/>
      <c r="S1064" s="39"/>
      <c r="T1064" s="39"/>
      <c r="U1064" s="39"/>
      <c r="Y1064" s="26"/>
    </row>
    <row r="1065" ht="22.5" customHeight="1">
      <c r="A1065" s="18"/>
      <c r="B1065" s="36"/>
      <c r="C1065" s="36"/>
      <c r="D1065" s="36"/>
      <c r="E1065" s="36"/>
      <c r="F1065" s="12"/>
      <c r="G1065" s="12"/>
      <c r="H1065" s="29"/>
      <c r="I1065" s="20"/>
      <c r="J1065" s="10"/>
      <c r="K1065" s="10"/>
      <c r="L1065" s="10"/>
      <c r="M1065" s="35"/>
      <c r="N1065" s="34"/>
      <c r="O1065" s="34"/>
      <c r="P1065" s="12"/>
      <c r="Q1065" s="39" t="s">
        <v>5234</v>
      </c>
      <c r="R1065" s="39"/>
      <c r="S1065" s="39"/>
      <c r="T1065" s="39"/>
      <c r="U1065" s="39"/>
      <c r="Y1065" s="26"/>
    </row>
    <row r="1066" ht="22.5" customHeight="1">
      <c r="A1066" s="18"/>
      <c r="B1066" s="36"/>
      <c r="C1066" s="36"/>
      <c r="D1066" s="36"/>
      <c r="E1066" s="36"/>
      <c r="F1066" s="12"/>
      <c r="G1066" s="12"/>
      <c r="H1066" s="29"/>
      <c r="I1066" s="20"/>
      <c r="J1066" s="10"/>
      <c r="K1066" s="10"/>
      <c r="L1066" s="10"/>
      <c r="M1066" s="35"/>
      <c r="N1066" s="34"/>
      <c r="O1066" s="34"/>
      <c r="P1066" s="12"/>
      <c r="Q1066" s="39" t="s">
        <v>5234</v>
      </c>
      <c r="R1066" s="39"/>
      <c r="S1066" s="39"/>
      <c r="T1066" s="39"/>
      <c r="U1066" s="39"/>
      <c r="Y1066" s="26"/>
    </row>
    <row r="1067" ht="22.5" customHeight="1">
      <c r="A1067" s="18"/>
      <c r="B1067" s="36"/>
      <c r="C1067" s="36"/>
      <c r="D1067" s="36"/>
      <c r="E1067" s="36"/>
      <c r="F1067" s="12"/>
      <c r="G1067" s="12"/>
      <c r="H1067" s="29"/>
      <c r="I1067" s="20"/>
      <c r="J1067" s="10"/>
      <c r="K1067" s="10"/>
      <c r="L1067" s="10"/>
      <c r="M1067" s="35"/>
      <c r="N1067" s="34"/>
      <c r="O1067" s="34"/>
      <c r="P1067" s="12"/>
      <c r="Q1067" s="39" t="s">
        <v>5234</v>
      </c>
      <c r="R1067" s="39"/>
      <c r="S1067" s="39"/>
      <c r="T1067" s="39"/>
      <c r="U1067" s="39"/>
      <c r="Y1067" s="26"/>
    </row>
    <row r="1068" ht="22.5" customHeight="1">
      <c r="A1068" s="18"/>
      <c r="B1068" s="36"/>
      <c r="C1068" s="36"/>
      <c r="D1068" s="36"/>
      <c r="E1068" s="36"/>
      <c r="F1068" s="12"/>
      <c r="G1068" s="12"/>
      <c r="H1068" s="29"/>
      <c r="I1068" s="20"/>
      <c r="J1068" s="10"/>
      <c r="K1068" s="10"/>
      <c r="L1068" s="10"/>
      <c r="M1068" s="35"/>
      <c r="N1068" s="34"/>
      <c r="O1068" s="34"/>
      <c r="P1068" s="12"/>
      <c r="Q1068" s="39" t="s">
        <v>5234</v>
      </c>
      <c r="R1068" s="39"/>
      <c r="S1068" s="39"/>
      <c r="T1068" s="39"/>
      <c r="U1068" s="39"/>
      <c r="Y1068" s="26"/>
    </row>
    <row r="1069" ht="22.5" customHeight="1">
      <c r="A1069" s="18"/>
      <c r="B1069" s="36"/>
      <c r="C1069" s="36"/>
      <c r="D1069" s="36"/>
      <c r="E1069" s="36"/>
      <c r="F1069" s="12"/>
      <c r="G1069" s="12"/>
      <c r="H1069" s="29"/>
      <c r="I1069" s="20"/>
      <c r="J1069" s="10"/>
      <c r="K1069" s="10"/>
      <c r="L1069" s="10"/>
      <c r="M1069" s="35"/>
      <c r="N1069" s="34"/>
      <c r="O1069" s="34"/>
      <c r="P1069" s="12"/>
      <c r="Q1069" s="39" t="s">
        <v>5234</v>
      </c>
      <c r="R1069" s="39"/>
      <c r="S1069" s="39"/>
      <c r="T1069" s="39"/>
      <c r="U1069" s="39"/>
      <c r="Y1069" s="26"/>
    </row>
    <row r="1070" ht="22.5" customHeight="1">
      <c r="A1070" s="18"/>
      <c r="B1070" s="36"/>
      <c r="C1070" s="36"/>
      <c r="D1070" s="36"/>
      <c r="E1070" s="36"/>
      <c r="F1070" s="12"/>
      <c r="G1070" s="12"/>
      <c r="H1070" s="29"/>
      <c r="I1070" s="20"/>
      <c r="J1070" s="10"/>
      <c r="K1070" s="10"/>
      <c r="L1070" s="10"/>
      <c r="M1070" s="35"/>
      <c r="N1070" s="34"/>
      <c r="O1070" s="34"/>
      <c r="P1070" s="12"/>
      <c r="Q1070" s="39" t="s">
        <v>5234</v>
      </c>
      <c r="R1070" s="39"/>
      <c r="S1070" s="39"/>
      <c r="T1070" s="39"/>
      <c r="U1070" s="39"/>
      <c r="Y1070" s="26"/>
    </row>
    <row r="1071" ht="22.5" customHeight="1">
      <c r="A1071" s="18"/>
      <c r="B1071" s="36"/>
      <c r="C1071" s="36"/>
      <c r="D1071" s="36"/>
      <c r="E1071" s="36"/>
      <c r="F1071" s="12"/>
      <c r="G1071" s="12"/>
      <c r="H1071" s="29"/>
      <c r="I1071" s="20"/>
      <c r="J1071" s="10"/>
      <c r="K1071" s="10"/>
      <c r="L1071" s="10"/>
      <c r="M1071" s="35"/>
      <c r="N1071" s="34"/>
      <c r="O1071" s="34"/>
      <c r="P1071" s="12"/>
      <c r="Q1071" s="39" t="s">
        <v>5234</v>
      </c>
      <c r="R1071" s="39"/>
      <c r="S1071" s="39"/>
      <c r="T1071" s="39"/>
      <c r="U1071" s="39"/>
      <c r="Y1071" s="26"/>
    </row>
    <row r="1072" ht="22.5" customHeight="1">
      <c r="A1072" s="18"/>
      <c r="B1072" s="36"/>
      <c r="C1072" s="36"/>
      <c r="D1072" s="36"/>
      <c r="E1072" s="36"/>
      <c r="F1072" s="12"/>
      <c r="G1072" s="12"/>
      <c r="H1072" s="29"/>
      <c r="I1072" s="20"/>
      <c r="J1072" s="10"/>
      <c r="K1072" s="10"/>
      <c r="L1072" s="10"/>
      <c r="M1072" s="35"/>
      <c r="N1072" s="34"/>
      <c r="O1072" s="34"/>
      <c r="P1072" s="12"/>
      <c r="Q1072" s="39" t="s">
        <v>5234</v>
      </c>
      <c r="R1072" s="39"/>
      <c r="S1072" s="39"/>
      <c r="T1072" s="39"/>
      <c r="U1072" s="39"/>
      <c r="Y1072" s="26"/>
    </row>
    <row r="1073" ht="22.5" customHeight="1">
      <c r="A1073" s="18"/>
      <c r="B1073" s="36"/>
      <c r="C1073" s="36"/>
      <c r="D1073" s="36"/>
      <c r="E1073" s="36"/>
      <c r="F1073" s="12"/>
      <c r="G1073" s="12"/>
      <c r="H1073" s="29"/>
      <c r="I1073" s="20"/>
      <c r="J1073" s="10"/>
      <c r="K1073" s="10"/>
      <c r="L1073" s="10"/>
      <c r="M1073" s="35"/>
      <c r="N1073" s="34"/>
      <c r="O1073" s="34"/>
      <c r="P1073" s="12"/>
      <c r="Q1073" s="39" t="s">
        <v>5234</v>
      </c>
      <c r="R1073" s="39"/>
      <c r="S1073" s="39"/>
      <c r="T1073" s="39"/>
      <c r="U1073" s="39"/>
      <c r="Y1073" s="26"/>
    </row>
    <row r="1074" ht="22.5" customHeight="1">
      <c r="A1074" s="18"/>
      <c r="B1074" s="36"/>
      <c r="C1074" s="36"/>
      <c r="D1074" s="36"/>
      <c r="E1074" s="36"/>
      <c r="F1074" s="12"/>
      <c r="G1074" s="12"/>
      <c r="H1074" s="29"/>
      <c r="I1074" s="20"/>
      <c r="J1074" s="10"/>
      <c r="K1074" s="10"/>
      <c r="L1074" s="10"/>
      <c r="M1074" s="35"/>
      <c r="N1074" s="34"/>
      <c r="O1074" s="34"/>
      <c r="P1074" s="12"/>
      <c r="Q1074" s="39" t="s">
        <v>5234</v>
      </c>
      <c r="R1074" s="39"/>
      <c r="S1074" s="39"/>
      <c r="T1074" s="39"/>
      <c r="U1074" s="39"/>
      <c r="Y1074" s="26"/>
    </row>
    <row r="1075" ht="22.5" customHeight="1">
      <c r="A1075" s="18"/>
      <c r="B1075" s="36"/>
      <c r="C1075" s="36"/>
      <c r="D1075" s="36"/>
      <c r="E1075" s="36"/>
      <c r="F1075" s="12"/>
      <c r="G1075" s="12"/>
      <c r="H1075" s="29"/>
      <c r="I1075" s="20"/>
      <c r="J1075" s="10"/>
      <c r="K1075" s="10"/>
      <c r="L1075" s="10"/>
      <c r="M1075" s="35"/>
      <c r="N1075" s="34"/>
      <c r="O1075" s="34"/>
      <c r="P1075" s="12"/>
      <c r="Q1075" s="39" t="s">
        <v>5234</v>
      </c>
      <c r="R1075" s="39"/>
      <c r="S1075" s="39"/>
      <c r="T1075" s="39"/>
      <c r="U1075" s="39"/>
      <c r="Y1075" s="26"/>
    </row>
    <row r="1076" ht="22.5" customHeight="1">
      <c r="A1076" s="18"/>
      <c r="B1076" s="36"/>
      <c r="C1076" s="36"/>
      <c r="D1076" s="36"/>
      <c r="E1076" s="36"/>
      <c r="F1076" s="12"/>
      <c r="G1076" s="12"/>
      <c r="H1076" s="29"/>
      <c r="I1076" s="20"/>
      <c r="J1076" s="10"/>
      <c r="K1076" s="10"/>
      <c r="L1076" s="10"/>
      <c r="M1076" s="35"/>
      <c r="N1076" s="34"/>
      <c r="O1076" s="34"/>
      <c r="P1076" s="12"/>
      <c r="Q1076" s="39" t="s">
        <v>5234</v>
      </c>
      <c r="R1076" s="39"/>
      <c r="S1076" s="39"/>
      <c r="T1076" s="39"/>
      <c r="U1076" s="39"/>
      <c r="Y1076" s="26"/>
    </row>
    <row r="1077" ht="22.5" customHeight="1">
      <c r="A1077" s="18"/>
      <c r="B1077" s="36"/>
      <c r="C1077" s="36"/>
      <c r="D1077" s="36"/>
      <c r="E1077" s="36"/>
      <c r="F1077" s="12"/>
      <c r="G1077" s="12"/>
      <c r="H1077" s="29"/>
      <c r="I1077" s="20"/>
      <c r="J1077" s="10"/>
      <c r="K1077" s="10"/>
      <c r="L1077" s="10"/>
      <c r="M1077" s="35"/>
      <c r="N1077" s="34"/>
      <c r="O1077" s="34"/>
      <c r="P1077" s="12"/>
      <c r="Q1077" s="39" t="s">
        <v>5234</v>
      </c>
      <c r="R1077" s="39"/>
      <c r="S1077" s="39"/>
      <c r="T1077" s="39"/>
      <c r="U1077" s="39"/>
      <c r="Y1077" s="26"/>
    </row>
    <row r="1078" ht="22.5" customHeight="1">
      <c r="A1078" s="18"/>
      <c r="B1078" s="36"/>
      <c r="C1078" s="40"/>
      <c r="D1078" s="36"/>
      <c r="E1078" s="36"/>
      <c r="F1078" s="12"/>
      <c r="G1078" s="12"/>
      <c r="H1078" s="29"/>
      <c r="I1078" s="20"/>
      <c r="J1078" s="10"/>
      <c r="K1078" s="10"/>
      <c r="L1078" s="10"/>
      <c r="M1078" s="35"/>
      <c r="N1078" s="34"/>
      <c r="O1078" s="34"/>
      <c r="P1078" s="12"/>
      <c r="Q1078" s="39" t="s">
        <v>5234</v>
      </c>
      <c r="R1078" s="39"/>
      <c r="S1078" s="39"/>
      <c r="T1078" s="39"/>
      <c r="U1078" s="39"/>
      <c r="Y1078" s="26"/>
    </row>
    <row r="1079" ht="22.5" customHeight="1">
      <c r="A1079" s="18"/>
      <c r="B1079" s="36"/>
      <c r="C1079" s="36"/>
      <c r="D1079" s="36"/>
      <c r="E1079" s="36"/>
      <c r="F1079" s="12"/>
      <c r="G1079" s="12"/>
      <c r="H1079" s="29"/>
      <c r="I1079" s="20"/>
      <c r="J1079" s="10"/>
      <c r="K1079" s="10"/>
      <c r="L1079" s="10"/>
      <c r="M1079" s="35"/>
      <c r="N1079" s="34"/>
      <c r="O1079" s="34"/>
      <c r="P1079" s="12"/>
      <c r="Q1079" s="39" t="s">
        <v>5234</v>
      </c>
      <c r="R1079" s="39"/>
      <c r="S1079" s="39"/>
      <c r="T1079" s="39"/>
      <c r="U1079" s="39"/>
      <c r="Y1079" s="26"/>
    </row>
    <row r="1080" ht="22.5" customHeight="1">
      <c r="A1080" s="18"/>
      <c r="B1080" s="36"/>
      <c r="C1080" s="36"/>
      <c r="D1080" s="36"/>
      <c r="E1080" s="36"/>
      <c r="F1080" s="12"/>
      <c r="G1080" s="12"/>
      <c r="H1080" s="29"/>
      <c r="I1080" s="20"/>
      <c r="J1080" s="10"/>
      <c r="K1080" s="10"/>
      <c r="L1080" s="10"/>
      <c r="M1080" s="35"/>
      <c r="N1080" s="34"/>
      <c r="O1080" s="34"/>
      <c r="P1080" s="12"/>
      <c r="Q1080" s="39" t="s">
        <v>5234</v>
      </c>
      <c r="R1080" s="39"/>
      <c r="S1080" s="39"/>
      <c r="T1080" s="39"/>
      <c r="U1080" s="39"/>
      <c r="Y1080" s="26"/>
    </row>
    <row r="1081" ht="22.5" customHeight="1">
      <c r="A1081" s="18"/>
      <c r="B1081" s="36"/>
      <c r="C1081" s="36"/>
      <c r="D1081" s="36"/>
      <c r="E1081" s="36"/>
      <c r="F1081" s="12"/>
      <c r="G1081" s="12"/>
      <c r="H1081" s="29"/>
      <c r="I1081" s="20"/>
      <c r="J1081" s="10"/>
      <c r="K1081" s="10"/>
      <c r="L1081" s="10"/>
      <c r="M1081" s="35"/>
      <c r="N1081" s="34"/>
      <c r="O1081" s="34"/>
      <c r="P1081" s="12"/>
      <c r="Q1081" s="39" t="s">
        <v>5234</v>
      </c>
      <c r="R1081" s="39"/>
      <c r="S1081" s="39"/>
      <c r="T1081" s="39"/>
      <c r="U1081" s="39"/>
      <c r="Y1081" s="26"/>
    </row>
    <row r="1082" ht="22.5" customHeight="1">
      <c r="A1082" s="18"/>
      <c r="B1082" s="36"/>
      <c r="C1082" s="36"/>
      <c r="D1082" s="36"/>
      <c r="E1082" s="36"/>
      <c r="F1082" s="12"/>
      <c r="G1082" s="12"/>
      <c r="H1082" s="29"/>
      <c r="I1082" s="20"/>
      <c r="J1082" s="10"/>
      <c r="K1082" s="10"/>
      <c r="L1082" s="10"/>
      <c r="M1082" s="35"/>
      <c r="N1082" s="34"/>
      <c r="O1082" s="34"/>
      <c r="P1082" s="12"/>
      <c r="Q1082" s="39" t="s">
        <v>5234</v>
      </c>
      <c r="R1082" s="39"/>
      <c r="S1082" s="39"/>
      <c r="T1082" s="39"/>
      <c r="U1082" s="39"/>
      <c r="Y1082" s="26"/>
    </row>
    <row r="1083" ht="22.5" customHeight="1">
      <c r="A1083" s="18"/>
      <c r="B1083" s="36"/>
      <c r="C1083" s="36"/>
      <c r="D1083" s="36"/>
      <c r="E1083" s="36"/>
      <c r="F1083" s="12"/>
      <c r="G1083" s="12"/>
      <c r="H1083" s="29"/>
      <c r="I1083" s="20"/>
      <c r="J1083" s="10"/>
      <c r="K1083" s="10"/>
      <c r="L1083" s="10"/>
      <c r="M1083" s="35"/>
      <c r="N1083" s="34"/>
      <c r="O1083" s="34"/>
      <c r="P1083" s="12"/>
      <c r="Q1083" s="39" t="s">
        <v>5234</v>
      </c>
      <c r="R1083" s="39"/>
      <c r="S1083" s="39"/>
      <c r="T1083" s="39"/>
      <c r="U1083" s="39"/>
      <c r="Y1083" s="26"/>
    </row>
    <row r="1084" ht="22.5" customHeight="1">
      <c r="A1084" s="18"/>
      <c r="B1084" s="36"/>
      <c r="C1084" s="36"/>
      <c r="D1084" s="36"/>
      <c r="E1084" s="36"/>
      <c r="F1084" s="12"/>
      <c r="G1084" s="12"/>
      <c r="H1084" s="29"/>
      <c r="I1084" s="20"/>
      <c r="J1084" s="10"/>
      <c r="K1084" s="10"/>
      <c r="L1084" s="10"/>
      <c r="M1084" s="35"/>
      <c r="N1084" s="34"/>
      <c r="O1084" s="34"/>
      <c r="P1084" s="12"/>
      <c r="Q1084" s="39" t="s">
        <v>5234</v>
      </c>
      <c r="R1084" s="39"/>
      <c r="S1084" s="39"/>
      <c r="T1084" s="39"/>
      <c r="U1084" s="39"/>
      <c r="Y1084" s="26"/>
    </row>
    <row r="1085" ht="22.5" customHeight="1">
      <c r="A1085" s="18"/>
      <c r="B1085" s="36"/>
      <c r="C1085" s="36"/>
      <c r="D1085" s="36"/>
      <c r="E1085" s="36"/>
      <c r="F1085" s="12"/>
      <c r="G1085" s="12"/>
      <c r="H1085" s="29"/>
      <c r="I1085" s="20"/>
      <c r="J1085" s="10"/>
      <c r="K1085" s="10"/>
      <c r="L1085" s="10"/>
      <c r="M1085" s="35"/>
      <c r="N1085" s="34"/>
      <c r="O1085" s="34"/>
      <c r="P1085" s="12"/>
      <c r="Q1085" s="39" t="s">
        <v>5234</v>
      </c>
      <c r="R1085" s="39"/>
      <c r="S1085" s="39"/>
      <c r="T1085" s="39"/>
      <c r="U1085" s="39"/>
      <c r="Y1085" s="26"/>
    </row>
    <row r="1086" ht="22.5" customHeight="1">
      <c r="A1086" s="18"/>
      <c r="B1086" s="36"/>
      <c r="C1086" s="36"/>
      <c r="D1086" s="36"/>
      <c r="E1086" s="36"/>
      <c r="F1086" s="12"/>
      <c r="G1086" s="12"/>
      <c r="H1086" s="29"/>
      <c r="I1086" s="20"/>
      <c r="J1086" s="10"/>
      <c r="K1086" s="10"/>
      <c r="L1086" s="10"/>
      <c r="M1086" s="35"/>
      <c r="N1086" s="34"/>
      <c r="O1086" s="34"/>
      <c r="P1086" s="12"/>
      <c r="Q1086" s="39" t="s">
        <v>5234</v>
      </c>
      <c r="R1086" s="39"/>
      <c r="S1086" s="39"/>
      <c r="T1086" s="39"/>
      <c r="U1086" s="39"/>
      <c r="Y1086" s="26"/>
    </row>
    <row r="1087" ht="22.5" customHeight="1">
      <c r="A1087" s="18"/>
      <c r="B1087" s="36"/>
      <c r="C1087" s="36"/>
      <c r="D1087" s="36"/>
      <c r="E1087" s="36"/>
      <c r="F1087" s="12"/>
      <c r="G1087" s="12"/>
      <c r="H1087" s="29"/>
      <c r="I1087" s="20"/>
      <c r="J1087" s="10"/>
      <c r="K1087" s="10"/>
      <c r="L1087" s="10"/>
      <c r="M1087" s="35"/>
      <c r="N1087" s="34"/>
      <c r="O1087" s="34"/>
      <c r="P1087" s="12"/>
      <c r="Q1087" s="39" t="s">
        <v>5234</v>
      </c>
      <c r="R1087" s="39"/>
      <c r="S1087" s="39"/>
      <c r="T1087" s="39"/>
      <c r="U1087" s="39"/>
      <c r="Y1087" s="26"/>
    </row>
    <row r="1088" ht="22.5" customHeight="1">
      <c r="A1088" s="18"/>
      <c r="B1088" s="36"/>
      <c r="C1088" s="36"/>
      <c r="D1088" s="36"/>
      <c r="E1088" s="36"/>
      <c r="F1088" s="12"/>
      <c r="G1088" s="12"/>
      <c r="H1088" s="29"/>
      <c r="I1088" s="20"/>
      <c r="J1088" s="10"/>
      <c r="K1088" s="10"/>
      <c r="L1088" s="10"/>
      <c r="M1088" s="35"/>
      <c r="N1088" s="34"/>
      <c r="O1088" s="34"/>
      <c r="P1088" s="12"/>
      <c r="Q1088" s="39" t="s">
        <v>5234</v>
      </c>
      <c r="R1088" s="39"/>
      <c r="S1088" s="39"/>
      <c r="T1088" s="39"/>
      <c r="U1088" s="39"/>
      <c r="Y1088" s="26"/>
    </row>
    <row r="1089" ht="22.5" customHeight="1">
      <c r="A1089" s="18"/>
      <c r="B1089" s="36"/>
      <c r="C1089" s="36"/>
      <c r="D1089" s="36"/>
      <c r="E1089" s="36"/>
      <c r="F1089" s="12"/>
      <c r="G1089" s="12"/>
      <c r="H1089" s="29"/>
      <c r="I1089" s="20"/>
      <c r="J1089" s="10"/>
      <c r="K1089" s="10"/>
      <c r="L1089" s="10"/>
      <c r="M1089" s="35"/>
      <c r="N1089" s="34"/>
      <c r="O1089" s="34"/>
      <c r="P1089" s="12"/>
      <c r="Q1089" s="39" t="s">
        <v>5234</v>
      </c>
      <c r="R1089" s="39"/>
      <c r="S1089" s="39"/>
      <c r="T1089" s="39"/>
      <c r="U1089" s="39"/>
      <c r="Y1089" s="26"/>
    </row>
    <row r="1090" ht="22.5" customHeight="1">
      <c r="A1090" s="18"/>
      <c r="B1090" s="36"/>
      <c r="C1090" s="36"/>
      <c r="D1090" s="36"/>
      <c r="E1090" s="36"/>
      <c r="F1090" s="12"/>
      <c r="G1090" s="12"/>
      <c r="H1090" s="29"/>
      <c r="I1090" s="20"/>
      <c r="J1090" s="10"/>
      <c r="K1090" s="10"/>
      <c r="L1090" s="10"/>
      <c r="M1090" s="35"/>
      <c r="N1090" s="34"/>
      <c r="O1090" s="34"/>
      <c r="P1090" s="12"/>
      <c r="Q1090" s="39" t="s">
        <v>5234</v>
      </c>
      <c r="R1090" s="39"/>
      <c r="S1090" s="39"/>
      <c r="T1090" s="39"/>
      <c r="U1090" s="39"/>
      <c r="Y1090" s="26"/>
    </row>
    <row r="1091" ht="22.5" customHeight="1">
      <c r="A1091" s="18"/>
      <c r="B1091" s="36"/>
      <c r="C1091" s="36"/>
      <c r="D1091" s="36"/>
      <c r="E1091" s="36"/>
      <c r="F1091" s="12"/>
      <c r="G1091" s="12"/>
      <c r="H1091" s="29"/>
      <c r="I1091" s="20"/>
      <c r="J1091" s="10"/>
      <c r="K1091" s="10"/>
      <c r="L1091" s="10"/>
      <c r="M1091" s="35"/>
      <c r="N1091" s="34"/>
      <c r="O1091" s="34"/>
      <c r="P1091" s="12"/>
      <c r="Q1091" s="39" t="s">
        <v>5234</v>
      </c>
      <c r="R1091" s="39"/>
      <c r="S1091" s="39"/>
      <c r="T1091" s="39"/>
      <c r="U1091" s="39"/>
      <c r="Y1091" s="26"/>
    </row>
    <row r="1092" ht="22.5" customHeight="1">
      <c r="A1092" s="18"/>
      <c r="B1092" s="36"/>
      <c r="C1092" s="36"/>
      <c r="D1092" s="36"/>
      <c r="E1092" s="36"/>
      <c r="F1092" s="12"/>
      <c r="G1092" s="12"/>
      <c r="H1092" s="29"/>
      <c r="I1092" s="20"/>
      <c r="J1092" s="10"/>
      <c r="K1092" s="10"/>
      <c r="L1092" s="10"/>
      <c r="M1092" s="35"/>
      <c r="N1092" s="34"/>
      <c r="O1092" s="34"/>
      <c r="P1092" s="12"/>
      <c r="Q1092" s="39" t="s">
        <v>5234</v>
      </c>
      <c r="R1092" s="39"/>
      <c r="S1092" s="39"/>
      <c r="T1092" s="39"/>
      <c r="U1092" s="39"/>
      <c r="Y1092" s="26"/>
    </row>
    <row r="1093" ht="22.5" customHeight="1">
      <c r="A1093" s="18"/>
      <c r="B1093" s="36"/>
      <c r="C1093" s="36"/>
      <c r="D1093" s="36"/>
      <c r="E1093" s="36"/>
      <c r="F1093" s="12"/>
      <c r="G1093" s="12"/>
      <c r="H1093" s="29"/>
      <c r="I1093" s="20"/>
      <c r="J1093" s="10"/>
      <c r="K1093" s="10"/>
      <c r="L1093" s="10"/>
      <c r="M1093" s="35"/>
      <c r="N1093" s="34"/>
      <c r="O1093" s="34"/>
      <c r="P1093" s="12"/>
      <c r="Q1093" s="39" t="s">
        <v>5234</v>
      </c>
      <c r="R1093" s="39"/>
      <c r="S1093" s="39"/>
      <c r="T1093" s="39"/>
      <c r="U1093" s="39"/>
      <c r="Y1093" s="26"/>
    </row>
    <row r="1094" ht="22.5" customHeight="1">
      <c r="A1094" s="18"/>
      <c r="B1094" s="36"/>
      <c r="C1094" s="36"/>
      <c r="D1094" s="36"/>
      <c r="E1094" s="36"/>
      <c r="F1094" s="12"/>
      <c r="G1094" s="12"/>
      <c r="H1094" s="29"/>
      <c r="I1094" s="20"/>
      <c r="J1094" s="10"/>
      <c r="K1094" s="10"/>
      <c r="L1094" s="10"/>
      <c r="M1094" s="35"/>
      <c r="N1094" s="34"/>
      <c r="O1094" s="34"/>
      <c r="P1094" s="12"/>
      <c r="Q1094" s="39" t="s">
        <v>5234</v>
      </c>
      <c r="R1094" s="39"/>
      <c r="S1094" s="39"/>
      <c r="T1094" s="39"/>
      <c r="U1094" s="39"/>
      <c r="Y1094" s="26"/>
    </row>
    <row r="1095" ht="22.5" customHeight="1">
      <c r="A1095" s="18"/>
      <c r="B1095" s="36"/>
      <c r="C1095" s="36"/>
      <c r="D1095" s="36"/>
      <c r="E1095" s="36"/>
      <c r="F1095" s="12"/>
      <c r="G1095" s="12"/>
      <c r="H1095" s="29"/>
      <c r="I1095" s="20"/>
      <c r="J1095" s="10"/>
      <c r="K1095" s="10"/>
      <c r="L1095" s="10"/>
      <c r="M1095" s="35"/>
      <c r="N1095" s="34"/>
      <c r="O1095" s="34"/>
      <c r="P1095" s="12"/>
      <c r="Q1095" s="39" t="s">
        <v>5234</v>
      </c>
      <c r="R1095" s="39"/>
      <c r="S1095" s="39"/>
      <c r="T1095" s="39"/>
      <c r="U1095" s="39"/>
      <c r="Y1095" s="26"/>
    </row>
    <row r="1096" ht="22.5" customHeight="1">
      <c r="A1096" s="18"/>
      <c r="B1096" s="36"/>
      <c r="C1096" s="36"/>
      <c r="D1096" s="36"/>
      <c r="E1096" s="36"/>
      <c r="F1096" s="12"/>
      <c r="G1096" s="12"/>
      <c r="H1096" s="29"/>
      <c r="I1096" s="20"/>
      <c r="J1096" s="10"/>
      <c r="K1096" s="10"/>
      <c r="L1096" s="10"/>
      <c r="M1096" s="35"/>
      <c r="N1096" s="34"/>
      <c r="O1096" s="34"/>
      <c r="P1096" s="12"/>
      <c r="Q1096" s="39" t="s">
        <v>5234</v>
      </c>
      <c r="R1096" s="39"/>
      <c r="S1096" s="39"/>
      <c r="T1096" s="39"/>
      <c r="U1096" s="39"/>
      <c r="Y1096" s="26"/>
    </row>
    <row r="1097" ht="22.5" customHeight="1">
      <c r="A1097" s="18"/>
      <c r="B1097" s="36"/>
      <c r="C1097" s="36"/>
      <c r="D1097" s="36"/>
      <c r="E1097" s="36"/>
      <c r="F1097" s="12"/>
      <c r="G1097" s="12"/>
      <c r="H1097" s="29"/>
      <c r="I1097" s="20"/>
      <c r="J1097" s="10"/>
      <c r="K1097" s="10"/>
      <c r="L1097" s="10"/>
      <c r="M1097" s="35"/>
      <c r="N1097" s="34"/>
      <c r="O1097" s="34"/>
      <c r="P1097" s="12"/>
      <c r="Q1097" s="39" t="s">
        <v>5234</v>
      </c>
      <c r="R1097" s="39"/>
      <c r="S1097" s="39"/>
      <c r="T1097" s="39"/>
      <c r="U1097" s="39"/>
      <c r="Y1097" s="26"/>
    </row>
    <row r="1098" ht="22.5" customHeight="1">
      <c r="A1098" s="18"/>
      <c r="B1098" s="36"/>
      <c r="C1098" s="36"/>
      <c r="D1098" s="36"/>
      <c r="E1098" s="36"/>
      <c r="F1098" s="12"/>
      <c r="G1098" s="12"/>
      <c r="H1098" s="29"/>
      <c r="I1098" s="20"/>
      <c r="J1098" s="10"/>
      <c r="K1098" s="10"/>
      <c r="L1098" s="10"/>
      <c r="M1098" s="35"/>
      <c r="N1098" s="34"/>
      <c r="O1098" s="34"/>
      <c r="P1098" s="12"/>
      <c r="Q1098" s="39" t="s">
        <v>5234</v>
      </c>
      <c r="R1098" s="39"/>
      <c r="S1098" s="39"/>
      <c r="T1098" s="39"/>
      <c r="U1098" s="39"/>
      <c r="Y1098" s="26"/>
    </row>
    <row r="1099" ht="22.5" customHeight="1">
      <c r="A1099" s="18"/>
      <c r="B1099" s="36"/>
      <c r="C1099" s="36"/>
      <c r="D1099" s="36"/>
      <c r="E1099" s="36"/>
      <c r="F1099" s="12"/>
      <c r="G1099" s="12"/>
      <c r="H1099" s="29"/>
      <c r="I1099" s="20"/>
      <c r="J1099" s="10"/>
      <c r="K1099" s="10"/>
      <c r="L1099" s="10"/>
      <c r="M1099" s="35"/>
      <c r="N1099" s="34"/>
      <c r="O1099" s="34"/>
      <c r="P1099" s="12"/>
      <c r="Q1099" s="39" t="s">
        <v>5234</v>
      </c>
      <c r="R1099" s="39"/>
      <c r="S1099" s="39"/>
      <c r="T1099" s="39"/>
      <c r="U1099" s="39"/>
      <c r="Y1099" s="26"/>
    </row>
    <row r="1100" ht="22.5" customHeight="1">
      <c r="A1100" s="18"/>
      <c r="B1100" s="36"/>
      <c r="C1100" s="36"/>
      <c r="D1100" s="36"/>
      <c r="E1100" s="36"/>
      <c r="F1100" s="12"/>
      <c r="G1100" s="12"/>
      <c r="H1100" s="29"/>
      <c r="I1100" s="20"/>
      <c r="J1100" s="10"/>
      <c r="K1100" s="10"/>
      <c r="L1100" s="10"/>
      <c r="M1100" s="35"/>
      <c r="N1100" s="34"/>
      <c r="O1100" s="34"/>
      <c r="P1100" s="12"/>
      <c r="Q1100" s="39" t="s">
        <v>5234</v>
      </c>
      <c r="R1100" s="39"/>
      <c r="S1100" s="39"/>
      <c r="T1100" s="39"/>
      <c r="U1100" s="39"/>
      <c r="Y1100" s="26"/>
    </row>
    <row r="1101" ht="22.5" customHeight="1">
      <c r="A1101" s="18"/>
      <c r="B1101" s="36"/>
      <c r="C1101" s="36"/>
      <c r="D1101" s="36"/>
      <c r="E1101" s="36"/>
      <c r="F1101" s="12"/>
      <c r="G1101" s="12"/>
      <c r="H1101" s="29"/>
      <c r="I1101" s="20"/>
      <c r="J1101" s="10"/>
      <c r="K1101" s="10"/>
      <c r="L1101" s="10"/>
      <c r="M1101" s="35"/>
      <c r="N1101" s="34"/>
      <c r="O1101" s="34"/>
      <c r="P1101" s="12"/>
      <c r="Q1101" s="39" t="s">
        <v>5234</v>
      </c>
      <c r="R1101" s="39"/>
      <c r="S1101" s="39"/>
      <c r="T1101" s="39"/>
      <c r="U1101" s="39"/>
      <c r="Y1101" s="26"/>
    </row>
    <row r="1102" ht="22.5" customHeight="1">
      <c r="A1102" s="18"/>
      <c r="B1102" s="36"/>
      <c r="C1102" s="36"/>
      <c r="D1102" s="36"/>
      <c r="E1102" s="36"/>
      <c r="F1102" s="12"/>
      <c r="G1102" s="12"/>
      <c r="H1102" s="29"/>
      <c r="I1102" s="20"/>
      <c r="J1102" s="10"/>
      <c r="K1102" s="10"/>
      <c r="L1102" s="10"/>
      <c r="M1102" s="35"/>
      <c r="N1102" s="34"/>
      <c r="O1102" s="34"/>
      <c r="P1102" s="12"/>
      <c r="Q1102" s="39" t="s">
        <v>5234</v>
      </c>
      <c r="R1102" s="39"/>
      <c r="S1102" s="39"/>
      <c r="T1102" s="39"/>
      <c r="U1102" s="39"/>
      <c r="Y1102" s="26"/>
    </row>
    <row r="1103" ht="22.5" customHeight="1">
      <c r="A1103" s="18"/>
      <c r="B1103" s="36"/>
      <c r="C1103" s="36"/>
      <c r="D1103" s="36"/>
      <c r="E1103" s="36"/>
      <c r="F1103" s="12"/>
      <c r="G1103" s="12"/>
      <c r="H1103" s="29"/>
      <c r="I1103" s="20"/>
      <c r="J1103" s="10"/>
      <c r="K1103" s="10"/>
      <c r="L1103" s="10"/>
      <c r="M1103" s="35"/>
      <c r="N1103" s="34"/>
      <c r="O1103" s="34"/>
      <c r="P1103" s="12"/>
      <c r="Q1103" s="39" t="s">
        <v>5234</v>
      </c>
      <c r="R1103" s="39"/>
      <c r="S1103" s="39"/>
      <c r="T1103" s="39"/>
      <c r="U1103" s="39"/>
      <c r="Y1103" s="26"/>
    </row>
    <row r="1104" ht="22.5" customHeight="1">
      <c r="A1104" s="18"/>
      <c r="B1104" s="36"/>
      <c r="C1104" s="36"/>
      <c r="D1104" s="36"/>
      <c r="E1104" s="36"/>
      <c r="F1104" s="12"/>
      <c r="G1104" s="12"/>
      <c r="H1104" s="29"/>
      <c r="I1104" s="20"/>
      <c r="J1104" s="10"/>
      <c r="K1104" s="10"/>
      <c r="L1104" s="10"/>
      <c r="M1104" s="35"/>
      <c r="N1104" s="34"/>
      <c r="O1104" s="34"/>
      <c r="P1104" s="12"/>
      <c r="Q1104" s="39" t="s">
        <v>5234</v>
      </c>
      <c r="R1104" s="39"/>
      <c r="S1104" s="39"/>
      <c r="T1104" s="39"/>
      <c r="U1104" s="39"/>
      <c r="Y1104" s="26"/>
    </row>
    <row r="1105" ht="22.5" customHeight="1">
      <c r="A1105" s="18"/>
      <c r="B1105" s="36"/>
      <c r="C1105" s="36"/>
      <c r="D1105" s="36"/>
      <c r="E1105" s="36"/>
      <c r="F1105" s="12"/>
      <c r="G1105" s="12"/>
      <c r="H1105" s="29"/>
      <c r="I1105" s="20"/>
      <c r="J1105" s="10"/>
      <c r="K1105" s="10"/>
      <c r="L1105" s="10"/>
      <c r="M1105" s="35"/>
      <c r="N1105" s="34"/>
      <c r="O1105" s="34"/>
      <c r="P1105" s="12"/>
      <c r="Q1105" s="39" t="s">
        <v>5234</v>
      </c>
      <c r="R1105" s="39"/>
      <c r="S1105" s="39"/>
      <c r="T1105" s="39"/>
      <c r="U1105" s="39"/>
      <c r="Y1105" s="26"/>
    </row>
    <row r="1106" ht="22.5" customHeight="1">
      <c r="A1106" s="18"/>
      <c r="B1106" s="36"/>
      <c r="C1106" s="36"/>
      <c r="D1106" s="36"/>
      <c r="E1106" s="36"/>
      <c r="F1106" s="12"/>
      <c r="G1106" s="12"/>
      <c r="H1106" s="29"/>
      <c r="I1106" s="20"/>
      <c r="J1106" s="10"/>
      <c r="K1106" s="10"/>
      <c r="L1106" s="10"/>
      <c r="M1106" s="35"/>
      <c r="N1106" s="34"/>
      <c r="O1106" s="34"/>
      <c r="P1106" s="12"/>
      <c r="Q1106" s="39" t="s">
        <v>5234</v>
      </c>
      <c r="R1106" s="39"/>
      <c r="S1106" s="39"/>
      <c r="T1106" s="39"/>
      <c r="U1106" s="39"/>
      <c r="Y1106" s="26"/>
    </row>
    <row r="1107" ht="22.5" customHeight="1">
      <c r="A1107" s="18"/>
      <c r="B1107" s="36"/>
      <c r="C1107" s="36"/>
      <c r="D1107" s="36"/>
      <c r="E1107" s="36"/>
      <c r="F1107" s="12"/>
      <c r="G1107" s="12"/>
      <c r="H1107" s="29"/>
      <c r="I1107" s="20"/>
      <c r="J1107" s="10"/>
      <c r="K1107" s="10"/>
      <c r="L1107" s="10"/>
      <c r="M1107" s="35"/>
      <c r="N1107" s="34"/>
      <c r="O1107" s="34"/>
      <c r="P1107" s="12"/>
      <c r="Q1107" s="39" t="s">
        <v>5234</v>
      </c>
      <c r="R1107" s="39"/>
      <c r="S1107" s="39"/>
      <c r="T1107" s="39"/>
      <c r="U1107" s="39"/>
      <c r="Y1107" s="26"/>
    </row>
    <row r="1108" ht="22.5" customHeight="1">
      <c r="A1108" s="18"/>
      <c r="B1108" s="36"/>
      <c r="C1108" s="36"/>
      <c r="D1108" s="36"/>
      <c r="E1108" s="36"/>
      <c r="F1108" s="12"/>
      <c r="G1108" s="12"/>
      <c r="H1108" s="29"/>
      <c r="I1108" s="20"/>
      <c r="J1108" s="10"/>
      <c r="K1108" s="10"/>
      <c r="L1108" s="10"/>
      <c r="M1108" s="35"/>
      <c r="N1108" s="34"/>
      <c r="O1108" s="34"/>
      <c r="P1108" s="12"/>
      <c r="Q1108" s="39" t="s">
        <v>5234</v>
      </c>
      <c r="R1108" s="39"/>
      <c r="S1108" s="39"/>
      <c r="T1108" s="39"/>
      <c r="U1108" s="39"/>
      <c r="Y1108" s="26"/>
    </row>
    <row r="1109" ht="22.5" customHeight="1">
      <c r="A1109" s="18"/>
      <c r="B1109" s="36"/>
      <c r="C1109" s="36"/>
      <c r="D1109" s="36"/>
      <c r="E1109" s="36"/>
      <c r="F1109" s="12"/>
      <c r="G1109" s="12"/>
      <c r="H1109" s="29"/>
      <c r="I1109" s="20"/>
      <c r="J1109" s="10"/>
      <c r="K1109" s="10"/>
      <c r="L1109" s="10"/>
      <c r="M1109" s="35"/>
      <c r="N1109" s="34"/>
      <c r="O1109" s="34"/>
      <c r="P1109" s="12"/>
      <c r="Q1109" s="39" t="s">
        <v>5234</v>
      </c>
      <c r="R1109" s="39"/>
      <c r="S1109" s="39"/>
      <c r="T1109" s="39"/>
      <c r="U1109" s="39"/>
      <c r="Y1109" s="26"/>
    </row>
    <row r="1110" ht="22.5" customHeight="1">
      <c r="A1110" s="18"/>
      <c r="B1110" s="36"/>
      <c r="C1110" s="36"/>
      <c r="D1110" s="36"/>
      <c r="E1110" s="36"/>
      <c r="F1110" s="12"/>
      <c r="G1110" s="12"/>
      <c r="H1110" s="29"/>
      <c r="I1110" s="20"/>
      <c r="J1110" s="10"/>
      <c r="K1110" s="10"/>
      <c r="L1110" s="10"/>
      <c r="M1110" s="35"/>
      <c r="N1110" s="34"/>
      <c r="O1110" s="34"/>
      <c r="P1110" s="12"/>
      <c r="Q1110" s="39" t="s">
        <v>5234</v>
      </c>
      <c r="R1110" s="39"/>
      <c r="S1110" s="39"/>
      <c r="T1110" s="39"/>
      <c r="U1110" s="39"/>
      <c r="Y1110" s="26"/>
    </row>
    <row r="1111" ht="22.5" customHeight="1">
      <c r="A1111" s="18"/>
      <c r="B1111" s="36"/>
      <c r="C1111" s="36"/>
      <c r="D1111" s="36"/>
      <c r="E1111" s="36"/>
      <c r="F1111" s="12"/>
      <c r="G1111" s="12"/>
      <c r="H1111" s="29"/>
      <c r="I1111" s="20"/>
      <c r="J1111" s="10"/>
      <c r="K1111" s="10"/>
      <c r="L1111" s="10"/>
      <c r="M1111" s="35"/>
      <c r="N1111" s="34"/>
      <c r="O1111" s="34"/>
      <c r="P1111" s="12"/>
      <c r="Q1111" s="39" t="s">
        <v>5234</v>
      </c>
      <c r="R1111" s="39"/>
      <c r="S1111" s="39"/>
      <c r="T1111" s="39"/>
      <c r="U1111" s="39"/>
      <c r="Y1111" s="26"/>
    </row>
    <row r="1112" ht="22.5" customHeight="1">
      <c r="A1112" s="18"/>
      <c r="B1112" s="36"/>
      <c r="C1112" s="36"/>
      <c r="D1112" s="36"/>
      <c r="E1112" s="36"/>
      <c r="F1112" s="12"/>
      <c r="G1112" s="12"/>
      <c r="H1112" s="29"/>
      <c r="I1112" s="20"/>
      <c r="J1112" s="10"/>
      <c r="K1112" s="10"/>
      <c r="L1112" s="10"/>
      <c r="M1112" s="35"/>
      <c r="N1112" s="34"/>
      <c r="O1112" s="34"/>
      <c r="P1112" s="12"/>
      <c r="Q1112" s="39" t="s">
        <v>5234</v>
      </c>
      <c r="R1112" s="39"/>
      <c r="S1112" s="39"/>
      <c r="T1112" s="39"/>
      <c r="U1112" s="39"/>
      <c r="Y1112" s="26"/>
    </row>
    <row r="1113" ht="22.5" customHeight="1">
      <c r="A1113" s="18"/>
      <c r="B1113" s="36"/>
      <c r="C1113" s="36"/>
      <c r="D1113" s="36"/>
      <c r="E1113" s="36"/>
      <c r="F1113" s="12"/>
      <c r="G1113" s="12"/>
      <c r="H1113" s="29"/>
      <c r="I1113" s="20"/>
      <c r="J1113" s="10"/>
      <c r="K1113" s="10"/>
      <c r="L1113" s="10"/>
      <c r="M1113" s="35"/>
      <c r="N1113" s="34"/>
      <c r="O1113" s="34"/>
      <c r="P1113" s="12"/>
      <c r="Q1113" s="39" t="s">
        <v>5234</v>
      </c>
      <c r="R1113" s="39"/>
      <c r="S1113" s="39"/>
      <c r="T1113" s="39"/>
      <c r="U1113" s="39"/>
      <c r="Y1113" s="26"/>
    </row>
    <row r="1114" ht="22.5" customHeight="1">
      <c r="A1114" s="18"/>
      <c r="B1114" s="36"/>
      <c r="C1114" s="36"/>
      <c r="D1114" s="36"/>
      <c r="E1114" s="36"/>
      <c r="F1114" s="12"/>
      <c r="G1114" s="12"/>
      <c r="H1114" s="29"/>
      <c r="I1114" s="20"/>
      <c r="J1114" s="10"/>
      <c r="K1114" s="10"/>
      <c r="L1114" s="10"/>
      <c r="M1114" s="35"/>
      <c r="N1114" s="34"/>
      <c r="O1114" s="34"/>
      <c r="P1114" s="12"/>
      <c r="Q1114" s="39" t="s">
        <v>5234</v>
      </c>
      <c r="R1114" s="39"/>
      <c r="S1114" s="39"/>
      <c r="T1114" s="39"/>
      <c r="U1114" s="39"/>
      <c r="Y1114" s="26"/>
    </row>
    <row r="1115" ht="22.5" customHeight="1">
      <c r="A1115" s="18"/>
      <c r="B1115" s="36"/>
      <c r="C1115" s="36"/>
      <c r="D1115" s="36"/>
      <c r="E1115" s="36"/>
      <c r="F1115" s="12"/>
      <c r="G1115" s="12"/>
      <c r="H1115" s="29"/>
      <c r="I1115" s="20"/>
      <c r="J1115" s="10"/>
      <c r="K1115" s="10"/>
      <c r="L1115" s="10"/>
      <c r="M1115" s="35"/>
      <c r="N1115" s="34"/>
      <c r="O1115" s="34"/>
      <c r="P1115" s="12"/>
      <c r="Q1115" s="39" t="s">
        <v>5234</v>
      </c>
      <c r="R1115" s="39"/>
      <c r="S1115" s="39"/>
      <c r="T1115" s="39"/>
      <c r="U1115" s="39"/>
      <c r="Y1115" s="26"/>
    </row>
    <row r="1116" ht="22.5" customHeight="1">
      <c r="A1116" s="18"/>
      <c r="B1116" s="36"/>
      <c r="C1116" s="36"/>
      <c r="D1116" s="36"/>
      <c r="E1116" s="36"/>
      <c r="F1116" s="12"/>
      <c r="G1116" s="12"/>
      <c r="H1116" s="29"/>
      <c r="I1116" s="20"/>
      <c r="J1116" s="10"/>
      <c r="K1116" s="10"/>
      <c r="L1116" s="10"/>
      <c r="M1116" s="35"/>
      <c r="N1116" s="34"/>
      <c r="O1116" s="34"/>
      <c r="P1116" s="12"/>
      <c r="Q1116" s="39" t="s">
        <v>5234</v>
      </c>
      <c r="R1116" s="39"/>
      <c r="S1116" s="39"/>
      <c r="T1116" s="39"/>
      <c r="U1116" s="39"/>
      <c r="Y1116" s="26"/>
    </row>
    <row r="1117" ht="22.5" customHeight="1">
      <c r="A1117" s="18"/>
      <c r="B1117" s="36"/>
      <c r="C1117" s="36"/>
      <c r="D1117" s="36"/>
      <c r="E1117" s="36"/>
      <c r="F1117" s="12"/>
      <c r="G1117" s="12"/>
      <c r="H1117" s="29"/>
      <c r="I1117" s="20"/>
      <c r="J1117" s="10"/>
      <c r="K1117" s="10"/>
      <c r="L1117" s="10"/>
      <c r="M1117" s="35"/>
      <c r="N1117" s="34"/>
      <c r="O1117" s="34"/>
      <c r="P1117" s="12"/>
      <c r="Q1117" s="39" t="s">
        <v>5234</v>
      </c>
      <c r="R1117" s="39"/>
      <c r="S1117" s="39"/>
      <c r="T1117" s="39"/>
      <c r="U1117" s="39"/>
      <c r="Y1117" s="26"/>
    </row>
    <row r="1118" ht="22.5" customHeight="1">
      <c r="A1118" s="18"/>
      <c r="B1118" s="36"/>
      <c r="C1118" s="36"/>
      <c r="D1118" s="36"/>
      <c r="E1118" s="36"/>
      <c r="F1118" s="12"/>
      <c r="G1118" s="12"/>
      <c r="H1118" s="29"/>
      <c r="I1118" s="20"/>
      <c r="J1118" s="10"/>
      <c r="K1118" s="10"/>
      <c r="L1118" s="10"/>
      <c r="M1118" s="35"/>
      <c r="N1118" s="34"/>
      <c r="O1118" s="34"/>
      <c r="P1118" s="12"/>
      <c r="Q1118" s="39" t="s">
        <v>5234</v>
      </c>
      <c r="R1118" s="39"/>
      <c r="S1118" s="39"/>
      <c r="T1118" s="39"/>
      <c r="U1118" s="39"/>
      <c r="Y1118" s="26"/>
    </row>
    <row r="1119" ht="22.5" customHeight="1">
      <c r="A1119" s="18"/>
      <c r="B1119" s="36"/>
      <c r="C1119" s="36"/>
      <c r="D1119" s="36"/>
      <c r="E1119" s="36"/>
      <c r="F1119" s="12"/>
      <c r="G1119" s="12"/>
      <c r="H1119" s="29"/>
      <c r="I1119" s="20"/>
      <c r="J1119" s="10"/>
      <c r="K1119" s="10"/>
      <c r="L1119" s="10"/>
      <c r="M1119" s="35"/>
      <c r="N1119" s="34"/>
      <c r="O1119" s="34"/>
      <c r="P1119" s="12"/>
      <c r="Q1119" s="39" t="s">
        <v>5234</v>
      </c>
      <c r="R1119" s="39"/>
      <c r="S1119" s="39"/>
      <c r="T1119" s="39"/>
      <c r="U1119" s="39"/>
      <c r="Y1119" s="26"/>
    </row>
    <row r="1120" ht="22.5" customHeight="1">
      <c r="A1120" s="18"/>
      <c r="B1120" s="36"/>
      <c r="C1120" s="36"/>
      <c r="D1120" s="36"/>
      <c r="E1120" s="36"/>
      <c r="F1120" s="12"/>
      <c r="G1120" s="12"/>
      <c r="H1120" s="29"/>
      <c r="I1120" s="20"/>
      <c r="J1120" s="10"/>
      <c r="K1120" s="10"/>
      <c r="L1120" s="10"/>
      <c r="M1120" s="35"/>
      <c r="N1120" s="34"/>
      <c r="O1120" s="34"/>
      <c r="P1120" s="12"/>
      <c r="Q1120" s="39" t="s">
        <v>5234</v>
      </c>
      <c r="R1120" s="39"/>
      <c r="S1120" s="39"/>
      <c r="T1120" s="39"/>
      <c r="U1120" s="39"/>
      <c r="Y1120" s="26"/>
    </row>
    <row r="1121" ht="22.5" customHeight="1">
      <c r="A1121" s="18"/>
      <c r="B1121" s="36"/>
      <c r="C1121" s="36"/>
      <c r="D1121" s="36"/>
      <c r="E1121" s="36"/>
      <c r="F1121" s="12"/>
      <c r="G1121" s="12"/>
      <c r="H1121" s="29"/>
      <c r="I1121" s="20"/>
      <c r="J1121" s="10"/>
      <c r="K1121" s="10"/>
      <c r="L1121" s="10"/>
      <c r="M1121" s="35"/>
      <c r="N1121" s="34"/>
      <c r="O1121" s="34"/>
      <c r="P1121" s="12"/>
      <c r="Q1121" s="39" t="s">
        <v>5234</v>
      </c>
      <c r="R1121" s="39"/>
      <c r="S1121" s="39"/>
      <c r="T1121" s="39"/>
      <c r="U1121" s="39"/>
      <c r="Y1121" s="26"/>
    </row>
    <row r="1122" ht="22.5" customHeight="1">
      <c r="A1122" s="18"/>
      <c r="B1122" s="36"/>
      <c r="C1122" s="36"/>
      <c r="D1122" s="36"/>
      <c r="E1122" s="36"/>
      <c r="F1122" s="12"/>
      <c r="G1122" s="12"/>
      <c r="H1122" s="29"/>
      <c r="I1122" s="20"/>
      <c r="J1122" s="10"/>
      <c r="K1122" s="10"/>
      <c r="L1122" s="10"/>
      <c r="M1122" s="35"/>
      <c r="N1122" s="34"/>
      <c r="O1122" s="34"/>
      <c r="P1122" s="12"/>
      <c r="Q1122" s="39" t="s">
        <v>5234</v>
      </c>
      <c r="R1122" s="39"/>
      <c r="S1122" s="39"/>
      <c r="T1122" s="39"/>
      <c r="U1122" s="39"/>
      <c r="Y1122" s="26"/>
    </row>
    <row r="1123" ht="22.5" customHeight="1">
      <c r="A1123" s="18"/>
      <c r="B1123" s="36"/>
      <c r="C1123" s="36"/>
      <c r="D1123" s="36"/>
      <c r="E1123" s="36"/>
      <c r="F1123" s="12"/>
      <c r="G1123" s="12"/>
      <c r="H1123" s="29"/>
      <c r="I1123" s="20"/>
      <c r="J1123" s="10"/>
      <c r="K1123" s="10"/>
      <c r="L1123" s="10"/>
      <c r="M1123" s="35"/>
      <c r="N1123" s="34"/>
      <c r="O1123" s="34"/>
      <c r="P1123" s="12"/>
      <c r="Q1123" s="39" t="s">
        <v>5234</v>
      </c>
      <c r="R1123" s="39"/>
      <c r="S1123" s="39"/>
      <c r="T1123" s="39"/>
      <c r="U1123" s="39"/>
      <c r="Y1123" s="26"/>
    </row>
    <row r="1124" ht="22.5" customHeight="1">
      <c r="A1124" s="18"/>
      <c r="B1124" s="36"/>
      <c r="C1124" s="36"/>
      <c r="D1124" s="36"/>
      <c r="E1124" s="36"/>
      <c r="F1124" s="12"/>
      <c r="G1124" s="12"/>
      <c r="H1124" s="29"/>
      <c r="I1124" s="20"/>
      <c r="J1124" s="10"/>
      <c r="K1124" s="10"/>
      <c r="L1124" s="10"/>
      <c r="M1124" s="35"/>
      <c r="N1124" s="34"/>
      <c r="O1124" s="34"/>
      <c r="P1124" s="12"/>
      <c r="Q1124" s="39" t="s">
        <v>5234</v>
      </c>
      <c r="R1124" s="39"/>
      <c r="S1124" s="39"/>
      <c r="T1124" s="39"/>
      <c r="U1124" s="39"/>
      <c r="Y1124" s="26"/>
    </row>
    <row r="1125" ht="22.5" customHeight="1">
      <c r="A1125" s="18"/>
      <c r="B1125" s="36"/>
      <c r="C1125" s="36"/>
      <c r="D1125" s="36"/>
      <c r="E1125" s="36"/>
      <c r="F1125" s="12"/>
      <c r="G1125" s="12"/>
      <c r="H1125" s="29"/>
      <c r="I1125" s="20"/>
      <c r="J1125" s="10"/>
      <c r="K1125" s="10"/>
      <c r="L1125" s="10"/>
      <c r="M1125" s="35"/>
      <c r="N1125" s="34"/>
      <c r="O1125" s="34"/>
      <c r="P1125" s="12"/>
      <c r="Q1125" s="39" t="s">
        <v>5234</v>
      </c>
      <c r="R1125" s="39"/>
      <c r="S1125" s="39"/>
      <c r="T1125" s="39"/>
      <c r="U1125" s="39"/>
      <c r="Y1125" s="26"/>
    </row>
    <row r="1126" ht="22.5" customHeight="1">
      <c r="A1126" s="18"/>
      <c r="B1126" s="36"/>
      <c r="C1126" s="41"/>
      <c r="D1126" s="36"/>
      <c r="E1126" s="36"/>
      <c r="F1126" s="12"/>
      <c r="G1126" s="12"/>
      <c r="H1126" s="29"/>
      <c r="I1126" s="20"/>
      <c r="J1126" s="10"/>
      <c r="K1126" s="10"/>
      <c r="L1126" s="10"/>
      <c r="M1126" s="35"/>
      <c r="N1126" s="34"/>
      <c r="O1126" s="34"/>
      <c r="P1126" s="12"/>
      <c r="Q1126" s="39" t="s">
        <v>5234</v>
      </c>
      <c r="R1126" s="39"/>
      <c r="S1126" s="39"/>
      <c r="T1126" s="39"/>
      <c r="U1126" s="39"/>
      <c r="Y1126" s="26"/>
    </row>
    <row r="1127" ht="22.5" customHeight="1">
      <c r="A1127" s="18"/>
      <c r="B1127" s="36"/>
      <c r="C1127" s="36"/>
      <c r="D1127" s="36"/>
      <c r="E1127" s="36"/>
      <c r="F1127" s="12"/>
      <c r="G1127" s="12"/>
      <c r="H1127" s="29"/>
      <c r="I1127" s="20"/>
      <c r="J1127" s="10"/>
      <c r="K1127" s="10"/>
      <c r="L1127" s="10"/>
      <c r="M1127" s="35"/>
      <c r="N1127" s="34"/>
      <c r="O1127" s="34"/>
      <c r="P1127" s="12"/>
      <c r="Q1127" s="39" t="s">
        <v>5234</v>
      </c>
      <c r="R1127" s="39"/>
      <c r="S1127" s="39"/>
      <c r="T1127" s="39"/>
      <c r="U1127" s="39"/>
      <c r="Y1127" s="26"/>
    </row>
    <row r="1128" ht="22.5" customHeight="1">
      <c r="A1128" s="18"/>
      <c r="B1128" s="36"/>
      <c r="C1128" s="36"/>
      <c r="D1128" s="36"/>
      <c r="E1128" s="36"/>
      <c r="F1128" s="12"/>
      <c r="G1128" s="12"/>
      <c r="H1128" s="29"/>
      <c r="I1128" s="20"/>
      <c r="J1128" s="10"/>
      <c r="K1128" s="10"/>
      <c r="L1128" s="10"/>
      <c r="M1128" s="35"/>
      <c r="N1128" s="34"/>
      <c r="O1128" s="34"/>
      <c r="P1128" s="12"/>
      <c r="Q1128" s="39" t="s">
        <v>5234</v>
      </c>
      <c r="R1128" s="39"/>
      <c r="S1128" s="39"/>
      <c r="T1128" s="39"/>
      <c r="U1128" s="39"/>
      <c r="Y1128" s="26"/>
    </row>
    <row r="1129" ht="22.5" customHeight="1">
      <c r="A1129" s="18"/>
      <c r="B1129" s="36"/>
      <c r="C1129" s="36"/>
      <c r="D1129" s="36"/>
      <c r="E1129" s="36"/>
      <c r="F1129" s="12"/>
      <c r="G1129" s="12"/>
      <c r="H1129" s="29"/>
      <c r="I1129" s="20"/>
      <c r="J1129" s="10"/>
      <c r="K1129" s="10"/>
      <c r="L1129" s="10"/>
      <c r="M1129" s="35"/>
      <c r="N1129" s="34"/>
      <c r="O1129" s="34"/>
      <c r="P1129" s="12"/>
      <c r="Q1129" s="39" t="s">
        <v>5234</v>
      </c>
      <c r="R1129" s="39"/>
      <c r="S1129" s="39"/>
      <c r="T1129" s="39"/>
      <c r="U1129" s="39"/>
      <c r="Y1129" s="26"/>
    </row>
    <row r="1130" ht="22.5" customHeight="1">
      <c r="A1130" s="18"/>
      <c r="B1130" s="36"/>
      <c r="C1130" s="36"/>
      <c r="D1130" s="36"/>
      <c r="E1130" s="36"/>
      <c r="F1130" s="12"/>
      <c r="G1130" s="12"/>
      <c r="H1130" s="29"/>
      <c r="I1130" s="20"/>
      <c r="J1130" s="10"/>
      <c r="K1130" s="10"/>
      <c r="L1130" s="10"/>
      <c r="M1130" s="35"/>
      <c r="N1130" s="34"/>
      <c r="O1130" s="34"/>
      <c r="P1130" s="12"/>
      <c r="Q1130" s="39" t="s">
        <v>5234</v>
      </c>
      <c r="R1130" s="39"/>
      <c r="S1130" s="39"/>
      <c r="T1130" s="39"/>
      <c r="U1130" s="39"/>
      <c r="Y1130" s="26"/>
    </row>
    <row r="1131" ht="22.5" customHeight="1">
      <c r="A1131" s="18"/>
      <c r="B1131" s="36"/>
      <c r="C1131" s="36"/>
      <c r="D1131" s="36"/>
      <c r="E1131" s="36"/>
      <c r="F1131" s="12"/>
      <c r="G1131" s="12"/>
      <c r="H1131" s="29"/>
      <c r="I1131" s="20"/>
      <c r="J1131" s="10"/>
      <c r="K1131" s="10"/>
      <c r="L1131" s="10"/>
      <c r="M1131" s="35"/>
      <c r="N1131" s="34"/>
      <c r="O1131" s="34"/>
      <c r="P1131" s="12"/>
      <c r="Q1131" s="39" t="s">
        <v>5234</v>
      </c>
      <c r="R1131" s="39"/>
      <c r="S1131" s="39"/>
      <c r="T1131" s="39"/>
      <c r="U1131" s="39"/>
      <c r="Y1131" s="26"/>
    </row>
    <row r="1132" ht="22.5" customHeight="1">
      <c r="A1132" s="18"/>
      <c r="B1132" s="36"/>
      <c r="C1132" s="36"/>
      <c r="D1132" s="36"/>
      <c r="E1132" s="36"/>
      <c r="F1132" s="12"/>
      <c r="G1132" s="12"/>
      <c r="H1132" s="29"/>
      <c r="I1132" s="20"/>
      <c r="J1132" s="10"/>
      <c r="K1132" s="10"/>
      <c r="L1132" s="10"/>
      <c r="M1132" s="35"/>
      <c r="N1132" s="34"/>
      <c r="O1132" s="34"/>
      <c r="P1132" s="12"/>
      <c r="Q1132" s="39" t="s">
        <v>5234</v>
      </c>
      <c r="R1132" s="39"/>
      <c r="S1132" s="39"/>
      <c r="T1132" s="39"/>
      <c r="U1132" s="39"/>
      <c r="Y1132" s="26"/>
    </row>
    <row r="1133" ht="22.5" customHeight="1">
      <c r="A1133" s="18"/>
      <c r="B1133" s="36"/>
      <c r="C1133" s="36"/>
      <c r="D1133" s="36"/>
      <c r="E1133" s="36"/>
      <c r="F1133" s="12"/>
      <c r="G1133" s="12"/>
      <c r="H1133" s="29"/>
      <c r="I1133" s="20"/>
      <c r="J1133" s="10"/>
      <c r="K1133" s="10"/>
      <c r="L1133" s="10"/>
      <c r="M1133" s="35"/>
      <c r="N1133" s="34"/>
      <c r="O1133" s="34"/>
      <c r="P1133" s="12"/>
      <c r="Q1133" s="39" t="s">
        <v>5234</v>
      </c>
      <c r="R1133" s="39"/>
      <c r="S1133" s="39"/>
      <c r="T1133" s="39"/>
      <c r="U1133" s="39"/>
      <c r="Y1133" s="26"/>
    </row>
    <row r="1134" ht="22.5" customHeight="1">
      <c r="A1134" s="18"/>
      <c r="B1134" s="36"/>
      <c r="C1134" s="36"/>
      <c r="D1134" s="36"/>
      <c r="E1134" s="36"/>
      <c r="F1134" s="12"/>
      <c r="G1134" s="12"/>
      <c r="H1134" s="29"/>
      <c r="I1134" s="20"/>
      <c r="J1134" s="10"/>
      <c r="K1134" s="10"/>
      <c r="L1134" s="10"/>
      <c r="M1134" s="35"/>
      <c r="N1134" s="34"/>
      <c r="O1134" s="34"/>
      <c r="P1134" s="12"/>
      <c r="Q1134" s="39" t="s">
        <v>5234</v>
      </c>
      <c r="R1134" s="39"/>
      <c r="S1134" s="39"/>
      <c r="T1134" s="39"/>
      <c r="U1134" s="39"/>
      <c r="Y1134" s="26"/>
    </row>
    <row r="1135" ht="22.5" customHeight="1">
      <c r="A1135" s="18"/>
      <c r="B1135" s="36"/>
      <c r="C1135" s="36"/>
      <c r="D1135" s="36"/>
      <c r="E1135" s="36"/>
      <c r="F1135" s="12"/>
      <c r="G1135" s="12"/>
      <c r="H1135" s="29"/>
      <c r="I1135" s="20"/>
      <c r="J1135" s="10"/>
      <c r="K1135" s="10"/>
      <c r="L1135" s="10"/>
      <c r="M1135" s="35"/>
      <c r="N1135" s="34"/>
      <c r="O1135" s="34"/>
      <c r="P1135" s="12"/>
      <c r="Q1135" s="39" t="s">
        <v>5234</v>
      </c>
      <c r="R1135" s="39"/>
      <c r="S1135" s="39"/>
      <c r="T1135" s="39"/>
      <c r="U1135" s="39"/>
      <c r="Y1135" s="26"/>
    </row>
    <row r="1136" ht="22.5" customHeight="1">
      <c r="A1136" s="18"/>
      <c r="B1136" s="36"/>
      <c r="C1136" s="36"/>
      <c r="D1136" s="36"/>
      <c r="E1136" s="36"/>
      <c r="F1136" s="12"/>
      <c r="G1136" s="12"/>
      <c r="H1136" s="29"/>
      <c r="I1136" s="20"/>
      <c r="J1136" s="10"/>
      <c r="K1136" s="10"/>
      <c r="L1136" s="10"/>
      <c r="M1136" s="35"/>
      <c r="N1136" s="34"/>
      <c r="O1136" s="34"/>
      <c r="P1136" s="12"/>
      <c r="Q1136" s="39" t="s">
        <v>5234</v>
      </c>
      <c r="R1136" s="39"/>
      <c r="S1136" s="39"/>
      <c r="T1136" s="39"/>
      <c r="U1136" s="39"/>
      <c r="Y1136" s="26"/>
    </row>
    <row r="1137" ht="22.5" customHeight="1">
      <c r="A1137" s="18"/>
      <c r="B1137" s="36"/>
      <c r="C1137" s="36"/>
      <c r="D1137" s="36"/>
      <c r="E1137" s="36"/>
      <c r="F1137" s="12"/>
      <c r="G1137" s="12"/>
      <c r="H1137" s="29"/>
      <c r="I1137" s="20"/>
      <c r="J1137" s="10"/>
      <c r="K1137" s="10"/>
      <c r="L1137" s="10"/>
      <c r="M1137" s="35"/>
      <c r="N1137" s="34"/>
      <c r="O1137" s="34"/>
      <c r="P1137" s="12"/>
      <c r="Q1137" s="39" t="s">
        <v>5234</v>
      </c>
      <c r="R1137" s="39"/>
      <c r="S1137" s="39"/>
      <c r="T1137" s="39"/>
      <c r="U1137" s="39"/>
      <c r="Y1137" s="26"/>
    </row>
    <row r="1138" ht="22.5" customHeight="1">
      <c r="A1138" s="18"/>
      <c r="B1138" s="36"/>
      <c r="C1138" s="36"/>
      <c r="D1138" s="36"/>
      <c r="E1138" s="36"/>
      <c r="F1138" s="12"/>
      <c r="G1138" s="12"/>
      <c r="H1138" s="29"/>
      <c r="I1138" s="20"/>
      <c r="J1138" s="10"/>
      <c r="K1138" s="10"/>
      <c r="L1138" s="10"/>
      <c r="M1138" s="35"/>
      <c r="N1138" s="34"/>
      <c r="O1138" s="34"/>
      <c r="P1138" s="12"/>
      <c r="Q1138" s="39" t="s">
        <v>5234</v>
      </c>
      <c r="R1138" s="39"/>
      <c r="S1138" s="39"/>
      <c r="T1138" s="39"/>
      <c r="U1138" s="39"/>
      <c r="Y1138" s="26"/>
    </row>
    <row r="1139" ht="22.5" customHeight="1">
      <c r="A1139" s="18"/>
      <c r="B1139" s="36"/>
      <c r="C1139" s="36"/>
      <c r="D1139" s="36"/>
      <c r="E1139" s="36"/>
      <c r="F1139" s="12"/>
      <c r="G1139" s="12"/>
      <c r="H1139" s="29"/>
      <c r="I1139" s="20"/>
      <c r="J1139" s="10"/>
      <c r="K1139" s="10"/>
      <c r="L1139" s="10"/>
      <c r="M1139" s="35"/>
      <c r="N1139" s="34"/>
      <c r="O1139" s="34"/>
      <c r="P1139" s="12"/>
      <c r="Q1139" s="39" t="s">
        <v>5234</v>
      </c>
      <c r="R1139" s="39"/>
      <c r="S1139" s="39"/>
      <c r="T1139" s="39"/>
      <c r="U1139" s="39"/>
      <c r="Y1139" s="26"/>
    </row>
    <row r="1140" ht="22.5" customHeight="1">
      <c r="A1140" s="18"/>
      <c r="B1140" s="36"/>
      <c r="C1140" s="36"/>
      <c r="D1140" s="36"/>
      <c r="E1140" s="36"/>
      <c r="F1140" s="12"/>
      <c r="G1140" s="12"/>
      <c r="H1140" s="29"/>
      <c r="I1140" s="20"/>
      <c r="J1140" s="10"/>
      <c r="K1140" s="10"/>
      <c r="L1140" s="10"/>
      <c r="M1140" s="35"/>
      <c r="N1140" s="34"/>
      <c r="O1140" s="34"/>
      <c r="P1140" s="12"/>
      <c r="Q1140" s="39" t="s">
        <v>5234</v>
      </c>
      <c r="R1140" s="39"/>
      <c r="S1140" s="39"/>
      <c r="T1140" s="39"/>
      <c r="U1140" s="39"/>
      <c r="Y1140" s="26"/>
    </row>
    <row r="1141" ht="22.5" customHeight="1">
      <c r="A1141" s="18"/>
      <c r="B1141" s="36"/>
      <c r="C1141" s="36"/>
      <c r="D1141" s="36"/>
      <c r="E1141" s="36"/>
      <c r="F1141" s="12"/>
      <c r="G1141" s="12"/>
      <c r="H1141" s="29"/>
      <c r="I1141" s="20"/>
      <c r="J1141" s="10"/>
      <c r="K1141" s="10"/>
      <c r="L1141" s="10"/>
      <c r="M1141" s="35"/>
      <c r="N1141" s="34"/>
      <c r="O1141" s="34"/>
      <c r="P1141" s="12"/>
      <c r="Q1141" s="39" t="s">
        <v>5234</v>
      </c>
      <c r="R1141" s="39"/>
      <c r="S1141" s="39"/>
      <c r="T1141" s="39"/>
      <c r="U1141" s="39"/>
      <c r="Y1141" s="26"/>
    </row>
    <row r="1142" ht="22.5" customHeight="1">
      <c r="A1142" s="18"/>
      <c r="B1142" s="36"/>
      <c r="C1142" s="36"/>
      <c r="D1142" s="36"/>
      <c r="E1142" s="36"/>
      <c r="F1142" s="12"/>
      <c r="G1142" s="12"/>
      <c r="H1142" s="29"/>
      <c r="I1142" s="20"/>
      <c r="J1142" s="10"/>
      <c r="K1142" s="10"/>
      <c r="L1142" s="10"/>
      <c r="M1142" s="35"/>
      <c r="N1142" s="34"/>
      <c r="O1142" s="34"/>
      <c r="P1142" s="12"/>
      <c r="Q1142" s="39" t="s">
        <v>5234</v>
      </c>
      <c r="R1142" s="39"/>
      <c r="S1142" s="39"/>
      <c r="T1142" s="39"/>
      <c r="U1142" s="39"/>
      <c r="Y1142" s="26"/>
    </row>
    <row r="1143" ht="22.5" customHeight="1">
      <c r="A1143" s="18"/>
      <c r="B1143" s="36"/>
      <c r="C1143" s="36"/>
      <c r="D1143" s="36"/>
      <c r="E1143" s="36"/>
      <c r="F1143" s="12"/>
      <c r="G1143" s="12"/>
      <c r="H1143" s="29"/>
      <c r="I1143" s="20"/>
      <c r="J1143" s="10"/>
      <c r="K1143" s="10"/>
      <c r="L1143" s="10"/>
      <c r="M1143" s="35"/>
      <c r="N1143" s="34"/>
      <c r="O1143" s="34"/>
      <c r="P1143" s="12"/>
      <c r="Q1143" s="39" t="s">
        <v>5234</v>
      </c>
      <c r="R1143" s="39"/>
      <c r="S1143" s="39"/>
      <c r="T1143" s="39"/>
      <c r="U1143" s="39"/>
      <c r="Y1143" s="26"/>
    </row>
    <row r="1144" ht="22.5" customHeight="1">
      <c r="A1144" s="18"/>
      <c r="B1144" s="36"/>
      <c r="C1144" s="36"/>
      <c r="D1144" s="36"/>
      <c r="E1144" s="36"/>
      <c r="F1144" s="12"/>
      <c r="G1144" s="12"/>
      <c r="H1144" s="29"/>
      <c r="I1144" s="20"/>
      <c r="J1144" s="10"/>
      <c r="K1144" s="10"/>
      <c r="L1144" s="10"/>
      <c r="M1144" s="35"/>
      <c r="N1144" s="34"/>
      <c r="O1144" s="34"/>
      <c r="P1144" s="12"/>
      <c r="Q1144" s="39" t="s">
        <v>5234</v>
      </c>
      <c r="R1144" s="39"/>
      <c r="S1144" s="39"/>
      <c r="T1144" s="39"/>
      <c r="U1144" s="39"/>
      <c r="Y1144" s="26"/>
    </row>
    <row r="1145" ht="22.5" customHeight="1">
      <c r="A1145" s="18"/>
      <c r="B1145" s="36"/>
      <c r="C1145" s="36"/>
      <c r="D1145" s="36"/>
      <c r="E1145" s="36"/>
      <c r="F1145" s="12"/>
      <c r="G1145" s="12"/>
      <c r="H1145" s="29"/>
      <c r="I1145" s="20"/>
      <c r="J1145" s="10"/>
      <c r="K1145" s="10"/>
      <c r="L1145" s="10"/>
      <c r="M1145" s="35"/>
      <c r="N1145" s="34"/>
      <c r="O1145" s="34"/>
      <c r="P1145" s="12"/>
      <c r="Q1145" s="39" t="s">
        <v>5234</v>
      </c>
      <c r="R1145" s="39"/>
      <c r="S1145" s="39"/>
      <c r="T1145" s="39"/>
      <c r="U1145" s="39"/>
      <c r="Y1145" s="26"/>
    </row>
    <row r="1146" ht="22.5" customHeight="1">
      <c r="A1146" s="18"/>
      <c r="B1146" s="36"/>
      <c r="C1146" s="36"/>
      <c r="D1146" s="36"/>
      <c r="E1146" s="36"/>
      <c r="F1146" s="12"/>
      <c r="G1146" s="12"/>
      <c r="H1146" s="29"/>
      <c r="I1146" s="20"/>
      <c r="J1146" s="10"/>
      <c r="K1146" s="10"/>
      <c r="L1146" s="10"/>
      <c r="M1146" s="35"/>
      <c r="N1146" s="34"/>
      <c r="O1146" s="34"/>
      <c r="P1146" s="12"/>
      <c r="Q1146" s="39" t="s">
        <v>5234</v>
      </c>
      <c r="R1146" s="39"/>
      <c r="S1146" s="39"/>
      <c r="T1146" s="39"/>
      <c r="U1146" s="39"/>
      <c r="Y1146" s="26"/>
    </row>
    <row r="1147" ht="22.5" customHeight="1">
      <c r="A1147" s="18"/>
      <c r="B1147" s="36"/>
      <c r="C1147" s="36"/>
      <c r="D1147" s="36"/>
      <c r="E1147" s="36"/>
      <c r="F1147" s="12"/>
      <c r="G1147" s="12"/>
      <c r="H1147" s="29"/>
      <c r="I1147" s="20"/>
      <c r="J1147" s="10"/>
      <c r="K1147" s="10"/>
      <c r="L1147" s="10"/>
      <c r="M1147" s="35"/>
      <c r="N1147" s="34"/>
      <c r="O1147" s="34"/>
      <c r="P1147" s="12"/>
      <c r="Q1147" s="39" t="s">
        <v>5234</v>
      </c>
      <c r="R1147" s="39"/>
      <c r="S1147" s="39"/>
      <c r="T1147" s="39"/>
      <c r="U1147" s="39"/>
      <c r="Y1147" s="26"/>
    </row>
    <row r="1148" ht="22.5" customHeight="1">
      <c r="A1148" s="18"/>
      <c r="B1148" s="36"/>
      <c r="C1148" s="36"/>
      <c r="D1148" s="36"/>
      <c r="E1148" s="36"/>
      <c r="F1148" s="12"/>
      <c r="G1148" s="12"/>
      <c r="H1148" s="29"/>
      <c r="I1148" s="20"/>
      <c r="J1148" s="10"/>
      <c r="K1148" s="10"/>
      <c r="L1148" s="10"/>
      <c r="M1148" s="35"/>
      <c r="N1148" s="34"/>
      <c r="O1148" s="34"/>
      <c r="P1148" s="12"/>
      <c r="Q1148" s="39" t="s">
        <v>5234</v>
      </c>
      <c r="R1148" s="39"/>
      <c r="S1148" s="39"/>
      <c r="T1148" s="39"/>
      <c r="U1148" s="39"/>
      <c r="Y1148" s="26"/>
    </row>
    <row r="1149" ht="22.5" customHeight="1">
      <c r="A1149" s="18"/>
      <c r="B1149" s="36"/>
      <c r="C1149" s="36"/>
      <c r="D1149" s="36"/>
      <c r="E1149" s="36"/>
      <c r="F1149" s="12"/>
      <c r="G1149" s="12"/>
      <c r="H1149" s="29"/>
      <c r="I1149" s="20"/>
      <c r="J1149" s="10"/>
      <c r="K1149" s="10"/>
      <c r="L1149" s="10"/>
      <c r="M1149" s="35"/>
      <c r="N1149" s="34"/>
      <c r="O1149" s="34"/>
      <c r="P1149" s="12"/>
      <c r="Q1149" s="39" t="s">
        <v>5234</v>
      </c>
      <c r="R1149" s="39"/>
      <c r="S1149" s="39"/>
      <c r="T1149" s="39"/>
      <c r="U1149" s="39"/>
      <c r="Y1149" s="26"/>
    </row>
    <row r="1150" ht="22.5" customHeight="1">
      <c r="A1150" s="18"/>
      <c r="B1150" s="36"/>
      <c r="C1150" s="36"/>
      <c r="D1150" s="36"/>
      <c r="E1150" s="36"/>
      <c r="F1150" s="12"/>
      <c r="G1150" s="12"/>
      <c r="H1150" s="29"/>
      <c r="I1150" s="20"/>
      <c r="J1150" s="10"/>
      <c r="K1150" s="10"/>
      <c r="L1150" s="10"/>
      <c r="M1150" s="35"/>
      <c r="N1150" s="34"/>
      <c r="O1150" s="34"/>
      <c r="P1150" s="12"/>
      <c r="Q1150" s="39" t="s">
        <v>5234</v>
      </c>
      <c r="R1150" s="39"/>
      <c r="S1150" s="39"/>
      <c r="T1150" s="39"/>
      <c r="U1150" s="39"/>
      <c r="Y1150" s="26"/>
    </row>
    <row r="1151" ht="22.5" customHeight="1">
      <c r="A1151" s="18"/>
      <c r="B1151" s="36"/>
      <c r="C1151" s="36"/>
      <c r="D1151" s="36"/>
      <c r="E1151" s="36"/>
      <c r="F1151" s="12"/>
      <c r="G1151" s="12"/>
      <c r="H1151" s="29"/>
      <c r="I1151" s="20"/>
      <c r="J1151" s="10"/>
      <c r="K1151" s="10"/>
      <c r="L1151" s="10"/>
      <c r="M1151" s="35"/>
      <c r="N1151" s="34"/>
      <c r="O1151" s="34"/>
      <c r="P1151" s="12"/>
      <c r="Q1151" s="39" t="s">
        <v>5234</v>
      </c>
      <c r="R1151" s="39"/>
      <c r="S1151" s="39"/>
      <c r="T1151" s="39"/>
      <c r="U1151" s="39"/>
      <c r="Y1151" s="26"/>
    </row>
    <row r="1152" ht="22.5" customHeight="1">
      <c r="A1152" s="18"/>
      <c r="B1152" s="36"/>
      <c r="C1152" s="36"/>
      <c r="D1152" s="36"/>
      <c r="E1152" s="36"/>
      <c r="F1152" s="12"/>
      <c r="G1152" s="12"/>
      <c r="H1152" s="29"/>
      <c r="I1152" s="20"/>
      <c r="J1152" s="10"/>
      <c r="K1152" s="10"/>
      <c r="L1152" s="10"/>
      <c r="M1152" s="35"/>
      <c r="N1152" s="34"/>
      <c r="O1152" s="34"/>
      <c r="P1152" s="12"/>
      <c r="Q1152" s="39" t="s">
        <v>5234</v>
      </c>
      <c r="R1152" s="39"/>
      <c r="S1152" s="39"/>
      <c r="T1152" s="39"/>
      <c r="U1152" s="39"/>
      <c r="Y1152" s="26"/>
    </row>
    <row r="1153" ht="22.5" customHeight="1">
      <c r="A1153" s="18"/>
      <c r="B1153" s="36"/>
      <c r="C1153" s="36"/>
      <c r="D1153" s="36"/>
      <c r="E1153" s="36"/>
      <c r="F1153" s="12"/>
      <c r="G1153" s="12"/>
      <c r="H1153" s="29"/>
      <c r="I1153" s="20"/>
      <c r="J1153" s="10"/>
      <c r="K1153" s="10"/>
      <c r="L1153" s="10"/>
      <c r="M1153" s="35"/>
      <c r="N1153" s="34"/>
      <c r="O1153" s="34"/>
      <c r="P1153" s="12"/>
      <c r="Q1153" s="39" t="s">
        <v>5234</v>
      </c>
      <c r="R1153" s="39"/>
      <c r="S1153" s="39"/>
      <c r="T1153" s="39"/>
      <c r="U1153" s="39"/>
      <c r="Y1153" s="26"/>
    </row>
    <row r="1154" ht="22.5" customHeight="1">
      <c r="A1154" s="18"/>
      <c r="B1154" s="36"/>
      <c r="C1154" s="36"/>
      <c r="D1154" s="36"/>
      <c r="E1154" s="36"/>
      <c r="F1154" s="12"/>
      <c r="G1154" s="12"/>
      <c r="H1154" s="29"/>
      <c r="I1154" s="20"/>
      <c r="J1154" s="10"/>
      <c r="K1154" s="10"/>
      <c r="L1154" s="10"/>
      <c r="M1154" s="35"/>
      <c r="N1154" s="34"/>
      <c r="O1154" s="34"/>
      <c r="P1154" s="12"/>
      <c r="Q1154" s="39" t="s">
        <v>5234</v>
      </c>
      <c r="R1154" s="39"/>
      <c r="S1154" s="39"/>
      <c r="T1154" s="39"/>
      <c r="U1154" s="39"/>
      <c r="Y1154" s="26"/>
    </row>
    <row r="1155" ht="22.5" customHeight="1">
      <c r="A1155" s="18"/>
      <c r="B1155" s="36"/>
      <c r="C1155" s="36"/>
      <c r="D1155" s="36"/>
      <c r="E1155" s="36"/>
      <c r="F1155" s="12"/>
      <c r="G1155" s="12"/>
      <c r="H1155" s="29"/>
      <c r="I1155" s="20"/>
      <c r="J1155" s="10"/>
      <c r="K1155" s="10"/>
      <c r="L1155" s="10"/>
      <c r="M1155" s="35"/>
      <c r="N1155" s="34"/>
      <c r="O1155" s="34"/>
      <c r="P1155" s="12"/>
      <c r="Q1155" s="39" t="s">
        <v>5234</v>
      </c>
      <c r="R1155" s="39"/>
      <c r="S1155" s="39"/>
      <c r="T1155" s="39"/>
      <c r="U1155" s="39"/>
      <c r="Y1155" s="26"/>
    </row>
    <row r="1156" ht="22.5" customHeight="1">
      <c r="A1156" s="18"/>
      <c r="B1156" s="36"/>
      <c r="C1156" s="36"/>
      <c r="D1156" s="36"/>
      <c r="E1156" s="36"/>
      <c r="F1156" s="12"/>
      <c r="G1156" s="12"/>
      <c r="H1156" s="29"/>
      <c r="I1156" s="20"/>
      <c r="J1156" s="10"/>
      <c r="K1156" s="10"/>
      <c r="L1156" s="10"/>
      <c r="M1156" s="35"/>
      <c r="N1156" s="34"/>
      <c r="O1156" s="34"/>
      <c r="P1156" s="12"/>
      <c r="Q1156" s="39" t="s">
        <v>5234</v>
      </c>
      <c r="R1156" s="39"/>
      <c r="S1156" s="39"/>
      <c r="T1156" s="39"/>
      <c r="U1156" s="39"/>
      <c r="Y1156" s="26"/>
    </row>
    <row r="1157" ht="22.5" customHeight="1">
      <c r="A1157" s="18"/>
      <c r="B1157" s="36"/>
      <c r="C1157" s="36"/>
      <c r="D1157" s="36"/>
      <c r="E1157" s="36"/>
      <c r="F1157" s="12"/>
      <c r="G1157" s="12"/>
      <c r="H1157" s="29"/>
      <c r="I1157" s="20"/>
      <c r="J1157" s="10"/>
      <c r="K1157" s="10"/>
      <c r="L1157" s="10"/>
      <c r="M1157" s="35"/>
      <c r="N1157" s="34"/>
      <c r="O1157" s="34"/>
      <c r="P1157" s="12"/>
      <c r="Q1157" s="39" t="s">
        <v>5234</v>
      </c>
      <c r="R1157" s="39"/>
      <c r="S1157" s="39"/>
      <c r="T1157" s="39"/>
      <c r="U1157" s="39"/>
      <c r="Y1157" s="26"/>
    </row>
    <row r="1158" ht="22.5" customHeight="1">
      <c r="A1158" s="18"/>
      <c r="B1158" s="36"/>
      <c r="C1158" s="36"/>
      <c r="D1158" s="36"/>
      <c r="E1158" s="36"/>
      <c r="F1158" s="12"/>
      <c r="G1158" s="12"/>
      <c r="H1158" s="29"/>
      <c r="I1158" s="20"/>
      <c r="J1158" s="10"/>
      <c r="K1158" s="10"/>
      <c r="L1158" s="10"/>
      <c r="M1158" s="35"/>
      <c r="N1158" s="34"/>
      <c r="O1158" s="34"/>
      <c r="P1158" s="12"/>
      <c r="Q1158" s="39" t="s">
        <v>5234</v>
      </c>
      <c r="R1158" s="39"/>
      <c r="S1158" s="39"/>
      <c r="T1158" s="39"/>
      <c r="U1158" s="39"/>
      <c r="Y1158" s="26"/>
    </row>
    <row r="1159" ht="22.5" customHeight="1">
      <c r="A1159" s="18"/>
      <c r="B1159" s="36"/>
      <c r="C1159" s="36"/>
      <c r="D1159" s="36"/>
      <c r="E1159" s="36"/>
      <c r="F1159" s="12"/>
      <c r="G1159" s="12"/>
      <c r="H1159" s="29"/>
      <c r="I1159" s="20"/>
      <c r="J1159" s="10"/>
      <c r="K1159" s="10"/>
      <c r="L1159" s="10"/>
      <c r="M1159" s="35"/>
      <c r="N1159" s="34"/>
      <c r="O1159" s="34"/>
      <c r="P1159" s="12"/>
      <c r="Q1159" s="39" t="s">
        <v>5234</v>
      </c>
      <c r="R1159" s="39"/>
      <c r="S1159" s="39"/>
      <c r="T1159" s="39"/>
      <c r="U1159" s="39"/>
      <c r="Y1159" s="26"/>
    </row>
    <row r="1160" ht="22.5" customHeight="1">
      <c r="A1160" s="18"/>
      <c r="B1160" s="36"/>
      <c r="C1160" s="36"/>
      <c r="D1160" s="36"/>
      <c r="E1160" s="36"/>
      <c r="F1160" s="12"/>
      <c r="G1160" s="12"/>
      <c r="H1160" s="29"/>
      <c r="I1160" s="20"/>
      <c r="J1160" s="10"/>
      <c r="K1160" s="10"/>
      <c r="L1160" s="10"/>
      <c r="M1160" s="35"/>
      <c r="N1160" s="34"/>
      <c r="O1160" s="34"/>
      <c r="P1160" s="12"/>
      <c r="Q1160" s="39" t="s">
        <v>5234</v>
      </c>
      <c r="R1160" s="39"/>
      <c r="S1160" s="39"/>
      <c r="T1160" s="39"/>
      <c r="U1160" s="39"/>
      <c r="Y1160" s="26"/>
    </row>
    <row r="1161" ht="22.5" customHeight="1">
      <c r="A1161" s="18"/>
      <c r="B1161" s="36"/>
      <c r="C1161" s="36"/>
      <c r="D1161" s="36"/>
      <c r="E1161" s="36"/>
      <c r="F1161" s="12"/>
      <c r="G1161" s="12"/>
      <c r="H1161" s="29"/>
      <c r="I1161" s="20"/>
      <c r="J1161" s="10"/>
      <c r="K1161" s="10"/>
      <c r="L1161" s="10"/>
      <c r="M1161" s="35"/>
      <c r="N1161" s="34"/>
      <c r="O1161" s="34"/>
      <c r="P1161" s="12"/>
      <c r="Q1161" s="39" t="s">
        <v>5234</v>
      </c>
      <c r="R1161" s="39"/>
      <c r="S1161" s="39"/>
      <c r="T1161" s="39"/>
      <c r="U1161" s="39"/>
      <c r="Y1161" s="26"/>
    </row>
    <row r="1162" ht="22.5" customHeight="1">
      <c r="A1162" s="18"/>
      <c r="B1162" s="36"/>
      <c r="C1162" s="36"/>
      <c r="D1162" s="36"/>
      <c r="E1162" s="36"/>
      <c r="F1162" s="12"/>
      <c r="G1162" s="12"/>
      <c r="H1162" s="29"/>
      <c r="I1162" s="20"/>
      <c r="J1162" s="10"/>
      <c r="K1162" s="10"/>
      <c r="L1162" s="10"/>
      <c r="M1162" s="35"/>
      <c r="N1162" s="34"/>
      <c r="O1162" s="34"/>
      <c r="P1162" s="12"/>
      <c r="Q1162" s="39" t="s">
        <v>5234</v>
      </c>
      <c r="R1162" s="39"/>
      <c r="S1162" s="39"/>
      <c r="T1162" s="39"/>
      <c r="U1162" s="39"/>
      <c r="Y1162" s="26"/>
    </row>
    <row r="1163" ht="22.5" customHeight="1">
      <c r="A1163" s="18"/>
      <c r="B1163" s="36"/>
      <c r="C1163" s="40"/>
      <c r="D1163" s="40"/>
      <c r="E1163" s="40"/>
      <c r="F1163" s="12"/>
      <c r="G1163" s="12"/>
      <c r="H1163" s="29"/>
      <c r="I1163" s="20"/>
      <c r="J1163" s="10"/>
      <c r="K1163" s="10"/>
      <c r="L1163" s="10"/>
      <c r="M1163" s="35"/>
      <c r="N1163" s="34"/>
      <c r="O1163" s="34"/>
      <c r="P1163" s="12"/>
      <c r="Q1163" s="39" t="s">
        <v>5234</v>
      </c>
      <c r="R1163" s="39"/>
      <c r="S1163" s="39"/>
      <c r="T1163" s="39"/>
      <c r="U1163" s="39"/>
      <c r="Y1163" s="26"/>
    </row>
    <row r="1164" ht="22.5" customHeight="1">
      <c r="A1164" s="18"/>
      <c r="B1164" s="36"/>
      <c r="C1164" s="36"/>
      <c r="D1164" s="36"/>
      <c r="E1164" s="36"/>
      <c r="F1164" s="12"/>
      <c r="G1164" s="12"/>
      <c r="H1164" s="29"/>
      <c r="I1164" s="20"/>
      <c r="J1164" s="10"/>
      <c r="K1164" s="10"/>
      <c r="L1164" s="10"/>
      <c r="M1164" s="35"/>
      <c r="N1164" s="34"/>
      <c r="O1164" s="34"/>
      <c r="P1164" s="12"/>
      <c r="Q1164" s="39" t="s">
        <v>5234</v>
      </c>
      <c r="R1164" s="39"/>
      <c r="S1164" s="39"/>
      <c r="T1164" s="39"/>
      <c r="U1164" s="39"/>
      <c r="Y1164" s="26"/>
    </row>
    <row r="1165" ht="22.5" customHeight="1">
      <c r="A1165" s="18"/>
      <c r="B1165" s="36"/>
      <c r="C1165" s="36"/>
      <c r="D1165" s="36"/>
      <c r="E1165" s="36"/>
      <c r="F1165" s="12"/>
      <c r="G1165" s="12"/>
      <c r="H1165" s="29"/>
      <c r="I1165" s="20"/>
      <c r="J1165" s="10"/>
      <c r="K1165" s="10"/>
      <c r="L1165" s="10"/>
      <c r="M1165" s="35"/>
      <c r="N1165" s="34"/>
      <c r="O1165" s="34"/>
      <c r="P1165" s="12"/>
      <c r="Q1165" s="39" t="s">
        <v>5234</v>
      </c>
      <c r="R1165" s="39"/>
      <c r="S1165" s="39"/>
      <c r="T1165" s="39"/>
      <c r="U1165" s="39"/>
      <c r="Y1165" s="26"/>
    </row>
    <row r="1166" ht="22.5" customHeight="1">
      <c r="A1166" s="18"/>
      <c r="B1166" s="36"/>
      <c r="C1166" s="36"/>
      <c r="D1166" s="36"/>
      <c r="E1166" s="36"/>
      <c r="F1166" s="12"/>
      <c r="G1166" s="12"/>
      <c r="H1166" s="29"/>
      <c r="I1166" s="20"/>
      <c r="J1166" s="10"/>
      <c r="K1166" s="10"/>
      <c r="L1166" s="10"/>
      <c r="M1166" s="35"/>
      <c r="N1166" s="34"/>
      <c r="O1166" s="34"/>
      <c r="P1166" s="12"/>
      <c r="Q1166" s="39" t="s">
        <v>5234</v>
      </c>
      <c r="R1166" s="39"/>
      <c r="S1166" s="39"/>
      <c r="T1166" s="39"/>
      <c r="U1166" s="39"/>
      <c r="Y1166" s="26"/>
    </row>
    <row r="1167" ht="22.5" customHeight="1">
      <c r="A1167" s="18"/>
      <c r="B1167" s="36"/>
      <c r="C1167" s="36"/>
      <c r="D1167" s="36"/>
      <c r="E1167" s="36"/>
      <c r="F1167" s="12"/>
      <c r="G1167" s="12"/>
      <c r="H1167" s="29"/>
      <c r="I1167" s="20"/>
      <c r="J1167" s="10"/>
      <c r="K1167" s="10"/>
      <c r="L1167" s="10"/>
      <c r="M1167" s="35"/>
      <c r="N1167" s="34"/>
      <c r="O1167" s="34"/>
      <c r="P1167" s="12"/>
      <c r="Q1167" s="39" t="s">
        <v>5234</v>
      </c>
      <c r="R1167" s="39"/>
      <c r="S1167" s="39"/>
      <c r="T1167" s="39"/>
      <c r="U1167" s="39"/>
      <c r="Y1167" s="26"/>
    </row>
    <row r="1168" ht="22.5" customHeight="1">
      <c r="A1168" s="18"/>
      <c r="B1168" s="36"/>
      <c r="C1168" s="36"/>
      <c r="D1168" s="36"/>
      <c r="E1168" s="36"/>
      <c r="F1168" s="12"/>
      <c r="G1168" s="12"/>
      <c r="H1168" s="29"/>
      <c r="I1168" s="20"/>
      <c r="J1168" s="10"/>
      <c r="K1168" s="10"/>
      <c r="L1168" s="10"/>
      <c r="M1168" s="35"/>
      <c r="N1168" s="34"/>
      <c r="O1168" s="34"/>
      <c r="P1168" s="12"/>
      <c r="Q1168" s="39" t="s">
        <v>5234</v>
      </c>
      <c r="R1168" s="39"/>
      <c r="S1168" s="39"/>
      <c r="T1168" s="39"/>
      <c r="U1168" s="39"/>
      <c r="Y1168" s="26"/>
    </row>
    <row r="1169" ht="22.5" customHeight="1">
      <c r="A1169" s="18"/>
      <c r="B1169" s="36"/>
      <c r="C1169" s="36"/>
      <c r="D1169" s="36"/>
      <c r="E1169" s="36"/>
      <c r="F1169" s="12"/>
      <c r="G1169" s="12"/>
      <c r="H1169" s="29"/>
      <c r="I1169" s="20"/>
      <c r="J1169" s="10"/>
      <c r="K1169" s="10"/>
      <c r="L1169" s="10"/>
      <c r="M1169" s="35"/>
      <c r="N1169" s="34"/>
      <c r="O1169" s="34"/>
      <c r="P1169" s="12"/>
      <c r="Q1169" s="39" t="s">
        <v>5234</v>
      </c>
      <c r="R1169" s="39"/>
      <c r="S1169" s="39"/>
      <c r="T1169" s="39"/>
      <c r="U1169" s="39"/>
      <c r="Y1169" s="26"/>
    </row>
    <row r="1170" ht="22.5" customHeight="1">
      <c r="A1170" s="18"/>
      <c r="B1170" s="36"/>
      <c r="C1170" s="36"/>
      <c r="D1170" s="36"/>
      <c r="E1170" s="36"/>
      <c r="F1170" s="12"/>
      <c r="G1170" s="12"/>
      <c r="H1170" s="29"/>
      <c r="I1170" s="20"/>
      <c r="J1170" s="10"/>
      <c r="K1170" s="10"/>
      <c r="L1170" s="10"/>
      <c r="M1170" s="35"/>
      <c r="N1170" s="34"/>
      <c r="O1170" s="34"/>
      <c r="P1170" s="12"/>
      <c r="Q1170" s="39" t="s">
        <v>5234</v>
      </c>
      <c r="R1170" s="39"/>
      <c r="S1170" s="39"/>
      <c r="T1170" s="39"/>
      <c r="U1170" s="39"/>
      <c r="Y1170" s="26"/>
    </row>
    <row r="1171" ht="22.5" customHeight="1">
      <c r="A1171" s="18"/>
      <c r="B1171" s="36"/>
      <c r="C1171" s="40"/>
      <c r="D1171" s="40"/>
      <c r="E1171" s="40"/>
      <c r="F1171" s="12"/>
      <c r="G1171" s="12"/>
      <c r="H1171" s="29"/>
      <c r="I1171" s="20"/>
      <c r="J1171" s="10"/>
      <c r="K1171" s="10"/>
      <c r="L1171" s="10"/>
      <c r="M1171" s="35"/>
      <c r="N1171" s="34"/>
      <c r="O1171" s="34"/>
      <c r="P1171" s="12"/>
      <c r="Q1171" s="39" t="s">
        <v>5234</v>
      </c>
      <c r="R1171" s="39"/>
      <c r="S1171" s="39"/>
      <c r="T1171" s="39"/>
      <c r="U1171" s="39"/>
      <c r="Y1171" s="26"/>
    </row>
    <row r="1172" ht="22.5" customHeight="1">
      <c r="A1172" s="18"/>
      <c r="B1172" s="36"/>
      <c r="C1172" s="36"/>
      <c r="D1172" s="36"/>
      <c r="E1172" s="36"/>
      <c r="F1172" s="12"/>
      <c r="G1172" s="12"/>
      <c r="H1172" s="29"/>
      <c r="I1172" s="20"/>
      <c r="J1172" s="10"/>
      <c r="K1172" s="10"/>
      <c r="L1172" s="10"/>
      <c r="M1172" s="35"/>
      <c r="N1172" s="34"/>
      <c r="O1172" s="34"/>
      <c r="P1172" s="12"/>
      <c r="Q1172" s="39" t="s">
        <v>5234</v>
      </c>
      <c r="R1172" s="39"/>
      <c r="S1172" s="39"/>
      <c r="T1172" s="39"/>
      <c r="U1172" s="39"/>
      <c r="Y1172" s="26"/>
    </row>
    <row r="1173" ht="22.5" customHeight="1">
      <c r="A1173" s="18"/>
      <c r="B1173" s="36"/>
      <c r="C1173" s="36"/>
      <c r="D1173" s="36"/>
      <c r="E1173" s="36"/>
      <c r="F1173" s="12"/>
      <c r="G1173" s="12"/>
      <c r="H1173" s="29"/>
      <c r="I1173" s="20"/>
      <c r="J1173" s="10"/>
      <c r="K1173" s="10"/>
      <c r="L1173" s="10"/>
      <c r="M1173" s="35"/>
      <c r="N1173" s="34"/>
      <c r="O1173" s="34"/>
      <c r="P1173" s="12"/>
      <c r="Q1173" s="39" t="s">
        <v>5234</v>
      </c>
      <c r="R1173" s="39"/>
      <c r="S1173" s="39"/>
      <c r="T1173" s="39"/>
      <c r="U1173" s="39"/>
      <c r="Y1173" s="26"/>
    </row>
    <row r="1174" ht="22.5" customHeight="1">
      <c r="A1174" s="18"/>
      <c r="B1174" s="36"/>
      <c r="C1174" s="36"/>
      <c r="D1174" s="36"/>
      <c r="E1174" s="36"/>
      <c r="F1174" s="12"/>
      <c r="G1174" s="12"/>
      <c r="H1174" s="29"/>
      <c r="I1174" s="20"/>
      <c r="J1174" s="10"/>
      <c r="K1174" s="10"/>
      <c r="L1174" s="10"/>
      <c r="M1174" s="35"/>
      <c r="N1174" s="34"/>
      <c r="O1174" s="34"/>
      <c r="P1174" s="12"/>
      <c r="Q1174" s="39" t="s">
        <v>5234</v>
      </c>
      <c r="R1174" s="39"/>
      <c r="S1174" s="39"/>
      <c r="T1174" s="39"/>
      <c r="U1174" s="39"/>
      <c r="Y1174" s="26"/>
    </row>
    <row r="1175" ht="22.5" customHeight="1">
      <c r="A1175" s="18"/>
      <c r="B1175" s="36"/>
      <c r="C1175" s="36"/>
      <c r="D1175" s="36"/>
      <c r="E1175" s="36"/>
      <c r="F1175" s="12"/>
      <c r="G1175" s="12"/>
      <c r="H1175" s="29"/>
      <c r="I1175" s="20"/>
      <c r="J1175" s="10"/>
      <c r="K1175" s="10"/>
      <c r="L1175" s="10"/>
      <c r="M1175" s="35"/>
      <c r="N1175" s="34"/>
      <c r="O1175" s="34"/>
      <c r="P1175" s="12"/>
      <c r="Q1175" s="39" t="s">
        <v>5234</v>
      </c>
      <c r="R1175" s="39"/>
      <c r="S1175" s="39"/>
      <c r="T1175" s="39"/>
      <c r="U1175" s="39"/>
      <c r="Y1175" s="26"/>
    </row>
    <row r="1176" ht="22.5" customHeight="1">
      <c r="A1176" s="18"/>
      <c r="B1176" s="36"/>
      <c r="C1176" s="36"/>
      <c r="D1176" s="36"/>
      <c r="E1176" s="36"/>
      <c r="F1176" s="12"/>
      <c r="G1176" s="12"/>
      <c r="H1176" s="29"/>
      <c r="I1176" s="20"/>
      <c r="J1176" s="10"/>
      <c r="K1176" s="10"/>
      <c r="L1176" s="10"/>
      <c r="M1176" s="35"/>
      <c r="N1176" s="34"/>
      <c r="O1176" s="34"/>
      <c r="P1176" s="12"/>
      <c r="Q1176" s="39" t="s">
        <v>5234</v>
      </c>
      <c r="R1176" s="39"/>
      <c r="S1176" s="39"/>
      <c r="T1176" s="39"/>
      <c r="U1176" s="39"/>
      <c r="Y1176" s="26"/>
    </row>
    <row r="1177" ht="22.5" customHeight="1">
      <c r="A1177" s="18"/>
      <c r="B1177" s="36"/>
      <c r="C1177" s="36"/>
      <c r="D1177" s="36"/>
      <c r="E1177" s="36"/>
      <c r="F1177" s="12"/>
      <c r="G1177" s="12"/>
      <c r="H1177" s="29"/>
      <c r="I1177" s="20"/>
      <c r="J1177" s="10"/>
      <c r="K1177" s="10"/>
      <c r="L1177" s="10"/>
      <c r="M1177" s="35"/>
      <c r="N1177" s="34"/>
      <c r="O1177" s="34"/>
      <c r="P1177" s="12"/>
      <c r="Q1177" s="39" t="s">
        <v>5234</v>
      </c>
      <c r="R1177" s="39"/>
      <c r="S1177" s="39"/>
      <c r="T1177" s="39"/>
      <c r="U1177" s="39"/>
      <c r="Y1177" s="26"/>
    </row>
    <row r="1178" ht="22.5" customHeight="1">
      <c r="A1178" s="18"/>
      <c r="B1178" s="36"/>
      <c r="C1178" s="36"/>
      <c r="D1178" s="36"/>
      <c r="E1178" s="36"/>
      <c r="F1178" s="12"/>
      <c r="G1178" s="12"/>
      <c r="H1178" s="29"/>
      <c r="I1178" s="20"/>
      <c r="J1178" s="10"/>
      <c r="K1178" s="10"/>
      <c r="L1178" s="10"/>
      <c r="M1178" s="35"/>
      <c r="N1178" s="34"/>
      <c r="O1178" s="34"/>
      <c r="P1178" s="12"/>
      <c r="Q1178" s="39" t="s">
        <v>5234</v>
      </c>
      <c r="R1178" s="39"/>
      <c r="S1178" s="39"/>
      <c r="T1178" s="39"/>
      <c r="U1178" s="39"/>
      <c r="Y1178" s="26"/>
    </row>
    <row r="1179" ht="22.5" customHeight="1">
      <c r="A1179" s="18"/>
      <c r="B1179" s="36"/>
      <c r="C1179" s="36"/>
      <c r="D1179" s="36"/>
      <c r="E1179" s="36"/>
      <c r="F1179" s="12"/>
      <c r="G1179" s="12"/>
      <c r="H1179" s="29"/>
      <c r="I1179" s="20"/>
      <c r="J1179" s="10"/>
      <c r="K1179" s="10"/>
      <c r="L1179" s="10"/>
      <c r="M1179" s="35"/>
      <c r="N1179" s="34"/>
      <c r="O1179" s="34"/>
      <c r="P1179" s="12"/>
      <c r="Q1179" s="39" t="s">
        <v>5234</v>
      </c>
      <c r="R1179" s="39"/>
      <c r="S1179" s="39"/>
      <c r="T1179" s="39"/>
      <c r="U1179" s="39"/>
      <c r="Y1179" s="26"/>
    </row>
    <row r="1180" ht="22.5" customHeight="1">
      <c r="A1180" s="18"/>
      <c r="B1180" s="36"/>
      <c r="C1180" s="36"/>
      <c r="D1180" s="36"/>
      <c r="E1180" s="36"/>
      <c r="F1180" s="12"/>
      <c r="G1180" s="12"/>
      <c r="H1180" s="29"/>
      <c r="I1180" s="20"/>
      <c r="J1180" s="10"/>
      <c r="K1180" s="10"/>
      <c r="L1180" s="10"/>
      <c r="M1180" s="35"/>
      <c r="N1180" s="34"/>
      <c r="O1180" s="34"/>
      <c r="P1180" s="12"/>
      <c r="Q1180" s="39" t="s">
        <v>5234</v>
      </c>
      <c r="R1180" s="39"/>
      <c r="S1180" s="39"/>
      <c r="T1180" s="39"/>
      <c r="U1180" s="39"/>
      <c r="Y1180" s="26"/>
    </row>
    <row r="1181" ht="22.5" customHeight="1">
      <c r="A1181" s="18"/>
      <c r="B1181" s="36"/>
      <c r="C1181" s="36"/>
      <c r="D1181" s="36"/>
      <c r="E1181" s="36"/>
      <c r="F1181" s="12"/>
      <c r="G1181" s="12"/>
      <c r="H1181" s="29"/>
      <c r="I1181" s="20"/>
      <c r="J1181" s="10"/>
      <c r="K1181" s="10"/>
      <c r="L1181" s="10"/>
      <c r="M1181" s="35"/>
      <c r="N1181" s="34"/>
      <c r="O1181" s="34"/>
      <c r="P1181" s="12"/>
      <c r="Q1181" s="39" t="s">
        <v>5234</v>
      </c>
      <c r="R1181" s="39"/>
      <c r="S1181" s="39"/>
      <c r="T1181" s="39"/>
      <c r="U1181" s="39"/>
      <c r="Y1181" s="26"/>
    </row>
    <row r="1182" ht="22.5" customHeight="1">
      <c r="A1182" s="18"/>
      <c r="B1182" s="36"/>
      <c r="C1182" s="36"/>
      <c r="D1182" s="36"/>
      <c r="E1182" s="36"/>
      <c r="F1182" s="12"/>
      <c r="G1182" s="12"/>
      <c r="H1182" s="29"/>
      <c r="I1182" s="20"/>
      <c r="J1182" s="10"/>
      <c r="K1182" s="10"/>
      <c r="L1182" s="10"/>
      <c r="M1182" s="35"/>
      <c r="N1182" s="34"/>
      <c r="O1182" s="34"/>
      <c r="P1182" s="12"/>
      <c r="Q1182" s="39" t="s">
        <v>5234</v>
      </c>
      <c r="R1182" s="39"/>
      <c r="S1182" s="39"/>
      <c r="T1182" s="39"/>
      <c r="U1182" s="39"/>
      <c r="Y1182" s="26"/>
    </row>
    <row r="1183" ht="22.5" customHeight="1">
      <c r="A1183" s="18"/>
      <c r="B1183" s="36"/>
      <c r="C1183" s="36"/>
      <c r="D1183" s="36"/>
      <c r="E1183" s="36"/>
      <c r="F1183" s="12"/>
      <c r="G1183" s="12"/>
      <c r="H1183" s="29"/>
      <c r="I1183" s="20"/>
      <c r="J1183" s="10"/>
      <c r="K1183" s="10"/>
      <c r="L1183" s="10"/>
      <c r="M1183" s="35"/>
      <c r="N1183" s="34"/>
      <c r="O1183" s="34"/>
      <c r="P1183" s="12"/>
      <c r="Q1183" s="39" t="s">
        <v>5234</v>
      </c>
      <c r="R1183" s="39"/>
      <c r="S1183" s="39"/>
      <c r="T1183" s="39"/>
      <c r="U1183" s="39"/>
      <c r="Y1183" s="26"/>
    </row>
    <row r="1184" ht="22.5" customHeight="1">
      <c r="A1184" s="18"/>
      <c r="B1184" s="36"/>
      <c r="C1184" s="36"/>
      <c r="D1184" s="36"/>
      <c r="E1184" s="36"/>
      <c r="F1184" s="12"/>
      <c r="G1184" s="12"/>
      <c r="H1184" s="29"/>
      <c r="I1184" s="20"/>
      <c r="J1184" s="10"/>
      <c r="K1184" s="10"/>
      <c r="L1184" s="10"/>
      <c r="M1184" s="35"/>
      <c r="N1184" s="34"/>
      <c r="O1184" s="34"/>
      <c r="P1184" s="12"/>
      <c r="Q1184" s="39" t="s">
        <v>5234</v>
      </c>
      <c r="R1184" s="39"/>
      <c r="S1184" s="39"/>
      <c r="T1184" s="39"/>
      <c r="U1184" s="39"/>
      <c r="Y1184" s="26"/>
    </row>
    <row r="1185" ht="22.5" customHeight="1">
      <c r="A1185" s="18"/>
      <c r="B1185" s="36"/>
      <c r="C1185" s="36"/>
      <c r="D1185" s="36"/>
      <c r="E1185" s="36"/>
      <c r="F1185" s="12"/>
      <c r="G1185" s="12"/>
      <c r="H1185" s="29"/>
      <c r="I1185" s="20"/>
      <c r="J1185" s="10"/>
      <c r="K1185" s="10"/>
      <c r="L1185" s="10"/>
      <c r="M1185" s="35"/>
      <c r="N1185" s="34"/>
      <c r="O1185" s="34"/>
      <c r="P1185" s="12"/>
      <c r="Q1185" s="39" t="s">
        <v>5234</v>
      </c>
      <c r="R1185" s="39"/>
      <c r="S1185" s="39"/>
      <c r="T1185" s="39"/>
      <c r="U1185" s="39"/>
      <c r="Y1185" s="26"/>
    </row>
    <row r="1186" ht="22.5" customHeight="1">
      <c r="A1186" s="18"/>
      <c r="B1186" s="36"/>
      <c r="C1186" s="36"/>
      <c r="D1186" s="36"/>
      <c r="E1186" s="36"/>
      <c r="F1186" s="12"/>
      <c r="G1186" s="12"/>
      <c r="H1186" s="29"/>
      <c r="I1186" s="20"/>
      <c r="J1186" s="10"/>
      <c r="K1186" s="10"/>
      <c r="L1186" s="10"/>
      <c r="M1186" s="35"/>
      <c r="N1186" s="34"/>
      <c r="O1186" s="34"/>
      <c r="P1186" s="12"/>
      <c r="Q1186" s="39" t="s">
        <v>5234</v>
      </c>
      <c r="R1186" s="39"/>
      <c r="S1186" s="39"/>
      <c r="T1186" s="39"/>
      <c r="U1186" s="39"/>
      <c r="Y1186" s="26"/>
    </row>
    <row r="1187" ht="22.5" customHeight="1">
      <c r="A1187" s="18"/>
      <c r="B1187" s="36"/>
      <c r="C1187" s="36"/>
      <c r="D1187" s="36"/>
      <c r="E1187" s="36"/>
      <c r="F1187" s="12"/>
      <c r="G1187" s="12"/>
      <c r="H1187" s="29"/>
      <c r="I1187" s="20"/>
      <c r="J1187" s="10"/>
      <c r="K1187" s="10"/>
      <c r="L1187" s="10"/>
      <c r="M1187" s="35"/>
      <c r="N1187" s="34"/>
      <c r="O1187" s="34"/>
      <c r="P1187" s="12"/>
      <c r="Q1187" s="39" t="s">
        <v>5234</v>
      </c>
      <c r="R1187" s="39"/>
      <c r="S1187" s="39"/>
      <c r="T1187" s="39"/>
      <c r="U1187" s="39"/>
      <c r="Y1187" s="26"/>
    </row>
    <row r="1188" ht="22.5" customHeight="1">
      <c r="A1188" s="18"/>
      <c r="B1188" s="36"/>
      <c r="C1188" s="36"/>
      <c r="D1188" s="36"/>
      <c r="E1188" s="36"/>
      <c r="F1188" s="12"/>
      <c r="G1188" s="12"/>
      <c r="H1188" s="29"/>
      <c r="I1188" s="20"/>
      <c r="J1188" s="10"/>
      <c r="K1188" s="10"/>
      <c r="L1188" s="10"/>
      <c r="M1188" s="35"/>
      <c r="N1188" s="34"/>
      <c r="O1188" s="34"/>
      <c r="P1188" s="12"/>
      <c r="Q1188" s="39" t="s">
        <v>5234</v>
      </c>
      <c r="R1188" s="39"/>
      <c r="S1188" s="39"/>
      <c r="T1188" s="39"/>
      <c r="U1188" s="39"/>
      <c r="Y1188" s="26"/>
    </row>
    <row r="1189" ht="22.5" customHeight="1">
      <c r="A1189" s="18"/>
      <c r="B1189" s="36"/>
      <c r="C1189" s="36"/>
      <c r="D1189" s="36"/>
      <c r="E1189" s="36"/>
      <c r="F1189" s="12"/>
      <c r="G1189" s="12"/>
      <c r="H1189" s="29"/>
      <c r="I1189" s="20"/>
      <c r="J1189" s="10"/>
      <c r="K1189" s="10"/>
      <c r="L1189" s="10"/>
      <c r="M1189" s="35"/>
      <c r="N1189" s="34"/>
      <c r="O1189" s="34"/>
      <c r="P1189" s="12"/>
      <c r="Q1189" s="39" t="s">
        <v>5234</v>
      </c>
      <c r="R1189" s="39"/>
      <c r="S1189" s="39"/>
      <c r="T1189" s="39"/>
      <c r="U1189" s="39"/>
      <c r="Y1189" s="26"/>
    </row>
    <row r="1190" ht="22.5" customHeight="1">
      <c r="A1190" s="18"/>
      <c r="B1190" s="36"/>
      <c r="C1190" s="40"/>
      <c r="D1190" s="40"/>
      <c r="E1190" s="40"/>
      <c r="F1190" s="12"/>
      <c r="G1190" s="12"/>
      <c r="H1190" s="29"/>
      <c r="I1190" s="20"/>
      <c r="J1190" s="10"/>
      <c r="K1190" s="10"/>
      <c r="L1190" s="10"/>
      <c r="M1190" s="35"/>
      <c r="N1190" s="34"/>
      <c r="O1190" s="34"/>
      <c r="P1190" s="12"/>
      <c r="Q1190" s="39" t="s">
        <v>5234</v>
      </c>
      <c r="R1190" s="39"/>
      <c r="S1190" s="39"/>
      <c r="T1190" s="39"/>
      <c r="U1190" s="39"/>
      <c r="Y1190" s="26"/>
    </row>
    <row r="1191" ht="22.5" customHeight="1">
      <c r="A1191" s="18"/>
      <c r="B1191" s="36"/>
      <c r="C1191" s="36"/>
      <c r="D1191" s="36"/>
      <c r="E1191" s="36"/>
      <c r="F1191" s="12"/>
      <c r="G1191" s="12"/>
      <c r="H1191" s="29"/>
      <c r="I1191" s="20"/>
      <c r="J1191" s="10"/>
      <c r="K1191" s="10"/>
      <c r="L1191" s="10"/>
      <c r="M1191" s="35"/>
      <c r="N1191" s="34"/>
      <c r="O1191" s="34"/>
      <c r="P1191" s="12"/>
      <c r="Q1191" s="39" t="s">
        <v>5234</v>
      </c>
      <c r="R1191" s="39"/>
      <c r="S1191" s="39"/>
      <c r="T1191" s="39"/>
      <c r="U1191" s="39"/>
      <c r="Y1191" s="26"/>
    </row>
    <row r="1192" ht="22.5" customHeight="1">
      <c r="A1192" s="18"/>
      <c r="B1192" s="36"/>
      <c r="C1192" s="36"/>
      <c r="D1192" s="36"/>
      <c r="E1192" s="36"/>
      <c r="F1192" s="12"/>
      <c r="G1192" s="12"/>
      <c r="H1192" s="29"/>
      <c r="I1192" s="20"/>
      <c r="J1192" s="10"/>
      <c r="K1192" s="10"/>
      <c r="L1192" s="10"/>
      <c r="M1192" s="35"/>
      <c r="N1192" s="34"/>
      <c r="O1192" s="34"/>
      <c r="P1192" s="12"/>
      <c r="Q1192" s="39" t="s">
        <v>5234</v>
      </c>
      <c r="R1192" s="39"/>
      <c r="S1192" s="39"/>
      <c r="T1192" s="39"/>
      <c r="U1192" s="39"/>
      <c r="Y1192" s="26"/>
    </row>
    <row r="1193" ht="22.5" customHeight="1">
      <c r="A1193" s="18"/>
      <c r="B1193" s="36"/>
      <c r="C1193" s="36"/>
      <c r="D1193" s="36"/>
      <c r="E1193" s="36"/>
      <c r="F1193" s="12"/>
      <c r="G1193" s="12"/>
      <c r="H1193" s="29"/>
      <c r="I1193" s="20"/>
      <c r="J1193" s="10"/>
      <c r="K1193" s="10"/>
      <c r="L1193" s="10"/>
      <c r="M1193" s="35"/>
      <c r="N1193" s="34"/>
      <c r="O1193" s="34"/>
      <c r="P1193" s="12"/>
      <c r="Q1193" s="39" t="s">
        <v>5234</v>
      </c>
      <c r="R1193" s="39"/>
      <c r="S1193" s="39"/>
      <c r="T1193" s="39"/>
      <c r="U1193" s="39"/>
      <c r="Y1193" s="26"/>
    </row>
    <row r="1194" ht="22.5" customHeight="1">
      <c r="A1194" s="18"/>
      <c r="B1194" s="36"/>
      <c r="C1194" s="36"/>
      <c r="D1194" s="36"/>
      <c r="E1194" s="36"/>
      <c r="F1194" s="12"/>
      <c r="G1194" s="12"/>
      <c r="H1194" s="29"/>
      <c r="I1194" s="20"/>
      <c r="J1194" s="10"/>
      <c r="K1194" s="10"/>
      <c r="L1194" s="10"/>
      <c r="M1194" s="35"/>
      <c r="N1194" s="34"/>
      <c r="O1194" s="34"/>
      <c r="P1194" s="12"/>
      <c r="Q1194" s="39" t="s">
        <v>5234</v>
      </c>
      <c r="R1194" s="39"/>
      <c r="S1194" s="39"/>
      <c r="T1194" s="39"/>
      <c r="U1194" s="39"/>
      <c r="Y1194" s="26"/>
    </row>
    <row r="1195" ht="22.5" customHeight="1">
      <c r="A1195" s="18"/>
      <c r="B1195" s="36"/>
      <c r="C1195" s="36"/>
      <c r="D1195" s="36"/>
      <c r="E1195" s="36"/>
      <c r="F1195" s="12"/>
      <c r="G1195" s="12"/>
      <c r="H1195" s="29"/>
      <c r="I1195" s="20"/>
      <c r="J1195" s="10"/>
      <c r="K1195" s="10"/>
      <c r="L1195" s="10"/>
      <c r="M1195" s="35"/>
      <c r="N1195" s="34"/>
      <c r="O1195" s="34"/>
      <c r="P1195" s="12"/>
      <c r="Q1195" s="39" t="s">
        <v>5234</v>
      </c>
      <c r="R1195" s="39"/>
      <c r="S1195" s="39"/>
      <c r="T1195" s="39"/>
      <c r="U1195" s="39"/>
      <c r="Y1195" s="26"/>
    </row>
    <row r="1196" ht="22.5" customHeight="1">
      <c r="A1196" s="18"/>
      <c r="B1196" s="36"/>
      <c r="C1196" s="36"/>
      <c r="D1196" s="36"/>
      <c r="E1196" s="36"/>
      <c r="F1196" s="12"/>
      <c r="G1196" s="12"/>
      <c r="H1196" s="29"/>
      <c r="I1196" s="20"/>
      <c r="J1196" s="10"/>
      <c r="K1196" s="10"/>
      <c r="L1196" s="10"/>
      <c r="M1196" s="35"/>
      <c r="N1196" s="34"/>
      <c r="O1196" s="34"/>
      <c r="P1196" s="12"/>
      <c r="Q1196" s="39" t="s">
        <v>5234</v>
      </c>
      <c r="R1196" s="39"/>
      <c r="S1196" s="39"/>
      <c r="T1196" s="39"/>
      <c r="U1196" s="39"/>
      <c r="Y1196" s="26"/>
    </row>
    <row r="1197" ht="22.5" customHeight="1">
      <c r="A1197" s="18"/>
      <c r="B1197" s="36"/>
      <c r="C1197" s="36"/>
      <c r="D1197" s="36"/>
      <c r="E1197" s="36"/>
      <c r="F1197" s="12"/>
      <c r="G1197" s="12"/>
      <c r="H1197" s="29"/>
      <c r="I1197" s="20"/>
      <c r="J1197" s="10"/>
      <c r="K1197" s="10"/>
      <c r="L1197" s="10"/>
      <c r="M1197" s="35"/>
      <c r="N1197" s="34"/>
      <c r="O1197" s="34"/>
      <c r="P1197" s="12"/>
      <c r="Q1197" s="39" t="s">
        <v>5234</v>
      </c>
      <c r="R1197" s="39"/>
      <c r="S1197" s="39"/>
      <c r="T1197" s="39"/>
      <c r="U1197" s="39"/>
      <c r="Y1197" s="26"/>
    </row>
    <row r="1198" ht="22.5" customHeight="1">
      <c r="A1198" s="18"/>
      <c r="B1198" s="36"/>
      <c r="C1198" s="36"/>
      <c r="D1198" s="36"/>
      <c r="E1198" s="36"/>
      <c r="F1198" s="12"/>
      <c r="G1198" s="12"/>
      <c r="H1198" s="29"/>
      <c r="I1198" s="20"/>
      <c r="J1198" s="10"/>
      <c r="K1198" s="10"/>
      <c r="L1198" s="10"/>
      <c r="M1198" s="35"/>
      <c r="N1198" s="34"/>
      <c r="O1198" s="34"/>
      <c r="P1198" s="12"/>
      <c r="Q1198" s="39" t="s">
        <v>5234</v>
      </c>
      <c r="R1198" s="39"/>
      <c r="S1198" s="39"/>
      <c r="T1198" s="39"/>
      <c r="U1198" s="39"/>
      <c r="Y1198" s="26"/>
    </row>
    <row r="1199" ht="22.5" customHeight="1">
      <c r="A1199" s="18"/>
      <c r="B1199" s="36"/>
      <c r="C1199" s="36"/>
      <c r="D1199" s="36"/>
      <c r="E1199" s="36"/>
      <c r="F1199" s="12"/>
      <c r="G1199" s="12"/>
      <c r="H1199" s="29"/>
      <c r="I1199" s="20"/>
      <c r="J1199" s="10"/>
      <c r="K1199" s="10"/>
      <c r="L1199" s="10"/>
      <c r="M1199" s="35"/>
      <c r="N1199" s="34"/>
      <c r="O1199" s="34"/>
      <c r="P1199" s="12"/>
      <c r="Q1199" s="39" t="s">
        <v>5234</v>
      </c>
      <c r="R1199" s="39"/>
      <c r="S1199" s="39"/>
      <c r="T1199" s="39"/>
      <c r="U1199" s="39"/>
      <c r="Y1199" s="26"/>
    </row>
    <row r="1200" ht="22.5" customHeight="1">
      <c r="A1200" s="18"/>
      <c r="B1200" s="36"/>
      <c r="C1200" s="36"/>
      <c r="D1200" s="36"/>
      <c r="E1200" s="36"/>
      <c r="F1200" s="12"/>
      <c r="G1200" s="12"/>
      <c r="H1200" s="29"/>
      <c r="I1200" s="20"/>
      <c r="J1200" s="10"/>
      <c r="K1200" s="10"/>
      <c r="L1200" s="10"/>
      <c r="M1200" s="35"/>
      <c r="N1200" s="34"/>
      <c r="O1200" s="34"/>
      <c r="P1200" s="12"/>
      <c r="Q1200" s="39" t="s">
        <v>5234</v>
      </c>
      <c r="R1200" s="39"/>
      <c r="S1200" s="39"/>
      <c r="T1200" s="39"/>
      <c r="U1200" s="39"/>
      <c r="Y1200" s="26"/>
    </row>
    <row r="1201" ht="22.5" customHeight="1">
      <c r="A1201" s="18"/>
      <c r="B1201" s="36"/>
      <c r="C1201" s="36"/>
      <c r="D1201" s="36"/>
      <c r="E1201" s="36"/>
      <c r="F1201" s="12"/>
      <c r="G1201" s="12"/>
      <c r="H1201" s="29"/>
      <c r="I1201" s="20"/>
      <c r="J1201" s="10"/>
      <c r="K1201" s="10"/>
      <c r="L1201" s="10"/>
      <c r="M1201" s="35"/>
      <c r="N1201" s="34"/>
      <c r="O1201" s="34"/>
      <c r="P1201" s="12"/>
      <c r="Q1201" s="39" t="s">
        <v>5234</v>
      </c>
      <c r="R1201" s="39"/>
      <c r="S1201" s="39"/>
      <c r="T1201" s="39"/>
      <c r="U1201" s="39"/>
      <c r="Y1201" s="26"/>
    </row>
    <row r="1202" ht="22.5" customHeight="1">
      <c r="A1202" s="18"/>
      <c r="B1202" s="36"/>
      <c r="C1202" s="36"/>
      <c r="D1202" s="36"/>
      <c r="E1202" s="36"/>
      <c r="F1202" s="12"/>
      <c r="G1202" s="12"/>
      <c r="H1202" s="29"/>
      <c r="I1202" s="20"/>
      <c r="J1202" s="10"/>
      <c r="K1202" s="10"/>
      <c r="L1202" s="10"/>
      <c r="M1202" s="35"/>
      <c r="N1202" s="34"/>
      <c r="O1202" s="34"/>
      <c r="P1202" s="12"/>
      <c r="Q1202" s="39" t="s">
        <v>5234</v>
      </c>
      <c r="R1202" s="39"/>
      <c r="S1202" s="39"/>
      <c r="T1202" s="39"/>
      <c r="U1202" s="39"/>
      <c r="Y1202" s="26"/>
    </row>
    <row r="1203" ht="22.5" customHeight="1">
      <c r="A1203" s="18"/>
      <c r="B1203" s="36"/>
      <c r="C1203" s="36"/>
      <c r="D1203" s="36"/>
      <c r="E1203" s="36"/>
      <c r="F1203" s="12"/>
      <c r="G1203" s="12"/>
      <c r="H1203" s="29"/>
      <c r="I1203" s="20"/>
      <c r="J1203" s="10"/>
      <c r="K1203" s="10"/>
      <c r="L1203" s="10"/>
      <c r="M1203" s="35"/>
      <c r="N1203" s="34"/>
      <c r="O1203" s="34"/>
      <c r="P1203" s="12"/>
      <c r="Q1203" s="39" t="s">
        <v>5234</v>
      </c>
      <c r="R1203" s="39"/>
      <c r="S1203" s="39"/>
      <c r="T1203" s="39"/>
      <c r="U1203" s="39"/>
      <c r="Y1203" s="26"/>
    </row>
    <row r="1204" ht="22.5" customHeight="1">
      <c r="A1204" s="18"/>
      <c r="B1204" s="36"/>
      <c r="C1204" s="36"/>
      <c r="D1204" s="36"/>
      <c r="E1204" s="36"/>
      <c r="F1204" s="12"/>
      <c r="G1204" s="12"/>
      <c r="H1204" s="29"/>
      <c r="I1204" s="20"/>
      <c r="J1204" s="10"/>
      <c r="K1204" s="10"/>
      <c r="L1204" s="10"/>
      <c r="M1204" s="35"/>
      <c r="N1204" s="34"/>
      <c r="O1204" s="34"/>
      <c r="P1204" s="12"/>
      <c r="Q1204" s="39" t="s">
        <v>5234</v>
      </c>
      <c r="R1204" s="39"/>
      <c r="S1204" s="39"/>
      <c r="T1204" s="39"/>
      <c r="U1204" s="39"/>
      <c r="Y1204" s="26"/>
    </row>
    <row r="1205" ht="22.5" customHeight="1">
      <c r="A1205" s="18"/>
      <c r="B1205" s="36"/>
      <c r="C1205" s="36"/>
      <c r="D1205" s="36"/>
      <c r="E1205" s="36"/>
      <c r="F1205" s="12"/>
      <c r="G1205" s="12"/>
      <c r="H1205" s="29"/>
      <c r="I1205" s="20"/>
      <c r="J1205" s="10"/>
      <c r="K1205" s="10"/>
      <c r="L1205" s="10"/>
      <c r="M1205" s="35"/>
      <c r="N1205" s="34"/>
      <c r="O1205" s="34"/>
      <c r="P1205" s="12"/>
      <c r="Q1205" s="39" t="s">
        <v>5234</v>
      </c>
      <c r="R1205" s="39"/>
      <c r="S1205" s="39"/>
      <c r="T1205" s="39"/>
      <c r="U1205" s="39"/>
      <c r="Y1205" s="26"/>
    </row>
    <row r="1206" ht="22.5" customHeight="1">
      <c r="A1206" s="18"/>
      <c r="B1206" s="36"/>
      <c r="C1206" s="36"/>
      <c r="D1206" s="36"/>
      <c r="E1206" s="36"/>
      <c r="F1206" s="12"/>
      <c r="G1206" s="12"/>
      <c r="H1206" s="29"/>
      <c r="I1206" s="20"/>
      <c r="J1206" s="10"/>
      <c r="K1206" s="10"/>
      <c r="L1206" s="10"/>
      <c r="M1206" s="35"/>
      <c r="N1206" s="34"/>
      <c r="O1206" s="34"/>
      <c r="P1206" s="12"/>
      <c r="Q1206" s="39" t="s">
        <v>5234</v>
      </c>
      <c r="R1206" s="39"/>
      <c r="S1206" s="39"/>
      <c r="T1206" s="39"/>
      <c r="U1206" s="39"/>
      <c r="Y1206" s="26"/>
    </row>
    <row r="1207" ht="22.5" customHeight="1">
      <c r="A1207" s="18"/>
      <c r="B1207" s="36"/>
      <c r="C1207" s="36"/>
      <c r="D1207" s="36"/>
      <c r="E1207" s="36"/>
      <c r="F1207" s="12"/>
      <c r="G1207" s="12"/>
      <c r="H1207" s="29"/>
      <c r="I1207" s="20"/>
      <c r="J1207" s="10"/>
      <c r="K1207" s="10"/>
      <c r="L1207" s="10"/>
      <c r="M1207" s="35"/>
      <c r="N1207" s="34"/>
      <c r="O1207" s="34"/>
      <c r="P1207" s="12"/>
      <c r="Q1207" s="39" t="s">
        <v>5234</v>
      </c>
      <c r="R1207" s="39"/>
      <c r="S1207" s="39"/>
      <c r="T1207" s="39"/>
      <c r="U1207" s="39"/>
      <c r="Y1207" s="26"/>
    </row>
    <row r="1208" ht="22.5" customHeight="1">
      <c r="A1208" s="18"/>
      <c r="B1208" s="36"/>
      <c r="C1208" s="36"/>
      <c r="D1208" s="36"/>
      <c r="E1208" s="36"/>
      <c r="F1208" s="12"/>
      <c r="G1208" s="12"/>
      <c r="H1208" s="29"/>
      <c r="I1208" s="20"/>
      <c r="J1208" s="10"/>
      <c r="K1208" s="10"/>
      <c r="L1208" s="10"/>
      <c r="M1208" s="35"/>
      <c r="N1208" s="34"/>
      <c r="O1208" s="34"/>
      <c r="P1208" s="12"/>
      <c r="Q1208" s="39" t="s">
        <v>5234</v>
      </c>
      <c r="R1208" s="39"/>
      <c r="S1208" s="39"/>
      <c r="T1208" s="39"/>
      <c r="U1208" s="39"/>
      <c r="Y1208" s="26"/>
    </row>
    <row r="1209" ht="22.5" customHeight="1">
      <c r="A1209" s="18"/>
      <c r="B1209" s="36"/>
      <c r="C1209" s="36"/>
      <c r="D1209" s="36"/>
      <c r="E1209" s="36"/>
      <c r="F1209" s="12"/>
      <c r="G1209" s="12"/>
      <c r="H1209" s="29"/>
      <c r="I1209" s="20"/>
      <c r="J1209" s="10"/>
      <c r="K1209" s="10"/>
      <c r="L1209" s="10"/>
      <c r="M1209" s="35"/>
      <c r="N1209" s="34"/>
      <c r="O1209" s="34"/>
      <c r="P1209" s="12"/>
      <c r="Q1209" s="39" t="s">
        <v>5234</v>
      </c>
      <c r="R1209" s="39"/>
      <c r="S1209" s="39"/>
      <c r="T1209" s="39"/>
      <c r="U1209" s="39"/>
      <c r="Y1209" s="26"/>
    </row>
    <row r="1210" ht="22.5" customHeight="1">
      <c r="A1210" s="18"/>
      <c r="B1210" s="36"/>
      <c r="C1210" s="41"/>
      <c r="D1210" s="36"/>
      <c r="E1210" s="36"/>
      <c r="F1210" s="12"/>
      <c r="G1210" s="12"/>
      <c r="H1210" s="29"/>
      <c r="I1210" s="20"/>
      <c r="J1210" s="10"/>
      <c r="K1210" s="10"/>
      <c r="L1210" s="10"/>
      <c r="M1210" s="35"/>
      <c r="N1210" s="34"/>
      <c r="O1210" s="34"/>
      <c r="P1210" s="12"/>
      <c r="Q1210" s="39" t="s">
        <v>5234</v>
      </c>
      <c r="R1210" s="39"/>
      <c r="S1210" s="39"/>
      <c r="T1210" s="39"/>
      <c r="U1210" s="39"/>
      <c r="Y1210" s="26"/>
    </row>
    <row r="1211" ht="22.5" customHeight="1">
      <c r="A1211" s="18"/>
      <c r="B1211" s="36"/>
      <c r="C1211" s="36"/>
      <c r="D1211" s="36"/>
      <c r="E1211" s="36"/>
      <c r="F1211" s="12"/>
      <c r="G1211" s="12"/>
      <c r="H1211" s="29"/>
      <c r="I1211" s="20"/>
      <c r="J1211" s="10"/>
      <c r="K1211" s="10"/>
      <c r="L1211" s="10"/>
      <c r="M1211" s="35"/>
      <c r="N1211" s="34"/>
      <c r="O1211" s="34"/>
      <c r="P1211" s="12"/>
      <c r="Q1211" s="39" t="s">
        <v>5234</v>
      </c>
      <c r="R1211" s="39"/>
      <c r="S1211" s="39"/>
      <c r="T1211" s="39"/>
      <c r="U1211" s="39"/>
      <c r="Y1211" s="26"/>
    </row>
    <row r="1212" ht="22.5" customHeight="1">
      <c r="A1212" s="18"/>
      <c r="B1212" s="36"/>
      <c r="C1212" s="36"/>
      <c r="D1212" s="36"/>
      <c r="E1212" s="36"/>
      <c r="F1212" s="12"/>
      <c r="G1212" s="12"/>
      <c r="H1212" s="29"/>
      <c r="I1212" s="20"/>
      <c r="J1212" s="10"/>
      <c r="K1212" s="10"/>
      <c r="L1212" s="10"/>
      <c r="M1212" s="35"/>
      <c r="N1212" s="34"/>
      <c r="O1212" s="34"/>
      <c r="P1212" s="12"/>
      <c r="Q1212" s="39" t="s">
        <v>5234</v>
      </c>
      <c r="R1212" s="39"/>
      <c r="S1212" s="39"/>
      <c r="T1212" s="39"/>
      <c r="U1212" s="39"/>
      <c r="Y1212" s="26"/>
    </row>
    <row r="1213" ht="22.5" customHeight="1">
      <c r="A1213" s="18"/>
      <c r="B1213" s="36"/>
      <c r="C1213" s="36"/>
      <c r="D1213" s="36"/>
      <c r="E1213" s="36"/>
      <c r="F1213" s="12"/>
      <c r="G1213" s="12"/>
      <c r="H1213" s="29"/>
      <c r="I1213" s="20"/>
      <c r="J1213" s="10"/>
      <c r="K1213" s="10"/>
      <c r="L1213" s="10"/>
      <c r="M1213" s="35"/>
      <c r="N1213" s="34"/>
      <c r="O1213" s="34"/>
      <c r="P1213" s="12"/>
      <c r="Q1213" s="39" t="s">
        <v>5234</v>
      </c>
      <c r="R1213" s="39"/>
      <c r="S1213" s="39"/>
      <c r="T1213" s="39"/>
      <c r="U1213" s="39"/>
      <c r="Y1213" s="26"/>
    </row>
    <row r="1214" ht="22.5" customHeight="1">
      <c r="A1214" s="18"/>
      <c r="B1214" s="36"/>
      <c r="C1214" s="36"/>
      <c r="D1214" s="36"/>
      <c r="E1214" s="36"/>
      <c r="F1214" s="12"/>
      <c r="G1214" s="12"/>
      <c r="H1214" s="29"/>
      <c r="I1214" s="20"/>
      <c r="J1214" s="10"/>
      <c r="K1214" s="10"/>
      <c r="L1214" s="10"/>
      <c r="M1214" s="35"/>
      <c r="N1214" s="34"/>
      <c r="O1214" s="34"/>
      <c r="P1214" s="12"/>
      <c r="Q1214" s="39" t="s">
        <v>5234</v>
      </c>
      <c r="R1214" s="39"/>
      <c r="S1214" s="39"/>
      <c r="T1214" s="39"/>
      <c r="U1214" s="39"/>
      <c r="Y1214" s="26"/>
    </row>
    <row r="1215" ht="22.5" customHeight="1">
      <c r="A1215" s="18"/>
      <c r="B1215" s="36"/>
      <c r="C1215" s="36"/>
      <c r="D1215" s="36"/>
      <c r="E1215" s="36"/>
      <c r="F1215" s="12"/>
      <c r="G1215" s="12"/>
      <c r="H1215" s="29"/>
      <c r="I1215" s="20"/>
      <c r="J1215" s="10"/>
      <c r="K1215" s="10"/>
      <c r="L1215" s="10"/>
      <c r="M1215" s="35"/>
      <c r="N1215" s="34"/>
      <c r="O1215" s="34"/>
      <c r="P1215" s="12"/>
      <c r="Q1215" s="39" t="s">
        <v>5234</v>
      </c>
      <c r="R1215" s="39"/>
      <c r="S1215" s="39"/>
      <c r="T1215" s="39"/>
      <c r="U1215" s="39"/>
      <c r="Y1215" s="26"/>
    </row>
    <row r="1216" ht="22.5" customHeight="1">
      <c r="A1216" s="18"/>
      <c r="B1216" s="36"/>
      <c r="C1216" s="36"/>
      <c r="D1216" s="36"/>
      <c r="E1216" s="36"/>
      <c r="F1216" s="12"/>
      <c r="G1216" s="12"/>
      <c r="H1216" s="29"/>
      <c r="I1216" s="20"/>
      <c r="J1216" s="10"/>
      <c r="K1216" s="10"/>
      <c r="L1216" s="10"/>
      <c r="M1216" s="35"/>
      <c r="N1216" s="34"/>
      <c r="O1216" s="34"/>
      <c r="P1216" s="12"/>
      <c r="Q1216" s="39" t="s">
        <v>5234</v>
      </c>
      <c r="R1216" s="39"/>
      <c r="S1216" s="39"/>
      <c r="T1216" s="39"/>
      <c r="U1216" s="39"/>
      <c r="Y1216" s="26"/>
    </row>
    <row r="1217" ht="22.5" customHeight="1">
      <c r="A1217" s="18"/>
      <c r="B1217" s="36"/>
      <c r="C1217" s="36"/>
      <c r="D1217" s="36"/>
      <c r="E1217" s="36"/>
      <c r="F1217" s="12"/>
      <c r="G1217" s="12"/>
      <c r="H1217" s="29"/>
      <c r="I1217" s="20"/>
      <c r="J1217" s="10"/>
      <c r="K1217" s="10"/>
      <c r="L1217" s="10"/>
      <c r="M1217" s="35"/>
      <c r="N1217" s="34"/>
      <c r="O1217" s="34"/>
      <c r="P1217" s="12"/>
      <c r="Q1217" s="39" t="s">
        <v>5234</v>
      </c>
      <c r="R1217" s="39"/>
      <c r="S1217" s="39"/>
      <c r="T1217" s="39"/>
      <c r="U1217" s="39"/>
      <c r="Y1217" s="26"/>
    </row>
    <row r="1218" ht="22.5" customHeight="1">
      <c r="A1218" s="18"/>
      <c r="B1218" s="36"/>
      <c r="C1218" s="36"/>
      <c r="D1218" s="36"/>
      <c r="E1218" s="36"/>
      <c r="F1218" s="12"/>
      <c r="G1218" s="12"/>
      <c r="H1218" s="29"/>
      <c r="I1218" s="20"/>
      <c r="J1218" s="10"/>
      <c r="K1218" s="10"/>
      <c r="L1218" s="10"/>
      <c r="M1218" s="35"/>
      <c r="N1218" s="34"/>
      <c r="O1218" s="34"/>
      <c r="P1218" s="12"/>
      <c r="Q1218" s="39" t="s">
        <v>5234</v>
      </c>
      <c r="R1218" s="39"/>
      <c r="S1218" s="39"/>
      <c r="T1218" s="39"/>
      <c r="U1218" s="39"/>
      <c r="Y1218" s="26"/>
    </row>
    <row r="1219" ht="22.5" customHeight="1">
      <c r="A1219" s="18"/>
      <c r="B1219" s="36"/>
      <c r="C1219" s="36"/>
      <c r="D1219" s="36"/>
      <c r="E1219" s="36"/>
      <c r="F1219" s="12"/>
      <c r="G1219" s="12"/>
      <c r="H1219" s="29"/>
      <c r="I1219" s="20"/>
      <c r="J1219" s="10"/>
      <c r="K1219" s="10"/>
      <c r="L1219" s="10"/>
      <c r="M1219" s="35"/>
      <c r="N1219" s="34"/>
      <c r="O1219" s="34"/>
      <c r="P1219" s="12"/>
      <c r="Q1219" s="39" t="s">
        <v>5234</v>
      </c>
      <c r="R1219" s="39"/>
      <c r="S1219" s="39"/>
      <c r="T1219" s="39"/>
      <c r="U1219" s="39"/>
      <c r="Y1219" s="26"/>
    </row>
    <row r="1220" ht="22.5" customHeight="1">
      <c r="A1220" s="18"/>
      <c r="B1220" s="36"/>
      <c r="C1220" s="36"/>
      <c r="D1220" s="36"/>
      <c r="E1220" s="36"/>
      <c r="F1220" s="12"/>
      <c r="G1220" s="12"/>
      <c r="H1220" s="29"/>
      <c r="I1220" s="20"/>
      <c r="J1220" s="10"/>
      <c r="K1220" s="10"/>
      <c r="L1220" s="10"/>
      <c r="M1220" s="35"/>
      <c r="N1220" s="34"/>
      <c r="O1220" s="34"/>
      <c r="P1220" s="12"/>
      <c r="Q1220" s="39" t="s">
        <v>5234</v>
      </c>
      <c r="R1220" s="39"/>
      <c r="S1220" s="39"/>
      <c r="T1220" s="39"/>
      <c r="U1220" s="39"/>
      <c r="Y1220" s="26"/>
    </row>
    <row r="1221" ht="22.5" customHeight="1">
      <c r="A1221" s="18"/>
      <c r="B1221" s="36"/>
      <c r="C1221" s="36"/>
      <c r="D1221" s="36"/>
      <c r="E1221" s="36"/>
      <c r="F1221" s="12"/>
      <c r="G1221" s="12"/>
      <c r="H1221" s="29"/>
      <c r="I1221" s="20"/>
      <c r="J1221" s="10"/>
      <c r="K1221" s="10"/>
      <c r="L1221" s="10"/>
      <c r="M1221" s="35"/>
      <c r="N1221" s="34"/>
      <c r="O1221" s="34"/>
      <c r="P1221" s="12"/>
      <c r="Q1221" s="39" t="s">
        <v>5234</v>
      </c>
      <c r="R1221" s="39"/>
      <c r="S1221" s="39"/>
      <c r="T1221" s="39"/>
      <c r="U1221" s="39"/>
      <c r="Y1221" s="26"/>
    </row>
    <row r="1222" ht="22.5" customHeight="1">
      <c r="A1222" s="18"/>
      <c r="B1222" s="36"/>
      <c r="C1222" s="36"/>
      <c r="D1222" s="36"/>
      <c r="E1222" s="36"/>
      <c r="F1222" s="12"/>
      <c r="G1222" s="12"/>
      <c r="H1222" s="29"/>
      <c r="I1222" s="20"/>
      <c r="J1222" s="10"/>
      <c r="K1222" s="10"/>
      <c r="L1222" s="10"/>
      <c r="M1222" s="35"/>
      <c r="N1222" s="34"/>
      <c r="O1222" s="34"/>
      <c r="P1222" s="12"/>
      <c r="Q1222" s="39" t="s">
        <v>5234</v>
      </c>
      <c r="R1222" s="39"/>
      <c r="S1222" s="39"/>
      <c r="T1222" s="39"/>
      <c r="U1222" s="39"/>
      <c r="Y1222" s="26"/>
    </row>
    <row r="1223" ht="22.5" customHeight="1">
      <c r="A1223" s="18"/>
      <c r="B1223" s="36"/>
      <c r="C1223" s="36"/>
      <c r="D1223" s="36"/>
      <c r="E1223" s="36"/>
      <c r="F1223" s="12"/>
      <c r="G1223" s="12"/>
      <c r="H1223" s="29"/>
      <c r="I1223" s="20"/>
      <c r="J1223" s="10"/>
      <c r="K1223" s="10"/>
      <c r="L1223" s="10"/>
      <c r="M1223" s="35"/>
      <c r="N1223" s="34"/>
      <c r="O1223" s="34"/>
      <c r="P1223" s="12"/>
      <c r="Q1223" s="39" t="s">
        <v>5234</v>
      </c>
      <c r="R1223" s="39"/>
      <c r="S1223" s="39"/>
      <c r="T1223" s="39"/>
      <c r="U1223" s="39"/>
      <c r="Y1223" s="26"/>
    </row>
    <row r="1224" ht="22.5" customHeight="1">
      <c r="A1224" s="18"/>
      <c r="B1224" s="36"/>
      <c r="C1224" s="36"/>
      <c r="D1224" s="36"/>
      <c r="E1224" s="36"/>
      <c r="F1224" s="12"/>
      <c r="G1224" s="12"/>
      <c r="H1224" s="29"/>
      <c r="I1224" s="20"/>
      <c r="J1224" s="10"/>
      <c r="K1224" s="10"/>
      <c r="L1224" s="10"/>
      <c r="M1224" s="35"/>
      <c r="N1224" s="34"/>
      <c r="O1224" s="34"/>
      <c r="P1224" s="12"/>
      <c r="Q1224" s="39" t="s">
        <v>5234</v>
      </c>
      <c r="R1224" s="39"/>
      <c r="S1224" s="39"/>
      <c r="T1224" s="39"/>
      <c r="U1224" s="39"/>
      <c r="Y1224" s="26"/>
    </row>
    <row r="1225" ht="22.5" customHeight="1">
      <c r="A1225" s="18"/>
      <c r="B1225" s="36"/>
      <c r="C1225" s="36"/>
      <c r="D1225" s="36"/>
      <c r="E1225" s="36"/>
      <c r="F1225" s="12"/>
      <c r="G1225" s="12"/>
      <c r="H1225" s="29"/>
      <c r="I1225" s="20"/>
      <c r="J1225" s="10"/>
      <c r="K1225" s="10"/>
      <c r="L1225" s="10"/>
      <c r="M1225" s="35"/>
      <c r="N1225" s="34"/>
      <c r="O1225" s="34"/>
      <c r="P1225" s="12"/>
      <c r="Q1225" s="39" t="s">
        <v>5234</v>
      </c>
      <c r="R1225" s="39"/>
      <c r="S1225" s="39"/>
      <c r="T1225" s="39"/>
      <c r="U1225" s="39"/>
      <c r="Y1225" s="26"/>
    </row>
    <row r="1226" ht="22.5" customHeight="1">
      <c r="A1226" s="18"/>
      <c r="B1226" s="36"/>
      <c r="C1226" s="36"/>
      <c r="D1226" s="36"/>
      <c r="E1226" s="36"/>
      <c r="F1226" s="12"/>
      <c r="G1226" s="12"/>
      <c r="H1226" s="29"/>
      <c r="I1226" s="20"/>
      <c r="J1226" s="10"/>
      <c r="K1226" s="10"/>
      <c r="L1226" s="10"/>
      <c r="M1226" s="35"/>
      <c r="N1226" s="34"/>
      <c r="O1226" s="34"/>
      <c r="P1226" s="12"/>
      <c r="Q1226" s="39" t="s">
        <v>5234</v>
      </c>
      <c r="R1226" s="39"/>
      <c r="S1226" s="39"/>
      <c r="T1226" s="39"/>
      <c r="U1226" s="39"/>
      <c r="Y1226" s="26"/>
    </row>
    <row r="1227" ht="22.5" customHeight="1">
      <c r="A1227" s="18"/>
      <c r="B1227" s="36"/>
      <c r="C1227" s="36"/>
      <c r="D1227" s="36"/>
      <c r="E1227" s="36"/>
      <c r="F1227" s="12"/>
      <c r="G1227" s="12"/>
      <c r="H1227" s="29"/>
      <c r="I1227" s="20"/>
      <c r="J1227" s="10"/>
      <c r="K1227" s="10"/>
      <c r="L1227" s="10"/>
      <c r="M1227" s="35"/>
      <c r="N1227" s="34"/>
      <c r="O1227" s="34"/>
      <c r="P1227" s="12"/>
      <c r="Q1227" s="39" t="s">
        <v>5234</v>
      </c>
      <c r="R1227" s="39"/>
      <c r="S1227" s="39"/>
      <c r="T1227" s="39"/>
      <c r="U1227" s="39"/>
      <c r="Y1227" s="26"/>
    </row>
    <row r="1228" ht="22.5" customHeight="1">
      <c r="A1228" s="18"/>
      <c r="B1228" s="36"/>
      <c r="C1228" s="36"/>
      <c r="D1228" s="36"/>
      <c r="E1228" s="36"/>
      <c r="F1228" s="12"/>
      <c r="G1228" s="12"/>
      <c r="H1228" s="29"/>
      <c r="I1228" s="20"/>
      <c r="J1228" s="10"/>
      <c r="K1228" s="10"/>
      <c r="L1228" s="10"/>
      <c r="M1228" s="35"/>
      <c r="N1228" s="34"/>
      <c r="O1228" s="34"/>
      <c r="P1228" s="12"/>
      <c r="Q1228" s="39" t="s">
        <v>5234</v>
      </c>
      <c r="R1228" s="39"/>
      <c r="S1228" s="39"/>
      <c r="T1228" s="39"/>
      <c r="U1228" s="39"/>
      <c r="Y1228" s="26"/>
    </row>
    <row r="1229" ht="22.5" customHeight="1">
      <c r="A1229" s="18"/>
      <c r="B1229" s="36"/>
      <c r="C1229" s="36"/>
      <c r="D1229" s="36"/>
      <c r="E1229" s="36"/>
      <c r="F1229" s="12"/>
      <c r="G1229" s="12"/>
      <c r="H1229" s="29"/>
      <c r="I1229" s="20"/>
      <c r="J1229" s="10"/>
      <c r="K1229" s="10"/>
      <c r="L1229" s="10"/>
      <c r="M1229" s="35"/>
      <c r="N1229" s="34"/>
      <c r="O1229" s="34"/>
      <c r="P1229" s="12"/>
      <c r="Q1229" s="39" t="s">
        <v>5234</v>
      </c>
      <c r="R1229" s="39"/>
      <c r="S1229" s="39"/>
      <c r="T1229" s="39"/>
      <c r="U1229" s="39"/>
      <c r="Y1229" s="26"/>
    </row>
    <row r="1230" ht="22.5" customHeight="1">
      <c r="A1230" s="18"/>
      <c r="B1230" s="36"/>
      <c r="C1230" s="36"/>
      <c r="D1230" s="36"/>
      <c r="E1230" s="36"/>
      <c r="F1230" s="12"/>
      <c r="G1230" s="12"/>
      <c r="H1230" s="29"/>
      <c r="I1230" s="20"/>
      <c r="J1230" s="10"/>
      <c r="K1230" s="10"/>
      <c r="L1230" s="10"/>
      <c r="M1230" s="35"/>
      <c r="N1230" s="34"/>
      <c r="O1230" s="34"/>
      <c r="P1230" s="12"/>
      <c r="Q1230" s="39" t="s">
        <v>5234</v>
      </c>
      <c r="R1230" s="39"/>
      <c r="S1230" s="39"/>
      <c r="T1230" s="39"/>
      <c r="U1230" s="39"/>
      <c r="Y1230" s="26"/>
    </row>
    <row r="1231" ht="22.5" customHeight="1">
      <c r="A1231" s="18"/>
      <c r="B1231" s="36"/>
      <c r="C1231" s="36"/>
      <c r="D1231" s="36"/>
      <c r="E1231" s="36"/>
      <c r="F1231" s="12"/>
      <c r="G1231" s="12"/>
      <c r="H1231" s="29"/>
      <c r="I1231" s="20"/>
      <c r="J1231" s="10"/>
      <c r="K1231" s="10"/>
      <c r="L1231" s="10"/>
      <c r="M1231" s="35"/>
      <c r="N1231" s="34"/>
      <c r="O1231" s="34"/>
      <c r="P1231" s="12"/>
      <c r="Q1231" s="39" t="s">
        <v>5234</v>
      </c>
      <c r="R1231" s="39"/>
      <c r="S1231" s="39"/>
      <c r="T1231" s="39"/>
      <c r="U1231" s="39"/>
      <c r="Y1231" s="26"/>
    </row>
    <row r="1232" ht="22.5" customHeight="1">
      <c r="A1232" s="18"/>
      <c r="B1232" s="36"/>
      <c r="C1232" s="36"/>
      <c r="D1232" s="36"/>
      <c r="E1232" s="36"/>
      <c r="F1232" s="12"/>
      <c r="G1232" s="12"/>
      <c r="H1232" s="29"/>
      <c r="I1232" s="20"/>
      <c r="J1232" s="10"/>
      <c r="K1232" s="10"/>
      <c r="L1232" s="10"/>
      <c r="M1232" s="35"/>
      <c r="N1232" s="34"/>
      <c r="O1232" s="34"/>
      <c r="P1232" s="12"/>
      <c r="Q1232" s="39" t="s">
        <v>5234</v>
      </c>
      <c r="R1232" s="39"/>
      <c r="S1232" s="39"/>
      <c r="T1232" s="39"/>
      <c r="U1232" s="39"/>
      <c r="Y1232" s="26"/>
    </row>
    <row r="1233" ht="22.5" customHeight="1">
      <c r="A1233" s="18"/>
      <c r="B1233" s="36"/>
      <c r="C1233" s="36"/>
      <c r="D1233" s="36"/>
      <c r="E1233" s="36"/>
      <c r="F1233" s="12"/>
      <c r="G1233" s="12"/>
      <c r="H1233" s="29"/>
      <c r="I1233" s="20"/>
      <c r="J1233" s="10"/>
      <c r="K1233" s="10"/>
      <c r="L1233" s="10"/>
      <c r="M1233" s="35"/>
      <c r="N1233" s="34"/>
      <c r="O1233" s="34"/>
      <c r="P1233" s="12"/>
      <c r="Q1233" s="39" t="s">
        <v>5234</v>
      </c>
      <c r="R1233" s="39"/>
      <c r="S1233" s="39"/>
      <c r="T1233" s="39"/>
      <c r="U1233" s="39"/>
      <c r="Y1233" s="26"/>
    </row>
    <row r="1234" ht="22.5" customHeight="1">
      <c r="A1234" s="18"/>
      <c r="B1234" s="36"/>
      <c r="C1234" s="42"/>
      <c r="D1234" s="36"/>
      <c r="E1234" s="36"/>
      <c r="F1234" s="12"/>
      <c r="G1234" s="12"/>
      <c r="H1234" s="29"/>
      <c r="I1234" s="20"/>
      <c r="J1234" s="10"/>
      <c r="K1234" s="10"/>
      <c r="L1234" s="10"/>
      <c r="M1234" s="35"/>
      <c r="N1234" s="34"/>
      <c r="O1234" s="34"/>
      <c r="P1234" s="12"/>
      <c r="Q1234" s="39" t="s">
        <v>5234</v>
      </c>
      <c r="R1234" s="39"/>
      <c r="S1234" s="39"/>
      <c r="T1234" s="39"/>
      <c r="U1234" s="39"/>
      <c r="Y1234" s="26"/>
    </row>
    <row r="1235" ht="22.5" customHeight="1">
      <c r="A1235" s="18"/>
      <c r="B1235" s="36"/>
      <c r="C1235" s="36"/>
      <c r="D1235" s="36"/>
      <c r="E1235" s="36"/>
      <c r="F1235" s="12"/>
      <c r="G1235" s="12"/>
      <c r="H1235" s="29"/>
      <c r="I1235" s="20"/>
      <c r="J1235" s="10"/>
      <c r="K1235" s="10"/>
      <c r="L1235" s="10"/>
      <c r="M1235" s="35"/>
      <c r="N1235" s="34"/>
      <c r="O1235" s="34"/>
      <c r="P1235" s="12"/>
      <c r="Q1235" s="39" t="s">
        <v>5234</v>
      </c>
      <c r="R1235" s="39"/>
      <c r="S1235" s="39"/>
      <c r="T1235" s="39"/>
      <c r="U1235" s="39"/>
      <c r="Y1235" s="26"/>
    </row>
    <row r="1236" ht="22.5" customHeight="1">
      <c r="A1236" s="18"/>
      <c r="B1236" s="36"/>
      <c r="C1236" s="36"/>
      <c r="D1236" s="36"/>
      <c r="E1236" s="36"/>
      <c r="F1236" s="12"/>
      <c r="G1236" s="12"/>
      <c r="H1236" s="29"/>
      <c r="I1236" s="20"/>
      <c r="J1236" s="10"/>
      <c r="K1236" s="10"/>
      <c r="L1236" s="10"/>
      <c r="M1236" s="35"/>
      <c r="N1236" s="34"/>
      <c r="O1236" s="34"/>
      <c r="P1236" s="12"/>
      <c r="Q1236" s="39" t="s">
        <v>5234</v>
      </c>
      <c r="R1236" s="39"/>
      <c r="S1236" s="39"/>
      <c r="T1236" s="39"/>
      <c r="U1236" s="39"/>
      <c r="Y1236" s="26"/>
    </row>
    <row r="1237" ht="22.5" customHeight="1">
      <c r="A1237" s="18"/>
      <c r="B1237" s="36"/>
      <c r="C1237" s="36"/>
      <c r="D1237" s="36"/>
      <c r="E1237" s="36"/>
      <c r="F1237" s="12"/>
      <c r="G1237" s="12"/>
      <c r="H1237" s="29"/>
      <c r="I1237" s="20"/>
      <c r="J1237" s="10"/>
      <c r="K1237" s="10"/>
      <c r="L1237" s="10"/>
      <c r="M1237" s="35"/>
      <c r="N1237" s="34"/>
      <c r="O1237" s="34"/>
      <c r="P1237" s="12"/>
      <c r="Q1237" s="39" t="s">
        <v>5234</v>
      </c>
      <c r="R1237" s="39"/>
      <c r="S1237" s="39"/>
      <c r="T1237" s="39"/>
      <c r="U1237" s="39"/>
      <c r="Y1237" s="26"/>
    </row>
    <row r="1238" ht="22.5" customHeight="1">
      <c r="A1238" s="18"/>
      <c r="B1238" s="36"/>
      <c r="C1238" s="36"/>
      <c r="D1238" s="36"/>
      <c r="E1238" s="36"/>
      <c r="F1238" s="12"/>
      <c r="G1238" s="12"/>
      <c r="H1238" s="29"/>
      <c r="I1238" s="20"/>
      <c r="J1238" s="10"/>
      <c r="K1238" s="10"/>
      <c r="L1238" s="10"/>
      <c r="M1238" s="35"/>
      <c r="N1238" s="34"/>
      <c r="O1238" s="34"/>
      <c r="P1238" s="12"/>
      <c r="Q1238" s="39" t="s">
        <v>5234</v>
      </c>
      <c r="R1238" s="39"/>
      <c r="S1238" s="39"/>
      <c r="T1238" s="39"/>
      <c r="U1238" s="39"/>
      <c r="Y1238" s="26"/>
    </row>
    <row r="1239" ht="22.5" customHeight="1">
      <c r="A1239" s="18"/>
      <c r="B1239" s="36"/>
      <c r="C1239" s="36"/>
      <c r="D1239" s="36"/>
      <c r="E1239" s="36"/>
      <c r="F1239" s="12"/>
      <c r="G1239" s="12"/>
      <c r="H1239" s="29"/>
      <c r="I1239" s="20"/>
      <c r="J1239" s="10"/>
      <c r="K1239" s="10"/>
      <c r="L1239" s="10"/>
      <c r="M1239" s="35"/>
      <c r="N1239" s="34"/>
      <c r="O1239" s="34"/>
      <c r="P1239" s="12"/>
      <c r="Q1239" s="39" t="s">
        <v>5234</v>
      </c>
      <c r="R1239" s="39"/>
      <c r="S1239" s="39"/>
      <c r="T1239" s="39"/>
      <c r="U1239" s="39"/>
      <c r="Y1239" s="26"/>
    </row>
    <row r="1240" ht="22.5" customHeight="1">
      <c r="A1240" s="18"/>
      <c r="B1240" s="36"/>
      <c r="C1240" s="36"/>
      <c r="D1240" s="36"/>
      <c r="E1240" s="36"/>
      <c r="F1240" s="12"/>
      <c r="G1240" s="12"/>
      <c r="H1240" s="29"/>
      <c r="I1240" s="20"/>
      <c r="J1240" s="10"/>
      <c r="K1240" s="10"/>
      <c r="L1240" s="10"/>
      <c r="M1240" s="35"/>
      <c r="N1240" s="34"/>
      <c r="O1240" s="34"/>
      <c r="P1240" s="12"/>
      <c r="Q1240" s="39" t="s">
        <v>5234</v>
      </c>
      <c r="R1240" s="39"/>
      <c r="S1240" s="39"/>
      <c r="T1240" s="39"/>
      <c r="U1240" s="39"/>
      <c r="Y1240" s="26"/>
    </row>
    <row r="1241" ht="22.5" customHeight="1">
      <c r="A1241" s="18"/>
      <c r="B1241" s="36"/>
      <c r="C1241" s="36"/>
      <c r="D1241" s="36"/>
      <c r="E1241" s="36"/>
      <c r="F1241" s="12"/>
      <c r="G1241" s="12"/>
      <c r="H1241" s="29"/>
      <c r="I1241" s="20"/>
      <c r="J1241" s="10"/>
      <c r="K1241" s="10"/>
      <c r="L1241" s="10"/>
      <c r="M1241" s="35"/>
      <c r="N1241" s="34"/>
      <c r="O1241" s="34"/>
      <c r="P1241" s="12"/>
      <c r="Q1241" s="39" t="s">
        <v>5234</v>
      </c>
      <c r="R1241" s="39"/>
      <c r="S1241" s="39"/>
      <c r="T1241" s="39"/>
      <c r="U1241" s="39"/>
      <c r="Y1241" s="26"/>
    </row>
    <row r="1242" ht="22.5" customHeight="1">
      <c r="A1242" s="18"/>
      <c r="B1242" s="36"/>
      <c r="C1242" s="36"/>
      <c r="D1242" s="36"/>
      <c r="E1242" s="36"/>
      <c r="F1242" s="12"/>
      <c r="G1242" s="12"/>
      <c r="H1242" s="29"/>
      <c r="I1242" s="20"/>
      <c r="J1242" s="10"/>
      <c r="K1242" s="10"/>
      <c r="L1242" s="10"/>
      <c r="M1242" s="35"/>
      <c r="N1242" s="34"/>
      <c r="O1242" s="34"/>
      <c r="P1242" s="12"/>
      <c r="Q1242" s="39" t="s">
        <v>5234</v>
      </c>
      <c r="R1242" s="39"/>
      <c r="S1242" s="39"/>
      <c r="T1242" s="39"/>
      <c r="U1242" s="39"/>
      <c r="Y1242" s="26"/>
    </row>
    <row r="1243" ht="22.5" customHeight="1">
      <c r="A1243" s="18"/>
      <c r="B1243" s="36"/>
      <c r="C1243" s="36"/>
      <c r="D1243" s="36"/>
      <c r="E1243" s="36"/>
      <c r="F1243" s="12"/>
      <c r="G1243" s="12"/>
      <c r="H1243" s="29"/>
      <c r="I1243" s="20"/>
      <c r="J1243" s="10"/>
      <c r="K1243" s="10"/>
      <c r="L1243" s="10"/>
      <c r="M1243" s="35"/>
      <c r="N1243" s="34"/>
      <c r="O1243" s="34"/>
      <c r="P1243" s="12"/>
      <c r="Q1243" s="39" t="s">
        <v>5234</v>
      </c>
      <c r="R1243" s="39"/>
      <c r="S1243" s="39"/>
      <c r="T1243" s="39"/>
      <c r="U1243" s="39"/>
      <c r="Y1243" s="26"/>
    </row>
    <row r="1244" ht="22.5" customHeight="1">
      <c r="A1244" s="18"/>
      <c r="B1244" s="36"/>
      <c r="C1244" s="36"/>
      <c r="D1244" s="36"/>
      <c r="E1244" s="36"/>
      <c r="F1244" s="12"/>
      <c r="G1244" s="12"/>
      <c r="H1244" s="29"/>
      <c r="I1244" s="20"/>
      <c r="J1244" s="10"/>
      <c r="K1244" s="10"/>
      <c r="L1244" s="10"/>
      <c r="M1244" s="35"/>
      <c r="N1244" s="34"/>
      <c r="O1244" s="34"/>
      <c r="P1244" s="12"/>
      <c r="Q1244" s="39" t="s">
        <v>5234</v>
      </c>
      <c r="R1244" s="39"/>
      <c r="S1244" s="39"/>
      <c r="T1244" s="39"/>
      <c r="U1244" s="39"/>
      <c r="Y1244" s="26"/>
    </row>
    <row r="1245" ht="22.5" customHeight="1">
      <c r="A1245" s="18"/>
      <c r="B1245" s="36"/>
      <c r="C1245" s="36"/>
      <c r="D1245" s="36"/>
      <c r="E1245" s="36"/>
      <c r="F1245" s="12"/>
      <c r="G1245" s="12"/>
      <c r="H1245" s="29"/>
      <c r="I1245" s="20"/>
      <c r="J1245" s="10"/>
      <c r="K1245" s="10"/>
      <c r="L1245" s="10"/>
      <c r="M1245" s="35"/>
      <c r="N1245" s="34"/>
      <c r="O1245" s="34"/>
      <c r="P1245" s="12"/>
      <c r="Q1245" s="39" t="s">
        <v>5234</v>
      </c>
      <c r="R1245" s="39"/>
      <c r="S1245" s="39"/>
      <c r="T1245" s="39"/>
      <c r="U1245" s="39"/>
      <c r="Y1245" s="26"/>
    </row>
    <row r="1246" ht="22.5" customHeight="1">
      <c r="A1246" s="18"/>
      <c r="B1246" s="36"/>
      <c r="C1246" s="36"/>
      <c r="D1246" s="36"/>
      <c r="E1246" s="36"/>
      <c r="F1246" s="12"/>
      <c r="G1246" s="12"/>
      <c r="H1246" s="29"/>
      <c r="I1246" s="20"/>
      <c r="J1246" s="10"/>
      <c r="K1246" s="10"/>
      <c r="L1246" s="10"/>
      <c r="M1246" s="35"/>
      <c r="N1246" s="34"/>
      <c r="O1246" s="34"/>
      <c r="P1246" s="12"/>
      <c r="Q1246" s="39" t="s">
        <v>5234</v>
      </c>
      <c r="R1246" s="39"/>
      <c r="S1246" s="39"/>
      <c r="T1246" s="39"/>
      <c r="U1246" s="39"/>
      <c r="Y1246" s="26"/>
    </row>
    <row r="1247" ht="22.5" customHeight="1">
      <c r="A1247" s="18"/>
      <c r="B1247" s="36"/>
      <c r="C1247" s="36"/>
      <c r="D1247" s="36"/>
      <c r="E1247" s="36"/>
      <c r="F1247" s="12"/>
      <c r="G1247" s="12"/>
      <c r="H1247" s="29"/>
      <c r="I1247" s="20"/>
      <c r="J1247" s="10"/>
      <c r="K1247" s="10"/>
      <c r="L1247" s="10"/>
      <c r="M1247" s="35"/>
      <c r="N1247" s="34"/>
      <c r="O1247" s="34"/>
      <c r="P1247" s="12"/>
      <c r="Q1247" s="39" t="s">
        <v>5234</v>
      </c>
      <c r="R1247" s="39"/>
      <c r="S1247" s="39"/>
      <c r="T1247" s="39"/>
      <c r="U1247" s="39"/>
      <c r="Y1247" s="26"/>
    </row>
    <row r="1248" ht="22.5" customHeight="1">
      <c r="A1248" s="18"/>
      <c r="B1248" s="36"/>
      <c r="C1248" s="36"/>
      <c r="D1248" s="36"/>
      <c r="E1248" s="36"/>
      <c r="F1248" s="12"/>
      <c r="G1248" s="12"/>
      <c r="H1248" s="29"/>
      <c r="I1248" s="20"/>
      <c r="J1248" s="10"/>
      <c r="K1248" s="10"/>
      <c r="L1248" s="10"/>
      <c r="M1248" s="35"/>
      <c r="N1248" s="34"/>
      <c r="O1248" s="34"/>
      <c r="P1248" s="12"/>
      <c r="Q1248" s="39" t="s">
        <v>5234</v>
      </c>
      <c r="R1248" s="39"/>
      <c r="S1248" s="39"/>
      <c r="T1248" s="39"/>
      <c r="U1248" s="39"/>
      <c r="Y1248" s="26"/>
    </row>
    <row r="1249" ht="22.5" customHeight="1">
      <c r="A1249" s="18"/>
      <c r="B1249" s="36"/>
      <c r="C1249" s="36"/>
      <c r="D1249" s="36"/>
      <c r="E1249" s="36"/>
      <c r="F1249" s="12"/>
      <c r="G1249" s="12"/>
      <c r="H1249" s="29"/>
      <c r="I1249" s="20"/>
      <c r="J1249" s="10"/>
      <c r="K1249" s="10"/>
      <c r="L1249" s="10"/>
      <c r="M1249" s="35"/>
      <c r="N1249" s="34"/>
      <c r="O1249" s="34"/>
      <c r="P1249" s="12"/>
      <c r="Q1249" s="39" t="s">
        <v>5234</v>
      </c>
      <c r="R1249" s="39"/>
      <c r="S1249" s="39"/>
      <c r="T1249" s="39"/>
      <c r="U1249" s="39"/>
      <c r="Y1249" s="26"/>
    </row>
    <row r="1250" ht="22.5" customHeight="1">
      <c r="A1250" s="18"/>
      <c r="B1250" s="36"/>
      <c r="C1250" s="36"/>
      <c r="D1250" s="36"/>
      <c r="E1250" s="36"/>
      <c r="F1250" s="12"/>
      <c r="G1250" s="12"/>
      <c r="H1250" s="29"/>
      <c r="I1250" s="20"/>
      <c r="J1250" s="10"/>
      <c r="K1250" s="10"/>
      <c r="L1250" s="10"/>
      <c r="M1250" s="35"/>
      <c r="N1250" s="34"/>
      <c r="O1250" s="34"/>
      <c r="P1250" s="12"/>
      <c r="Q1250" s="39" t="s">
        <v>5234</v>
      </c>
      <c r="R1250" s="39"/>
      <c r="S1250" s="39"/>
      <c r="T1250" s="39"/>
      <c r="U1250" s="39"/>
      <c r="Y1250" s="26"/>
    </row>
    <row r="1251" ht="22.5" customHeight="1">
      <c r="A1251" s="18"/>
      <c r="B1251" s="36"/>
      <c r="C1251" s="36"/>
      <c r="D1251" s="36"/>
      <c r="E1251" s="36"/>
      <c r="F1251" s="12"/>
      <c r="G1251" s="12"/>
      <c r="H1251" s="29"/>
      <c r="I1251" s="20"/>
      <c r="J1251" s="10"/>
      <c r="K1251" s="10"/>
      <c r="L1251" s="10"/>
      <c r="M1251" s="35"/>
      <c r="N1251" s="34"/>
      <c r="O1251" s="34"/>
      <c r="P1251" s="12"/>
      <c r="Q1251" s="39" t="s">
        <v>5234</v>
      </c>
      <c r="R1251" s="39"/>
      <c r="S1251" s="39"/>
      <c r="T1251" s="39"/>
      <c r="U1251" s="39"/>
      <c r="Y1251" s="26"/>
    </row>
    <row r="1252" ht="22.5" customHeight="1">
      <c r="A1252" s="18"/>
      <c r="B1252" s="36"/>
      <c r="C1252" s="10"/>
      <c r="D1252" s="36"/>
      <c r="E1252" s="36"/>
      <c r="F1252" s="12"/>
      <c r="G1252" s="12"/>
      <c r="H1252" s="29"/>
      <c r="I1252" s="20"/>
      <c r="J1252" s="10"/>
      <c r="K1252" s="10"/>
      <c r="L1252" s="10"/>
      <c r="M1252" s="35"/>
      <c r="N1252" s="34"/>
      <c r="O1252" s="34"/>
      <c r="P1252" s="12"/>
      <c r="Q1252" s="39" t="s">
        <v>5234</v>
      </c>
      <c r="R1252" s="39"/>
      <c r="S1252" s="39"/>
      <c r="T1252" s="39"/>
      <c r="U1252" s="39"/>
      <c r="Y1252" s="26"/>
    </row>
    <row r="1253" ht="22.5" customHeight="1">
      <c r="A1253" s="18"/>
      <c r="B1253" s="36"/>
      <c r="C1253" s="36"/>
      <c r="D1253" s="36"/>
      <c r="E1253" s="36"/>
      <c r="F1253" s="12"/>
      <c r="G1253" s="12"/>
      <c r="H1253" s="29"/>
      <c r="I1253" s="20"/>
      <c r="J1253" s="10"/>
      <c r="K1253" s="10"/>
      <c r="L1253" s="10"/>
      <c r="M1253" s="35"/>
      <c r="N1253" s="34"/>
      <c r="O1253" s="34"/>
      <c r="P1253" s="12"/>
      <c r="Q1253" s="39" t="s">
        <v>5234</v>
      </c>
      <c r="R1253" s="39"/>
      <c r="S1253" s="39"/>
      <c r="T1253" s="39"/>
      <c r="U1253" s="39"/>
      <c r="Y1253" s="26"/>
    </row>
    <row r="1254" ht="22.5" customHeight="1">
      <c r="A1254" s="18"/>
      <c r="B1254" s="36"/>
      <c r="C1254" s="40"/>
      <c r="D1254" s="36"/>
      <c r="E1254" s="36"/>
      <c r="F1254" s="12"/>
      <c r="G1254" s="12"/>
      <c r="H1254" s="29"/>
      <c r="I1254" s="20"/>
      <c r="J1254" s="10"/>
      <c r="K1254" s="10"/>
      <c r="L1254" s="10"/>
      <c r="M1254" s="35"/>
      <c r="N1254" s="34"/>
      <c r="O1254" s="34"/>
      <c r="P1254" s="12"/>
      <c r="Q1254" s="39" t="s">
        <v>5234</v>
      </c>
      <c r="R1254" s="39"/>
      <c r="S1254" s="39"/>
      <c r="T1254" s="39"/>
      <c r="U1254" s="39"/>
      <c r="Y1254" s="26"/>
    </row>
    <row r="1255" ht="22.5" customHeight="1">
      <c r="A1255" s="18"/>
      <c r="B1255" s="36"/>
      <c r="C1255" s="36"/>
      <c r="D1255" s="36"/>
      <c r="E1255" s="36"/>
      <c r="F1255" s="12"/>
      <c r="G1255" s="12"/>
      <c r="H1255" s="29"/>
      <c r="I1255" s="20"/>
      <c r="J1255" s="10"/>
      <c r="K1255" s="10"/>
      <c r="L1255" s="10"/>
      <c r="M1255" s="35"/>
      <c r="N1255" s="34"/>
      <c r="O1255" s="34"/>
      <c r="P1255" s="12"/>
      <c r="Q1255" s="39" t="s">
        <v>5234</v>
      </c>
      <c r="R1255" s="39"/>
      <c r="S1255" s="39"/>
      <c r="T1255" s="39"/>
      <c r="U1255" s="39"/>
      <c r="Y1255" s="26"/>
    </row>
    <row r="1256" ht="22.5" customHeight="1">
      <c r="A1256" s="18"/>
      <c r="B1256" s="36"/>
      <c r="C1256" s="36"/>
      <c r="D1256" s="36"/>
      <c r="E1256" s="36"/>
      <c r="F1256" s="12"/>
      <c r="G1256" s="12"/>
      <c r="H1256" s="29"/>
      <c r="I1256" s="20"/>
      <c r="J1256" s="10"/>
      <c r="K1256" s="10"/>
      <c r="L1256" s="10"/>
      <c r="M1256" s="35"/>
      <c r="N1256" s="34"/>
      <c r="O1256" s="34"/>
      <c r="P1256" s="12"/>
      <c r="Q1256" s="39" t="s">
        <v>5234</v>
      </c>
      <c r="R1256" s="39"/>
      <c r="S1256" s="39"/>
      <c r="T1256" s="39"/>
      <c r="U1256" s="39"/>
      <c r="Y1256" s="26"/>
    </row>
    <row r="1257" ht="22.5" customHeight="1">
      <c r="A1257" s="18"/>
      <c r="B1257" s="36"/>
      <c r="C1257" s="36"/>
      <c r="D1257" s="36"/>
      <c r="E1257" s="36"/>
      <c r="F1257" s="12"/>
      <c r="G1257" s="12"/>
      <c r="H1257" s="29"/>
      <c r="I1257" s="20"/>
      <c r="J1257" s="10"/>
      <c r="K1257" s="10"/>
      <c r="L1257" s="10"/>
      <c r="M1257" s="35"/>
      <c r="N1257" s="34"/>
      <c r="O1257" s="34"/>
      <c r="P1257" s="12"/>
      <c r="Q1257" s="39" t="s">
        <v>5234</v>
      </c>
      <c r="R1257" s="39"/>
      <c r="S1257" s="39"/>
      <c r="T1257" s="39"/>
      <c r="U1257" s="39"/>
      <c r="Y1257" s="26"/>
    </row>
    <row r="1258" ht="22.5" customHeight="1">
      <c r="A1258" s="18"/>
      <c r="B1258" s="36"/>
      <c r="C1258" s="36"/>
      <c r="D1258" s="36"/>
      <c r="E1258" s="36"/>
      <c r="F1258" s="12"/>
      <c r="G1258" s="12"/>
      <c r="H1258" s="29"/>
      <c r="I1258" s="20"/>
      <c r="J1258" s="10"/>
      <c r="K1258" s="10"/>
      <c r="L1258" s="10"/>
      <c r="M1258" s="35"/>
      <c r="N1258" s="34"/>
      <c r="O1258" s="34"/>
      <c r="P1258" s="12"/>
      <c r="Q1258" s="39" t="s">
        <v>5234</v>
      </c>
      <c r="R1258" s="39"/>
      <c r="S1258" s="39"/>
      <c r="T1258" s="39"/>
      <c r="U1258" s="39"/>
      <c r="Y1258" s="26"/>
    </row>
    <row r="1259" ht="22.5" customHeight="1">
      <c r="A1259" s="18"/>
      <c r="B1259" s="36"/>
      <c r="C1259" s="36"/>
      <c r="D1259" s="36"/>
      <c r="E1259" s="36"/>
      <c r="F1259" s="12"/>
      <c r="G1259" s="12"/>
      <c r="H1259" s="29"/>
      <c r="I1259" s="20"/>
      <c r="J1259" s="10"/>
      <c r="K1259" s="10"/>
      <c r="L1259" s="10"/>
      <c r="M1259" s="35"/>
      <c r="N1259" s="34"/>
      <c r="O1259" s="34"/>
      <c r="P1259" s="12"/>
      <c r="Q1259" s="39" t="s">
        <v>5234</v>
      </c>
      <c r="R1259" s="39"/>
      <c r="S1259" s="39"/>
      <c r="T1259" s="39"/>
      <c r="U1259" s="39"/>
      <c r="Y1259" s="26"/>
    </row>
    <row r="1260" ht="22.5" customHeight="1">
      <c r="A1260" s="18"/>
      <c r="B1260" s="36"/>
      <c r="C1260" s="36"/>
      <c r="D1260" s="36"/>
      <c r="E1260" s="36"/>
      <c r="F1260" s="12"/>
      <c r="G1260" s="12"/>
      <c r="H1260" s="29"/>
      <c r="I1260" s="20"/>
      <c r="J1260" s="10"/>
      <c r="K1260" s="10"/>
      <c r="L1260" s="10"/>
      <c r="M1260" s="35"/>
      <c r="N1260" s="34"/>
      <c r="O1260" s="34"/>
      <c r="P1260" s="12"/>
      <c r="Q1260" s="39" t="s">
        <v>5234</v>
      </c>
      <c r="R1260" s="39"/>
      <c r="S1260" s="39"/>
      <c r="T1260" s="39"/>
      <c r="U1260" s="39"/>
      <c r="Y1260" s="26"/>
    </row>
    <row r="1261" ht="22.5" customHeight="1">
      <c r="A1261" s="18"/>
      <c r="B1261" s="36"/>
      <c r="C1261" s="36"/>
      <c r="D1261" s="36"/>
      <c r="E1261" s="36"/>
      <c r="F1261" s="12"/>
      <c r="G1261" s="12"/>
      <c r="H1261" s="29"/>
      <c r="I1261" s="20"/>
      <c r="J1261" s="10"/>
      <c r="K1261" s="10"/>
      <c r="L1261" s="10"/>
      <c r="M1261" s="35"/>
      <c r="N1261" s="34"/>
      <c r="O1261" s="34"/>
      <c r="P1261" s="12"/>
      <c r="Q1261" s="39" t="s">
        <v>5234</v>
      </c>
      <c r="R1261" s="39"/>
      <c r="S1261" s="39"/>
      <c r="T1261" s="39"/>
      <c r="U1261" s="39"/>
      <c r="Y1261" s="26"/>
    </row>
    <row r="1262" ht="22.5" customHeight="1">
      <c r="A1262" s="18"/>
      <c r="B1262" s="36"/>
      <c r="C1262" s="36"/>
      <c r="D1262" s="36"/>
      <c r="E1262" s="36"/>
      <c r="F1262" s="12"/>
      <c r="G1262" s="12"/>
      <c r="H1262" s="29"/>
      <c r="I1262" s="20"/>
      <c r="J1262" s="10"/>
      <c r="K1262" s="10"/>
      <c r="L1262" s="10"/>
      <c r="M1262" s="35"/>
      <c r="N1262" s="34"/>
      <c r="O1262" s="34"/>
      <c r="P1262" s="12"/>
      <c r="Q1262" s="39" t="s">
        <v>5234</v>
      </c>
      <c r="R1262" s="39"/>
      <c r="S1262" s="39"/>
      <c r="T1262" s="39"/>
      <c r="U1262" s="39"/>
      <c r="Y1262" s="26"/>
    </row>
    <row r="1263" ht="22.5" customHeight="1">
      <c r="A1263" s="18"/>
      <c r="B1263" s="36"/>
      <c r="C1263" s="36"/>
      <c r="D1263" s="36"/>
      <c r="E1263" s="36"/>
      <c r="F1263" s="12"/>
      <c r="G1263" s="12"/>
      <c r="H1263" s="29"/>
      <c r="I1263" s="20"/>
      <c r="J1263" s="10"/>
      <c r="K1263" s="10"/>
      <c r="L1263" s="10"/>
      <c r="M1263" s="35"/>
      <c r="N1263" s="34"/>
      <c r="O1263" s="34"/>
      <c r="P1263" s="12"/>
      <c r="Q1263" s="39" t="s">
        <v>5234</v>
      </c>
      <c r="R1263" s="39"/>
      <c r="S1263" s="39"/>
      <c r="T1263" s="39"/>
      <c r="U1263" s="39"/>
      <c r="Y1263" s="26"/>
    </row>
    <row r="1264" ht="22.5" customHeight="1">
      <c r="A1264" s="18"/>
      <c r="B1264" s="36"/>
      <c r="C1264" s="36"/>
      <c r="D1264" s="36"/>
      <c r="E1264" s="36"/>
      <c r="F1264" s="12"/>
      <c r="G1264" s="12"/>
      <c r="H1264" s="29"/>
      <c r="I1264" s="20"/>
      <c r="J1264" s="10"/>
      <c r="K1264" s="10"/>
      <c r="L1264" s="10"/>
      <c r="M1264" s="35"/>
      <c r="N1264" s="34"/>
      <c r="O1264" s="34"/>
      <c r="P1264" s="12"/>
      <c r="Q1264" s="39" t="s">
        <v>5234</v>
      </c>
      <c r="R1264" s="39"/>
      <c r="S1264" s="39"/>
      <c r="T1264" s="39"/>
      <c r="U1264" s="39"/>
      <c r="Y1264" s="26"/>
    </row>
    <row r="1265" ht="22.5" customHeight="1">
      <c r="A1265" s="18"/>
      <c r="B1265" s="36"/>
      <c r="C1265" s="36"/>
      <c r="D1265" s="36"/>
      <c r="E1265" s="36"/>
      <c r="F1265" s="12"/>
      <c r="G1265" s="12"/>
      <c r="H1265" s="29"/>
      <c r="I1265" s="20"/>
      <c r="J1265" s="10"/>
      <c r="K1265" s="10"/>
      <c r="L1265" s="10"/>
      <c r="M1265" s="35"/>
      <c r="N1265" s="34"/>
      <c r="O1265" s="34"/>
      <c r="P1265" s="12"/>
      <c r="Q1265" s="39" t="s">
        <v>5234</v>
      </c>
      <c r="R1265" s="39"/>
      <c r="S1265" s="39"/>
      <c r="T1265" s="39"/>
      <c r="U1265" s="39"/>
      <c r="Y1265" s="26"/>
    </row>
    <row r="1266" ht="22.5" customHeight="1">
      <c r="A1266" s="18"/>
      <c r="B1266" s="36"/>
      <c r="C1266" s="36"/>
      <c r="D1266" s="36"/>
      <c r="E1266" s="36"/>
      <c r="F1266" s="12"/>
      <c r="G1266" s="12"/>
      <c r="H1266" s="29"/>
      <c r="I1266" s="20"/>
      <c r="J1266" s="10"/>
      <c r="K1266" s="10"/>
      <c r="L1266" s="10"/>
      <c r="M1266" s="35"/>
      <c r="N1266" s="34"/>
      <c r="O1266" s="34"/>
      <c r="P1266" s="12"/>
      <c r="Q1266" s="39" t="s">
        <v>5234</v>
      </c>
      <c r="R1266" s="39"/>
      <c r="S1266" s="39"/>
      <c r="T1266" s="39"/>
      <c r="U1266" s="39"/>
      <c r="Y1266" s="26"/>
    </row>
    <row r="1267" ht="22.5" customHeight="1">
      <c r="A1267" s="18"/>
      <c r="B1267" s="36"/>
      <c r="C1267" s="36"/>
      <c r="D1267" s="36"/>
      <c r="E1267" s="36"/>
      <c r="F1267" s="12"/>
      <c r="G1267" s="12"/>
      <c r="H1267" s="29"/>
      <c r="I1267" s="20"/>
      <c r="J1267" s="10"/>
      <c r="K1267" s="10"/>
      <c r="L1267" s="10"/>
      <c r="M1267" s="35"/>
      <c r="N1267" s="34"/>
      <c r="O1267" s="34"/>
      <c r="P1267" s="12"/>
      <c r="Q1267" s="39" t="s">
        <v>5234</v>
      </c>
      <c r="R1267" s="39"/>
      <c r="S1267" s="39"/>
      <c r="T1267" s="39"/>
      <c r="U1267" s="39"/>
      <c r="Y1267" s="26"/>
    </row>
    <row r="1268" ht="22.5" customHeight="1">
      <c r="A1268" s="18"/>
      <c r="B1268" s="36"/>
      <c r="C1268" s="36"/>
      <c r="D1268" s="36"/>
      <c r="E1268" s="36"/>
      <c r="F1268" s="12"/>
      <c r="G1268" s="12"/>
      <c r="H1268" s="29"/>
      <c r="I1268" s="20"/>
      <c r="J1268" s="10"/>
      <c r="K1268" s="10"/>
      <c r="L1268" s="10"/>
      <c r="M1268" s="35"/>
      <c r="N1268" s="34"/>
      <c r="O1268" s="34"/>
      <c r="P1268" s="12"/>
      <c r="Q1268" s="39" t="s">
        <v>5234</v>
      </c>
      <c r="R1268" s="39"/>
      <c r="S1268" s="39"/>
      <c r="T1268" s="39"/>
      <c r="U1268" s="39"/>
      <c r="Y1268" s="26"/>
    </row>
    <row r="1269" ht="22.5" customHeight="1">
      <c r="A1269" s="18"/>
      <c r="B1269" s="36"/>
      <c r="C1269" s="36"/>
      <c r="D1269" s="36"/>
      <c r="E1269" s="36"/>
      <c r="F1269" s="12"/>
      <c r="G1269" s="12"/>
      <c r="H1269" s="29"/>
      <c r="I1269" s="20"/>
      <c r="J1269" s="10"/>
      <c r="K1269" s="10"/>
      <c r="L1269" s="10"/>
      <c r="M1269" s="35"/>
      <c r="N1269" s="34"/>
      <c r="O1269" s="34"/>
      <c r="P1269" s="12"/>
      <c r="Q1269" s="39" t="s">
        <v>5234</v>
      </c>
      <c r="R1269" s="39"/>
      <c r="S1269" s="39"/>
      <c r="T1269" s="39"/>
      <c r="U1269" s="39"/>
      <c r="Y1269" s="26"/>
    </row>
    <row r="1270" ht="22.5" customHeight="1">
      <c r="A1270" s="18"/>
      <c r="B1270" s="36"/>
      <c r="C1270" s="36"/>
      <c r="D1270" s="36"/>
      <c r="E1270" s="36"/>
      <c r="F1270" s="12"/>
      <c r="G1270" s="12"/>
      <c r="H1270" s="29"/>
      <c r="I1270" s="20"/>
      <c r="J1270" s="10"/>
      <c r="K1270" s="10"/>
      <c r="L1270" s="10"/>
      <c r="M1270" s="35"/>
      <c r="N1270" s="34"/>
      <c r="O1270" s="34"/>
      <c r="P1270" s="12"/>
      <c r="Q1270" s="39" t="s">
        <v>5234</v>
      </c>
      <c r="R1270" s="39"/>
      <c r="S1270" s="39"/>
      <c r="T1270" s="39"/>
      <c r="U1270" s="39"/>
      <c r="Y1270" s="26"/>
    </row>
    <row r="1271" ht="22.5" customHeight="1">
      <c r="A1271" s="18"/>
      <c r="B1271" s="36"/>
      <c r="C1271" s="36"/>
      <c r="D1271" s="36"/>
      <c r="E1271" s="36"/>
      <c r="F1271" s="12"/>
      <c r="G1271" s="12"/>
      <c r="H1271" s="29"/>
      <c r="I1271" s="20"/>
      <c r="J1271" s="10"/>
      <c r="K1271" s="10"/>
      <c r="L1271" s="10"/>
      <c r="M1271" s="35"/>
      <c r="N1271" s="34"/>
      <c r="O1271" s="34"/>
      <c r="P1271" s="12"/>
      <c r="Q1271" s="39" t="s">
        <v>5234</v>
      </c>
      <c r="R1271" s="39"/>
      <c r="S1271" s="39"/>
      <c r="T1271" s="39"/>
      <c r="U1271" s="39"/>
      <c r="Y1271" s="26"/>
    </row>
    <row r="1272" ht="22.5" customHeight="1">
      <c r="A1272" s="18"/>
      <c r="B1272" s="36"/>
      <c r="C1272" s="36"/>
      <c r="D1272" s="36"/>
      <c r="E1272" s="36"/>
      <c r="F1272" s="12"/>
      <c r="G1272" s="12"/>
      <c r="H1272" s="29"/>
      <c r="I1272" s="20"/>
      <c r="J1272" s="10"/>
      <c r="K1272" s="10"/>
      <c r="L1272" s="10"/>
      <c r="M1272" s="35"/>
      <c r="N1272" s="34"/>
      <c r="O1272" s="34"/>
      <c r="P1272" s="12"/>
      <c r="Q1272" s="39" t="s">
        <v>5234</v>
      </c>
      <c r="R1272" s="39"/>
      <c r="S1272" s="39"/>
      <c r="T1272" s="39"/>
      <c r="U1272" s="39"/>
      <c r="Y1272" s="26"/>
    </row>
    <row r="1273" ht="22.5" customHeight="1">
      <c r="A1273" s="18"/>
      <c r="B1273" s="36"/>
      <c r="C1273" s="40"/>
      <c r="D1273" s="40"/>
      <c r="E1273" s="40"/>
      <c r="F1273" s="12"/>
      <c r="G1273" s="12"/>
      <c r="H1273" s="29"/>
      <c r="I1273" s="20"/>
      <c r="J1273" s="10"/>
      <c r="K1273" s="10"/>
      <c r="L1273" s="10"/>
      <c r="M1273" s="35"/>
      <c r="N1273" s="34"/>
      <c r="O1273" s="34"/>
      <c r="P1273" s="12"/>
      <c r="Q1273" s="39" t="s">
        <v>5234</v>
      </c>
      <c r="R1273" s="39"/>
      <c r="S1273" s="39"/>
      <c r="T1273" s="39"/>
      <c r="U1273" s="39"/>
      <c r="Y1273" s="26"/>
    </row>
    <row r="1274" ht="22.5" customHeight="1">
      <c r="A1274" s="18"/>
      <c r="B1274" s="36"/>
      <c r="C1274" s="36"/>
      <c r="D1274" s="36"/>
      <c r="E1274" s="36"/>
      <c r="F1274" s="12"/>
      <c r="G1274" s="12"/>
      <c r="H1274" s="29"/>
      <c r="I1274" s="20"/>
      <c r="J1274" s="10"/>
      <c r="K1274" s="10"/>
      <c r="L1274" s="10"/>
      <c r="M1274" s="35"/>
      <c r="N1274" s="34"/>
      <c r="O1274" s="34"/>
      <c r="P1274" s="12"/>
      <c r="Q1274" s="39" t="s">
        <v>5234</v>
      </c>
      <c r="R1274" s="39"/>
      <c r="S1274" s="39"/>
      <c r="T1274" s="39"/>
      <c r="U1274" s="39"/>
      <c r="Y1274" s="26"/>
    </row>
    <row r="1275" ht="22.5" customHeight="1">
      <c r="A1275" s="18"/>
      <c r="B1275" s="36"/>
      <c r="C1275" s="36"/>
      <c r="D1275" s="36"/>
      <c r="E1275" s="36"/>
      <c r="F1275" s="12"/>
      <c r="G1275" s="12"/>
      <c r="H1275" s="29"/>
      <c r="I1275" s="20"/>
      <c r="J1275" s="10"/>
      <c r="K1275" s="10"/>
      <c r="L1275" s="10"/>
      <c r="M1275" s="35"/>
      <c r="N1275" s="34"/>
      <c r="O1275" s="34"/>
      <c r="P1275" s="12"/>
      <c r="Q1275" s="39" t="s">
        <v>5234</v>
      </c>
      <c r="R1275" s="39"/>
      <c r="S1275" s="39"/>
      <c r="T1275" s="39"/>
      <c r="U1275" s="39"/>
      <c r="Y1275" s="26"/>
    </row>
    <row r="1276" ht="22.5" customHeight="1">
      <c r="A1276" s="18"/>
      <c r="B1276" s="36"/>
      <c r="C1276" s="36"/>
      <c r="D1276" s="36"/>
      <c r="E1276" s="36"/>
      <c r="F1276" s="12"/>
      <c r="G1276" s="12"/>
      <c r="H1276" s="29"/>
      <c r="I1276" s="20"/>
      <c r="J1276" s="10"/>
      <c r="K1276" s="10"/>
      <c r="L1276" s="10"/>
      <c r="M1276" s="35"/>
      <c r="N1276" s="34"/>
      <c r="O1276" s="34"/>
      <c r="P1276" s="12"/>
      <c r="Q1276" s="39" t="s">
        <v>5234</v>
      </c>
      <c r="R1276" s="39"/>
      <c r="S1276" s="39"/>
      <c r="T1276" s="39"/>
      <c r="U1276" s="39"/>
      <c r="Y1276" s="26"/>
    </row>
    <row r="1277" ht="22.5" customHeight="1">
      <c r="A1277" s="18"/>
      <c r="B1277" s="36"/>
      <c r="C1277" s="36"/>
      <c r="D1277" s="36"/>
      <c r="E1277" s="36"/>
      <c r="F1277" s="12"/>
      <c r="G1277" s="12"/>
      <c r="H1277" s="29"/>
      <c r="I1277" s="20"/>
      <c r="J1277" s="10"/>
      <c r="K1277" s="10"/>
      <c r="L1277" s="10"/>
      <c r="M1277" s="35"/>
      <c r="N1277" s="34"/>
      <c r="O1277" s="34"/>
      <c r="P1277" s="12"/>
      <c r="Q1277" s="39" t="s">
        <v>5234</v>
      </c>
      <c r="R1277" s="39"/>
      <c r="S1277" s="39"/>
      <c r="T1277" s="39"/>
      <c r="U1277" s="39"/>
      <c r="Y1277" s="26"/>
    </row>
    <row r="1278" ht="22.5" customHeight="1">
      <c r="A1278" s="18"/>
      <c r="B1278" s="36"/>
      <c r="C1278" s="36"/>
      <c r="D1278" s="36"/>
      <c r="E1278" s="36"/>
      <c r="F1278" s="12"/>
      <c r="G1278" s="12"/>
      <c r="H1278" s="29"/>
      <c r="I1278" s="20"/>
      <c r="J1278" s="10"/>
      <c r="K1278" s="10"/>
      <c r="L1278" s="10"/>
      <c r="M1278" s="35"/>
      <c r="N1278" s="34"/>
      <c r="O1278" s="34"/>
      <c r="P1278" s="12"/>
      <c r="Q1278" s="39" t="s">
        <v>5234</v>
      </c>
      <c r="R1278" s="39"/>
      <c r="S1278" s="39"/>
      <c r="T1278" s="39"/>
      <c r="U1278" s="39"/>
      <c r="Y1278" s="26"/>
    </row>
    <row r="1279" ht="22.5" customHeight="1">
      <c r="A1279" s="18"/>
      <c r="B1279" s="36"/>
      <c r="C1279" s="36"/>
      <c r="D1279" s="36"/>
      <c r="E1279" s="36"/>
      <c r="F1279" s="12"/>
      <c r="G1279" s="12"/>
      <c r="H1279" s="29"/>
      <c r="I1279" s="20"/>
      <c r="J1279" s="10"/>
      <c r="K1279" s="10"/>
      <c r="L1279" s="10"/>
      <c r="M1279" s="35"/>
      <c r="N1279" s="34"/>
      <c r="O1279" s="34"/>
      <c r="P1279" s="12"/>
      <c r="Q1279" s="39" t="s">
        <v>5234</v>
      </c>
      <c r="R1279" s="39"/>
      <c r="S1279" s="39"/>
      <c r="T1279" s="39"/>
      <c r="U1279" s="39"/>
      <c r="Y1279" s="26"/>
    </row>
    <row r="1280" ht="22.5" customHeight="1">
      <c r="A1280" s="18"/>
      <c r="B1280" s="36"/>
      <c r="C1280" s="36"/>
      <c r="D1280" s="36"/>
      <c r="E1280" s="36"/>
      <c r="F1280" s="12"/>
      <c r="G1280" s="12"/>
      <c r="H1280" s="29"/>
      <c r="I1280" s="20"/>
      <c r="J1280" s="10"/>
      <c r="K1280" s="10"/>
      <c r="L1280" s="10"/>
      <c r="M1280" s="35"/>
      <c r="N1280" s="34"/>
      <c r="O1280" s="34"/>
      <c r="P1280" s="12"/>
      <c r="Q1280" s="39" t="s">
        <v>5234</v>
      </c>
      <c r="R1280" s="39"/>
      <c r="S1280" s="39"/>
      <c r="T1280" s="39"/>
      <c r="U1280" s="39"/>
      <c r="Y1280" s="26"/>
    </row>
    <row r="1281" ht="22.5" customHeight="1">
      <c r="A1281" s="18"/>
      <c r="B1281" s="36"/>
      <c r="C1281" s="36"/>
      <c r="D1281" s="36"/>
      <c r="E1281" s="36"/>
      <c r="F1281" s="12"/>
      <c r="G1281" s="12"/>
      <c r="H1281" s="29"/>
      <c r="I1281" s="20"/>
      <c r="J1281" s="10"/>
      <c r="K1281" s="10"/>
      <c r="L1281" s="10"/>
      <c r="M1281" s="35"/>
      <c r="N1281" s="34"/>
      <c r="O1281" s="34"/>
      <c r="P1281" s="12"/>
      <c r="Q1281" s="39" t="s">
        <v>5234</v>
      </c>
      <c r="R1281" s="39"/>
      <c r="S1281" s="39"/>
      <c r="T1281" s="39"/>
      <c r="U1281" s="39"/>
      <c r="Y1281" s="26"/>
    </row>
    <row r="1282" ht="22.5" customHeight="1">
      <c r="A1282" s="18"/>
      <c r="B1282" s="36"/>
      <c r="C1282" s="36"/>
      <c r="D1282" s="36"/>
      <c r="E1282" s="36"/>
      <c r="F1282" s="12"/>
      <c r="G1282" s="12"/>
      <c r="H1282" s="29"/>
      <c r="I1282" s="20"/>
      <c r="J1282" s="10"/>
      <c r="K1282" s="10"/>
      <c r="L1282" s="10"/>
      <c r="M1282" s="35"/>
      <c r="N1282" s="34"/>
      <c r="O1282" s="34"/>
      <c r="P1282" s="12"/>
      <c r="Q1282" s="39" t="s">
        <v>5234</v>
      </c>
      <c r="R1282" s="39"/>
      <c r="S1282" s="39"/>
      <c r="T1282" s="39"/>
      <c r="U1282" s="39"/>
      <c r="Y1282" s="26"/>
    </row>
    <row r="1283" ht="22.5" customHeight="1">
      <c r="A1283" s="18"/>
      <c r="B1283" s="36"/>
      <c r="C1283" s="36"/>
      <c r="D1283" s="36"/>
      <c r="E1283" s="36"/>
      <c r="F1283" s="12"/>
      <c r="G1283" s="12"/>
      <c r="H1283" s="29"/>
      <c r="I1283" s="20"/>
      <c r="J1283" s="10"/>
      <c r="K1283" s="10"/>
      <c r="L1283" s="10"/>
      <c r="M1283" s="35"/>
      <c r="N1283" s="34"/>
      <c r="O1283" s="34"/>
      <c r="P1283" s="12"/>
      <c r="Q1283" s="39" t="s">
        <v>5234</v>
      </c>
      <c r="R1283" s="39"/>
      <c r="S1283" s="39"/>
      <c r="T1283" s="39"/>
      <c r="U1283" s="39"/>
      <c r="Y1283" s="26"/>
    </row>
    <row r="1284" ht="22.5" customHeight="1">
      <c r="A1284" s="18"/>
      <c r="B1284" s="36"/>
      <c r="C1284" s="36"/>
      <c r="D1284" s="36"/>
      <c r="E1284" s="36"/>
      <c r="F1284" s="12"/>
      <c r="G1284" s="12"/>
      <c r="H1284" s="29"/>
      <c r="I1284" s="20"/>
      <c r="J1284" s="10"/>
      <c r="K1284" s="10"/>
      <c r="L1284" s="10"/>
      <c r="M1284" s="35"/>
      <c r="N1284" s="34"/>
      <c r="O1284" s="34"/>
      <c r="P1284" s="12"/>
      <c r="Q1284" s="39" t="s">
        <v>5234</v>
      </c>
      <c r="R1284" s="39"/>
      <c r="S1284" s="39"/>
      <c r="T1284" s="39"/>
      <c r="U1284" s="39"/>
      <c r="Y1284" s="26"/>
    </row>
    <row r="1285" ht="22.5" customHeight="1">
      <c r="A1285" s="18"/>
      <c r="B1285" s="36"/>
      <c r="C1285" s="36"/>
      <c r="D1285" s="36"/>
      <c r="E1285" s="36"/>
      <c r="F1285" s="12"/>
      <c r="G1285" s="12"/>
      <c r="H1285" s="29"/>
      <c r="I1285" s="20"/>
      <c r="J1285" s="10"/>
      <c r="K1285" s="10"/>
      <c r="L1285" s="10"/>
      <c r="M1285" s="35"/>
      <c r="N1285" s="34"/>
      <c r="O1285" s="34"/>
      <c r="P1285" s="12"/>
      <c r="Q1285" s="39" t="s">
        <v>5234</v>
      </c>
      <c r="R1285" s="39"/>
      <c r="S1285" s="39"/>
      <c r="T1285" s="39"/>
      <c r="U1285" s="39"/>
      <c r="Y1285" s="26"/>
    </row>
    <row r="1286" ht="22.5" customHeight="1">
      <c r="A1286" s="18"/>
      <c r="B1286" s="36"/>
      <c r="C1286" s="36"/>
      <c r="D1286" s="36"/>
      <c r="E1286" s="36"/>
      <c r="F1286" s="12"/>
      <c r="G1286" s="12"/>
      <c r="H1286" s="29"/>
      <c r="I1286" s="20"/>
      <c r="J1286" s="10"/>
      <c r="K1286" s="10"/>
      <c r="L1286" s="10"/>
      <c r="M1286" s="35"/>
      <c r="N1286" s="34"/>
      <c r="O1286" s="34"/>
      <c r="P1286" s="12"/>
      <c r="Q1286" s="39" t="s">
        <v>5234</v>
      </c>
      <c r="R1286" s="39"/>
      <c r="S1286" s="39"/>
      <c r="T1286" s="39"/>
      <c r="U1286" s="39"/>
      <c r="Y1286" s="26"/>
    </row>
    <row r="1287" ht="22.5" customHeight="1">
      <c r="A1287" s="18"/>
      <c r="B1287" s="36"/>
      <c r="C1287" s="36"/>
      <c r="D1287" s="36"/>
      <c r="E1287" s="36"/>
      <c r="F1287" s="12"/>
      <c r="G1287" s="12"/>
      <c r="H1287" s="29"/>
      <c r="I1287" s="20"/>
      <c r="J1287" s="10"/>
      <c r="K1287" s="10"/>
      <c r="L1287" s="10"/>
      <c r="M1287" s="35"/>
      <c r="N1287" s="34"/>
      <c r="O1287" s="34"/>
      <c r="P1287" s="12"/>
      <c r="Q1287" s="39" t="s">
        <v>5234</v>
      </c>
      <c r="R1287" s="39"/>
      <c r="S1287" s="39"/>
      <c r="T1287" s="39"/>
      <c r="U1287" s="39"/>
      <c r="Y1287" s="26"/>
    </row>
    <row r="1288" ht="22.5" customHeight="1">
      <c r="A1288" s="18"/>
      <c r="B1288" s="36"/>
      <c r="C1288" s="36"/>
      <c r="D1288" s="36"/>
      <c r="E1288" s="36"/>
      <c r="F1288" s="12"/>
      <c r="G1288" s="12"/>
      <c r="H1288" s="29"/>
      <c r="I1288" s="20"/>
      <c r="J1288" s="10"/>
      <c r="K1288" s="10"/>
      <c r="L1288" s="10"/>
      <c r="M1288" s="35"/>
      <c r="N1288" s="34"/>
      <c r="O1288" s="34"/>
      <c r="P1288" s="12"/>
      <c r="Q1288" s="39" t="s">
        <v>5234</v>
      </c>
      <c r="R1288" s="39"/>
      <c r="S1288" s="39"/>
      <c r="T1288" s="39"/>
      <c r="U1288" s="39"/>
      <c r="Y1288" s="26"/>
    </row>
    <row r="1289" ht="22.5" customHeight="1">
      <c r="A1289" s="18"/>
      <c r="B1289" s="36"/>
      <c r="C1289" s="36"/>
      <c r="D1289" s="36"/>
      <c r="E1289" s="36"/>
      <c r="F1289" s="12"/>
      <c r="G1289" s="12"/>
      <c r="H1289" s="29"/>
      <c r="I1289" s="20"/>
      <c r="J1289" s="10"/>
      <c r="K1289" s="10"/>
      <c r="L1289" s="10"/>
      <c r="M1289" s="35"/>
      <c r="N1289" s="34"/>
      <c r="O1289" s="34"/>
      <c r="P1289" s="12"/>
      <c r="Q1289" s="39" t="s">
        <v>5234</v>
      </c>
      <c r="R1289" s="39"/>
      <c r="S1289" s="39"/>
      <c r="T1289" s="39"/>
      <c r="U1289" s="39"/>
      <c r="Y1289" s="26"/>
    </row>
    <row r="1290" ht="22.5" customHeight="1">
      <c r="A1290" s="18"/>
      <c r="B1290" s="36"/>
      <c r="C1290" s="36"/>
      <c r="D1290" s="36"/>
      <c r="E1290" s="36"/>
      <c r="F1290" s="12"/>
      <c r="G1290" s="12"/>
      <c r="H1290" s="29"/>
      <c r="I1290" s="20"/>
      <c r="J1290" s="10"/>
      <c r="K1290" s="10"/>
      <c r="L1290" s="10"/>
      <c r="M1290" s="35"/>
      <c r="N1290" s="34"/>
      <c r="O1290" s="34"/>
      <c r="P1290" s="12"/>
      <c r="Q1290" s="39" t="s">
        <v>5234</v>
      </c>
      <c r="R1290" s="39"/>
      <c r="S1290" s="39"/>
      <c r="T1290" s="39"/>
      <c r="U1290" s="39"/>
      <c r="Y1290" s="26"/>
    </row>
    <row r="1291" ht="22.5" customHeight="1">
      <c r="A1291" s="18"/>
      <c r="B1291" s="36"/>
      <c r="C1291" s="36"/>
      <c r="D1291" s="36"/>
      <c r="E1291" s="36"/>
      <c r="F1291" s="12"/>
      <c r="G1291" s="12"/>
      <c r="H1291" s="29"/>
      <c r="I1291" s="20"/>
      <c r="J1291" s="10"/>
      <c r="K1291" s="10"/>
      <c r="L1291" s="10"/>
      <c r="M1291" s="35"/>
      <c r="N1291" s="34"/>
      <c r="O1291" s="34"/>
      <c r="P1291" s="12"/>
      <c r="Q1291" s="39" t="s">
        <v>5234</v>
      </c>
      <c r="R1291" s="39"/>
      <c r="S1291" s="39"/>
      <c r="T1291" s="39"/>
      <c r="U1291" s="39"/>
      <c r="Y1291" s="26"/>
    </row>
    <row r="1292" ht="22.5" customHeight="1">
      <c r="A1292" s="18"/>
      <c r="B1292" s="36"/>
      <c r="C1292" s="36"/>
      <c r="D1292" s="36"/>
      <c r="E1292" s="36"/>
      <c r="F1292" s="12"/>
      <c r="G1292" s="12"/>
      <c r="H1292" s="29"/>
      <c r="I1292" s="20"/>
      <c r="J1292" s="10"/>
      <c r="K1292" s="10"/>
      <c r="L1292" s="10"/>
      <c r="M1292" s="35"/>
      <c r="N1292" s="34"/>
      <c r="O1292" s="34"/>
      <c r="P1292" s="12"/>
      <c r="Q1292" s="39" t="s">
        <v>5234</v>
      </c>
      <c r="R1292" s="39"/>
      <c r="S1292" s="39"/>
      <c r="T1292" s="39"/>
      <c r="U1292" s="39"/>
      <c r="Y1292" s="26"/>
    </row>
    <row r="1293" ht="22.5" customHeight="1">
      <c r="A1293" s="18"/>
      <c r="B1293" s="36"/>
      <c r="C1293" s="36"/>
      <c r="D1293" s="36"/>
      <c r="E1293" s="36"/>
      <c r="F1293" s="12"/>
      <c r="G1293" s="12"/>
      <c r="H1293" s="29"/>
      <c r="I1293" s="20"/>
      <c r="J1293" s="10"/>
      <c r="K1293" s="10"/>
      <c r="L1293" s="10"/>
      <c r="M1293" s="35"/>
      <c r="N1293" s="34"/>
      <c r="O1293" s="34"/>
      <c r="P1293" s="12"/>
      <c r="Q1293" s="39" t="s">
        <v>5234</v>
      </c>
      <c r="R1293" s="39"/>
      <c r="S1293" s="39"/>
      <c r="T1293" s="39"/>
      <c r="U1293" s="39"/>
      <c r="Y1293" s="26"/>
    </row>
    <row r="1294" ht="22.5" customHeight="1">
      <c r="A1294" s="18"/>
      <c r="B1294" s="36"/>
      <c r="C1294" s="36"/>
      <c r="D1294" s="36"/>
      <c r="E1294" s="36"/>
      <c r="F1294" s="12"/>
      <c r="G1294" s="12"/>
      <c r="H1294" s="29"/>
      <c r="I1294" s="20"/>
      <c r="J1294" s="10"/>
      <c r="K1294" s="10"/>
      <c r="L1294" s="10"/>
      <c r="M1294" s="35"/>
      <c r="N1294" s="34"/>
      <c r="O1294" s="34"/>
      <c r="P1294" s="12"/>
      <c r="Q1294" s="39" t="s">
        <v>5234</v>
      </c>
      <c r="R1294" s="39"/>
      <c r="S1294" s="39"/>
      <c r="T1294" s="39"/>
      <c r="U1294" s="39"/>
      <c r="Y1294" s="26"/>
    </row>
    <row r="1295" ht="22.5" customHeight="1">
      <c r="A1295" s="18"/>
      <c r="B1295" s="36"/>
      <c r="C1295" s="36"/>
      <c r="D1295" s="36"/>
      <c r="E1295" s="36"/>
      <c r="F1295" s="12"/>
      <c r="G1295" s="12"/>
      <c r="H1295" s="29"/>
      <c r="I1295" s="20"/>
      <c r="J1295" s="10"/>
      <c r="K1295" s="10"/>
      <c r="L1295" s="10"/>
      <c r="M1295" s="35"/>
      <c r="N1295" s="34"/>
      <c r="O1295" s="34"/>
      <c r="P1295" s="12"/>
      <c r="Q1295" s="39" t="s">
        <v>5234</v>
      </c>
      <c r="R1295" s="39"/>
      <c r="S1295" s="39"/>
      <c r="T1295" s="39"/>
      <c r="U1295" s="39"/>
      <c r="Y1295" s="26"/>
    </row>
    <row r="1296" ht="22.5" customHeight="1">
      <c r="A1296" s="18"/>
      <c r="B1296" s="36"/>
      <c r="C1296" s="36"/>
      <c r="D1296" s="36"/>
      <c r="E1296" s="36"/>
      <c r="F1296" s="12"/>
      <c r="G1296" s="12"/>
      <c r="H1296" s="29"/>
      <c r="I1296" s="20"/>
      <c r="J1296" s="10"/>
      <c r="K1296" s="10"/>
      <c r="L1296" s="10"/>
      <c r="M1296" s="35"/>
      <c r="N1296" s="34"/>
      <c r="O1296" s="34"/>
      <c r="P1296" s="12"/>
      <c r="Q1296" s="39" t="s">
        <v>5234</v>
      </c>
      <c r="R1296" s="39"/>
      <c r="S1296" s="39"/>
      <c r="T1296" s="39"/>
      <c r="U1296" s="39"/>
      <c r="Y1296" s="26"/>
    </row>
    <row r="1297" ht="22.5" customHeight="1">
      <c r="A1297" s="18"/>
      <c r="B1297" s="36"/>
      <c r="C1297" s="36"/>
      <c r="D1297" s="36"/>
      <c r="E1297" s="36"/>
      <c r="F1297" s="12"/>
      <c r="G1297" s="12"/>
      <c r="H1297" s="29"/>
      <c r="I1297" s="20"/>
      <c r="J1297" s="10"/>
      <c r="K1297" s="10"/>
      <c r="L1297" s="10"/>
      <c r="M1297" s="35"/>
      <c r="N1297" s="34"/>
      <c r="O1297" s="34"/>
      <c r="P1297" s="12"/>
      <c r="Q1297" s="39" t="s">
        <v>5234</v>
      </c>
      <c r="R1297" s="39"/>
      <c r="S1297" s="39"/>
      <c r="T1297" s="39"/>
      <c r="U1297" s="39"/>
      <c r="Y1297" s="26"/>
    </row>
    <row r="1298" ht="22.5" customHeight="1">
      <c r="A1298" s="18"/>
      <c r="B1298" s="36"/>
      <c r="C1298" s="36"/>
      <c r="D1298" s="36"/>
      <c r="E1298" s="36"/>
      <c r="F1298" s="12"/>
      <c r="G1298" s="12"/>
      <c r="H1298" s="29"/>
      <c r="I1298" s="20"/>
      <c r="J1298" s="10"/>
      <c r="K1298" s="10"/>
      <c r="L1298" s="10"/>
      <c r="M1298" s="35"/>
      <c r="N1298" s="34"/>
      <c r="O1298" s="34"/>
      <c r="P1298" s="12"/>
      <c r="Q1298" s="39" t="s">
        <v>5234</v>
      </c>
      <c r="R1298" s="39"/>
      <c r="S1298" s="39"/>
      <c r="T1298" s="39"/>
      <c r="U1298" s="39"/>
      <c r="Y1298" s="26"/>
    </row>
    <row r="1299" ht="22.5" customHeight="1">
      <c r="A1299" s="18"/>
      <c r="B1299" s="36"/>
      <c r="C1299" s="36"/>
      <c r="D1299" s="36"/>
      <c r="E1299" s="36"/>
      <c r="F1299" s="12"/>
      <c r="G1299" s="12"/>
      <c r="H1299" s="29"/>
      <c r="I1299" s="20"/>
      <c r="J1299" s="10"/>
      <c r="K1299" s="10"/>
      <c r="L1299" s="10"/>
      <c r="M1299" s="35"/>
      <c r="N1299" s="34"/>
      <c r="O1299" s="34"/>
      <c r="P1299" s="12"/>
      <c r="Q1299" s="39" t="s">
        <v>5234</v>
      </c>
      <c r="R1299" s="39"/>
      <c r="S1299" s="39"/>
      <c r="T1299" s="39"/>
      <c r="U1299" s="39"/>
      <c r="Y1299" s="26"/>
    </row>
    <row r="1300" ht="22.5" customHeight="1">
      <c r="A1300" s="18"/>
      <c r="B1300" s="36"/>
      <c r="C1300" s="36"/>
      <c r="D1300" s="36"/>
      <c r="E1300" s="36"/>
      <c r="F1300" s="12"/>
      <c r="G1300" s="12"/>
      <c r="H1300" s="29"/>
      <c r="I1300" s="20"/>
      <c r="J1300" s="10"/>
      <c r="K1300" s="10"/>
      <c r="L1300" s="10"/>
      <c r="M1300" s="35"/>
      <c r="N1300" s="34"/>
      <c r="O1300" s="34"/>
      <c r="P1300" s="12"/>
      <c r="Q1300" s="39" t="s">
        <v>5234</v>
      </c>
      <c r="R1300" s="39"/>
      <c r="S1300" s="39"/>
      <c r="T1300" s="39"/>
      <c r="U1300" s="39"/>
      <c r="Y1300" s="26"/>
    </row>
    <row r="1301" ht="22.5" customHeight="1">
      <c r="A1301" s="18"/>
      <c r="B1301" s="36"/>
      <c r="C1301" s="36"/>
      <c r="D1301" s="36"/>
      <c r="E1301" s="36"/>
      <c r="F1301" s="12"/>
      <c r="G1301" s="12"/>
      <c r="H1301" s="29"/>
      <c r="I1301" s="20"/>
      <c r="J1301" s="10"/>
      <c r="K1301" s="10"/>
      <c r="L1301" s="10"/>
      <c r="M1301" s="35"/>
      <c r="N1301" s="34"/>
      <c r="O1301" s="34"/>
      <c r="P1301" s="12"/>
      <c r="Q1301" s="39" t="s">
        <v>5234</v>
      </c>
      <c r="R1301" s="39"/>
      <c r="S1301" s="39"/>
      <c r="T1301" s="39"/>
      <c r="U1301" s="39"/>
      <c r="Y1301" s="26"/>
    </row>
    <row r="1302" ht="22.5" customHeight="1">
      <c r="A1302" s="18"/>
      <c r="B1302" s="36"/>
      <c r="C1302" s="40"/>
      <c r="D1302" s="40"/>
      <c r="E1302" s="40"/>
      <c r="F1302" s="12"/>
      <c r="G1302" s="12"/>
      <c r="H1302" s="29"/>
      <c r="I1302" s="20"/>
      <c r="J1302" s="10"/>
      <c r="K1302" s="10"/>
      <c r="L1302" s="10"/>
      <c r="M1302" s="35"/>
      <c r="N1302" s="34"/>
      <c r="O1302" s="34"/>
      <c r="P1302" s="12"/>
      <c r="Q1302" s="39" t="s">
        <v>5234</v>
      </c>
      <c r="R1302" s="39"/>
      <c r="S1302" s="39"/>
      <c r="T1302" s="39"/>
      <c r="U1302" s="39"/>
      <c r="Y1302" s="26"/>
    </row>
    <row r="1303" ht="22.5" customHeight="1">
      <c r="A1303" s="18"/>
      <c r="B1303" s="36"/>
      <c r="C1303" s="36"/>
      <c r="D1303" s="36"/>
      <c r="E1303" s="36"/>
      <c r="F1303" s="12"/>
      <c r="G1303" s="12"/>
      <c r="H1303" s="29"/>
      <c r="I1303" s="20"/>
      <c r="J1303" s="10"/>
      <c r="K1303" s="10"/>
      <c r="L1303" s="10"/>
      <c r="M1303" s="35"/>
      <c r="N1303" s="34"/>
      <c r="O1303" s="34"/>
      <c r="P1303" s="12"/>
      <c r="Q1303" s="39" t="s">
        <v>5234</v>
      </c>
      <c r="R1303" s="39"/>
      <c r="S1303" s="39"/>
      <c r="T1303" s="39"/>
      <c r="U1303" s="39"/>
      <c r="Y1303" s="26"/>
    </row>
    <row r="1304" ht="22.5" customHeight="1">
      <c r="A1304" s="18"/>
      <c r="B1304" s="36"/>
      <c r="C1304" s="36"/>
      <c r="D1304" s="36"/>
      <c r="E1304" s="36"/>
      <c r="F1304" s="12"/>
      <c r="G1304" s="12"/>
      <c r="H1304" s="29"/>
      <c r="I1304" s="20"/>
      <c r="J1304" s="10"/>
      <c r="K1304" s="10"/>
      <c r="L1304" s="10"/>
      <c r="M1304" s="35"/>
      <c r="N1304" s="34"/>
      <c r="O1304" s="34"/>
      <c r="P1304" s="12"/>
      <c r="Q1304" s="39" t="s">
        <v>5234</v>
      </c>
      <c r="R1304" s="39"/>
      <c r="S1304" s="39"/>
      <c r="T1304" s="39"/>
      <c r="U1304" s="39"/>
      <c r="Y1304" s="26"/>
    </row>
    <row r="1305" ht="22.5" customHeight="1">
      <c r="A1305" s="18"/>
      <c r="B1305" s="36"/>
      <c r="C1305" s="36"/>
      <c r="D1305" s="36"/>
      <c r="E1305" s="36"/>
      <c r="F1305" s="12"/>
      <c r="G1305" s="12"/>
      <c r="H1305" s="29"/>
      <c r="I1305" s="20"/>
      <c r="J1305" s="10"/>
      <c r="K1305" s="10"/>
      <c r="L1305" s="10"/>
      <c r="M1305" s="35"/>
      <c r="N1305" s="34"/>
      <c r="O1305" s="34"/>
      <c r="P1305" s="12"/>
      <c r="Q1305" s="39" t="s">
        <v>5234</v>
      </c>
      <c r="R1305" s="39"/>
      <c r="S1305" s="39"/>
      <c r="T1305" s="39"/>
      <c r="U1305" s="39"/>
      <c r="Y1305" s="26"/>
    </row>
    <row r="1306" ht="22.5" customHeight="1">
      <c r="A1306" s="18"/>
      <c r="B1306" s="36"/>
      <c r="C1306" s="36"/>
      <c r="D1306" s="36"/>
      <c r="E1306" s="36"/>
      <c r="F1306" s="12"/>
      <c r="G1306" s="12"/>
      <c r="H1306" s="29"/>
      <c r="I1306" s="20"/>
      <c r="J1306" s="10"/>
      <c r="K1306" s="10"/>
      <c r="L1306" s="10"/>
      <c r="M1306" s="35"/>
      <c r="N1306" s="34"/>
      <c r="O1306" s="34"/>
      <c r="P1306" s="12"/>
      <c r="Q1306" s="39" t="s">
        <v>5234</v>
      </c>
      <c r="R1306" s="39"/>
      <c r="S1306" s="39"/>
      <c r="T1306" s="39"/>
      <c r="U1306" s="39"/>
      <c r="Y1306" s="26"/>
    </row>
    <row r="1307" ht="22.5" customHeight="1">
      <c r="A1307" s="18"/>
      <c r="B1307" s="36"/>
      <c r="C1307" s="36"/>
      <c r="D1307" s="36"/>
      <c r="E1307" s="36"/>
      <c r="F1307" s="12"/>
      <c r="G1307" s="12"/>
      <c r="H1307" s="29"/>
      <c r="I1307" s="20"/>
      <c r="J1307" s="10"/>
      <c r="K1307" s="10"/>
      <c r="L1307" s="10"/>
      <c r="M1307" s="35"/>
      <c r="N1307" s="34"/>
      <c r="O1307" s="34"/>
      <c r="P1307" s="12"/>
      <c r="Q1307" s="39" t="s">
        <v>5234</v>
      </c>
      <c r="R1307" s="39"/>
      <c r="S1307" s="39"/>
      <c r="T1307" s="39"/>
      <c r="U1307" s="39"/>
      <c r="Y1307" s="26"/>
    </row>
    <row r="1308" ht="22.5" customHeight="1">
      <c r="A1308" s="18"/>
      <c r="B1308" s="36"/>
      <c r="C1308" s="36"/>
      <c r="D1308" s="36"/>
      <c r="E1308" s="36"/>
      <c r="F1308" s="12"/>
      <c r="G1308" s="12"/>
      <c r="H1308" s="29"/>
      <c r="I1308" s="20"/>
      <c r="J1308" s="10"/>
      <c r="K1308" s="10"/>
      <c r="L1308" s="10"/>
      <c r="M1308" s="35"/>
      <c r="N1308" s="34"/>
      <c r="O1308" s="34"/>
      <c r="P1308" s="12"/>
      <c r="Q1308" s="39" t="s">
        <v>5234</v>
      </c>
      <c r="R1308" s="39"/>
      <c r="S1308" s="39"/>
      <c r="T1308" s="39"/>
      <c r="U1308" s="39"/>
      <c r="Y1308" s="26"/>
    </row>
    <row r="1309" ht="22.5" customHeight="1">
      <c r="A1309" s="18"/>
      <c r="B1309" s="36"/>
      <c r="C1309" s="40"/>
      <c r="D1309" s="40"/>
      <c r="E1309" s="40"/>
      <c r="F1309" s="12"/>
      <c r="G1309" s="12"/>
      <c r="H1309" s="29"/>
      <c r="I1309" s="20"/>
      <c r="J1309" s="10"/>
      <c r="K1309" s="10"/>
      <c r="L1309" s="10"/>
      <c r="M1309" s="35"/>
      <c r="N1309" s="34"/>
      <c r="O1309" s="34"/>
      <c r="P1309" s="12"/>
      <c r="Q1309" s="39" t="s">
        <v>5234</v>
      </c>
      <c r="R1309" s="39"/>
      <c r="S1309" s="39"/>
      <c r="T1309" s="39"/>
      <c r="U1309" s="39"/>
      <c r="Y1309" s="26"/>
    </row>
    <row r="1310" ht="22.5" customHeight="1">
      <c r="A1310" s="18"/>
      <c r="B1310" s="36"/>
      <c r="C1310" s="36"/>
      <c r="D1310" s="36"/>
      <c r="E1310" s="36"/>
      <c r="F1310" s="12"/>
      <c r="G1310" s="12"/>
      <c r="H1310" s="29"/>
      <c r="I1310" s="20"/>
      <c r="J1310" s="10"/>
      <c r="K1310" s="10"/>
      <c r="L1310" s="10"/>
      <c r="M1310" s="35"/>
      <c r="N1310" s="34"/>
      <c r="O1310" s="34"/>
      <c r="P1310" s="12"/>
      <c r="Q1310" s="39" t="s">
        <v>5234</v>
      </c>
      <c r="R1310" s="39"/>
      <c r="S1310" s="39"/>
      <c r="T1310" s="39"/>
      <c r="U1310" s="39"/>
      <c r="Y1310" s="26"/>
    </row>
    <row r="1311" ht="22.5" customHeight="1">
      <c r="A1311" s="18"/>
      <c r="B1311" s="36"/>
      <c r="C1311" s="36"/>
      <c r="D1311" s="36"/>
      <c r="E1311" s="36"/>
      <c r="F1311" s="12"/>
      <c r="G1311" s="12"/>
      <c r="H1311" s="29"/>
      <c r="I1311" s="20"/>
      <c r="J1311" s="10"/>
      <c r="K1311" s="10"/>
      <c r="L1311" s="10"/>
      <c r="M1311" s="35"/>
      <c r="N1311" s="34"/>
      <c r="O1311" s="34"/>
      <c r="P1311" s="12"/>
      <c r="Q1311" s="39" t="s">
        <v>5234</v>
      </c>
      <c r="R1311" s="39"/>
      <c r="S1311" s="39"/>
      <c r="T1311" s="39"/>
      <c r="U1311" s="39"/>
      <c r="Y1311" s="26"/>
    </row>
    <row r="1312" ht="22.5" customHeight="1">
      <c r="A1312" s="18"/>
      <c r="B1312" s="36"/>
      <c r="C1312" s="36"/>
      <c r="D1312" s="36"/>
      <c r="E1312" s="36"/>
      <c r="F1312" s="12"/>
      <c r="G1312" s="12"/>
      <c r="H1312" s="29"/>
      <c r="I1312" s="20"/>
      <c r="J1312" s="10"/>
      <c r="K1312" s="10"/>
      <c r="L1312" s="10"/>
      <c r="M1312" s="35"/>
      <c r="N1312" s="34"/>
      <c r="O1312" s="34"/>
      <c r="P1312" s="12"/>
      <c r="Q1312" s="39" t="s">
        <v>5234</v>
      </c>
      <c r="R1312" s="39"/>
      <c r="S1312" s="39"/>
      <c r="T1312" s="39"/>
      <c r="U1312" s="39"/>
      <c r="Y1312" s="26"/>
    </row>
    <row r="1313" ht="22.5" customHeight="1">
      <c r="A1313" s="18"/>
      <c r="B1313" s="36"/>
      <c r="C1313" s="36"/>
      <c r="D1313" s="36"/>
      <c r="E1313" s="36"/>
      <c r="F1313" s="12"/>
      <c r="G1313" s="12"/>
      <c r="H1313" s="29"/>
      <c r="I1313" s="20"/>
      <c r="J1313" s="10"/>
      <c r="K1313" s="10"/>
      <c r="L1313" s="10"/>
      <c r="M1313" s="35"/>
      <c r="N1313" s="34"/>
      <c r="O1313" s="34"/>
      <c r="P1313" s="12"/>
      <c r="Q1313" s="39" t="s">
        <v>5234</v>
      </c>
      <c r="R1313" s="39"/>
      <c r="S1313" s="39"/>
      <c r="T1313" s="39"/>
      <c r="U1313" s="39"/>
      <c r="Y1313" s="26"/>
    </row>
    <row r="1314" ht="22.5" customHeight="1">
      <c r="A1314" s="18"/>
      <c r="B1314" s="36"/>
      <c r="C1314" s="36"/>
      <c r="D1314" s="36"/>
      <c r="E1314" s="36"/>
      <c r="F1314" s="12"/>
      <c r="G1314" s="12"/>
      <c r="H1314" s="29"/>
      <c r="I1314" s="20"/>
      <c r="J1314" s="10"/>
      <c r="K1314" s="10"/>
      <c r="L1314" s="10"/>
      <c r="M1314" s="35"/>
      <c r="N1314" s="34"/>
      <c r="O1314" s="34"/>
      <c r="P1314" s="12"/>
      <c r="Q1314" s="39" t="s">
        <v>5234</v>
      </c>
      <c r="R1314" s="39"/>
      <c r="S1314" s="39"/>
      <c r="T1314" s="39"/>
      <c r="U1314" s="39"/>
      <c r="Y1314" s="26"/>
    </row>
    <row r="1315" ht="22.5" customHeight="1">
      <c r="A1315" s="18"/>
      <c r="B1315" s="36"/>
      <c r="C1315" s="36"/>
      <c r="D1315" s="36"/>
      <c r="E1315" s="36"/>
      <c r="F1315" s="12"/>
      <c r="G1315" s="12"/>
      <c r="H1315" s="29"/>
      <c r="I1315" s="20"/>
      <c r="J1315" s="10"/>
      <c r="K1315" s="10"/>
      <c r="L1315" s="10"/>
      <c r="M1315" s="35"/>
      <c r="N1315" s="34"/>
      <c r="O1315" s="34"/>
      <c r="P1315" s="12"/>
      <c r="Q1315" s="39" t="s">
        <v>5234</v>
      </c>
      <c r="R1315" s="39"/>
      <c r="S1315" s="39"/>
      <c r="T1315" s="39"/>
      <c r="U1315" s="39"/>
      <c r="Y1315" s="26"/>
    </row>
    <row r="1316" ht="22.5" customHeight="1">
      <c r="A1316" s="18"/>
      <c r="B1316" s="36"/>
      <c r="C1316" s="41"/>
      <c r="D1316" s="36"/>
      <c r="E1316" s="36"/>
      <c r="F1316" s="12"/>
      <c r="G1316" s="12"/>
      <c r="H1316" s="29"/>
      <c r="I1316" s="20"/>
      <c r="J1316" s="10"/>
      <c r="K1316" s="10"/>
      <c r="L1316" s="10"/>
      <c r="M1316" s="35"/>
      <c r="N1316" s="34"/>
      <c r="O1316" s="34"/>
      <c r="P1316" s="12"/>
      <c r="Q1316" s="39" t="s">
        <v>5234</v>
      </c>
      <c r="R1316" s="39"/>
      <c r="S1316" s="39"/>
      <c r="T1316" s="39"/>
      <c r="U1316" s="39"/>
      <c r="Y1316" s="26"/>
    </row>
    <row r="1317" ht="22.5" customHeight="1">
      <c r="A1317" s="18"/>
      <c r="B1317" s="36"/>
      <c r="C1317" s="36"/>
      <c r="D1317" s="36"/>
      <c r="E1317" s="36"/>
      <c r="F1317" s="12"/>
      <c r="G1317" s="12"/>
      <c r="H1317" s="29"/>
      <c r="I1317" s="20"/>
      <c r="J1317" s="10"/>
      <c r="K1317" s="10"/>
      <c r="L1317" s="10"/>
      <c r="M1317" s="35"/>
      <c r="N1317" s="34"/>
      <c r="O1317" s="34"/>
      <c r="P1317" s="12"/>
      <c r="Q1317" s="39" t="s">
        <v>5234</v>
      </c>
      <c r="R1317" s="39"/>
      <c r="S1317" s="39"/>
      <c r="T1317" s="39"/>
      <c r="U1317" s="39"/>
      <c r="Y1317" s="26"/>
    </row>
    <row r="1318" ht="22.5" customHeight="1">
      <c r="A1318" s="18"/>
      <c r="B1318" s="36"/>
      <c r="C1318" s="36"/>
      <c r="D1318" s="36"/>
      <c r="E1318" s="36"/>
      <c r="F1318" s="12"/>
      <c r="G1318" s="12"/>
      <c r="H1318" s="29"/>
      <c r="I1318" s="20"/>
      <c r="J1318" s="10"/>
      <c r="K1318" s="10"/>
      <c r="L1318" s="10"/>
      <c r="M1318" s="35"/>
      <c r="N1318" s="34"/>
      <c r="O1318" s="34"/>
      <c r="P1318" s="12"/>
      <c r="Q1318" s="39" t="s">
        <v>5234</v>
      </c>
      <c r="R1318" s="39"/>
      <c r="S1318" s="39"/>
      <c r="T1318" s="39"/>
      <c r="U1318" s="39"/>
      <c r="Y1318" s="26"/>
    </row>
    <row r="1319" ht="22.5" customHeight="1">
      <c r="A1319" s="18"/>
      <c r="B1319" s="36"/>
      <c r="C1319" s="36"/>
      <c r="D1319" s="36"/>
      <c r="E1319" s="36"/>
      <c r="F1319" s="12"/>
      <c r="G1319" s="12"/>
      <c r="H1319" s="29"/>
      <c r="I1319" s="20"/>
      <c r="J1319" s="10"/>
      <c r="K1319" s="10"/>
      <c r="L1319" s="10"/>
      <c r="M1319" s="35"/>
      <c r="N1319" s="34"/>
      <c r="O1319" s="34"/>
      <c r="P1319" s="12"/>
      <c r="Q1319" s="39" t="s">
        <v>5234</v>
      </c>
      <c r="R1319" s="39"/>
      <c r="S1319" s="39"/>
      <c r="T1319" s="39"/>
      <c r="U1319" s="39"/>
      <c r="Y1319" s="26"/>
    </row>
    <row r="1320" ht="22.5" customHeight="1">
      <c r="A1320" s="18"/>
      <c r="B1320" s="36"/>
      <c r="C1320" s="36"/>
      <c r="D1320" s="36"/>
      <c r="E1320" s="36"/>
      <c r="F1320" s="12"/>
      <c r="G1320" s="12"/>
      <c r="H1320" s="29"/>
      <c r="I1320" s="20"/>
      <c r="J1320" s="10"/>
      <c r="K1320" s="10"/>
      <c r="L1320" s="10"/>
      <c r="M1320" s="35"/>
      <c r="N1320" s="34"/>
      <c r="O1320" s="34"/>
      <c r="P1320" s="12"/>
      <c r="Q1320" s="39" t="s">
        <v>5234</v>
      </c>
      <c r="R1320" s="39"/>
      <c r="S1320" s="39"/>
      <c r="T1320" s="39"/>
      <c r="U1320" s="39"/>
      <c r="Y1320" s="26"/>
    </row>
    <row r="1321" ht="22.5" customHeight="1">
      <c r="A1321" s="18"/>
      <c r="B1321" s="36"/>
      <c r="C1321" s="40"/>
      <c r="D1321" s="40"/>
      <c r="E1321" s="40"/>
      <c r="F1321" s="12"/>
      <c r="G1321" s="12"/>
      <c r="H1321" s="29"/>
      <c r="I1321" s="20"/>
      <c r="J1321" s="10"/>
      <c r="K1321" s="10"/>
      <c r="L1321" s="10"/>
      <c r="M1321" s="35"/>
      <c r="N1321" s="34"/>
      <c r="O1321" s="34"/>
      <c r="P1321" s="12"/>
      <c r="Q1321" s="39" t="s">
        <v>5234</v>
      </c>
      <c r="R1321" s="39"/>
      <c r="S1321" s="39"/>
      <c r="T1321" s="39"/>
      <c r="U1321" s="39"/>
      <c r="Y1321" s="26"/>
    </row>
    <row r="1322" ht="22.5" customHeight="1">
      <c r="A1322" s="18"/>
      <c r="B1322" s="36"/>
      <c r="C1322" s="40"/>
      <c r="D1322" s="40"/>
      <c r="E1322" s="40"/>
      <c r="F1322" s="12"/>
      <c r="G1322" s="12"/>
      <c r="H1322" s="29"/>
      <c r="I1322" s="20"/>
      <c r="J1322" s="10"/>
      <c r="K1322" s="10"/>
      <c r="L1322" s="10"/>
      <c r="M1322" s="35"/>
      <c r="N1322" s="34"/>
      <c r="O1322" s="34"/>
      <c r="P1322" s="12"/>
      <c r="Q1322" s="39" t="s">
        <v>5234</v>
      </c>
      <c r="R1322" s="39"/>
      <c r="S1322" s="39"/>
      <c r="T1322" s="39"/>
      <c r="U1322" s="39"/>
      <c r="Y1322" s="26"/>
    </row>
    <row r="1323" ht="22.5" customHeight="1">
      <c r="A1323" s="18"/>
      <c r="B1323" s="36"/>
      <c r="C1323" s="36"/>
      <c r="D1323" s="36"/>
      <c r="E1323" s="36"/>
      <c r="F1323" s="12"/>
      <c r="G1323" s="12"/>
      <c r="H1323" s="29"/>
      <c r="I1323" s="20"/>
      <c r="J1323" s="10"/>
      <c r="K1323" s="10"/>
      <c r="L1323" s="10"/>
      <c r="M1323" s="35"/>
      <c r="N1323" s="34"/>
      <c r="O1323" s="34"/>
      <c r="P1323" s="12"/>
      <c r="Q1323" s="39" t="s">
        <v>5234</v>
      </c>
      <c r="R1323" s="39"/>
      <c r="S1323" s="39"/>
      <c r="T1323" s="39"/>
      <c r="U1323" s="39"/>
      <c r="Y1323" s="26"/>
    </row>
    <row r="1324" ht="22.5" customHeight="1">
      <c r="A1324" s="18"/>
      <c r="B1324" s="36"/>
      <c r="C1324" s="36"/>
      <c r="D1324" s="36"/>
      <c r="E1324" s="36"/>
      <c r="F1324" s="12"/>
      <c r="G1324" s="12"/>
      <c r="H1324" s="29"/>
      <c r="I1324" s="20"/>
      <c r="J1324" s="10"/>
      <c r="K1324" s="10"/>
      <c r="L1324" s="10"/>
      <c r="M1324" s="35"/>
      <c r="N1324" s="34"/>
      <c r="O1324" s="34"/>
      <c r="P1324" s="12"/>
      <c r="Q1324" s="39" t="s">
        <v>5234</v>
      </c>
      <c r="R1324" s="39"/>
      <c r="S1324" s="39"/>
      <c r="T1324" s="39"/>
      <c r="U1324" s="39"/>
      <c r="Y1324" s="26"/>
    </row>
    <row r="1325" ht="22.5" customHeight="1">
      <c r="A1325" s="18"/>
      <c r="B1325" s="36"/>
      <c r="C1325" s="36"/>
      <c r="D1325" s="36"/>
      <c r="E1325" s="36"/>
      <c r="F1325" s="12"/>
      <c r="G1325" s="12"/>
      <c r="H1325" s="29"/>
      <c r="I1325" s="20"/>
      <c r="J1325" s="10"/>
      <c r="K1325" s="10"/>
      <c r="L1325" s="10"/>
      <c r="M1325" s="35"/>
      <c r="N1325" s="34"/>
      <c r="O1325" s="34"/>
      <c r="P1325" s="12"/>
      <c r="Q1325" s="39" t="s">
        <v>5234</v>
      </c>
      <c r="R1325" s="39"/>
      <c r="S1325" s="39"/>
      <c r="T1325" s="39"/>
      <c r="U1325" s="39"/>
      <c r="Y1325" s="26"/>
    </row>
    <row r="1326" ht="22.5" customHeight="1">
      <c r="A1326" s="18"/>
      <c r="B1326" s="36"/>
      <c r="C1326" s="36"/>
      <c r="D1326" s="36"/>
      <c r="E1326" s="36"/>
      <c r="F1326" s="12"/>
      <c r="G1326" s="12"/>
      <c r="H1326" s="29"/>
      <c r="I1326" s="20"/>
      <c r="J1326" s="10"/>
      <c r="K1326" s="10"/>
      <c r="L1326" s="10"/>
      <c r="M1326" s="35"/>
      <c r="N1326" s="34"/>
      <c r="O1326" s="34"/>
      <c r="P1326" s="12"/>
      <c r="Q1326" s="39" t="s">
        <v>5234</v>
      </c>
      <c r="R1326" s="39"/>
      <c r="S1326" s="39"/>
      <c r="T1326" s="39"/>
      <c r="U1326" s="39"/>
      <c r="Y1326" s="26"/>
    </row>
    <row r="1327" ht="22.5" customHeight="1">
      <c r="A1327" s="18"/>
      <c r="B1327" s="36"/>
      <c r="C1327" s="36"/>
      <c r="D1327" s="36"/>
      <c r="E1327" s="36"/>
      <c r="F1327" s="12"/>
      <c r="G1327" s="12"/>
      <c r="H1327" s="29"/>
      <c r="I1327" s="20"/>
      <c r="J1327" s="10"/>
      <c r="K1327" s="10"/>
      <c r="L1327" s="10"/>
      <c r="M1327" s="35"/>
      <c r="N1327" s="34"/>
      <c r="O1327" s="34"/>
      <c r="P1327" s="12"/>
      <c r="Q1327" s="39" t="s">
        <v>5234</v>
      </c>
      <c r="R1327" s="39"/>
      <c r="S1327" s="39"/>
      <c r="T1327" s="39"/>
      <c r="U1327" s="39"/>
      <c r="Y1327" s="26"/>
    </row>
    <row r="1328" ht="22.5" customHeight="1">
      <c r="A1328" s="18"/>
      <c r="B1328" s="36"/>
      <c r="C1328" s="36"/>
      <c r="D1328" s="36"/>
      <c r="E1328" s="36"/>
      <c r="F1328" s="12"/>
      <c r="G1328" s="12"/>
      <c r="H1328" s="29"/>
      <c r="I1328" s="20"/>
      <c r="J1328" s="10"/>
      <c r="K1328" s="10"/>
      <c r="L1328" s="10"/>
      <c r="M1328" s="35"/>
      <c r="N1328" s="34"/>
      <c r="O1328" s="34"/>
      <c r="P1328" s="12"/>
      <c r="Q1328" s="39" t="s">
        <v>5234</v>
      </c>
      <c r="R1328" s="39"/>
      <c r="S1328" s="39"/>
      <c r="T1328" s="39"/>
      <c r="U1328" s="39"/>
      <c r="Y1328" s="26"/>
    </row>
    <row r="1329" ht="22.5" customHeight="1">
      <c r="A1329" s="18"/>
      <c r="B1329" s="36"/>
      <c r="C1329" s="36"/>
      <c r="D1329" s="36"/>
      <c r="E1329" s="36"/>
      <c r="F1329" s="12"/>
      <c r="G1329" s="12"/>
      <c r="H1329" s="29"/>
      <c r="I1329" s="20"/>
      <c r="J1329" s="10"/>
      <c r="K1329" s="10"/>
      <c r="L1329" s="10"/>
      <c r="M1329" s="35"/>
      <c r="N1329" s="34"/>
      <c r="O1329" s="34"/>
      <c r="P1329" s="12"/>
      <c r="Q1329" s="39" t="s">
        <v>5234</v>
      </c>
      <c r="R1329" s="39"/>
      <c r="S1329" s="39"/>
      <c r="T1329" s="39"/>
      <c r="U1329" s="39"/>
      <c r="Y1329" s="26"/>
    </row>
    <row r="1330" ht="22.5" customHeight="1">
      <c r="A1330" s="18"/>
      <c r="B1330" s="36"/>
      <c r="C1330" s="36"/>
      <c r="D1330" s="36"/>
      <c r="E1330" s="36"/>
      <c r="F1330" s="12"/>
      <c r="G1330" s="12"/>
      <c r="H1330" s="29"/>
      <c r="I1330" s="20"/>
      <c r="J1330" s="10"/>
      <c r="K1330" s="10"/>
      <c r="L1330" s="10"/>
      <c r="M1330" s="35"/>
      <c r="N1330" s="34"/>
      <c r="O1330" s="34"/>
      <c r="P1330" s="12"/>
      <c r="Q1330" s="39" t="s">
        <v>5234</v>
      </c>
      <c r="R1330" s="39"/>
      <c r="S1330" s="39"/>
      <c r="T1330" s="39"/>
      <c r="U1330" s="39"/>
      <c r="Y1330" s="26"/>
    </row>
    <row r="1331" ht="22.5" customHeight="1">
      <c r="A1331" s="18"/>
      <c r="B1331" s="36"/>
      <c r="C1331" s="36"/>
      <c r="D1331" s="36"/>
      <c r="E1331" s="36"/>
      <c r="F1331" s="12"/>
      <c r="G1331" s="12"/>
      <c r="H1331" s="29"/>
      <c r="I1331" s="20"/>
      <c r="J1331" s="10"/>
      <c r="K1331" s="10"/>
      <c r="L1331" s="10"/>
      <c r="M1331" s="35"/>
      <c r="N1331" s="34"/>
      <c r="O1331" s="34"/>
      <c r="P1331" s="12"/>
      <c r="Q1331" s="39" t="s">
        <v>5234</v>
      </c>
      <c r="R1331" s="39"/>
      <c r="S1331" s="39"/>
      <c r="T1331" s="39"/>
      <c r="U1331" s="39"/>
      <c r="Y1331" s="26"/>
    </row>
    <row r="1332" ht="22.5" customHeight="1">
      <c r="A1332" s="18"/>
      <c r="B1332" s="36"/>
      <c r="C1332" s="36"/>
      <c r="D1332" s="36"/>
      <c r="E1332" s="36"/>
      <c r="F1332" s="12"/>
      <c r="G1332" s="12"/>
      <c r="H1332" s="29"/>
      <c r="I1332" s="20"/>
      <c r="J1332" s="10"/>
      <c r="K1332" s="10"/>
      <c r="L1332" s="10"/>
      <c r="M1332" s="35"/>
      <c r="N1332" s="34"/>
      <c r="O1332" s="34"/>
      <c r="P1332" s="12"/>
      <c r="Q1332" s="39" t="s">
        <v>5234</v>
      </c>
      <c r="R1332" s="39"/>
      <c r="S1332" s="39"/>
      <c r="T1332" s="39"/>
      <c r="U1332" s="39"/>
      <c r="Y1332" s="26"/>
    </row>
    <row r="1333" ht="22.5" customHeight="1">
      <c r="A1333" s="18"/>
      <c r="B1333" s="36"/>
      <c r="C1333" s="36"/>
      <c r="D1333" s="36"/>
      <c r="E1333" s="36"/>
      <c r="F1333" s="12"/>
      <c r="G1333" s="12"/>
      <c r="H1333" s="29"/>
      <c r="I1333" s="20"/>
      <c r="J1333" s="10"/>
      <c r="K1333" s="10"/>
      <c r="L1333" s="10"/>
      <c r="M1333" s="35"/>
      <c r="N1333" s="34"/>
      <c r="O1333" s="34"/>
      <c r="P1333" s="12"/>
      <c r="Q1333" s="39" t="s">
        <v>5234</v>
      </c>
      <c r="R1333" s="39"/>
      <c r="S1333" s="39"/>
      <c r="T1333" s="39"/>
      <c r="U1333" s="39"/>
      <c r="Y1333" s="26"/>
    </row>
    <row r="1334" ht="22.5" customHeight="1">
      <c r="A1334" s="18"/>
      <c r="B1334" s="36"/>
      <c r="C1334" s="36"/>
      <c r="D1334" s="36"/>
      <c r="E1334" s="36"/>
      <c r="F1334" s="12"/>
      <c r="G1334" s="12"/>
      <c r="H1334" s="29"/>
      <c r="I1334" s="20"/>
      <c r="J1334" s="10"/>
      <c r="K1334" s="10"/>
      <c r="L1334" s="10"/>
      <c r="M1334" s="35"/>
      <c r="N1334" s="34"/>
      <c r="O1334" s="34"/>
      <c r="P1334" s="12"/>
      <c r="Q1334" s="39" t="s">
        <v>5234</v>
      </c>
      <c r="R1334" s="39"/>
      <c r="S1334" s="39"/>
      <c r="T1334" s="39"/>
      <c r="U1334" s="39"/>
      <c r="Y1334" s="26"/>
    </row>
    <row r="1335" ht="22.5" customHeight="1">
      <c r="A1335" s="18"/>
      <c r="B1335" s="36"/>
      <c r="C1335" s="36"/>
      <c r="D1335" s="36"/>
      <c r="E1335" s="36"/>
      <c r="F1335" s="12"/>
      <c r="G1335" s="12"/>
      <c r="H1335" s="29"/>
      <c r="I1335" s="20"/>
      <c r="J1335" s="10"/>
      <c r="K1335" s="10"/>
      <c r="L1335" s="10"/>
      <c r="M1335" s="35"/>
      <c r="N1335" s="34"/>
      <c r="O1335" s="34"/>
      <c r="P1335" s="12"/>
      <c r="Q1335" s="39" t="s">
        <v>5234</v>
      </c>
      <c r="R1335" s="39"/>
      <c r="S1335" s="39"/>
      <c r="T1335" s="39"/>
      <c r="U1335" s="39"/>
      <c r="Y1335" s="26"/>
    </row>
    <row r="1336" ht="22.5" customHeight="1">
      <c r="A1336" s="18"/>
      <c r="B1336" s="36"/>
      <c r="C1336" s="36"/>
      <c r="D1336" s="36"/>
      <c r="E1336" s="36"/>
      <c r="F1336" s="12"/>
      <c r="G1336" s="12"/>
      <c r="H1336" s="29"/>
      <c r="I1336" s="20"/>
      <c r="J1336" s="10"/>
      <c r="K1336" s="10"/>
      <c r="L1336" s="10"/>
      <c r="M1336" s="35"/>
      <c r="N1336" s="34"/>
      <c r="O1336" s="34"/>
      <c r="P1336" s="12"/>
      <c r="Q1336" s="39" t="s">
        <v>5234</v>
      </c>
      <c r="R1336" s="39"/>
      <c r="S1336" s="39"/>
      <c r="T1336" s="39"/>
      <c r="U1336" s="39"/>
      <c r="Y1336" s="26"/>
    </row>
    <row r="1337" ht="22.5" customHeight="1">
      <c r="A1337" s="18"/>
      <c r="B1337" s="36"/>
      <c r="C1337" s="36"/>
      <c r="D1337" s="36"/>
      <c r="E1337" s="36"/>
      <c r="F1337" s="12"/>
      <c r="G1337" s="12"/>
      <c r="H1337" s="29"/>
      <c r="I1337" s="20"/>
      <c r="J1337" s="10"/>
      <c r="K1337" s="10"/>
      <c r="L1337" s="10"/>
      <c r="M1337" s="35"/>
      <c r="N1337" s="34"/>
      <c r="O1337" s="34"/>
      <c r="P1337" s="12"/>
      <c r="Q1337" s="39" t="s">
        <v>5234</v>
      </c>
      <c r="R1337" s="39"/>
      <c r="S1337" s="39"/>
      <c r="T1337" s="39"/>
      <c r="U1337" s="39"/>
      <c r="Y1337" s="26"/>
    </row>
    <row r="1338" ht="22.5" customHeight="1">
      <c r="A1338" s="18"/>
      <c r="B1338" s="36"/>
      <c r="C1338" s="36"/>
      <c r="D1338" s="36"/>
      <c r="E1338" s="36"/>
      <c r="F1338" s="12"/>
      <c r="G1338" s="12"/>
      <c r="H1338" s="29"/>
      <c r="I1338" s="20"/>
      <c r="J1338" s="10"/>
      <c r="K1338" s="10"/>
      <c r="L1338" s="10"/>
      <c r="M1338" s="35"/>
      <c r="N1338" s="34"/>
      <c r="O1338" s="34"/>
      <c r="P1338" s="12"/>
      <c r="Q1338" s="39" t="s">
        <v>5234</v>
      </c>
      <c r="R1338" s="39"/>
      <c r="S1338" s="39"/>
      <c r="T1338" s="39"/>
      <c r="U1338" s="39"/>
      <c r="Y1338" s="26"/>
    </row>
    <row r="1339" ht="22.5" customHeight="1">
      <c r="A1339" s="18"/>
      <c r="B1339" s="36"/>
      <c r="C1339" s="36"/>
      <c r="D1339" s="36"/>
      <c r="E1339" s="36"/>
      <c r="F1339" s="12"/>
      <c r="G1339" s="12"/>
      <c r="H1339" s="29"/>
      <c r="I1339" s="20"/>
      <c r="J1339" s="10"/>
      <c r="K1339" s="10"/>
      <c r="L1339" s="10"/>
      <c r="M1339" s="35"/>
      <c r="N1339" s="34"/>
      <c r="O1339" s="34"/>
      <c r="P1339" s="12"/>
      <c r="Q1339" s="39" t="s">
        <v>5234</v>
      </c>
      <c r="R1339" s="39"/>
      <c r="S1339" s="39"/>
      <c r="T1339" s="39"/>
      <c r="U1339" s="39"/>
      <c r="Y1339" s="26"/>
    </row>
    <row r="1340" ht="22.5" customHeight="1">
      <c r="A1340" s="18"/>
      <c r="B1340" s="36"/>
      <c r="C1340" s="36"/>
      <c r="D1340" s="36"/>
      <c r="E1340" s="36"/>
      <c r="F1340" s="12"/>
      <c r="G1340" s="12"/>
      <c r="H1340" s="29"/>
      <c r="I1340" s="20"/>
      <c r="J1340" s="10"/>
      <c r="K1340" s="10"/>
      <c r="L1340" s="10"/>
      <c r="M1340" s="35"/>
      <c r="N1340" s="34"/>
      <c r="O1340" s="34"/>
      <c r="P1340" s="12"/>
      <c r="Q1340" s="39" t="s">
        <v>5234</v>
      </c>
      <c r="R1340" s="39"/>
      <c r="S1340" s="39"/>
      <c r="T1340" s="39"/>
      <c r="U1340" s="39"/>
      <c r="Y1340" s="26"/>
    </row>
    <row r="1341" ht="22.5" customHeight="1">
      <c r="A1341" s="18"/>
      <c r="B1341" s="36"/>
      <c r="C1341" s="36"/>
      <c r="D1341" s="36"/>
      <c r="E1341" s="36"/>
      <c r="F1341" s="12"/>
      <c r="G1341" s="12"/>
      <c r="H1341" s="29"/>
      <c r="I1341" s="20"/>
      <c r="J1341" s="10"/>
      <c r="K1341" s="10"/>
      <c r="L1341" s="10"/>
      <c r="M1341" s="35"/>
      <c r="N1341" s="34"/>
      <c r="O1341" s="34"/>
      <c r="P1341" s="12"/>
      <c r="Q1341" s="39" t="s">
        <v>5234</v>
      </c>
      <c r="R1341" s="39"/>
      <c r="S1341" s="39"/>
      <c r="T1341" s="39"/>
      <c r="U1341" s="39"/>
      <c r="Y1341" s="26"/>
    </row>
    <row r="1342" ht="22.5" customHeight="1">
      <c r="A1342" s="18"/>
      <c r="B1342" s="36"/>
      <c r="C1342" s="36"/>
      <c r="D1342" s="36"/>
      <c r="E1342" s="36"/>
      <c r="F1342" s="12"/>
      <c r="G1342" s="12"/>
      <c r="H1342" s="29"/>
      <c r="I1342" s="20"/>
      <c r="J1342" s="10"/>
      <c r="K1342" s="10"/>
      <c r="L1342" s="10"/>
      <c r="M1342" s="35"/>
      <c r="N1342" s="34"/>
      <c r="O1342" s="34"/>
      <c r="P1342" s="12"/>
      <c r="Q1342" s="39" t="s">
        <v>5234</v>
      </c>
      <c r="R1342" s="39"/>
      <c r="S1342" s="39"/>
      <c r="T1342" s="39"/>
      <c r="U1342" s="39"/>
      <c r="Y1342" s="26"/>
    </row>
    <row r="1343" ht="22.5" customHeight="1">
      <c r="A1343" s="18"/>
      <c r="B1343" s="36"/>
      <c r="C1343" s="36"/>
      <c r="D1343" s="36"/>
      <c r="E1343" s="36"/>
      <c r="F1343" s="12"/>
      <c r="G1343" s="12"/>
      <c r="H1343" s="29"/>
      <c r="I1343" s="20"/>
      <c r="J1343" s="10"/>
      <c r="K1343" s="10"/>
      <c r="L1343" s="10"/>
      <c r="M1343" s="35"/>
      <c r="N1343" s="34"/>
      <c r="O1343" s="34"/>
      <c r="P1343" s="12"/>
      <c r="Q1343" s="39" t="s">
        <v>5234</v>
      </c>
      <c r="R1343" s="39"/>
      <c r="S1343" s="39"/>
      <c r="T1343" s="39"/>
      <c r="U1343" s="39"/>
      <c r="Y1343" s="26"/>
    </row>
    <row r="1344" ht="22.5" customHeight="1">
      <c r="A1344" s="18"/>
      <c r="B1344" s="36"/>
      <c r="C1344" s="36"/>
      <c r="D1344" s="36"/>
      <c r="E1344" s="36"/>
      <c r="F1344" s="12"/>
      <c r="G1344" s="12"/>
      <c r="H1344" s="29"/>
      <c r="I1344" s="20"/>
      <c r="J1344" s="10"/>
      <c r="K1344" s="10"/>
      <c r="L1344" s="10"/>
      <c r="M1344" s="35"/>
      <c r="N1344" s="34"/>
      <c r="O1344" s="34"/>
      <c r="P1344" s="12"/>
      <c r="Q1344" s="39" t="s">
        <v>5234</v>
      </c>
      <c r="R1344" s="39"/>
      <c r="S1344" s="39"/>
      <c r="T1344" s="39"/>
      <c r="U1344" s="39"/>
      <c r="Y1344" s="26"/>
    </row>
    <row r="1345" ht="22.5" customHeight="1">
      <c r="A1345" s="18"/>
      <c r="B1345" s="36"/>
      <c r="C1345" s="36"/>
      <c r="D1345" s="36"/>
      <c r="E1345" s="36"/>
      <c r="F1345" s="12"/>
      <c r="G1345" s="12"/>
      <c r="H1345" s="29"/>
      <c r="I1345" s="20"/>
      <c r="J1345" s="10"/>
      <c r="K1345" s="10"/>
      <c r="L1345" s="10"/>
      <c r="M1345" s="35"/>
      <c r="N1345" s="34"/>
      <c r="O1345" s="34"/>
      <c r="P1345" s="12"/>
      <c r="Q1345" s="39" t="s">
        <v>5234</v>
      </c>
      <c r="R1345" s="39"/>
      <c r="S1345" s="39"/>
      <c r="T1345" s="39"/>
      <c r="U1345" s="39"/>
      <c r="Y1345" s="26"/>
    </row>
    <row r="1346" ht="22.5" customHeight="1">
      <c r="A1346" s="18"/>
      <c r="B1346" s="36"/>
      <c r="C1346" s="36"/>
      <c r="D1346" s="36"/>
      <c r="E1346" s="36"/>
      <c r="F1346" s="12"/>
      <c r="G1346" s="12"/>
      <c r="H1346" s="29"/>
      <c r="I1346" s="20"/>
      <c r="J1346" s="10"/>
      <c r="K1346" s="10"/>
      <c r="L1346" s="10"/>
      <c r="M1346" s="35"/>
      <c r="N1346" s="34"/>
      <c r="O1346" s="34"/>
      <c r="P1346" s="12"/>
      <c r="Q1346" s="39" t="s">
        <v>5234</v>
      </c>
      <c r="R1346" s="39"/>
      <c r="S1346" s="39"/>
      <c r="T1346" s="39"/>
      <c r="U1346" s="39"/>
      <c r="Y1346" s="26"/>
    </row>
    <row r="1347" ht="22.5" customHeight="1">
      <c r="A1347" s="18"/>
      <c r="B1347" s="36"/>
      <c r="C1347" s="36"/>
      <c r="D1347" s="36"/>
      <c r="E1347" s="36"/>
      <c r="F1347" s="12"/>
      <c r="G1347" s="12"/>
      <c r="H1347" s="29"/>
      <c r="I1347" s="20"/>
      <c r="J1347" s="10"/>
      <c r="K1347" s="10"/>
      <c r="L1347" s="10"/>
      <c r="M1347" s="35"/>
      <c r="N1347" s="34"/>
      <c r="O1347" s="34"/>
      <c r="P1347" s="12"/>
      <c r="Q1347" s="39" t="s">
        <v>5234</v>
      </c>
      <c r="R1347" s="39"/>
      <c r="S1347" s="39"/>
      <c r="T1347" s="39"/>
      <c r="U1347" s="39"/>
      <c r="Y1347" s="26"/>
    </row>
    <row r="1348" ht="22.5" customHeight="1">
      <c r="A1348" s="18"/>
      <c r="B1348" s="36"/>
      <c r="C1348" s="36"/>
      <c r="D1348" s="36"/>
      <c r="E1348" s="36"/>
      <c r="F1348" s="12"/>
      <c r="G1348" s="12"/>
      <c r="H1348" s="29"/>
      <c r="I1348" s="20"/>
      <c r="J1348" s="10"/>
      <c r="K1348" s="10"/>
      <c r="L1348" s="10"/>
      <c r="M1348" s="35"/>
      <c r="N1348" s="34"/>
      <c r="O1348" s="34"/>
      <c r="P1348" s="12"/>
      <c r="Q1348" s="39" t="s">
        <v>5234</v>
      </c>
      <c r="R1348" s="39"/>
      <c r="S1348" s="39"/>
      <c r="T1348" s="39"/>
      <c r="U1348" s="39"/>
      <c r="Y1348" s="26"/>
    </row>
    <row r="1349" ht="22.5" customHeight="1">
      <c r="A1349" s="18"/>
      <c r="B1349" s="36"/>
      <c r="C1349" s="36"/>
      <c r="D1349" s="36"/>
      <c r="E1349" s="36"/>
      <c r="F1349" s="12"/>
      <c r="G1349" s="12"/>
      <c r="H1349" s="29"/>
      <c r="I1349" s="20"/>
      <c r="J1349" s="10"/>
      <c r="K1349" s="10"/>
      <c r="L1349" s="10"/>
      <c r="M1349" s="35"/>
      <c r="N1349" s="34"/>
      <c r="O1349" s="34"/>
      <c r="P1349" s="12"/>
      <c r="Q1349" s="39" t="s">
        <v>5234</v>
      </c>
      <c r="R1349" s="39"/>
      <c r="S1349" s="39"/>
      <c r="T1349" s="39"/>
      <c r="U1349" s="39"/>
      <c r="Y1349" s="26"/>
    </row>
    <row r="1350" ht="22.5" customHeight="1">
      <c r="A1350" s="18"/>
      <c r="B1350" s="36"/>
      <c r="C1350" s="36"/>
      <c r="D1350" s="36"/>
      <c r="E1350" s="36"/>
      <c r="F1350" s="12"/>
      <c r="G1350" s="12"/>
      <c r="H1350" s="29"/>
      <c r="I1350" s="20"/>
      <c r="J1350" s="10"/>
      <c r="K1350" s="10"/>
      <c r="L1350" s="10"/>
      <c r="M1350" s="35"/>
      <c r="N1350" s="34"/>
      <c r="O1350" s="34"/>
      <c r="P1350" s="12"/>
      <c r="Q1350" s="39" t="s">
        <v>5234</v>
      </c>
      <c r="R1350" s="39"/>
      <c r="S1350" s="39"/>
      <c r="T1350" s="39"/>
      <c r="U1350" s="39"/>
      <c r="Y1350" s="26"/>
    </row>
    <row r="1351" ht="22.5" customHeight="1">
      <c r="A1351" s="18"/>
      <c r="B1351" s="36"/>
      <c r="C1351" s="36"/>
      <c r="D1351" s="36"/>
      <c r="E1351" s="36"/>
      <c r="F1351" s="12"/>
      <c r="G1351" s="12"/>
      <c r="H1351" s="29"/>
      <c r="I1351" s="20"/>
      <c r="J1351" s="10"/>
      <c r="K1351" s="10"/>
      <c r="L1351" s="10"/>
      <c r="M1351" s="35"/>
      <c r="N1351" s="34"/>
      <c r="O1351" s="34"/>
      <c r="P1351" s="12"/>
      <c r="Q1351" s="39" t="s">
        <v>5234</v>
      </c>
      <c r="R1351" s="39"/>
      <c r="S1351" s="39"/>
      <c r="T1351" s="39"/>
      <c r="U1351" s="39"/>
      <c r="Y1351" s="26"/>
    </row>
    <row r="1352" ht="22.5" customHeight="1">
      <c r="A1352" s="18"/>
      <c r="B1352" s="36"/>
      <c r="C1352" s="36"/>
      <c r="D1352" s="36"/>
      <c r="E1352" s="36"/>
      <c r="F1352" s="12"/>
      <c r="G1352" s="12"/>
      <c r="H1352" s="29"/>
      <c r="I1352" s="20"/>
      <c r="J1352" s="10"/>
      <c r="K1352" s="10"/>
      <c r="L1352" s="10"/>
      <c r="M1352" s="35"/>
      <c r="N1352" s="34"/>
      <c r="O1352" s="34"/>
      <c r="P1352" s="12"/>
      <c r="Q1352" s="39" t="s">
        <v>5234</v>
      </c>
      <c r="R1352" s="39"/>
      <c r="S1352" s="39"/>
      <c r="T1352" s="39"/>
      <c r="U1352" s="39"/>
      <c r="Y1352" s="26"/>
    </row>
    <row r="1353" ht="22.5" customHeight="1">
      <c r="A1353" s="18"/>
      <c r="B1353" s="36"/>
      <c r="C1353" s="36"/>
      <c r="D1353" s="40"/>
      <c r="E1353" s="36"/>
      <c r="F1353" s="12"/>
      <c r="G1353" s="12"/>
      <c r="H1353" s="29"/>
      <c r="I1353" s="20"/>
      <c r="J1353" s="10"/>
      <c r="K1353" s="10"/>
      <c r="L1353" s="10"/>
      <c r="M1353" s="35"/>
      <c r="N1353" s="34"/>
      <c r="O1353" s="34"/>
      <c r="P1353" s="12"/>
      <c r="Q1353" s="39" t="s">
        <v>5234</v>
      </c>
      <c r="R1353" s="39"/>
      <c r="S1353" s="39"/>
      <c r="T1353" s="39"/>
      <c r="U1353" s="39"/>
      <c r="Y1353" s="26"/>
    </row>
    <row r="1354" ht="22.5" customHeight="1">
      <c r="A1354" s="18"/>
      <c r="B1354" s="36"/>
      <c r="C1354" s="36"/>
      <c r="D1354" s="36"/>
      <c r="E1354" s="36"/>
      <c r="F1354" s="12"/>
      <c r="G1354" s="12"/>
      <c r="H1354" s="29"/>
      <c r="I1354" s="20"/>
      <c r="J1354" s="10"/>
      <c r="K1354" s="10"/>
      <c r="L1354" s="10"/>
      <c r="M1354" s="35"/>
      <c r="N1354" s="34"/>
      <c r="O1354" s="34"/>
      <c r="P1354" s="12"/>
      <c r="Q1354" s="39" t="s">
        <v>5234</v>
      </c>
      <c r="R1354" s="39"/>
      <c r="S1354" s="39"/>
      <c r="T1354" s="39"/>
      <c r="U1354" s="39"/>
      <c r="Y1354" s="26"/>
    </row>
    <row r="1355" ht="22.5" customHeight="1">
      <c r="A1355" s="18"/>
      <c r="B1355" s="36"/>
      <c r="C1355" s="36"/>
      <c r="D1355" s="36"/>
      <c r="E1355" s="36"/>
      <c r="F1355" s="12"/>
      <c r="G1355" s="12"/>
      <c r="H1355" s="29"/>
      <c r="I1355" s="20"/>
      <c r="J1355" s="10"/>
      <c r="K1355" s="10"/>
      <c r="L1355" s="10"/>
      <c r="M1355" s="35"/>
      <c r="N1355" s="34"/>
      <c r="O1355" s="34"/>
      <c r="P1355" s="12"/>
      <c r="Q1355" s="39" t="s">
        <v>5234</v>
      </c>
      <c r="R1355" s="39"/>
      <c r="S1355" s="39"/>
      <c r="T1355" s="39"/>
      <c r="U1355" s="39"/>
      <c r="Y1355" s="26"/>
    </row>
    <row r="1356" ht="22.5" customHeight="1">
      <c r="A1356" s="18"/>
      <c r="B1356" s="36"/>
      <c r="C1356" s="36"/>
      <c r="D1356" s="36"/>
      <c r="E1356" s="36"/>
      <c r="F1356" s="12"/>
      <c r="G1356" s="12"/>
      <c r="H1356" s="29"/>
      <c r="I1356" s="20"/>
      <c r="J1356" s="10"/>
      <c r="K1356" s="10"/>
      <c r="L1356" s="10"/>
      <c r="M1356" s="35"/>
      <c r="N1356" s="34"/>
      <c r="O1356" s="34"/>
      <c r="P1356" s="12"/>
      <c r="Q1356" s="39" t="s">
        <v>5234</v>
      </c>
      <c r="R1356" s="39"/>
      <c r="S1356" s="39"/>
      <c r="T1356" s="39"/>
      <c r="U1356" s="39"/>
      <c r="Y1356" s="26"/>
    </row>
    <row r="1357" ht="22.5" customHeight="1">
      <c r="A1357" s="18"/>
      <c r="B1357" s="36"/>
      <c r="C1357" s="36"/>
      <c r="D1357" s="36"/>
      <c r="E1357" s="36"/>
      <c r="F1357" s="12"/>
      <c r="G1357" s="12"/>
      <c r="H1357" s="29"/>
      <c r="I1357" s="20"/>
      <c r="J1357" s="10"/>
      <c r="K1357" s="10"/>
      <c r="L1357" s="10"/>
      <c r="M1357" s="35"/>
      <c r="N1357" s="34"/>
      <c r="O1357" s="34"/>
      <c r="P1357" s="12"/>
      <c r="Q1357" s="39" t="s">
        <v>5234</v>
      </c>
      <c r="R1357" s="39"/>
      <c r="S1357" s="39"/>
      <c r="T1357" s="39"/>
      <c r="U1357" s="39"/>
      <c r="Y1357" s="26"/>
    </row>
    <row r="1358" ht="22.5" customHeight="1">
      <c r="A1358" s="18"/>
      <c r="B1358" s="36"/>
      <c r="C1358" s="36"/>
      <c r="D1358" s="36"/>
      <c r="E1358" s="36"/>
      <c r="F1358" s="12"/>
      <c r="G1358" s="12"/>
      <c r="H1358" s="29"/>
      <c r="I1358" s="20"/>
      <c r="J1358" s="10"/>
      <c r="K1358" s="10"/>
      <c r="L1358" s="10"/>
      <c r="M1358" s="35"/>
      <c r="N1358" s="34"/>
      <c r="O1358" s="34"/>
      <c r="P1358" s="12"/>
      <c r="Q1358" s="39" t="s">
        <v>5234</v>
      </c>
      <c r="R1358" s="39"/>
      <c r="S1358" s="39"/>
      <c r="T1358" s="39"/>
      <c r="U1358" s="39"/>
      <c r="Y1358" s="26"/>
    </row>
    <row r="1359" ht="22.5" customHeight="1">
      <c r="A1359" s="18"/>
      <c r="B1359" s="36"/>
      <c r="C1359" s="36"/>
      <c r="D1359" s="36"/>
      <c r="E1359" s="36"/>
      <c r="F1359" s="12"/>
      <c r="G1359" s="12"/>
      <c r="H1359" s="29"/>
      <c r="I1359" s="20"/>
      <c r="J1359" s="10"/>
      <c r="K1359" s="10"/>
      <c r="L1359" s="10"/>
      <c r="M1359" s="35"/>
      <c r="N1359" s="34"/>
      <c r="O1359" s="34"/>
      <c r="P1359" s="12"/>
      <c r="Q1359" s="39" t="s">
        <v>5234</v>
      </c>
      <c r="R1359" s="39"/>
      <c r="S1359" s="39"/>
      <c r="T1359" s="39"/>
      <c r="U1359" s="39"/>
      <c r="Y1359" s="26"/>
    </row>
    <row r="1360" ht="22.5" customHeight="1">
      <c r="A1360" s="18"/>
      <c r="B1360" s="36"/>
      <c r="C1360" s="36"/>
      <c r="D1360" s="36"/>
      <c r="E1360" s="36"/>
      <c r="F1360" s="12"/>
      <c r="G1360" s="12"/>
      <c r="H1360" s="29"/>
      <c r="I1360" s="20"/>
      <c r="J1360" s="10"/>
      <c r="K1360" s="10"/>
      <c r="L1360" s="10"/>
      <c r="M1360" s="35"/>
      <c r="N1360" s="34"/>
      <c r="O1360" s="34"/>
      <c r="P1360" s="12"/>
      <c r="Q1360" s="39" t="s">
        <v>5234</v>
      </c>
      <c r="R1360" s="39"/>
      <c r="S1360" s="39"/>
      <c r="T1360" s="39"/>
      <c r="U1360" s="39"/>
      <c r="Y1360" s="26"/>
    </row>
    <row r="1361" ht="22.5" customHeight="1">
      <c r="A1361" s="18"/>
      <c r="B1361" s="36"/>
      <c r="C1361" s="36"/>
      <c r="D1361" s="36"/>
      <c r="E1361" s="36"/>
      <c r="F1361" s="12"/>
      <c r="G1361" s="12"/>
      <c r="H1361" s="29"/>
      <c r="I1361" s="20"/>
      <c r="J1361" s="10"/>
      <c r="K1361" s="10"/>
      <c r="L1361" s="10"/>
      <c r="M1361" s="35"/>
      <c r="N1361" s="34"/>
      <c r="O1361" s="34"/>
      <c r="P1361" s="12"/>
      <c r="Q1361" s="39" t="s">
        <v>5234</v>
      </c>
      <c r="R1361" s="39"/>
      <c r="S1361" s="39"/>
      <c r="T1361" s="39"/>
      <c r="U1361" s="39"/>
      <c r="Y1361" s="26"/>
    </row>
    <row r="1362" ht="22.5" customHeight="1">
      <c r="A1362" s="18"/>
      <c r="B1362" s="36"/>
      <c r="C1362" s="36"/>
      <c r="D1362" s="36"/>
      <c r="E1362" s="36"/>
      <c r="F1362" s="12"/>
      <c r="G1362" s="12"/>
      <c r="H1362" s="29"/>
      <c r="I1362" s="20"/>
      <c r="J1362" s="10"/>
      <c r="K1362" s="10"/>
      <c r="L1362" s="10"/>
      <c r="M1362" s="35"/>
      <c r="N1362" s="34"/>
      <c r="O1362" s="34"/>
      <c r="P1362" s="12"/>
      <c r="Q1362" s="39" t="s">
        <v>5234</v>
      </c>
      <c r="R1362" s="39"/>
      <c r="S1362" s="39"/>
      <c r="T1362" s="39"/>
      <c r="U1362" s="39"/>
      <c r="Y1362" s="26"/>
    </row>
    <row r="1363" ht="22.5" customHeight="1">
      <c r="A1363" s="18"/>
      <c r="B1363" s="36"/>
      <c r="C1363" s="36"/>
      <c r="D1363" s="36"/>
      <c r="E1363" s="36"/>
      <c r="F1363" s="12"/>
      <c r="G1363" s="12"/>
      <c r="H1363" s="29"/>
      <c r="I1363" s="20"/>
      <c r="J1363" s="10"/>
      <c r="K1363" s="10"/>
      <c r="L1363" s="10"/>
      <c r="M1363" s="35"/>
      <c r="N1363" s="34"/>
      <c r="O1363" s="34"/>
      <c r="P1363" s="12"/>
      <c r="Q1363" s="39" t="s">
        <v>5234</v>
      </c>
      <c r="R1363" s="39"/>
      <c r="S1363" s="39"/>
      <c r="T1363" s="39"/>
      <c r="U1363" s="39"/>
      <c r="Y1363" s="26"/>
    </row>
    <row r="1364" ht="22.5" customHeight="1">
      <c r="A1364" s="18"/>
      <c r="B1364" s="36"/>
      <c r="C1364" s="36"/>
      <c r="D1364" s="36"/>
      <c r="E1364" s="36"/>
      <c r="F1364" s="12"/>
      <c r="G1364" s="12"/>
      <c r="H1364" s="29"/>
      <c r="I1364" s="20"/>
      <c r="J1364" s="10"/>
      <c r="K1364" s="10"/>
      <c r="L1364" s="10"/>
      <c r="M1364" s="35"/>
      <c r="N1364" s="34"/>
      <c r="O1364" s="34"/>
      <c r="P1364" s="12"/>
      <c r="Q1364" s="39" t="s">
        <v>5234</v>
      </c>
      <c r="R1364" s="39"/>
      <c r="S1364" s="39"/>
      <c r="T1364" s="39"/>
      <c r="U1364" s="39"/>
      <c r="Y1364" s="26"/>
    </row>
    <row r="1365" ht="22.5" customHeight="1">
      <c r="A1365" s="18"/>
      <c r="B1365" s="36"/>
      <c r="C1365" s="36"/>
      <c r="D1365" s="36"/>
      <c r="E1365" s="36"/>
      <c r="F1365" s="12"/>
      <c r="G1365" s="12"/>
      <c r="H1365" s="29"/>
      <c r="I1365" s="20"/>
      <c r="J1365" s="10"/>
      <c r="K1365" s="10"/>
      <c r="L1365" s="10"/>
      <c r="M1365" s="35"/>
      <c r="N1365" s="34"/>
      <c r="O1365" s="34"/>
      <c r="P1365" s="12"/>
      <c r="Q1365" s="39" t="s">
        <v>5234</v>
      </c>
      <c r="R1365" s="39"/>
      <c r="S1365" s="39"/>
      <c r="T1365" s="39"/>
      <c r="U1365" s="39"/>
      <c r="Y1365" s="26"/>
    </row>
    <row r="1366" ht="22.5" customHeight="1">
      <c r="A1366" s="18"/>
      <c r="B1366" s="36"/>
      <c r="C1366" s="36"/>
      <c r="D1366" s="36"/>
      <c r="E1366" s="36"/>
      <c r="F1366" s="12"/>
      <c r="G1366" s="12"/>
      <c r="H1366" s="29"/>
      <c r="I1366" s="20"/>
      <c r="J1366" s="10"/>
      <c r="K1366" s="10"/>
      <c r="L1366" s="10"/>
      <c r="M1366" s="35"/>
      <c r="N1366" s="34"/>
      <c r="O1366" s="34"/>
      <c r="P1366" s="12"/>
      <c r="Q1366" s="39" t="s">
        <v>5234</v>
      </c>
      <c r="R1366" s="39"/>
      <c r="S1366" s="39"/>
      <c r="T1366" s="39"/>
      <c r="U1366" s="39"/>
      <c r="Y1366" s="26"/>
    </row>
    <row r="1367" ht="22.5" customHeight="1">
      <c r="A1367" s="18"/>
      <c r="B1367" s="36"/>
      <c r="C1367" s="36"/>
      <c r="D1367" s="36"/>
      <c r="E1367" s="36"/>
      <c r="F1367" s="12"/>
      <c r="G1367" s="12"/>
      <c r="H1367" s="29"/>
      <c r="I1367" s="20"/>
      <c r="J1367" s="10"/>
      <c r="K1367" s="10"/>
      <c r="L1367" s="10"/>
      <c r="M1367" s="35"/>
      <c r="N1367" s="34"/>
      <c r="O1367" s="34"/>
      <c r="P1367" s="12"/>
      <c r="Q1367" s="39" t="s">
        <v>5234</v>
      </c>
      <c r="R1367" s="39"/>
      <c r="S1367" s="39"/>
      <c r="T1367" s="39"/>
      <c r="U1367" s="39"/>
      <c r="Y1367" s="26"/>
    </row>
    <row r="1368" ht="22.5" customHeight="1">
      <c r="A1368" s="18"/>
      <c r="B1368" s="36"/>
      <c r="C1368" s="36"/>
      <c r="D1368" s="36"/>
      <c r="E1368" s="36"/>
      <c r="F1368" s="12"/>
      <c r="G1368" s="12"/>
      <c r="H1368" s="29"/>
      <c r="I1368" s="20"/>
      <c r="J1368" s="10"/>
      <c r="K1368" s="10"/>
      <c r="L1368" s="10"/>
      <c r="M1368" s="35"/>
      <c r="N1368" s="34"/>
      <c r="O1368" s="34"/>
      <c r="P1368" s="12"/>
      <c r="Q1368" s="39" t="s">
        <v>5234</v>
      </c>
      <c r="R1368" s="39"/>
      <c r="S1368" s="39"/>
      <c r="T1368" s="39"/>
      <c r="U1368" s="39"/>
      <c r="Y1368" s="26"/>
    </row>
    <row r="1369" ht="22.5" customHeight="1">
      <c r="A1369" s="18"/>
      <c r="B1369" s="36"/>
      <c r="C1369" s="36"/>
      <c r="D1369" s="36"/>
      <c r="E1369" s="36"/>
      <c r="F1369" s="12"/>
      <c r="G1369" s="12"/>
      <c r="H1369" s="29"/>
      <c r="I1369" s="20"/>
      <c r="J1369" s="10"/>
      <c r="K1369" s="10"/>
      <c r="L1369" s="10"/>
      <c r="M1369" s="35"/>
      <c r="N1369" s="34"/>
      <c r="O1369" s="34"/>
      <c r="P1369" s="12"/>
      <c r="Q1369" s="39" t="s">
        <v>5234</v>
      </c>
      <c r="R1369" s="39"/>
      <c r="S1369" s="39"/>
      <c r="T1369" s="39"/>
      <c r="U1369" s="39"/>
      <c r="Y1369" s="26"/>
    </row>
    <row r="1370" ht="22.5" customHeight="1">
      <c r="A1370" s="18"/>
      <c r="B1370" s="36"/>
      <c r="C1370" s="40"/>
      <c r="D1370" s="40"/>
      <c r="E1370" s="40"/>
      <c r="F1370" s="12"/>
      <c r="G1370" s="12"/>
      <c r="H1370" s="29"/>
      <c r="I1370" s="20"/>
      <c r="J1370" s="10"/>
      <c r="K1370" s="10"/>
      <c r="L1370" s="10"/>
      <c r="M1370" s="35"/>
      <c r="N1370" s="34"/>
      <c r="O1370" s="34"/>
      <c r="P1370" s="12"/>
      <c r="Q1370" s="39" t="s">
        <v>5234</v>
      </c>
      <c r="R1370" s="39"/>
      <c r="S1370" s="39"/>
      <c r="T1370" s="39"/>
      <c r="U1370" s="39"/>
      <c r="Y1370" s="26"/>
    </row>
    <row r="1371" ht="22.5" customHeight="1">
      <c r="A1371" s="18"/>
      <c r="B1371" s="36"/>
      <c r="C1371" s="36"/>
      <c r="D1371" s="36"/>
      <c r="E1371" s="36"/>
      <c r="F1371" s="12"/>
      <c r="G1371" s="12"/>
      <c r="H1371" s="29"/>
      <c r="I1371" s="20"/>
      <c r="J1371" s="10"/>
      <c r="K1371" s="10"/>
      <c r="L1371" s="10"/>
      <c r="M1371" s="35"/>
      <c r="N1371" s="34"/>
      <c r="O1371" s="34"/>
      <c r="P1371" s="12"/>
      <c r="Q1371" s="39" t="s">
        <v>5234</v>
      </c>
      <c r="R1371" s="39"/>
      <c r="S1371" s="39"/>
      <c r="T1371" s="39"/>
      <c r="U1371" s="39"/>
      <c r="Y1371" s="26"/>
    </row>
    <row r="1372" ht="22.5" customHeight="1">
      <c r="A1372" s="18"/>
      <c r="B1372" s="36"/>
      <c r="C1372" s="36"/>
      <c r="D1372" s="36"/>
      <c r="E1372" s="36"/>
      <c r="F1372" s="12"/>
      <c r="G1372" s="12"/>
      <c r="H1372" s="29"/>
      <c r="I1372" s="20"/>
      <c r="J1372" s="10"/>
      <c r="K1372" s="10"/>
      <c r="L1372" s="10"/>
      <c r="M1372" s="35"/>
      <c r="N1372" s="34"/>
      <c r="O1372" s="34"/>
      <c r="P1372" s="12"/>
      <c r="Q1372" s="39" t="s">
        <v>5234</v>
      </c>
      <c r="R1372" s="39"/>
      <c r="S1372" s="39"/>
      <c r="T1372" s="39"/>
      <c r="U1372" s="39"/>
      <c r="Y1372" s="26"/>
    </row>
    <row r="1373" ht="22.5" customHeight="1">
      <c r="A1373" s="18"/>
      <c r="B1373" s="36"/>
      <c r="C1373" s="36"/>
      <c r="D1373" s="36"/>
      <c r="E1373" s="36"/>
      <c r="F1373" s="12"/>
      <c r="G1373" s="12"/>
      <c r="H1373" s="29"/>
      <c r="I1373" s="20"/>
      <c r="J1373" s="10"/>
      <c r="K1373" s="10"/>
      <c r="L1373" s="10"/>
      <c r="M1373" s="35"/>
      <c r="N1373" s="34"/>
      <c r="O1373" s="34"/>
      <c r="P1373" s="12"/>
      <c r="Q1373" s="39" t="s">
        <v>5234</v>
      </c>
      <c r="R1373" s="39"/>
      <c r="S1373" s="39"/>
      <c r="T1373" s="39"/>
      <c r="U1373" s="39"/>
      <c r="Y1373" s="26"/>
    </row>
    <row r="1374" ht="22.5" customHeight="1">
      <c r="A1374" s="18"/>
      <c r="B1374" s="36"/>
      <c r="C1374" s="36"/>
      <c r="D1374" s="36"/>
      <c r="E1374" s="36"/>
      <c r="F1374" s="12"/>
      <c r="G1374" s="12"/>
      <c r="H1374" s="29"/>
      <c r="I1374" s="20"/>
      <c r="J1374" s="10"/>
      <c r="K1374" s="10"/>
      <c r="L1374" s="10"/>
      <c r="M1374" s="35"/>
      <c r="N1374" s="34"/>
      <c r="O1374" s="34"/>
      <c r="P1374" s="12"/>
      <c r="Q1374" s="39" t="s">
        <v>5234</v>
      </c>
      <c r="R1374" s="39"/>
      <c r="S1374" s="39"/>
      <c r="T1374" s="39"/>
      <c r="U1374" s="39"/>
      <c r="Y1374" s="26"/>
    </row>
    <row r="1375" ht="22.5" customHeight="1">
      <c r="A1375" s="18"/>
      <c r="B1375" s="36"/>
      <c r="C1375" s="36"/>
      <c r="D1375" s="36"/>
      <c r="E1375" s="36"/>
      <c r="F1375" s="12"/>
      <c r="G1375" s="12"/>
      <c r="H1375" s="29"/>
      <c r="I1375" s="20"/>
      <c r="J1375" s="10"/>
      <c r="K1375" s="10"/>
      <c r="L1375" s="10"/>
      <c r="M1375" s="35"/>
      <c r="N1375" s="34"/>
      <c r="O1375" s="34"/>
      <c r="P1375" s="12"/>
      <c r="Q1375" s="39" t="s">
        <v>5234</v>
      </c>
      <c r="R1375" s="39"/>
      <c r="S1375" s="39"/>
      <c r="T1375" s="39"/>
      <c r="U1375" s="39"/>
      <c r="Y1375" s="26"/>
    </row>
    <row r="1376" ht="22.5" customHeight="1">
      <c r="A1376" s="18"/>
      <c r="B1376" s="36"/>
      <c r="C1376" s="36"/>
      <c r="D1376" s="36"/>
      <c r="E1376" s="36"/>
      <c r="F1376" s="12"/>
      <c r="G1376" s="12"/>
      <c r="H1376" s="29"/>
      <c r="I1376" s="20"/>
      <c r="J1376" s="10"/>
      <c r="K1376" s="10"/>
      <c r="L1376" s="10"/>
      <c r="M1376" s="35"/>
      <c r="N1376" s="34"/>
      <c r="O1376" s="34"/>
      <c r="P1376" s="12"/>
      <c r="Q1376" s="39" t="s">
        <v>5234</v>
      </c>
      <c r="R1376" s="39"/>
      <c r="S1376" s="39"/>
      <c r="T1376" s="39"/>
      <c r="U1376" s="39"/>
      <c r="Y1376" s="26"/>
    </row>
    <row r="1377" ht="22.5" customHeight="1">
      <c r="A1377" s="18"/>
      <c r="B1377" s="36"/>
      <c r="C1377" s="36"/>
      <c r="D1377" s="36"/>
      <c r="E1377" s="36"/>
      <c r="F1377" s="12"/>
      <c r="G1377" s="12"/>
      <c r="H1377" s="29"/>
      <c r="I1377" s="20"/>
      <c r="J1377" s="10"/>
      <c r="K1377" s="10"/>
      <c r="L1377" s="10"/>
      <c r="M1377" s="35"/>
      <c r="N1377" s="34"/>
      <c r="O1377" s="34"/>
      <c r="P1377" s="12"/>
      <c r="Q1377" s="39" t="s">
        <v>5234</v>
      </c>
      <c r="R1377" s="39"/>
      <c r="S1377" s="39"/>
      <c r="T1377" s="39"/>
      <c r="U1377" s="39"/>
      <c r="Y1377" s="26"/>
    </row>
    <row r="1378" ht="22.5" customHeight="1">
      <c r="A1378" s="18"/>
      <c r="B1378" s="36"/>
      <c r="C1378" s="36"/>
      <c r="D1378" s="36"/>
      <c r="E1378" s="36"/>
      <c r="F1378" s="12"/>
      <c r="G1378" s="12"/>
      <c r="H1378" s="29"/>
      <c r="I1378" s="20"/>
      <c r="J1378" s="10"/>
      <c r="K1378" s="10"/>
      <c r="L1378" s="10"/>
      <c r="M1378" s="35"/>
      <c r="N1378" s="34"/>
      <c r="O1378" s="34"/>
      <c r="P1378" s="12"/>
      <c r="Q1378" s="39" t="s">
        <v>5234</v>
      </c>
      <c r="R1378" s="39"/>
      <c r="S1378" s="39"/>
      <c r="T1378" s="39"/>
      <c r="U1378" s="39"/>
      <c r="Y1378" s="26"/>
    </row>
    <row r="1379" ht="22.5" customHeight="1">
      <c r="A1379" s="18"/>
      <c r="B1379" s="36"/>
      <c r="C1379" s="36"/>
      <c r="D1379" s="36"/>
      <c r="E1379" s="36"/>
      <c r="F1379" s="12"/>
      <c r="G1379" s="12"/>
      <c r="H1379" s="29"/>
      <c r="I1379" s="20"/>
      <c r="J1379" s="10"/>
      <c r="K1379" s="10"/>
      <c r="L1379" s="10"/>
      <c r="M1379" s="35"/>
      <c r="N1379" s="34"/>
      <c r="O1379" s="34"/>
      <c r="P1379" s="12"/>
      <c r="Q1379" s="39" t="s">
        <v>5234</v>
      </c>
      <c r="R1379" s="39"/>
      <c r="S1379" s="39"/>
      <c r="T1379" s="39"/>
      <c r="U1379" s="39"/>
      <c r="Y1379" s="26"/>
    </row>
    <row r="1380" ht="22.5" customHeight="1">
      <c r="A1380" s="18"/>
      <c r="B1380" s="36"/>
      <c r="C1380" s="36"/>
      <c r="D1380" s="36"/>
      <c r="E1380" s="36"/>
      <c r="F1380" s="12"/>
      <c r="G1380" s="12"/>
      <c r="H1380" s="29"/>
      <c r="I1380" s="20"/>
      <c r="J1380" s="10"/>
      <c r="K1380" s="10"/>
      <c r="L1380" s="10"/>
      <c r="M1380" s="35"/>
      <c r="N1380" s="34"/>
      <c r="O1380" s="34"/>
      <c r="P1380" s="12"/>
      <c r="Q1380" s="39" t="s">
        <v>5234</v>
      </c>
      <c r="R1380" s="39"/>
      <c r="S1380" s="39"/>
      <c r="T1380" s="39"/>
      <c r="U1380" s="39"/>
      <c r="Y1380" s="26"/>
    </row>
    <row r="1381" ht="22.5" customHeight="1">
      <c r="A1381" s="18"/>
      <c r="B1381" s="32"/>
      <c r="C1381" s="32"/>
      <c r="D1381" s="32"/>
      <c r="E1381" s="32"/>
      <c r="F1381" s="12"/>
      <c r="G1381" s="12"/>
      <c r="H1381" s="28"/>
      <c r="I1381" s="43"/>
      <c r="J1381" s="10"/>
      <c r="K1381" s="10"/>
      <c r="L1381" s="10"/>
      <c r="M1381" s="35"/>
      <c r="N1381" s="34"/>
      <c r="O1381" s="34"/>
      <c r="P1381" s="12"/>
      <c r="Q1381" s="39" t="s">
        <v>5234</v>
      </c>
      <c r="R1381" s="39"/>
      <c r="S1381" s="39"/>
      <c r="T1381" s="39"/>
      <c r="U1381" s="39"/>
      <c r="Y1381" s="26"/>
    </row>
    <row r="1382" ht="22.5" customHeight="1">
      <c r="A1382" s="18"/>
      <c r="B1382" s="36"/>
      <c r="C1382" s="36"/>
      <c r="D1382" s="36"/>
      <c r="E1382" s="36"/>
      <c r="F1382" s="12"/>
      <c r="G1382" s="12"/>
      <c r="H1382" s="28"/>
      <c r="I1382" s="20"/>
      <c r="J1382" s="10"/>
      <c r="K1382" s="10"/>
      <c r="L1382" s="10"/>
      <c r="M1382" s="35"/>
      <c r="N1382" s="34"/>
      <c r="O1382" s="34"/>
      <c r="P1382" s="12"/>
      <c r="Q1382" s="39" t="s">
        <v>5234</v>
      </c>
      <c r="R1382" s="39"/>
      <c r="S1382" s="39"/>
      <c r="T1382" s="39"/>
      <c r="U1382" s="39"/>
      <c r="Y1382" s="26"/>
    </row>
  </sheetData>
  <conditionalFormatting sqref="F2:F1382 G557:G1382">
    <cfRule type="containsText" dxfId="7" priority="1" operator="containsText" text="33">
      <formula>NOT(ISERROR(SEARCH(("33"),(F2))))</formula>
    </cfRule>
  </conditionalFormatting>
  <conditionalFormatting sqref="F2:F1382 G557:G1382">
    <cfRule type="containsText" dxfId="8" priority="2" operator="containsText" text="32">
      <formula>NOT(ISERROR(SEARCH(("32"),(F2))))</formula>
    </cfRule>
  </conditionalFormatting>
  <conditionalFormatting sqref="F2:F1382 G557:G1382">
    <cfRule type="containsText" dxfId="9" priority="3" operator="containsText" text="31">
      <formula>NOT(ISERROR(SEARCH(("31"),(F2))))</formula>
    </cfRule>
  </conditionalFormatting>
  <conditionalFormatting sqref="C1:C1382">
    <cfRule type="expression" dxfId="10" priority="4">
      <formula>COUNTIF($C:$C,C1)&gt;1</formula>
    </cfRule>
  </conditionalFormatting>
  <dataValidations>
    <dataValidation type="list" allowBlank="1" sqref="H2:H1382 M2:M1382">
      <formula1>#REF!</formula1>
    </dataValidation>
  </dataValidations>
  <hyperlinks>
    <hyperlink r:id="rId1" ref="S2"/>
    <hyperlink r:id="rId2" ref="Q3"/>
    <hyperlink r:id="rId3" ref="S3"/>
    <hyperlink r:id="rId4" ref="Q4"/>
    <hyperlink r:id="rId5" ref="S4"/>
    <hyperlink r:id="rId6" ref="Q5"/>
    <hyperlink r:id="rId7" ref="S5"/>
    <hyperlink r:id="rId8" ref="Q6"/>
    <hyperlink r:id="rId9" ref="S6"/>
    <hyperlink r:id="rId10" ref="Q7"/>
    <hyperlink r:id="rId11" ref="S7"/>
    <hyperlink r:id="rId12" ref="Q8"/>
    <hyperlink r:id="rId13" ref="S8"/>
    <hyperlink r:id="rId14" ref="Q9"/>
    <hyperlink r:id="rId15" ref="S9"/>
    <hyperlink r:id="rId16" ref="Q10"/>
    <hyperlink r:id="rId17" ref="S10"/>
    <hyperlink r:id="rId18" ref="Q11"/>
    <hyperlink r:id="rId19" ref="S11"/>
    <hyperlink r:id="rId20" ref="Q12"/>
    <hyperlink r:id="rId21" ref="S12"/>
    <hyperlink r:id="rId22" ref="Q13"/>
    <hyperlink r:id="rId23" ref="S13"/>
    <hyperlink r:id="rId24" ref="Q14"/>
    <hyperlink r:id="rId25" ref="S14"/>
    <hyperlink r:id="rId26" ref="Q15"/>
    <hyperlink r:id="rId27" ref="S15"/>
    <hyperlink r:id="rId28" ref="Q16"/>
    <hyperlink r:id="rId29" ref="S16"/>
    <hyperlink r:id="rId30" ref="Q17"/>
    <hyperlink r:id="rId31" ref="S17"/>
    <hyperlink r:id="rId32" ref="Q18"/>
    <hyperlink r:id="rId33" ref="S18"/>
    <hyperlink r:id="rId34" ref="Q19"/>
    <hyperlink r:id="rId35" ref="S19"/>
    <hyperlink r:id="rId36" ref="Q20"/>
    <hyperlink r:id="rId37" ref="S20"/>
    <hyperlink r:id="rId38" ref="Q21"/>
    <hyperlink r:id="rId39" ref="S21"/>
    <hyperlink r:id="rId40" ref="Q22"/>
    <hyperlink r:id="rId41" ref="S22"/>
    <hyperlink r:id="rId42" ref="Q23"/>
    <hyperlink r:id="rId43" ref="S23"/>
    <hyperlink r:id="rId44" ref="Q24"/>
    <hyperlink r:id="rId45" ref="S24"/>
    <hyperlink r:id="rId46" ref="Q25"/>
    <hyperlink r:id="rId47" ref="S25"/>
    <hyperlink r:id="rId48" ref="Q26"/>
    <hyperlink r:id="rId49" ref="S26"/>
    <hyperlink r:id="rId50" ref="Q27"/>
    <hyperlink r:id="rId51" ref="S27"/>
    <hyperlink r:id="rId52" ref="Q28"/>
    <hyperlink r:id="rId53" ref="S28"/>
    <hyperlink r:id="rId54" ref="Q29"/>
    <hyperlink r:id="rId55" ref="S29"/>
    <hyperlink r:id="rId56" ref="Q30"/>
    <hyperlink r:id="rId57" ref="S30"/>
    <hyperlink r:id="rId58" ref="Q31"/>
    <hyperlink r:id="rId59" ref="S31"/>
    <hyperlink r:id="rId60" ref="Q32"/>
    <hyperlink r:id="rId61" ref="S32"/>
    <hyperlink r:id="rId62" ref="Q33"/>
    <hyperlink r:id="rId63" ref="S33"/>
    <hyperlink r:id="rId64" ref="Q34"/>
    <hyperlink r:id="rId65" ref="S34"/>
    <hyperlink r:id="rId66" ref="Q35"/>
    <hyperlink r:id="rId67" ref="S35"/>
    <hyperlink r:id="rId68" ref="Q36"/>
    <hyperlink r:id="rId69" ref="S36"/>
    <hyperlink r:id="rId70" ref="Q37"/>
    <hyperlink r:id="rId71" ref="S37"/>
    <hyperlink r:id="rId72" ref="Q38"/>
    <hyperlink r:id="rId73" ref="S38"/>
    <hyperlink r:id="rId74" ref="Q39"/>
    <hyperlink r:id="rId75" ref="S39"/>
    <hyperlink r:id="rId76" ref="Q40"/>
    <hyperlink r:id="rId77" ref="S40"/>
    <hyperlink r:id="rId78" ref="Q41"/>
    <hyperlink r:id="rId79" ref="S41"/>
    <hyperlink r:id="rId80" ref="Q42"/>
    <hyperlink r:id="rId81" ref="S42"/>
    <hyperlink r:id="rId82" ref="Q43"/>
    <hyperlink r:id="rId83" ref="S43"/>
    <hyperlink r:id="rId84" ref="Q44"/>
    <hyperlink r:id="rId85" ref="S44"/>
    <hyperlink r:id="rId86" ref="Q45"/>
    <hyperlink r:id="rId87" ref="S45"/>
    <hyperlink r:id="rId88" ref="Q46"/>
    <hyperlink r:id="rId89" ref="S46"/>
    <hyperlink r:id="rId90" ref="Q47"/>
    <hyperlink r:id="rId91" ref="S47"/>
    <hyperlink r:id="rId92" ref="Q48"/>
    <hyperlink r:id="rId93" ref="S48"/>
    <hyperlink r:id="rId94" ref="Q49"/>
    <hyperlink r:id="rId95" ref="S49"/>
    <hyperlink r:id="rId96" ref="Q50"/>
    <hyperlink r:id="rId97" ref="S50"/>
    <hyperlink r:id="rId98" ref="Q51"/>
    <hyperlink r:id="rId99" ref="S51"/>
    <hyperlink r:id="rId100" ref="Q52"/>
    <hyperlink r:id="rId101" ref="S52"/>
    <hyperlink r:id="rId102" ref="Q53"/>
    <hyperlink r:id="rId103" ref="S53"/>
    <hyperlink r:id="rId104" ref="Q54"/>
    <hyperlink r:id="rId105" ref="S54"/>
    <hyperlink r:id="rId106" ref="Q55"/>
    <hyperlink r:id="rId107" ref="S55"/>
    <hyperlink r:id="rId108" ref="Q56"/>
    <hyperlink r:id="rId109" ref="S56"/>
    <hyperlink r:id="rId110" ref="Q57"/>
    <hyperlink r:id="rId111" ref="S57"/>
    <hyperlink r:id="rId112" ref="Q58"/>
    <hyperlink r:id="rId113" ref="S58"/>
    <hyperlink r:id="rId114" ref="Q59"/>
    <hyperlink r:id="rId115" ref="S59"/>
    <hyperlink r:id="rId116" ref="Q60"/>
    <hyperlink r:id="rId117" ref="S60"/>
    <hyperlink r:id="rId118" ref="Q61"/>
    <hyperlink r:id="rId119" ref="S61"/>
    <hyperlink r:id="rId120" ref="Q62"/>
    <hyperlink r:id="rId121" ref="S62"/>
    <hyperlink r:id="rId122" ref="Q63"/>
    <hyperlink r:id="rId123" ref="S63"/>
    <hyperlink r:id="rId124" ref="Q64"/>
    <hyperlink r:id="rId125" ref="S64"/>
    <hyperlink r:id="rId126" ref="Q65"/>
    <hyperlink r:id="rId127" ref="S65"/>
    <hyperlink r:id="rId128" ref="Q66"/>
    <hyperlink r:id="rId129" ref="S66"/>
    <hyperlink r:id="rId130" ref="Q67"/>
    <hyperlink r:id="rId131" ref="S67"/>
    <hyperlink r:id="rId132" ref="Q68"/>
    <hyperlink r:id="rId133" ref="S68"/>
    <hyperlink r:id="rId134" ref="Q69"/>
    <hyperlink r:id="rId135" ref="S69"/>
    <hyperlink r:id="rId136" ref="Q70"/>
    <hyperlink r:id="rId137" ref="S70"/>
    <hyperlink r:id="rId138" ref="Q71"/>
    <hyperlink r:id="rId139" ref="S71"/>
    <hyperlink r:id="rId140" ref="Q72"/>
    <hyperlink r:id="rId141" ref="S72"/>
    <hyperlink r:id="rId142" ref="Q73"/>
    <hyperlink r:id="rId143" ref="S73"/>
    <hyperlink r:id="rId144" ref="Q74"/>
    <hyperlink r:id="rId145" ref="S74"/>
    <hyperlink r:id="rId146" ref="Q75"/>
    <hyperlink r:id="rId147" ref="S75"/>
    <hyperlink r:id="rId148" ref="Q76"/>
    <hyperlink r:id="rId149" ref="S76"/>
    <hyperlink r:id="rId150" ref="Q77"/>
    <hyperlink r:id="rId151" ref="S77"/>
    <hyperlink r:id="rId152" ref="Q78"/>
    <hyperlink r:id="rId153" ref="S78"/>
    <hyperlink r:id="rId154" ref="Q79"/>
    <hyperlink r:id="rId155" ref="S79"/>
    <hyperlink r:id="rId156" ref="Q80"/>
    <hyperlink r:id="rId157" ref="S80"/>
    <hyperlink r:id="rId158" ref="Q81"/>
    <hyperlink r:id="rId159" ref="S81"/>
    <hyperlink r:id="rId160" ref="Q82"/>
    <hyperlink r:id="rId161" ref="S82"/>
    <hyperlink r:id="rId162" ref="Q83"/>
    <hyperlink r:id="rId163" ref="S83"/>
    <hyperlink r:id="rId164" ref="Q84"/>
    <hyperlink r:id="rId165" ref="S84"/>
    <hyperlink r:id="rId166" ref="Q85"/>
    <hyperlink r:id="rId167" ref="S85"/>
    <hyperlink r:id="rId168" ref="Q86"/>
    <hyperlink r:id="rId169" ref="S86"/>
    <hyperlink r:id="rId170" ref="Q87"/>
    <hyperlink r:id="rId171" ref="S87"/>
    <hyperlink r:id="rId172" ref="Q88"/>
    <hyperlink r:id="rId173" ref="S88"/>
    <hyperlink r:id="rId174" ref="Q89"/>
    <hyperlink r:id="rId175" ref="S89"/>
    <hyperlink r:id="rId176" ref="Q90"/>
    <hyperlink r:id="rId177" ref="S90"/>
    <hyperlink r:id="rId178" ref="Q91"/>
    <hyperlink r:id="rId179" ref="S91"/>
    <hyperlink r:id="rId180" ref="Q92"/>
    <hyperlink r:id="rId181" ref="S92"/>
    <hyperlink r:id="rId182" ref="Q93"/>
    <hyperlink r:id="rId183" ref="S93"/>
    <hyperlink r:id="rId184" ref="Q94"/>
    <hyperlink r:id="rId185" ref="S94"/>
    <hyperlink r:id="rId186" ref="Q95"/>
    <hyperlink r:id="rId187" ref="S95"/>
    <hyperlink r:id="rId188" ref="Q96"/>
    <hyperlink r:id="rId189" ref="S96"/>
    <hyperlink r:id="rId190" ref="Q97"/>
    <hyperlink r:id="rId191" ref="S97"/>
    <hyperlink r:id="rId192" ref="Q98"/>
    <hyperlink r:id="rId193" ref="S98"/>
    <hyperlink r:id="rId194" ref="Q99"/>
    <hyperlink r:id="rId195" ref="S99"/>
    <hyperlink r:id="rId196" ref="Q100"/>
    <hyperlink r:id="rId197" ref="S100"/>
    <hyperlink r:id="rId198" ref="Q101"/>
    <hyperlink r:id="rId199" ref="S101"/>
    <hyperlink r:id="rId200" ref="Q102"/>
    <hyperlink r:id="rId201" ref="S102"/>
    <hyperlink r:id="rId202" ref="Q103"/>
    <hyperlink r:id="rId203" ref="S103"/>
    <hyperlink r:id="rId204" ref="Q104"/>
    <hyperlink r:id="rId205" ref="S104"/>
    <hyperlink r:id="rId206" ref="Q105"/>
    <hyperlink r:id="rId207" ref="S105"/>
    <hyperlink r:id="rId208" ref="Q106"/>
    <hyperlink r:id="rId209" ref="S106"/>
    <hyperlink r:id="rId210" ref="Q107"/>
    <hyperlink r:id="rId211" ref="S107"/>
    <hyperlink r:id="rId212" ref="Q108"/>
    <hyperlink r:id="rId213" ref="S108"/>
    <hyperlink r:id="rId214" ref="Q109"/>
    <hyperlink r:id="rId215" ref="S109"/>
    <hyperlink r:id="rId216" ref="Q110"/>
    <hyperlink r:id="rId217" ref="S110"/>
    <hyperlink r:id="rId218" ref="Q111"/>
    <hyperlink r:id="rId219" ref="S111"/>
    <hyperlink r:id="rId220" ref="Q112"/>
    <hyperlink r:id="rId221" ref="S112"/>
    <hyperlink r:id="rId222" ref="Q113"/>
    <hyperlink r:id="rId223" ref="S113"/>
    <hyperlink r:id="rId224" ref="Q114"/>
    <hyperlink r:id="rId225" ref="S114"/>
    <hyperlink r:id="rId226" ref="Q115"/>
    <hyperlink r:id="rId227" ref="S115"/>
    <hyperlink r:id="rId228" ref="Q116"/>
    <hyperlink r:id="rId229" ref="S116"/>
    <hyperlink r:id="rId230" ref="Q117"/>
    <hyperlink r:id="rId231" ref="S117"/>
    <hyperlink r:id="rId232" ref="Q118"/>
    <hyperlink r:id="rId233" ref="S118"/>
    <hyperlink r:id="rId234" ref="Q119"/>
    <hyperlink r:id="rId235" ref="S119"/>
    <hyperlink r:id="rId236" ref="Q120"/>
    <hyperlink r:id="rId237" ref="S120"/>
    <hyperlink r:id="rId238" ref="Q121"/>
    <hyperlink r:id="rId239" ref="S121"/>
    <hyperlink r:id="rId240" ref="Q122"/>
    <hyperlink r:id="rId241" ref="S122"/>
    <hyperlink r:id="rId242" ref="Q123"/>
    <hyperlink r:id="rId243" ref="S123"/>
    <hyperlink r:id="rId244" ref="Q124"/>
    <hyperlink r:id="rId245" ref="S124"/>
    <hyperlink r:id="rId246" ref="Q125"/>
    <hyperlink r:id="rId247" ref="S125"/>
    <hyperlink r:id="rId248" ref="Q126"/>
    <hyperlink r:id="rId249" ref="S126"/>
    <hyperlink r:id="rId250" ref="Q127"/>
    <hyperlink r:id="rId251" ref="S127"/>
    <hyperlink r:id="rId252" ref="Q128"/>
    <hyperlink r:id="rId253" ref="S128"/>
    <hyperlink r:id="rId254" ref="Q129"/>
    <hyperlink r:id="rId255" ref="S129"/>
    <hyperlink r:id="rId256" ref="Q130"/>
    <hyperlink r:id="rId257" ref="S130"/>
    <hyperlink r:id="rId258" ref="Q131"/>
    <hyperlink r:id="rId259" ref="S131"/>
    <hyperlink r:id="rId260" ref="Q132"/>
    <hyperlink r:id="rId261" ref="S132"/>
    <hyperlink r:id="rId262" ref="Q133"/>
    <hyperlink r:id="rId263" ref="S133"/>
    <hyperlink r:id="rId264" ref="Q134"/>
    <hyperlink r:id="rId265" ref="S134"/>
    <hyperlink r:id="rId266" ref="Q135"/>
    <hyperlink r:id="rId267" ref="S135"/>
    <hyperlink r:id="rId268" ref="Q136"/>
    <hyperlink r:id="rId269" ref="S136"/>
    <hyperlink r:id="rId270" ref="Q137"/>
    <hyperlink r:id="rId271" ref="S137"/>
    <hyperlink r:id="rId272" ref="Q138"/>
    <hyperlink r:id="rId273" ref="S138"/>
    <hyperlink r:id="rId274" ref="Q139"/>
    <hyperlink r:id="rId275" ref="S139"/>
    <hyperlink r:id="rId276" ref="Q140"/>
    <hyperlink r:id="rId277" ref="S140"/>
    <hyperlink r:id="rId278" ref="Q141"/>
    <hyperlink r:id="rId279" ref="S141"/>
    <hyperlink r:id="rId280" ref="Q142"/>
    <hyperlink r:id="rId281" ref="S142"/>
    <hyperlink r:id="rId282" ref="Q143"/>
    <hyperlink r:id="rId283" ref="S143"/>
    <hyperlink r:id="rId284" ref="Q144"/>
    <hyperlink r:id="rId285" ref="S144"/>
    <hyperlink r:id="rId286" ref="Q145"/>
    <hyperlink r:id="rId287" ref="S145"/>
    <hyperlink r:id="rId288" ref="Q146"/>
    <hyperlink r:id="rId289" ref="S146"/>
    <hyperlink r:id="rId290" ref="Q147"/>
    <hyperlink r:id="rId291" ref="S147"/>
    <hyperlink r:id="rId292" ref="Q148"/>
    <hyperlink r:id="rId293" ref="S148"/>
    <hyperlink r:id="rId294" ref="Q149"/>
    <hyperlink r:id="rId295" ref="S149"/>
    <hyperlink r:id="rId296" ref="Q150"/>
    <hyperlink r:id="rId297" ref="S150"/>
    <hyperlink r:id="rId298" ref="Q151"/>
    <hyperlink r:id="rId299" ref="S151"/>
    <hyperlink r:id="rId300" ref="Q152"/>
    <hyperlink r:id="rId301" ref="S152"/>
    <hyperlink r:id="rId302" ref="Q153"/>
    <hyperlink r:id="rId303" ref="S153"/>
    <hyperlink r:id="rId304" ref="Q154"/>
    <hyperlink r:id="rId305" ref="S154"/>
    <hyperlink r:id="rId306" ref="Q155"/>
    <hyperlink r:id="rId307" ref="S155"/>
    <hyperlink r:id="rId308" ref="Q156"/>
    <hyperlink r:id="rId309" ref="S156"/>
    <hyperlink r:id="rId310" ref="Q157"/>
    <hyperlink r:id="rId311" ref="S157"/>
    <hyperlink r:id="rId312" ref="Q158"/>
    <hyperlink r:id="rId313" ref="S158"/>
    <hyperlink r:id="rId314" ref="Q159"/>
    <hyperlink r:id="rId315" ref="S159"/>
    <hyperlink r:id="rId316" ref="Q160"/>
    <hyperlink r:id="rId317" ref="S160"/>
    <hyperlink r:id="rId318" ref="Q161"/>
    <hyperlink r:id="rId319" ref="S161"/>
    <hyperlink r:id="rId320" ref="Q162"/>
    <hyperlink r:id="rId321" ref="S162"/>
    <hyperlink r:id="rId322" ref="Q163"/>
    <hyperlink r:id="rId323" ref="S163"/>
    <hyperlink r:id="rId324" ref="Q164"/>
    <hyperlink r:id="rId325" ref="S164"/>
    <hyperlink r:id="rId326" ref="Q165"/>
    <hyperlink r:id="rId327" ref="S165"/>
    <hyperlink r:id="rId328" ref="Q166"/>
    <hyperlink r:id="rId329" ref="S166"/>
    <hyperlink r:id="rId330" ref="Q167"/>
    <hyperlink r:id="rId331" ref="S167"/>
    <hyperlink r:id="rId332" ref="Q168"/>
    <hyperlink r:id="rId333" ref="S168"/>
    <hyperlink r:id="rId334" ref="Q169"/>
    <hyperlink r:id="rId335" ref="S169"/>
    <hyperlink r:id="rId336" ref="Q170"/>
    <hyperlink r:id="rId337" ref="S170"/>
    <hyperlink r:id="rId338" ref="Q171"/>
    <hyperlink r:id="rId339" ref="S171"/>
    <hyperlink r:id="rId340" ref="Q172"/>
    <hyperlink r:id="rId341" ref="S172"/>
    <hyperlink r:id="rId342" ref="Q173"/>
    <hyperlink r:id="rId343" ref="S173"/>
    <hyperlink r:id="rId344" ref="Q174"/>
    <hyperlink r:id="rId345" ref="S174"/>
    <hyperlink r:id="rId346" ref="Q175"/>
    <hyperlink r:id="rId347" ref="S175"/>
    <hyperlink r:id="rId348" ref="Q176"/>
    <hyperlink r:id="rId349" ref="S176"/>
    <hyperlink r:id="rId350" ref="Q177"/>
    <hyperlink r:id="rId351" ref="S177"/>
    <hyperlink r:id="rId352" ref="Q178"/>
    <hyperlink r:id="rId353" ref="S178"/>
    <hyperlink r:id="rId354" ref="Q179"/>
    <hyperlink r:id="rId355" ref="S179"/>
    <hyperlink r:id="rId356" ref="Q180"/>
    <hyperlink r:id="rId357" ref="S180"/>
    <hyperlink r:id="rId358" ref="Q181"/>
    <hyperlink r:id="rId359" ref="S181"/>
    <hyperlink r:id="rId360" ref="Q182"/>
    <hyperlink r:id="rId361" ref="S182"/>
    <hyperlink r:id="rId362" ref="Q183"/>
    <hyperlink r:id="rId363" ref="S183"/>
    <hyperlink r:id="rId364" ref="Q184"/>
    <hyperlink r:id="rId365" ref="S184"/>
    <hyperlink r:id="rId366" ref="Q185"/>
    <hyperlink r:id="rId367" ref="S185"/>
    <hyperlink r:id="rId368" ref="Q186"/>
    <hyperlink r:id="rId369" ref="S186"/>
    <hyperlink r:id="rId370" ref="Q187"/>
    <hyperlink r:id="rId371" ref="S187"/>
    <hyperlink r:id="rId372" ref="Q188"/>
    <hyperlink r:id="rId373" ref="S188"/>
    <hyperlink r:id="rId374" ref="Q189"/>
    <hyperlink r:id="rId375" ref="S189"/>
    <hyperlink r:id="rId376" ref="Q190"/>
    <hyperlink r:id="rId377" ref="S190"/>
    <hyperlink r:id="rId378" ref="Q191"/>
    <hyperlink r:id="rId379" ref="S191"/>
    <hyperlink r:id="rId380" ref="Q192"/>
    <hyperlink r:id="rId381" ref="S192"/>
    <hyperlink r:id="rId382" ref="Q193"/>
    <hyperlink r:id="rId383" ref="S193"/>
    <hyperlink r:id="rId384" ref="Q194"/>
    <hyperlink r:id="rId385" ref="S194"/>
    <hyperlink r:id="rId386" ref="Q195"/>
    <hyperlink r:id="rId387" ref="S195"/>
    <hyperlink r:id="rId388" ref="Q196"/>
    <hyperlink r:id="rId389" ref="S196"/>
    <hyperlink r:id="rId390" ref="Q197"/>
    <hyperlink r:id="rId391" ref="S197"/>
    <hyperlink r:id="rId392" ref="Q198"/>
    <hyperlink r:id="rId393" ref="S198"/>
    <hyperlink r:id="rId394" ref="Q199"/>
    <hyperlink r:id="rId395" ref="S199"/>
    <hyperlink r:id="rId396" ref="Q200"/>
    <hyperlink r:id="rId397" ref="S200"/>
    <hyperlink r:id="rId398" ref="Q201"/>
    <hyperlink r:id="rId399" ref="S201"/>
    <hyperlink r:id="rId400" ref="Q202"/>
    <hyperlink r:id="rId401" ref="S202"/>
    <hyperlink r:id="rId402" ref="Q203"/>
    <hyperlink r:id="rId403" ref="S203"/>
    <hyperlink r:id="rId404" ref="Q204"/>
    <hyperlink r:id="rId405" ref="S204"/>
    <hyperlink r:id="rId406" ref="Q205"/>
    <hyperlink r:id="rId407" ref="S205"/>
    <hyperlink r:id="rId408" ref="Q206"/>
    <hyperlink r:id="rId409" ref="S206"/>
    <hyperlink r:id="rId410" ref="Q207"/>
    <hyperlink r:id="rId411" ref="S207"/>
    <hyperlink r:id="rId412" ref="Q208"/>
    <hyperlink r:id="rId413" ref="S208"/>
    <hyperlink r:id="rId414" ref="Q209"/>
    <hyperlink r:id="rId415" ref="S209"/>
    <hyperlink r:id="rId416" ref="Q210"/>
    <hyperlink r:id="rId417" ref="S210"/>
    <hyperlink r:id="rId418" ref="Q211"/>
    <hyperlink r:id="rId419" ref="S211"/>
    <hyperlink r:id="rId420" ref="Q212"/>
    <hyperlink r:id="rId421" ref="S212"/>
    <hyperlink r:id="rId422" ref="Q213"/>
    <hyperlink r:id="rId423" ref="S213"/>
    <hyperlink r:id="rId424" ref="Q214"/>
    <hyperlink r:id="rId425" ref="S214"/>
    <hyperlink r:id="rId426" ref="Q215"/>
    <hyperlink r:id="rId427" ref="S215"/>
    <hyperlink r:id="rId428" ref="Q216"/>
    <hyperlink r:id="rId429" ref="S216"/>
    <hyperlink r:id="rId430" ref="Q217"/>
    <hyperlink r:id="rId431" ref="S217"/>
    <hyperlink r:id="rId432" ref="Q218"/>
    <hyperlink r:id="rId433" ref="S218"/>
    <hyperlink r:id="rId434" ref="Q219"/>
    <hyperlink r:id="rId435" ref="S219"/>
    <hyperlink r:id="rId436" ref="Q220"/>
    <hyperlink r:id="rId437" ref="S220"/>
    <hyperlink r:id="rId438" ref="Q221"/>
    <hyperlink r:id="rId439" ref="S221"/>
    <hyperlink r:id="rId440" ref="Q222"/>
    <hyperlink r:id="rId441" ref="S222"/>
    <hyperlink r:id="rId442" ref="Q223"/>
    <hyperlink r:id="rId443" ref="S223"/>
    <hyperlink r:id="rId444" ref="Q224"/>
    <hyperlink r:id="rId445" ref="S224"/>
    <hyperlink r:id="rId446" ref="Q225"/>
    <hyperlink r:id="rId447" ref="S225"/>
    <hyperlink r:id="rId448" ref="Q226"/>
    <hyperlink r:id="rId449" ref="S226"/>
    <hyperlink r:id="rId450" ref="Q227"/>
    <hyperlink r:id="rId451" ref="S227"/>
    <hyperlink r:id="rId452" ref="Q228"/>
    <hyperlink r:id="rId453" ref="S228"/>
    <hyperlink r:id="rId454" ref="Q229"/>
    <hyperlink r:id="rId455" ref="S229"/>
    <hyperlink r:id="rId456" ref="Q230"/>
    <hyperlink r:id="rId457" ref="S230"/>
    <hyperlink r:id="rId458" ref="Q231"/>
    <hyperlink r:id="rId459" ref="S231"/>
    <hyperlink r:id="rId460" ref="Q232"/>
    <hyperlink r:id="rId461" ref="S232"/>
    <hyperlink r:id="rId462" ref="Q233"/>
    <hyperlink r:id="rId463" ref="S233"/>
    <hyperlink r:id="rId464" ref="Q234"/>
    <hyperlink r:id="rId465" ref="S234"/>
    <hyperlink r:id="rId466" ref="Q235"/>
    <hyperlink r:id="rId467" ref="S235"/>
    <hyperlink r:id="rId468" ref="Q236"/>
    <hyperlink r:id="rId469" ref="S236"/>
    <hyperlink r:id="rId470" ref="Q237"/>
    <hyperlink r:id="rId471" ref="S237"/>
    <hyperlink r:id="rId472" ref="Q238"/>
    <hyperlink r:id="rId473" ref="S238"/>
    <hyperlink r:id="rId474" ref="Q239"/>
    <hyperlink r:id="rId475" ref="S239"/>
    <hyperlink r:id="rId476" ref="Q240"/>
    <hyperlink r:id="rId477" ref="S240"/>
    <hyperlink r:id="rId478" ref="Q241"/>
    <hyperlink r:id="rId479" ref="S241"/>
    <hyperlink r:id="rId480" ref="Q242"/>
    <hyperlink r:id="rId481" ref="S242"/>
    <hyperlink r:id="rId482" ref="Q243"/>
    <hyperlink r:id="rId483" ref="S243"/>
    <hyperlink r:id="rId484" ref="Q244"/>
    <hyperlink r:id="rId485" ref="S244"/>
    <hyperlink r:id="rId486" ref="Q245"/>
    <hyperlink r:id="rId487" ref="S245"/>
    <hyperlink r:id="rId488" ref="Q246"/>
    <hyperlink r:id="rId489" ref="S246"/>
    <hyperlink r:id="rId490" ref="Q247"/>
    <hyperlink r:id="rId491" ref="S247"/>
    <hyperlink r:id="rId492" ref="Q248"/>
    <hyperlink r:id="rId493" ref="S248"/>
    <hyperlink r:id="rId494" ref="Q249"/>
    <hyperlink r:id="rId495" ref="S249"/>
    <hyperlink r:id="rId496" ref="Q250"/>
    <hyperlink r:id="rId497" ref="S250"/>
    <hyperlink r:id="rId498" ref="Q251"/>
    <hyperlink r:id="rId499" ref="S251"/>
    <hyperlink r:id="rId500" ref="Q252"/>
    <hyperlink r:id="rId501" ref="S252"/>
    <hyperlink r:id="rId502" ref="Q253"/>
    <hyperlink r:id="rId503" ref="S253"/>
    <hyperlink r:id="rId504" ref="Q254"/>
    <hyperlink r:id="rId505" ref="S254"/>
    <hyperlink r:id="rId506" ref="Q255"/>
    <hyperlink r:id="rId507" ref="S255"/>
    <hyperlink r:id="rId508" ref="Q256"/>
    <hyperlink r:id="rId509" ref="S256"/>
    <hyperlink r:id="rId510" ref="Q257"/>
    <hyperlink r:id="rId511" ref="S257"/>
    <hyperlink r:id="rId512" ref="Q258"/>
    <hyperlink r:id="rId513" ref="S258"/>
    <hyperlink r:id="rId514" ref="Q259"/>
    <hyperlink r:id="rId515" ref="S259"/>
    <hyperlink r:id="rId516" ref="Q260"/>
    <hyperlink r:id="rId517" ref="S260"/>
    <hyperlink r:id="rId518" ref="Q261"/>
    <hyperlink r:id="rId519" ref="S261"/>
    <hyperlink r:id="rId520" ref="Q262"/>
    <hyperlink r:id="rId521" ref="S262"/>
    <hyperlink r:id="rId522" ref="Q263"/>
    <hyperlink r:id="rId523" ref="S263"/>
    <hyperlink r:id="rId524" ref="Q264"/>
    <hyperlink r:id="rId525" ref="S264"/>
    <hyperlink r:id="rId526" ref="Q265"/>
    <hyperlink r:id="rId527" ref="S265"/>
    <hyperlink r:id="rId528" ref="Q266"/>
    <hyperlink r:id="rId529" ref="S266"/>
    <hyperlink r:id="rId530" ref="Q267"/>
    <hyperlink r:id="rId531" ref="S267"/>
    <hyperlink r:id="rId532" ref="Q268"/>
    <hyperlink r:id="rId533" ref="S268"/>
    <hyperlink r:id="rId534" ref="Q269"/>
    <hyperlink r:id="rId535" ref="S269"/>
    <hyperlink r:id="rId536" ref="Q270"/>
    <hyperlink r:id="rId537" ref="S270"/>
    <hyperlink r:id="rId538" ref="Q271"/>
    <hyperlink r:id="rId539" ref="S271"/>
    <hyperlink r:id="rId540" ref="Q272"/>
    <hyperlink r:id="rId541" ref="S272"/>
    <hyperlink r:id="rId542" ref="Q273"/>
    <hyperlink r:id="rId543" ref="S273"/>
    <hyperlink r:id="rId544" ref="Q274"/>
    <hyperlink r:id="rId545" ref="S274"/>
    <hyperlink r:id="rId546" ref="Q275"/>
    <hyperlink r:id="rId547" ref="S275"/>
    <hyperlink r:id="rId548" ref="Q276"/>
    <hyperlink r:id="rId549" ref="S276"/>
    <hyperlink r:id="rId550" ref="Q277"/>
    <hyperlink r:id="rId551" ref="S277"/>
    <hyperlink r:id="rId552" ref="Q278"/>
    <hyperlink r:id="rId553" ref="S278"/>
    <hyperlink r:id="rId554" ref="Q279"/>
    <hyperlink r:id="rId555" ref="S279"/>
    <hyperlink r:id="rId556" ref="Q280"/>
    <hyperlink r:id="rId557" ref="S280"/>
    <hyperlink r:id="rId558" ref="Q281"/>
    <hyperlink r:id="rId559" ref="S281"/>
    <hyperlink r:id="rId560" ref="Q282"/>
    <hyperlink r:id="rId561" ref="S282"/>
    <hyperlink r:id="rId562" ref="Q283"/>
    <hyperlink r:id="rId563" ref="S283"/>
    <hyperlink r:id="rId564" ref="Q284"/>
    <hyperlink r:id="rId565" ref="S284"/>
    <hyperlink r:id="rId566" ref="Q285"/>
    <hyperlink r:id="rId567" ref="S285"/>
    <hyperlink r:id="rId568" ref="Q286"/>
    <hyperlink r:id="rId569" ref="S286"/>
    <hyperlink r:id="rId570" ref="Q287"/>
    <hyperlink r:id="rId571" ref="S287"/>
    <hyperlink r:id="rId572" ref="Q288"/>
    <hyperlink r:id="rId573" ref="S288"/>
    <hyperlink r:id="rId574" ref="Q289"/>
    <hyperlink r:id="rId575" ref="S289"/>
    <hyperlink r:id="rId576" ref="Q290"/>
    <hyperlink r:id="rId577" ref="S290"/>
    <hyperlink r:id="rId578" ref="Q291"/>
    <hyperlink r:id="rId579" ref="S291"/>
    <hyperlink r:id="rId580" ref="Q292"/>
    <hyperlink r:id="rId581" ref="S292"/>
    <hyperlink r:id="rId582" ref="Q293"/>
    <hyperlink r:id="rId583" ref="S293"/>
    <hyperlink r:id="rId584" ref="Q294"/>
    <hyperlink r:id="rId585" ref="S294"/>
    <hyperlink r:id="rId586" ref="Q295"/>
    <hyperlink r:id="rId587" ref="S295"/>
    <hyperlink r:id="rId588" ref="Q296"/>
    <hyperlink r:id="rId589" ref="S296"/>
    <hyperlink r:id="rId590" ref="Q297"/>
    <hyperlink r:id="rId591" ref="S297"/>
    <hyperlink r:id="rId592" ref="Q298"/>
    <hyperlink r:id="rId593" ref="S298"/>
    <hyperlink r:id="rId594" ref="Q299"/>
    <hyperlink r:id="rId595" ref="S299"/>
    <hyperlink r:id="rId596" ref="Q300"/>
    <hyperlink r:id="rId597" ref="S300"/>
    <hyperlink r:id="rId598" ref="Q301"/>
    <hyperlink r:id="rId599" ref="S301"/>
    <hyperlink r:id="rId600" ref="Q302"/>
    <hyperlink r:id="rId601" ref="S302"/>
    <hyperlink r:id="rId602" ref="Q303"/>
    <hyperlink r:id="rId603" ref="S303"/>
    <hyperlink r:id="rId604" ref="Q304"/>
    <hyperlink r:id="rId605" ref="S304"/>
    <hyperlink r:id="rId606" ref="Q305"/>
    <hyperlink r:id="rId607" ref="S305"/>
    <hyperlink r:id="rId608" ref="Q306"/>
    <hyperlink r:id="rId609" ref="S306"/>
    <hyperlink r:id="rId610" ref="Q307"/>
    <hyperlink r:id="rId611" ref="S307"/>
    <hyperlink r:id="rId612" ref="Q308"/>
    <hyperlink r:id="rId613" ref="S308"/>
    <hyperlink r:id="rId614" ref="Q309"/>
    <hyperlink r:id="rId615" ref="S309"/>
    <hyperlink r:id="rId616" ref="Q310"/>
    <hyperlink r:id="rId617" ref="S310"/>
    <hyperlink r:id="rId618" ref="Q311"/>
    <hyperlink r:id="rId619" ref="S311"/>
    <hyperlink r:id="rId620" ref="Q312"/>
    <hyperlink r:id="rId621" ref="S312"/>
    <hyperlink r:id="rId622" ref="Q313"/>
    <hyperlink r:id="rId623" ref="S313"/>
    <hyperlink r:id="rId624" ref="Q314"/>
    <hyperlink r:id="rId625" ref="S314"/>
    <hyperlink r:id="rId626" ref="Q315"/>
    <hyperlink r:id="rId627" ref="S315"/>
    <hyperlink r:id="rId628" ref="Q316"/>
    <hyperlink r:id="rId629" ref="S316"/>
    <hyperlink r:id="rId630" ref="Q317"/>
    <hyperlink r:id="rId631" ref="S317"/>
    <hyperlink r:id="rId632" ref="Q318"/>
    <hyperlink r:id="rId633" ref="S318"/>
    <hyperlink r:id="rId634" ref="Q319"/>
    <hyperlink r:id="rId635" ref="S319"/>
    <hyperlink r:id="rId636" ref="Q320"/>
    <hyperlink r:id="rId637" ref="S320"/>
    <hyperlink r:id="rId638" ref="Q321"/>
    <hyperlink r:id="rId639" ref="S321"/>
    <hyperlink r:id="rId640" ref="Q322"/>
    <hyperlink r:id="rId641" ref="S322"/>
    <hyperlink r:id="rId642" ref="Q323"/>
    <hyperlink r:id="rId643" ref="S323"/>
    <hyperlink r:id="rId644" ref="Q324"/>
    <hyperlink r:id="rId645" ref="S324"/>
    <hyperlink r:id="rId646" ref="Q325"/>
    <hyperlink r:id="rId647" ref="S325"/>
    <hyperlink r:id="rId648" ref="Q326"/>
    <hyperlink r:id="rId649" ref="S326"/>
    <hyperlink r:id="rId650" ref="Q327"/>
    <hyperlink r:id="rId651" ref="S327"/>
    <hyperlink r:id="rId652" ref="Q328"/>
    <hyperlink r:id="rId653" ref="S328"/>
    <hyperlink r:id="rId654" ref="Q329"/>
    <hyperlink r:id="rId655" ref="S329"/>
    <hyperlink r:id="rId656" ref="Q330"/>
    <hyperlink r:id="rId657" ref="S330"/>
    <hyperlink r:id="rId658" ref="Q331"/>
    <hyperlink r:id="rId659" ref="S331"/>
    <hyperlink r:id="rId660" ref="Q332"/>
    <hyperlink r:id="rId661" ref="S332"/>
    <hyperlink r:id="rId662" ref="Q333"/>
    <hyperlink r:id="rId663" ref="S333"/>
    <hyperlink r:id="rId664" ref="Q334"/>
    <hyperlink r:id="rId665" ref="S334"/>
    <hyperlink r:id="rId666" ref="Q335"/>
    <hyperlink r:id="rId667" ref="S335"/>
    <hyperlink r:id="rId668" ref="Q336"/>
    <hyperlink r:id="rId669" ref="S336"/>
    <hyperlink r:id="rId670" ref="Q337"/>
    <hyperlink r:id="rId671" ref="S337"/>
    <hyperlink r:id="rId672" ref="Q338"/>
    <hyperlink r:id="rId673" ref="S338"/>
    <hyperlink r:id="rId674" ref="Q339"/>
    <hyperlink r:id="rId675" ref="S339"/>
    <hyperlink r:id="rId676" ref="Q340"/>
    <hyperlink r:id="rId677" ref="S340"/>
    <hyperlink r:id="rId678" ref="Q341"/>
    <hyperlink r:id="rId679" ref="S341"/>
    <hyperlink r:id="rId680" ref="Q342"/>
    <hyperlink r:id="rId681" ref="S342"/>
    <hyperlink r:id="rId682" ref="Q343"/>
    <hyperlink r:id="rId683" ref="S343"/>
    <hyperlink r:id="rId684" ref="Q344"/>
    <hyperlink r:id="rId685" ref="S344"/>
    <hyperlink r:id="rId686" ref="Q345"/>
    <hyperlink r:id="rId687" ref="S345"/>
    <hyperlink r:id="rId688" ref="Q346"/>
    <hyperlink r:id="rId689" ref="S346"/>
    <hyperlink r:id="rId690" ref="Q347"/>
    <hyperlink r:id="rId691" ref="S347"/>
    <hyperlink r:id="rId692" ref="Q348"/>
    <hyperlink r:id="rId693" ref="S348"/>
    <hyperlink r:id="rId694" ref="Q349"/>
    <hyperlink r:id="rId695" ref="S349"/>
    <hyperlink r:id="rId696" ref="Q350"/>
    <hyperlink r:id="rId697" ref="S350"/>
    <hyperlink r:id="rId698" ref="Q351"/>
    <hyperlink r:id="rId699" ref="S351"/>
    <hyperlink r:id="rId700" ref="Q352"/>
    <hyperlink r:id="rId701" ref="S352"/>
    <hyperlink r:id="rId702" ref="Q353"/>
    <hyperlink r:id="rId703" ref="S353"/>
    <hyperlink r:id="rId704" ref="Q354"/>
    <hyperlink r:id="rId705" ref="S354"/>
    <hyperlink r:id="rId706" ref="Q355"/>
    <hyperlink r:id="rId707" ref="S355"/>
    <hyperlink r:id="rId708" ref="Q356"/>
    <hyperlink r:id="rId709" ref="S356"/>
    <hyperlink r:id="rId710" ref="Q357"/>
    <hyperlink r:id="rId711" ref="S357"/>
    <hyperlink r:id="rId712" ref="Q358"/>
    <hyperlink r:id="rId713" ref="S358"/>
    <hyperlink r:id="rId714" ref="Q359"/>
    <hyperlink r:id="rId715" ref="S359"/>
    <hyperlink r:id="rId716" ref="Q360"/>
    <hyperlink r:id="rId717" ref="S360"/>
    <hyperlink r:id="rId718" ref="Q361"/>
    <hyperlink r:id="rId719" ref="S361"/>
    <hyperlink r:id="rId720" ref="Q362"/>
    <hyperlink r:id="rId721" ref="S362"/>
    <hyperlink r:id="rId722" ref="Q363"/>
    <hyperlink r:id="rId723" ref="S363"/>
    <hyperlink r:id="rId724" ref="Q364"/>
    <hyperlink r:id="rId725" ref="S364"/>
    <hyperlink r:id="rId726" ref="Q365"/>
    <hyperlink r:id="rId727" ref="S365"/>
    <hyperlink r:id="rId728" ref="Q366"/>
    <hyperlink r:id="rId729" ref="S366"/>
    <hyperlink r:id="rId730" ref="Q367"/>
    <hyperlink r:id="rId731" ref="S367"/>
    <hyperlink r:id="rId732" ref="Q368"/>
    <hyperlink r:id="rId733" ref="S368"/>
    <hyperlink r:id="rId734" ref="Q369"/>
    <hyperlink r:id="rId735" ref="S369"/>
    <hyperlink r:id="rId736" ref="Q370"/>
    <hyperlink r:id="rId737" ref="S370"/>
    <hyperlink r:id="rId738" ref="Q371"/>
    <hyperlink r:id="rId739" ref="S371"/>
    <hyperlink r:id="rId740" ref="Q372"/>
    <hyperlink r:id="rId741" ref="S372"/>
    <hyperlink r:id="rId742" ref="Q373"/>
    <hyperlink r:id="rId743" ref="S373"/>
    <hyperlink r:id="rId744" ref="Q374"/>
    <hyperlink r:id="rId745" ref="S374"/>
    <hyperlink r:id="rId746" ref="Q375"/>
    <hyperlink r:id="rId747" ref="S375"/>
    <hyperlink r:id="rId748" ref="Q376"/>
    <hyperlink r:id="rId749" ref="S376"/>
    <hyperlink r:id="rId750" ref="Q377"/>
    <hyperlink r:id="rId751" ref="S377"/>
    <hyperlink r:id="rId752" ref="Q378"/>
    <hyperlink r:id="rId753" ref="S378"/>
    <hyperlink r:id="rId754" ref="Q379"/>
    <hyperlink r:id="rId755" ref="S379"/>
    <hyperlink r:id="rId756" ref="Q380"/>
    <hyperlink r:id="rId757" ref="S380"/>
    <hyperlink r:id="rId758" ref="Q381"/>
    <hyperlink r:id="rId759" ref="S381"/>
    <hyperlink r:id="rId760" ref="Q382"/>
    <hyperlink r:id="rId761" ref="S382"/>
    <hyperlink r:id="rId762" ref="Q383"/>
    <hyperlink r:id="rId763" ref="S383"/>
    <hyperlink r:id="rId764" ref="Q384"/>
    <hyperlink r:id="rId765" ref="S384"/>
    <hyperlink r:id="rId766" ref="Q385"/>
    <hyperlink r:id="rId767" ref="S385"/>
    <hyperlink r:id="rId768" ref="Q386"/>
    <hyperlink r:id="rId769" ref="S386"/>
    <hyperlink r:id="rId770" ref="Q387"/>
    <hyperlink r:id="rId771" ref="S387"/>
    <hyperlink r:id="rId772" ref="Q388"/>
    <hyperlink r:id="rId773" ref="S388"/>
    <hyperlink r:id="rId774" ref="Q389"/>
    <hyperlink r:id="rId775" ref="S389"/>
    <hyperlink r:id="rId776" ref="Q390"/>
    <hyperlink r:id="rId777" ref="S390"/>
    <hyperlink r:id="rId778" ref="Q391"/>
    <hyperlink r:id="rId779" ref="S391"/>
    <hyperlink r:id="rId780" ref="Q392"/>
    <hyperlink r:id="rId781" ref="S392"/>
    <hyperlink r:id="rId782" ref="Q393"/>
    <hyperlink r:id="rId783" ref="S393"/>
    <hyperlink r:id="rId784" ref="Q394"/>
    <hyperlink r:id="rId785" ref="S394"/>
    <hyperlink r:id="rId786" ref="Q395"/>
    <hyperlink r:id="rId787" ref="S395"/>
    <hyperlink r:id="rId788" ref="Q396"/>
    <hyperlink r:id="rId789" ref="S396"/>
    <hyperlink r:id="rId790" ref="Q397"/>
    <hyperlink r:id="rId791" ref="S397"/>
    <hyperlink r:id="rId792" ref="Q398"/>
    <hyperlink r:id="rId793" ref="S398"/>
    <hyperlink r:id="rId794" ref="Q399"/>
    <hyperlink r:id="rId795" ref="S399"/>
    <hyperlink r:id="rId796" ref="Q400"/>
    <hyperlink r:id="rId797" ref="S400"/>
    <hyperlink r:id="rId798" ref="Q401"/>
    <hyperlink r:id="rId799" ref="S401"/>
    <hyperlink r:id="rId800" ref="Q402"/>
    <hyperlink r:id="rId801" ref="S402"/>
    <hyperlink r:id="rId802" ref="Q403"/>
    <hyperlink r:id="rId803" ref="S403"/>
    <hyperlink r:id="rId804" ref="Q404"/>
    <hyperlink r:id="rId805" ref="S404"/>
    <hyperlink r:id="rId806" ref="Q405"/>
    <hyperlink r:id="rId807" ref="S405"/>
    <hyperlink r:id="rId808" ref="Q406"/>
    <hyperlink r:id="rId809" ref="S406"/>
    <hyperlink r:id="rId810" ref="Q407"/>
    <hyperlink r:id="rId811" ref="S407"/>
    <hyperlink r:id="rId812" ref="Q408"/>
    <hyperlink r:id="rId813" ref="S408"/>
    <hyperlink r:id="rId814" ref="Q409"/>
    <hyperlink r:id="rId815" ref="S409"/>
    <hyperlink r:id="rId816" ref="Q410"/>
    <hyperlink r:id="rId817" ref="S410"/>
    <hyperlink r:id="rId818" ref="Q411"/>
    <hyperlink r:id="rId819" ref="S411"/>
    <hyperlink r:id="rId820" ref="Q412"/>
    <hyperlink r:id="rId821" ref="S412"/>
    <hyperlink r:id="rId822" ref="Q413"/>
    <hyperlink r:id="rId823" ref="S413"/>
    <hyperlink r:id="rId824" ref="Q414"/>
    <hyperlink r:id="rId825" ref="S414"/>
    <hyperlink r:id="rId826" ref="Q415"/>
    <hyperlink r:id="rId827" ref="S415"/>
    <hyperlink r:id="rId828" ref="Q416"/>
    <hyperlink r:id="rId829" ref="S416"/>
    <hyperlink r:id="rId830" ref="Q417"/>
    <hyperlink r:id="rId831" ref="S417"/>
    <hyperlink r:id="rId832" ref="Q418"/>
    <hyperlink r:id="rId833" ref="S418"/>
    <hyperlink r:id="rId834" ref="Q419"/>
    <hyperlink r:id="rId835" ref="S419"/>
    <hyperlink r:id="rId836" ref="Q420"/>
    <hyperlink r:id="rId837" ref="S420"/>
    <hyperlink r:id="rId838" ref="Q421"/>
    <hyperlink r:id="rId839" ref="S421"/>
    <hyperlink r:id="rId840" ref="Q422"/>
    <hyperlink r:id="rId841" ref="S422"/>
    <hyperlink r:id="rId842" ref="Q423"/>
    <hyperlink r:id="rId843" ref="S423"/>
    <hyperlink r:id="rId844" ref="Q424"/>
    <hyperlink r:id="rId845" ref="S424"/>
    <hyperlink r:id="rId846" ref="Q425"/>
    <hyperlink r:id="rId847" ref="S425"/>
    <hyperlink r:id="rId848" ref="Q426"/>
    <hyperlink r:id="rId849" ref="S426"/>
    <hyperlink r:id="rId850" ref="Q427"/>
    <hyperlink r:id="rId851" ref="S427"/>
    <hyperlink r:id="rId852" ref="Q428"/>
    <hyperlink r:id="rId853" ref="S428"/>
    <hyperlink r:id="rId854" ref="Q429"/>
    <hyperlink r:id="rId855" ref="S429"/>
    <hyperlink r:id="rId856" ref="Q430"/>
    <hyperlink r:id="rId857" ref="S430"/>
    <hyperlink r:id="rId858" ref="Q431"/>
    <hyperlink r:id="rId859" ref="S431"/>
    <hyperlink r:id="rId860" ref="Q432"/>
    <hyperlink r:id="rId861" ref="S432"/>
    <hyperlink r:id="rId862" ref="Q433"/>
    <hyperlink r:id="rId863" ref="S433"/>
    <hyperlink r:id="rId864" ref="Q434"/>
    <hyperlink r:id="rId865" ref="S434"/>
    <hyperlink r:id="rId866" ref="Q435"/>
    <hyperlink r:id="rId867" ref="S435"/>
    <hyperlink r:id="rId868" ref="Q436"/>
    <hyperlink r:id="rId869" ref="S436"/>
    <hyperlink r:id="rId870" ref="Q437"/>
    <hyperlink r:id="rId871" ref="S437"/>
    <hyperlink r:id="rId872" ref="Q438"/>
    <hyperlink r:id="rId873" ref="S438"/>
    <hyperlink r:id="rId874" ref="Q439"/>
    <hyperlink r:id="rId875" ref="S439"/>
    <hyperlink r:id="rId876" ref="Q440"/>
    <hyperlink r:id="rId877" ref="S440"/>
    <hyperlink r:id="rId878" ref="Q441"/>
    <hyperlink r:id="rId879" ref="S441"/>
    <hyperlink r:id="rId880" ref="Q442"/>
    <hyperlink r:id="rId881" ref="S442"/>
    <hyperlink r:id="rId882" ref="Q443"/>
    <hyperlink r:id="rId883" ref="S443"/>
    <hyperlink r:id="rId884" ref="Q444"/>
    <hyperlink r:id="rId885" ref="S444"/>
    <hyperlink r:id="rId886" ref="Q445"/>
    <hyperlink r:id="rId887" ref="S445"/>
    <hyperlink r:id="rId888" ref="Q446"/>
    <hyperlink r:id="rId889" ref="S446"/>
    <hyperlink r:id="rId890" ref="Q447"/>
    <hyperlink r:id="rId891" ref="S447"/>
    <hyperlink r:id="rId892" ref="Q448"/>
    <hyperlink r:id="rId893" ref="S448"/>
    <hyperlink r:id="rId894" ref="Q449"/>
    <hyperlink r:id="rId895" ref="S449"/>
    <hyperlink r:id="rId896" ref="Q450"/>
    <hyperlink r:id="rId897" ref="S450"/>
    <hyperlink r:id="rId898" ref="Q451"/>
    <hyperlink r:id="rId899" ref="S451"/>
    <hyperlink r:id="rId900" ref="Q452"/>
    <hyperlink r:id="rId901" ref="S452"/>
    <hyperlink r:id="rId902" ref="Q453"/>
    <hyperlink r:id="rId903" ref="S453"/>
    <hyperlink r:id="rId904" ref="Q454"/>
    <hyperlink r:id="rId905" ref="S454"/>
    <hyperlink r:id="rId906" ref="Q455"/>
    <hyperlink r:id="rId907" ref="S455"/>
    <hyperlink r:id="rId908" ref="Q456"/>
    <hyperlink r:id="rId909" ref="S456"/>
    <hyperlink r:id="rId910" ref="Q457"/>
    <hyperlink r:id="rId911" ref="S457"/>
    <hyperlink r:id="rId912" ref="Q458"/>
    <hyperlink r:id="rId913" ref="S458"/>
    <hyperlink r:id="rId914" ref="Q459"/>
    <hyperlink r:id="rId915" ref="S459"/>
    <hyperlink r:id="rId916" ref="Q460"/>
    <hyperlink r:id="rId917" ref="S460"/>
    <hyperlink r:id="rId918" ref="Q461"/>
    <hyperlink r:id="rId919" ref="S461"/>
    <hyperlink r:id="rId920" ref="Q462"/>
    <hyperlink r:id="rId921" ref="S462"/>
    <hyperlink r:id="rId922" ref="Q463"/>
    <hyperlink r:id="rId923" ref="S463"/>
    <hyperlink r:id="rId924" ref="Q464"/>
    <hyperlink r:id="rId925" ref="S464"/>
    <hyperlink r:id="rId926" ref="Q465"/>
    <hyperlink r:id="rId927" ref="S465"/>
    <hyperlink r:id="rId928" ref="Q466"/>
    <hyperlink r:id="rId929" ref="S466"/>
    <hyperlink r:id="rId930" ref="Q467"/>
    <hyperlink r:id="rId931" ref="S467"/>
    <hyperlink r:id="rId932" ref="Q468"/>
    <hyperlink r:id="rId933" ref="S468"/>
    <hyperlink r:id="rId934" ref="Q469"/>
    <hyperlink r:id="rId935" ref="S469"/>
    <hyperlink r:id="rId936" ref="Q470"/>
    <hyperlink r:id="rId937" ref="S470"/>
    <hyperlink r:id="rId938" ref="Q471"/>
    <hyperlink r:id="rId939" ref="S471"/>
    <hyperlink r:id="rId940" ref="Q472"/>
    <hyperlink r:id="rId941" ref="S472"/>
    <hyperlink r:id="rId942" ref="Q473"/>
    <hyperlink r:id="rId943" ref="S473"/>
    <hyperlink r:id="rId944" ref="Q474"/>
    <hyperlink r:id="rId945" ref="S474"/>
    <hyperlink r:id="rId946" ref="Q475"/>
    <hyperlink r:id="rId947" ref="S475"/>
    <hyperlink r:id="rId948" ref="Q476"/>
    <hyperlink r:id="rId949" ref="S476"/>
    <hyperlink r:id="rId950" ref="Q477"/>
    <hyperlink r:id="rId951" ref="S477"/>
    <hyperlink r:id="rId952" ref="Q478"/>
    <hyperlink r:id="rId953" ref="S478"/>
    <hyperlink r:id="rId954" ref="Q479"/>
    <hyperlink r:id="rId955" ref="S479"/>
    <hyperlink r:id="rId956" ref="Q480"/>
    <hyperlink r:id="rId957" ref="S480"/>
    <hyperlink r:id="rId958" ref="Q481"/>
    <hyperlink r:id="rId959" ref="S481"/>
    <hyperlink r:id="rId960" ref="Q482"/>
    <hyperlink r:id="rId961" ref="S482"/>
    <hyperlink r:id="rId962" ref="Q483"/>
    <hyperlink r:id="rId963" ref="S483"/>
    <hyperlink r:id="rId964" ref="Q484"/>
    <hyperlink r:id="rId965" ref="S484"/>
    <hyperlink r:id="rId966" ref="Q485"/>
    <hyperlink r:id="rId967" ref="S485"/>
    <hyperlink r:id="rId968" ref="Q486"/>
    <hyperlink r:id="rId969" ref="S486"/>
    <hyperlink r:id="rId970" ref="Q487"/>
    <hyperlink r:id="rId971" ref="S487"/>
    <hyperlink r:id="rId972" ref="Q488"/>
    <hyperlink r:id="rId973" ref="S488"/>
    <hyperlink r:id="rId974" ref="Q489"/>
    <hyperlink r:id="rId975" ref="S489"/>
    <hyperlink r:id="rId976" ref="Q490"/>
    <hyperlink r:id="rId977" ref="S490"/>
    <hyperlink r:id="rId978" ref="Q491"/>
    <hyperlink r:id="rId979" ref="S491"/>
    <hyperlink r:id="rId980" ref="Q492"/>
    <hyperlink r:id="rId981" ref="S492"/>
    <hyperlink r:id="rId982" ref="Q493"/>
    <hyperlink r:id="rId983" ref="S493"/>
    <hyperlink r:id="rId984" ref="Q494"/>
    <hyperlink r:id="rId985" ref="S494"/>
    <hyperlink r:id="rId986" ref="Q495"/>
    <hyperlink r:id="rId987" ref="S495"/>
    <hyperlink r:id="rId988" ref="Q496"/>
    <hyperlink r:id="rId989" ref="S496"/>
    <hyperlink r:id="rId990" ref="Q497"/>
    <hyperlink r:id="rId991" ref="S497"/>
    <hyperlink r:id="rId992" ref="Q498"/>
    <hyperlink r:id="rId993" ref="S498"/>
    <hyperlink r:id="rId994" ref="Q499"/>
    <hyperlink r:id="rId995" ref="S499"/>
    <hyperlink r:id="rId996" ref="Q500"/>
    <hyperlink r:id="rId997" ref="S500"/>
    <hyperlink r:id="rId998" ref="Q501"/>
    <hyperlink r:id="rId999" ref="S501"/>
    <hyperlink r:id="rId1000" ref="Q502"/>
    <hyperlink r:id="rId1001" ref="S502"/>
    <hyperlink r:id="rId1002" ref="Q503"/>
    <hyperlink r:id="rId1003" ref="S503"/>
    <hyperlink r:id="rId1004" ref="Q504"/>
    <hyperlink r:id="rId1005" ref="S504"/>
    <hyperlink r:id="rId1006" ref="Q505"/>
    <hyperlink r:id="rId1007" ref="S505"/>
    <hyperlink r:id="rId1008" ref="Q506"/>
    <hyperlink r:id="rId1009" ref="S506"/>
    <hyperlink r:id="rId1010" ref="Q507"/>
    <hyperlink r:id="rId1011" ref="S507"/>
    <hyperlink r:id="rId1012" ref="Q508"/>
    <hyperlink r:id="rId1013" ref="S508"/>
    <hyperlink r:id="rId1014" ref="Q509"/>
    <hyperlink r:id="rId1015" ref="S509"/>
    <hyperlink r:id="rId1016" ref="Q510"/>
    <hyperlink r:id="rId1017" ref="S510"/>
    <hyperlink r:id="rId1018" ref="Q511"/>
    <hyperlink r:id="rId1019" ref="S511"/>
    <hyperlink r:id="rId1020" ref="Q512"/>
    <hyperlink r:id="rId1021" ref="S512"/>
    <hyperlink r:id="rId1022" ref="Q513"/>
    <hyperlink r:id="rId1023" ref="S513"/>
    <hyperlink r:id="rId1024" ref="Q514"/>
    <hyperlink r:id="rId1025" ref="S514"/>
    <hyperlink r:id="rId1026" ref="Q515"/>
    <hyperlink r:id="rId1027" ref="S515"/>
    <hyperlink r:id="rId1028" ref="Q516"/>
    <hyperlink r:id="rId1029" ref="S516"/>
    <hyperlink r:id="rId1030" ref="Q517"/>
    <hyperlink r:id="rId1031" ref="S517"/>
    <hyperlink r:id="rId1032" ref="Q518"/>
    <hyperlink r:id="rId1033" ref="S518"/>
    <hyperlink r:id="rId1034" ref="Q519"/>
    <hyperlink r:id="rId1035" ref="S519"/>
    <hyperlink r:id="rId1036" ref="Q520"/>
    <hyperlink r:id="rId1037" ref="S520"/>
    <hyperlink r:id="rId1038" ref="Q521"/>
    <hyperlink r:id="rId1039" ref="S521"/>
    <hyperlink r:id="rId1040" ref="Q522"/>
    <hyperlink r:id="rId1041" ref="S522"/>
    <hyperlink r:id="rId1042" ref="Q523"/>
    <hyperlink r:id="rId1043" ref="S523"/>
    <hyperlink r:id="rId1044" ref="Q524"/>
    <hyperlink r:id="rId1045" ref="S524"/>
    <hyperlink r:id="rId1046" ref="Q525"/>
    <hyperlink r:id="rId1047" ref="S525"/>
    <hyperlink r:id="rId1048" ref="Q526"/>
    <hyperlink r:id="rId1049" ref="S526"/>
    <hyperlink r:id="rId1050" ref="Q527"/>
    <hyperlink r:id="rId1051" ref="S527"/>
    <hyperlink r:id="rId1052" ref="Q528"/>
    <hyperlink r:id="rId1053" ref="S528"/>
    <hyperlink r:id="rId1054" ref="Q529"/>
    <hyperlink r:id="rId1055" ref="S529"/>
    <hyperlink r:id="rId1056" ref="Q530"/>
    <hyperlink r:id="rId1057" ref="S530"/>
    <hyperlink r:id="rId1058" ref="Q531"/>
    <hyperlink r:id="rId1059" ref="S531"/>
    <hyperlink r:id="rId1060" ref="Q532"/>
    <hyperlink r:id="rId1061" ref="S532"/>
    <hyperlink r:id="rId1062" ref="Q533"/>
    <hyperlink r:id="rId1063" ref="S533"/>
    <hyperlink r:id="rId1064" ref="Q534"/>
    <hyperlink r:id="rId1065" ref="S534"/>
    <hyperlink r:id="rId1066" ref="Q535"/>
    <hyperlink r:id="rId1067" ref="S535"/>
    <hyperlink r:id="rId1068" ref="Q536"/>
    <hyperlink r:id="rId1069" ref="S536"/>
    <hyperlink r:id="rId1070" ref="Q537"/>
    <hyperlink r:id="rId1071" ref="S537"/>
    <hyperlink r:id="rId1072" ref="Q538"/>
    <hyperlink r:id="rId1073" ref="S538"/>
    <hyperlink r:id="rId1074" ref="Q539"/>
    <hyperlink r:id="rId1075" ref="S539"/>
    <hyperlink r:id="rId1076" ref="Q540"/>
    <hyperlink r:id="rId1077" ref="S540"/>
    <hyperlink r:id="rId1078" ref="Q541"/>
    <hyperlink r:id="rId1079" ref="S541"/>
    <hyperlink r:id="rId1080" ref="Q542"/>
    <hyperlink r:id="rId1081" ref="S542"/>
    <hyperlink r:id="rId1082" ref="Q543"/>
    <hyperlink r:id="rId1083" ref="S543"/>
    <hyperlink r:id="rId1084" ref="Q544"/>
    <hyperlink r:id="rId1085" ref="S544"/>
    <hyperlink r:id="rId1086" ref="Q545"/>
    <hyperlink r:id="rId1087" ref="S545"/>
    <hyperlink r:id="rId1088" ref="Q546"/>
    <hyperlink r:id="rId1089" ref="S546"/>
    <hyperlink r:id="rId1090" ref="Q547"/>
    <hyperlink r:id="rId1091" ref="S547"/>
    <hyperlink r:id="rId1092" ref="Q548"/>
    <hyperlink r:id="rId1093" ref="S548"/>
    <hyperlink r:id="rId1094" ref="Q549"/>
    <hyperlink r:id="rId1095" ref="S549"/>
    <hyperlink r:id="rId1096" ref="Q550"/>
    <hyperlink r:id="rId1097" ref="S550"/>
    <hyperlink r:id="rId1098" ref="Q551"/>
    <hyperlink r:id="rId1099" ref="S551"/>
    <hyperlink r:id="rId1100" ref="Q552"/>
    <hyperlink r:id="rId1101" ref="S552"/>
    <hyperlink r:id="rId1102" ref="Q553"/>
    <hyperlink r:id="rId1103" ref="S553"/>
    <hyperlink r:id="rId1104" ref="Q554"/>
    <hyperlink r:id="rId1105" ref="S554"/>
    <hyperlink r:id="rId1106" ref="Q555"/>
    <hyperlink r:id="rId1107" ref="S555"/>
    <hyperlink r:id="rId1108" ref="Q556"/>
    <hyperlink r:id="rId1109" ref="S556"/>
    <hyperlink r:id="rId1110" ref="Q557"/>
    <hyperlink r:id="rId1111" ref="S557"/>
    <hyperlink r:id="rId1112" ref="Q558"/>
    <hyperlink r:id="rId1113" ref="S558"/>
    <hyperlink r:id="rId1114" ref="Q559"/>
    <hyperlink r:id="rId1115" ref="S559"/>
    <hyperlink r:id="rId1116" ref="Q560"/>
    <hyperlink r:id="rId1117" ref="S560"/>
    <hyperlink r:id="rId1118" ref="Q561"/>
    <hyperlink r:id="rId1119" ref="S561"/>
    <hyperlink r:id="rId1120" ref="Q562"/>
    <hyperlink r:id="rId1121" ref="S562"/>
    <hyperlink r:id="rId1122" ref="Q563"/>
    <hyperlink r:id="rId1123" ref="S563"/>
    <hyperlink r:id="rId1124" ref="Q564"/>
    <hyperlink r:id="rId1125" ref="S564"/>
    <hyperlink r:id="rId1126" ref="Q565"/>
    <hyperlink r:id="rId1127" ref="S565"/>
    <hyperlink r:id="rId1128" ref="Q566"/>
    <hyperlink r:id="rId1129" ref="S566"/>
    <hyperlink r:id="rId1130" ref="Q567"/>
    <hyperlink r:id="rId1131" ref="S567"/>
    <hyperlink r:id="rId1132" ref="Q568"/>
    <hyperlink r:id="rId1133" ref="S568"/>
    <hyperlink r:id="rId1134" ref="Q569"/>
    <hyperlink r:id="rId1135" ref="S569"/>
    <hyperlink r:id="rId1136" ref="Q570"/>
    <hyperlink r:id="rId1137" ref="S570"/>
    <hyperlink r:id="rId1138" ref="Q571"/>
    <hyperlink r:id="rId1139" ref="S571"/>
    <hyperlink r:id="rId1140" ref="Q572"/>
    <hyperlink r:id="rId1141" ref="S572"/>
    <hyperlink r:id="rId1142" ref="Q573"/>
    <hyperlink r:id="rId1143" ref="S573"/>
    <hyperlink r:id="rId1144" ref="Q574"/>
    <hyperlink r:id="rId1145" ref="S574"/>
    <hyperlink r:id="rId1146" ref="Q575"/>
    <hyperlink r:id="rId1147" ref="S575"/>
    <hyperlink r:id="rId1148" ref="Q576"/>
    <hyperlink r:id="rId1149" ref="S576"/>
    <hyperlink r:id="rId1150" ref="Q577"/>
    <hyperlink r:id="rId1151" ref="S577"/>
    <hyperlink r:id="rId1152" ref="Q578"/>
    <hyperlink r:id="rId1153" ref="S578"/>
    <hyperlink r:id="rId1154" ref="Q579"/>
    <hyperlink r:id="rId1155" ref="S579"/>
    <hyperlink r:id="rId1156" ref="Q580"/>
    <hyperlink r:id="rId1157" ref="S580"/>
    <hyperlink r:id="rId1158" ref="Q581"/>
    <hyperlink r:id="rId1159" ref="S581"/>
    <hyperlink r:id="rId1160" ref="Q582"/>
    <hyperlink r:id="rId1161" ref="S582"/>
    <hyperlink r:id="rId1162" ref="Q583"/>
    <hyperlink r:id="rId1163" ref="S583"/>
    <hyperlink r:id="rId1164" ref="Q584"/>
    <hyperlink r:id="rId1165" ref="S584"/>
    <hyperlink r:id="rId1166" ref="Q585"/>
    <hyperlink r:id="rId1167" ref="S585"/>
    <hyperlink r:id="rId1168" ref="Q586"/>
    <hyperlink r:id="rId1169" ref="S586"/>
    <hyperlink r:id="rId1170" ref="Q587"/>
    <hyperlink r:id="rId1171" ref="S587"/>
    <hyperlink r:id="rId1172" ref="Q588"/>
    <hyperlink r:id="rId1173" ref="S588"/>
    <hyperlink r:id="rId1174" ref="Q589"/>
    <hyperlink r:id="rId1175" ref="S589"/>
    <hyperlink r:id="rId1176" ref="Q590"/>
    <hyperlink r:id="rId1177" ref="S590"/>
    <hyperlink r:id="rId1178" ref="Q591"/>
    <hyperlink r:id="rId1179" ref="S591"/>
    <hyperlink r:id="rId1180" ref="Q592"/>
    <hyperlink r:id="rId1181" ref="S592"/>
    <hyperlink r:id="rId1182" ref="Q593"/>
    <hyperlink r:id="rId1183" ref="S593"/>
    <hyperlink r:id="rId1184" ref="Q594"/>
    <hyperlink r:id="rId1185" ref="S594"/>
    <hyperlink r:id="rId1186" ref="Q595"/>
    <hyperlink r:id="rId1187" ref="S595"/>
    <hyperlink r:id="rId1188" ref="Q596"/>
    <hyperlink r:id="rId1189" ref="S596"/>
    <hyperlink r:id="rId1190" ref="Q597"/>
    <hyperlink r:id="rId1191" ref="S597"/>
    <hyperlink r:id="rId1192" ref="Q598"/>
    <hyperlink r:id="rId1193" ref="S598"/>
    <hyperlink r:id="rId1194" ref="Q599"/>
    <hyperlink r:id="rId1195" ref="S599"/>
    <hyperlink r:id="rId1196" ref="Q600"/>
    <hyperlink r:id="rId1197" ref="S600"/>
    <hyperlink r:id="rId1198" ref="Q601"/>
    <hyperlink r:id="rId1199" ref="S601"/>
    <hyperlink r:id="rId1200" ref="Q602"/>
    <hyperlink r:id="rId1201" ref="S602"/>
    <hyperlink r:id="rId1202" ref="Q603"/>
    <hyperlink r:id="rId1203" ref="S603"/>
    <hyperlink r:id="rId1204" ref="Q604"/>
    <hyperlink r:id="rId1205" ref="S604"/>
    <hyperlink r:id="rId1206" ref="Q605"/>
    <hyperlink r:id="rId1207" ref="S605"/>
    <hyperlink r:id="rId1208" ref="Q606"/>
    <hyperlink r:id="rId1209" ref="S606"/>
    <hyperlink r:id="rId1210" ref="Q607"/>
    <hyperlink r:id="rId1211" ref="S607"/>
    <hyperlink r:id="rId1212" ref="Q608"/>
    <hyperlink r:id="rId1213" ref="S608"/>
    <hyperlink r:id="rId1214" ref="Q609"/>
    <hyperlink r:id="rId1215" ref="S609"/>
    <hyperlink r:id="rId1216" ref="Q610"/>
    <hyperlink r:id="rId1217" ref="S610"/>
    <hyperlink r:id="rId1218" ref="Q611"/>
    <hyperlink r:id="rId1219" ref="S611"/>
    <hyperlink r:id="rId1220" ref="Q612"/>
    <hyperlink r:id="rId1221" ref="S612"/>
    <hyperlink r:id="rId1222" ref="Q613"/>
    <hyperlink r:id="rId1223" ref="S613"/>
    <hyperlink r:id="rId1224" ref="Q614"/>
    <hyperlink r:id="rId1225" ref="S614"/>
    <hyperlink r:id="rId1226" ref="Q615"/>
    <hyperlink r:id="rId1227" ref="S615"/>
    <hyperlink r:id="rId1228" ref="Q616"/>
    <hyperlink r:id="rId1229" ref="S616"/>
    <hyperlink r:id="rId1230" ref="Q617"/>
    <hyperlink r:id="rId1231" ref="S617"/>
    <hyperlink r:id="rId1232" ref="Q618"/>
    <hyperlink r:id="rId1233" ref="S618"/>
    <hyperlink r:id="rId1234" ref="Q619"/>
    <hyperlink r:id="rId1235" ref="S619"/>
    <hyperlink r:id="rId1236" ref="Q620"/>
    <hyperlink r:id="rId1237" ref="S620"/>
    <hyperlink r:id="rId1238" ref="Q621"/>
    <hyperlink r:id="rId1239" ref="S621"/>
    <hyperlink r:id="rId1240" ref="Q622"/>
    <hyperlink r:id="rId1241" ref="S622"/>
    <hyperlink r:id="rId1242" ref="Q623"/>
    <hyperlink r:id="rId1243" ref="S623"/>
    <hyperlink r:id="rId1244" ref="Q624"/>
    <hyperlink r:id="rId1245" ref="S624"/>
    <hyperlink r:id="rId1246" ref="Q625"/>
    <hyperlink r:id="rId1247" ref="S625"/>
    <hyperlink r:id="rId1248" ref="Q626"/>
    <hyperlink r:id="rId1249" ref="S626"/>
    <hyperlink r:id="rId1250" ref="Q627"/>
    <hyperlink r:id="rId1251" ref="S627"/>
    <hyperlink r:id="rId1252" ref="Q628"/>
    <hyperlink r:id="rId1253" ref="S628"/>
    <hyperlink r:id="rId1254" ref="Q629"/>
    <hyperlink r:id="rId1255" ref="S629"/>
    <hyperlink r:id="rId1256" ref="Q630"/>
    <hyperlink r:id="rId1257" ref="S630"/>
    <hyperlink r:id="rId1258" ref="Q631"/>
    <hyperlink r:id="rId1259" ref="S631"/>
    <hyperlink r:id="rId1260" ref="Q632"/>
    <hyperlink r:id="rId1261" ref="S632"/>
    <hyperlink r:id="rId1262" ref="Q633"/>
    <hyperlink r:id="rId1263" ref="S633"/>
    <hyperlink r:id="rId1264" ref="Q634"/>
    <hyperlink r:id="rId1265" ref="S634"/>
    <hyperlink r:id="rId1266" ref="Q635"/>
    <hyperlink r:id="rId1267" ref="S635"/>
    <hyperlink r:id="rId1268" ref="Q636"/>
    <hyperlink r:id="rId1269" ref="S636"/>
    <hyperlink r:id="rId1270" ref="Q637"/>
    <hyperlink r:id="rId1271" ref="S637"/>
    <hyperlink r:id="rId1272" ref="Q638"/>
    <hyperlink r:id="rId1273" ref="S638"/>
    <hyperlink r:id="rId1274" ref="Q639"/>
    <hyperlink r:id="rId1275" ref="S639"/>
    <hyperlink r:id="rId1276" ref="Q640"/>
    <hyperlink r:id="rId1277" ref="S640"/>
    <hyperlink r:id="rId1278" ref="Q641"/>
    <hyperlink r:id="rId1279" ref="S641"/>
    <hyperlink r:id="rId1280" ref="Q642"/>
    <hyperlink r:id="rId1281" ref="S642"/>
    <hyperlink r:id="rId1282" ref="Q643"/>
    <hyperlink r:id="rId1283" ref="S643"/>
    <hyperlink r:id="rId1284" ref="Q644"/>
    <hyperlink r:id="rId1285" ref="S644"/>
    <hyperlink r:id="rId1286" ref="Q645"/>
    <hyperlink r:id="rId1287" ref="S645"/>
    <hyperlink r:id="rId1288" ref="Q646"/>
    <hyperlink r:id="rId1289" ref="S646"/>
    <hyperlink r:id="rId1290" ref="Q647"/>
    <hyperlink r:id="rId1291" ref="S647"/>
    <hyperlink r:id="rId1292" ref="Q648"/>
    <hyperlink r:id="rId1293" ref="S648"/>
    <hyperlink r:id="rId1294" ref="Q649"/>
    <hyperlink r:id="rId1295" ref="S649"/>
    <hyperlink r:id="rId1296" ref="Q650"/>
    <hyperlink r:id="rId1297" ref="S650"/>
    <hyperlink r:id="rId1298" ref="Q651"/>
    <hyperlink r:id="rId1299" ref="S651"/>
    <hyperlink r:id="rId1300" ref="Q652"/>
    <hyperlink r:id="rId1301" ref="S652"/>
    <hyperlink r:id="rId1302" ref="Q653"/>
    <hyperlink r:id="rId1303" ref="S653"/>
    <hyperlink r:id="rId1304" ref="Q654"/>
    <hyperlink r:id="rId1305" ref="S654"/>
    <hyperlink r:id="rId1306" ref="Q655"/>
    <hyperlink r:id="rId1307" ref="S655"/>
    <hyperlink r:id="rId1308" ref="Q656"/>
    <hyperlink r:id="rId1309" ref="S656"/>
    <hyperlink r:id="rId1310" ref="Q657"/>
    <hyperlink r:id="rId1311" ref="S657"/>
    <hyperlink r:id="rId1312" ref="Q658"/>
    <hyperlink r:id="rId1313" ref="S658"/>
    <hyperlink r:id="rId1314" ref="Q659"/>
    <hyperlink r:id="rId1315" ref="S659"/>
    <hyperlink r:id="rId1316" ref="Q660"/>
    <hyperlink r:id="rId1317" ref="S660"/>
    <hyperlink r:id="rId1318" ref="Q661"/>
    <hyperlink r:id="rId1319" ref="S661"/>
    <hyperlink r:id="rId1320" ref="Q662"/>
    <hyperlink r:id="rId1321" ref="S662"/>
    <hyperlink r:id="rId1322" ref="Q663"/>
    <hyperlink r:id="rId1323" ref="S663"/>
    <hyperlink r:id="rId1324" ref="Q664"/>
    <hyperlink r:id="rId1325" ref="S664"/>
    <hyperlink r:id="rId1326" ref="Q665"/>
    <hyperlink r:id="rId1327" ref="S665"/>
    <hyperlink r:id="rId1328" ref="Q666"/>
    <hyperlink r:id="rId1329" ref="S666"/>
    <hyperlink r:id="rId1330" ref="Q667"/>
    <hyperlink r:id="rId1331" ref="S667"/>
    <hyperlink r:id="rId1332" ref="Q668"/>
    <hyperlink r:id="rId1333" ref="S668"/>
    <hyperlink r:id="rId1334" ref="Q669"/>
    <hyperlink r:id="rId1335" ref="S669"/>
    <hyperlink r:id="rId1336" ref="Q670"/>
    <hyperlink r:id="rId1337" ref="S670"/>
    <hyperlink r:id="rId1338" ref="Q671"/>
    <hyperlink r:id="rId1339" ref="S671"/>
    <hyperlink r:id="rId1340" ref="Q672"/>
    <hyperlink r:id="rId1341" ref="S672"/>
    <hyperlink r:id="rId1342" ref="Q673"/>
    <hyperlink r:id="rId1343" ref="S673"/>
    <hyperlink r:id="rId1344" ref="Q674"/>
    <hyperlink r:id="rId1345" ref="S674"/>
    <hyperlink r:id="rId1346" ref="Q675"/>
    <hyperlink r:id="rId1347" ref="S675"/>
    <hyperlink r:id="rId1348" ref="Q676"/>
    <hyperlink r:id="rId1349" ref="S676"/>
    <hyperlink r:id="rId1350" ref="Q677"/>
    <hyperlink r:id="rId1351" ref="S677"/>
    <hyperlink r:id="rId1352" ref="Q678"/>
    <hyperlink r:id="rId1353" ref="S678"/>
    <hyperlink r:id="rId1354" ref="Q679"/>
    <hyperlink r:id="rId1355" ref="S679"/>
    <hyperlink r:id="rId1356" ref="Q680"/>
    <hyperlink r:id="rId1357" ref="S680"/>
    <hyperlink r:id="rId1358" ref="Q681"/>
    <hyperlink r:id="rId1359" ref="S681"/>
    <hyperlink r:id="rId1360" ref="Q682"/>
    <hyperlink r:id="rId1361" ref="S682"/>
    <hyperlink r:id="rId1362" ref="Q683"/>
    <hyperlink r:id="rId1363" ref="S683"/>
    <hyperlink r:id="rId1364" ref="Q684"/>
    <hyperlink r:id="rId1365" ref="S684"/>
    <hyperlink r:id="rId1366" ref="Q685"/>
    <hyperlink r:id="rId1367" ref="S685"/>
    <hyperlink r:id="rId1368" ref="Q686"/>
    <hyperlink r:id="rId1369" ref="S686"/>
    <hyperlink r:id="rId1370" ref="Q687"/>
    <hyperlink r:id="rId1371" ref="S687"/>
    <hyperlink r:id="rId1372" ref="Q688"/>
    <hyperlink r:id="rId1373" ref="S688"/>
    <hyperlink r:id="rId1374" ref="Q689"/>
    <hyperlink r:id="rId1375" ref="S689"/>
    <hyperlink r:id="rId1376" ref="Q690"/>
    <hyperlink r:id="rId1377" ref="S690"/>
    <hyperlink r:id="rId1378" ref="Q691"/>
    <hyperlink r:id="rId1379" ref="S691"/>
    <hyperlink r:id="rId1380" ref="Q692"/>
    <hyperlink r:id="rId1381" ref="S692"/>
    <hyperlink r:id="rId1382" ref="Q693"/>
    <hyperlink r:id="rId1383" ref="S693"/>
    <hyperlink r:id="rId1384" ref="Q694"/>
    <hyperlink r:id="rId1385" ref="S694"/>
    <hyperlink r:id="rId1386" ref="Q695"/>
    <hyperlink r:id="rId1387" ref="S695"/>
    <hyperlink r:id="rId1388" ref="Q696"/>
    <hyperlink r:id="rId1389" ref="S696"/>
    <hyperlink r:id="rId1390" ref="Q697"/>
    <hyperlink r:id="rId1391" ref="S697"/>
    <hyperlink r:id="rId1392" ref="Q698"/>
    <hyperlink r:id="rId1393" ref="S698"/>
    <hyperlink r:id="rId1394" ref="Q699"/>
    <hyperlink r:id="rId1395" ref="S699"/>
    <hyperlink r:id="rId1396" ref="Q700"/>
    <hyperlink r:id="rId1397" ref="S700"/>
    <hyperlink r:id="rId1398" ref="Q701"/>
    <hyperlink r:id="rId1399" ref="S701"/>
    <hyperlink r:id="rId1400" ref="Q702"/>
    <hyperlink r:id="rId1401" ref="S702"/>
    <hyperlink r:id="rId1402" ref="Q703"/>
    <hyperlink r:id="rId1403" ref="S703"/>
    <hyperlink r:id="rId1404" ref="Q704"/>
    <hyperlink r:id="rId1405" ref="S704"/>
    <hyperlink r:id="rId1406" ref="Q705"/>
    <hyperlink r:id="rId1407" ref="S705"/>
    <hyperlink r:id="rId1408" ref="Q706"/>
    <hyperlink r:id="rId1409" ref="S706"/>
    <hyperlink r:id="rId1410" ref="Q707"/>
    <hyperlink r:id="rId1411" ref="S707"/>
    <hyperlink r:id="rId1412" ref="Q708"/>
    <hyperlink r:id="rId1413" ref="S708"/>
    <hyperlink r:id="rId1414" ref="Q709"/>
    <hyperlink r:id="rId1415" ref="S709"/>
    <hyperlink r:id="rId1416" ref="Q710"/>
    <hyperlink r:id="rId1417" ref="S710"/>
    <hyperlink r:id="rId1418" ref="Q711"/>
    <hyperlink r:id="rId1419" ref="S711"/>
    <hyperlink r:id="rId1420" ref="Q712"/>
    <hyperlink r:id="rId1421" ref="S712"/>
    <hyperlink r:id="rId1422" ref="Q713"/>
    <hyperlink r:id="rId1423" ref="S713"/>
    <hyperlink r:id="rId1424" ref="Q714"/>
    <hyperlink r:id="rId1425" ref="S714"/>
    <hyperlink r:id="rId1426" ref="Q715"/>
    <hyperlink r:id="rId1427" ref="S715"/>
    <hyperlink r:id="rId1428" ref="Q716"/>
    <hyperlink r:id="rId1429" ref="S716"/>
    <hyperlink r:id="rId1430" ref="Q717"/>
    <hyperlink r:id="rId1431" ref="S717"/>
    <hyperlink r:id="rId1432" ref="Q718"/>
    <hyperlink r:id="rId1433" ref="S718"/>
    <hyperlink r:id="rId1434" ref="Q719"/>
    <hyperlink r:id="rId1435" ref="S719"/>
    <hyperlink r:id="rId1436" ref="Q720"/>
    <hyperlink r:id="rId1437" ref="S720"/>
    <hyperlink r:id="rId1438" ref="Q721"/>
    <hyperlink r:id="rId1439" ref="S721"/>
    <hyperlink r:id="rId1440" ref="Q722"/>
    <hyperlink r:id="rId1441" ref="S722"/>
    <hyperlink r:id="rId1442" ref="Q723"/>
    <hyperlink r:id="rId1443" ref="S723"/>
    <hyperlink r:id="rId1444" ref="Q724"/>
    <hyperlink r:id="rId1445" ref="S724"/>
    <hyperlink r:id="rId1446" ref="Q725"/>
    <hyperlink r:id="rId1447" ref="S725"/>
    <hyperlink r:id="rId1448" ref="Q726"/>
    <hyperlink r:id="rId1449" ref="S726"/>
    <hyperlink r:id="rId1450" ref="Q727"/>
    <hyperlink r:id="rId1451" ref="S727"/>
    <hyperlink r:id="rId1452" ref="Q728"/>
    <hyperlink r:id="rId1453" ref="S728"/>
    <hyperlink r:id="rId1454" ref="Q729"/>
    <hyperlink r:id="rId1455" ref="S729"/>
    <hyperlink r:id="rId1456" ref="Q730"/>
    <hyperlink r:id="rId1457" ref="S730"/>
    <hyperlink r:id="rId1458" ref="Q731"/>
    <hyperlink r:id="rId1459" ref="S731"/>
    <hyperlink r:id="rId1460" ref="Q732"/>
    <hyperlink r:id="rId1461" ref="S732"/>
    <hyperlink r:id="rId1462" ref="Q733"/>
    <hyperlink r:id="rId1463" ref="S733"/>
    <hyperlink r:id="rId1464" ref="Q734"/>
    <hyperlink r:id="rId1465" ref="S734"/>
    <hyperlink r:id="rId1466" ref="Q735"/>
    <hyperlink r:id="rId1467" ref="S735"/>
    <hyperlink r:id="rId1468" ref="Q736"/>
    <hyperlink r:id="rId1469" ref="S736"/>
    <hyperlink r:id="rId1470" ref="Q737"/>
    <hyperlink r:id="rId1471" ref="S737"/>
    <hyperlink r:id="rId1472" ref="Q738"/>
    <hyperlink r:id="rId1473" ref="S738"/>
    <hyperlink r:id="rId1474" ref="Q739"/>
    <hyperlink r:id="rId1475" ref="S739"/>
    <hyperlink r:id="rId1476" ref="Q740"/>
    <hyperlink r:id="rId1477" ref="S740"/>
    <hyperlink r:id="rId1478" ref="Q741"/>
    <hyperlink r:id="rId1479" ref="S741"/>
    <hyperlink r:id="rId1480" ref="Q742"/>
    <hyperlink r:id="rId1481" ref="S742"/>
    <hyperlink r:id="rId1482" ref="Q743"/>
    <hyperlink r:id="rId1483" ref="S743"/>
    <hyperlink r:id="rId1484" ref="Q744"/>
    <hyperlink r:id="rId1485" ref="S744"/>
    <hyperlink r:id="rId1486" ref="Q745"/>
    <hyperlink r:id="rId1487" ref="S745"/>
    <hyperlink r:id="rId1488" ref="Q746"/>
    <hyperlink r:id="rId1489" ref="S746"/>
    <hyperlink r:id="rId1490" ref="Q747"/>
    <hyperlink r:id="rId1491" ref="S747"/>
    <hyperlink r:id="rId1492" ref="Q748"/>
    <hyperlink r:id="rId1493" ref="S748"/>
    <hyperlink r:id="rId1494" ref="Q749"/>
    <hyperlink r:id="rId1495" ref="S749"/>
    <hyperlink r:id="rId1496" ref="Q750"/>
    <hyperlink r:id="rId1497" ref="S750"/>
    <hyperlink r:id="rId1498" ref="Q751"/>
    <hyperlink r:id="rId1499" ref="S751"/>
    <hyperlink r:id="rId1500" ref="Q752"/>
    <hyperlink r:id="rId1501" ref="S752"/>
    <hyperlink r:id="rId1502" ref="Q753"/>
    <hyperlink r:id="rId1503" ref="S753"/>
    <hyperlink r:id="rId1504" ref="Q754"/>
    <hyperlink r:id="rId1505" ref="S754"/>
    <hyperlink r:id="rId1506" ref="Q755"/>
    <hyperlink r:id="rId1507" ref="S755"/>
    <hyperlink r:id="rId1508" ref="Q756"/>
    <hyperlink r:id="rId1509" ref="S756"/>
    <hyperlink r:id="rId1510" ref="Q757"/>
    <hyperlink r:id="rId1511" ref="S757"/>
    <hyperlink r:id="rId1512" ref="Q758"/>
    <hyperlink r:id="rId1513" ref="S758"/>
    <hyperlink r:id="rId1514" ref="Q759"/>
    <hyperlink r:id="rId1515" ref="S759"/>
    <hyperlink r:id="rId1516" ref="Q760"/>
    <hyperlink r:id="rId1517" ref="S760"/>
    <hyperlink r:id="rId1518" ref="Q761"/>
    <hyperlink r:id="rId1519" ref="S761"/>
    <hyperlink r:id="rId1520" ref="Q762"/>
    <hyperlink r:id="rId1521" ref="S762"/>
    <hyperlink r:id="rId1522" ref="Q763"/>
    <hyperlink r:id="rId1523" ref="S763"/>
    <hyperlink r:id="rId1524" ref="Q764"/>
    <hyperlink r:id="rId1525" ref="S764"/>
    <hyperlink r:id="rId1526" ref="Q765"/>
    <hyperlink r:id="rId1527" ref="S765"/>
    <hyperlink r:id="rId1528" ref="Q766"/>
    <hyperlink r:id="rId1529" ref="S766"/>
    <hyperlink r:id="rId1530" ref="Q767"/>
    <hyperlink r:id="rId1531" ref="S767"/>
    <hyperlink r:id="rId1532" ref="Q768"/>
    <hyperlink r:id="rId1533" ref="S768"/>
    <hyperlink r:id="rId1534" ref="Q769"/>
    <hyperlink r:id="rId1535" ref="S769"/>
    <hyperlink r:id="rId1536" ref="Q770"/>
    <hyperlink r:id="rId1537" ref="S770"/>
    <hyperlink r:id="rId1538" ref="Q771"/>
    <hyperlink r:id="rId1539" ref="S771"/>
    <hyperlink r:id="rId1540" ref="Q772"/>
    <hyperlink r:id="rId1541" ref="S772"/>
    <hyperlink r:id="rId1542" ref="Q773"/>
    <hyperlink r:id="rId1543" ref="S773"/>
    <hyperlink r:id="rId1544" ref="Q774"/>
    <hyperlink r:id="rId1545" ref="S774"/>
    <hyperlink r:id="rId1546" ref="Q775"/>
    <hyperlink r:id="rId1547" ref="S775"/>
    <hyperlink r:id="rId1548" ref="Q776"/>
    <hyperlink r:id="rId1549" ref="S776"/>
    <hyperlink r:id="rId1550" ref="Q777"/>
    <hyperlink r:id="rId1551" ref="S777"/>
    <hyperlink r:id="rId1552" ref="Q778"/>
    <hyperlink r:id="rId1553" ref="S778"/>
    <hyperlink r:id="rId1554" ref="Q779"/>
    <hyperlink r:id="rId1555" ref="S779"/>
    <hyperlink r:id="rId1556" ref="Q780"/>
    <hyperlink r:id="rId1557" ref="S780"/>
    <hyperlink r:id="rId1558" ref="Q781"/>
    <hyperlink r:id="rId1559" ref="S781"/>
    <hyperlink r:id="rId1560" ref="Q782"/>
    <hyperlink r:id="rId1561" ref="S782"/>
    <hyperlink r:id="rId1562" ref="Q783"/>
    <hyperlink r:id="rId1563" ref="S783"/>
    <hyperlink r:id="rId1564" ref="Q784"/>
    <hyperlink r:id="rId1565" ref="S784"/>
    <hyperlink r:id="rId1566" ref="Q785"/>
    <hyperlink r:id="rId1567" ref="S785"/>
    <hyperlink r:id="rId1568" ref="Q786"/>
    <hyperlink r:id="rId1569" ref="S786"/>
    <hyperlink r:id="rId1570" ref="Q787"/>
    <hyperlink r:id="rId1571" ref="S787"/>
    <hyperlink r:id="rId1572" ref="Q788"/>
    <hyperlink r:id="rId1573" ref="S788"/>
    <hyperlink r:id="rId1574" ref="Q789"/>
    <hyperlink r:id="rId1575" ref="S789"/>
    <hyperlink r:id="rId1576" ref="Q790"/>
    <hyperlink r:id="rId1577" ref="S790"/>
    <hyperlink r:id="rId1578" ref="Q791"/>
    <hyperlink r:id="rId1579" ref="S791"/>
    <hyperlink r:id="rId1580" ref="Q792"/>
    <hyperlink r:id="rId1581" ref="S792"/>
    <hyperlink r:id="rId1582" ref="Q793"/>
    <hyperlink r:id="rId1583" ref="S793"/>
    <hyperlink r:id="rId1584" ref="Q794"/>
    <hyperlink r:id="rId1585" ref="S794"/>
    <hyperlink r:id="rId1586" ref="Q795"/>
    <hyperlink r:id="rId1587" ref="S795"/>
    <hyperlink r:id="rId1588" ref="Q796"/>
    <hyperlink r:id="rId1589" ref="S796"/>
    <hyperlink r:id="rId1590" ref="Q797"/>
    <hyperlink r:id="rId1591" ref="S797"/>
    <hyperlink r:id="rId1592" ref="Q798"/>
    <hyperlink r:id="rId1593" ref="S798"/>
    <hyperlink r:id="rId1594" ref="Q799"/>
    <hyperlink r:id="rId1595" ref="S799"/>
    <hyperlink r:id="rId1596" ref="Q800"/>
    <hyperlink r:id="rId1597" ref="S800"/>
    <hyperlink r:id="rId1598" ref="Q801"/>
    <hyperlink r:id="rId1599" ref="S801"/>
    <hyperlink r:id="rId1600" ref="Q802"/>
    <hyperlink r:id="rId1601" ref="S802"/>
    <hyperlink r:id="rId1602" ref="Q803"/>
    <hyperlink r:id="rId1603" ref="S803"/>
    <hyperlink r:id="rId1604" ref="Q804"/>
    <hyperlink r:id="rId1605" ref="S804"/>
    <hyperlink r:id="rId1606" ref="Q805"/>
    <hyperlink r:id="rId1607" ref="S805"/>
    <hyperlink r:id="rId1608" ref="Q806"/>
    <hyperlink r:id="rId1609" ref="S806"/>
    <hyperlink r:id="rId1610" ref="Q807"/>
    <hyperlink r:id="rId1611" ref="S807"/>
    <hyperlink r:id="rId1612" ref="Q808"/>
    <hyperlink r:id="rId1613" ref="S808"/>
    <hyperlink r:id="rId1614" ref="Q809"/>
    <hyperlink r:id="rId1615" ref="S809"/>
    <hyperlink r:id="rId1616" ref="Q810"/>
    <hyperlink r:id="rId1617" ref="S810"/>
    <hyperlink r:id="rId1618" ref="Q811"/>
    <hyperlink r:id="rId1619" ref="S811"/>
    <hyperlink r:id="rId1620" ref="Q812"/>
    <hyperlink r:id="rId1621" ref="S812"/>
    <hyperlink r:id="rId1622" ref="Q813"/>
    <hyperlink r:id="rId1623" ref="S813"/>
    <hyperlink r:id="rId1624" ref="Q814"/>
    <hyperlink r:id="rId1625" ref="S814"/>
    <hyperlink r:id="rId1626" ref="Q815"/>
    <hyperlink r:id="rId1627" ref="S815"/>
    <hyperlink r:id="rId1628" ref="Q816"/>
    <hyperlink r:id="rId1629" ref="S816"/>
    <hyperlink r:id="rId1630" ref="Q817"/>
    <hyperlink r:id="rId1631" ref="S817"/>
    <hyperlink r:id="rId1632" ref="Q818"/>
    <hyperlink r:id="rId1633" ref="S818"/>
    <hyperlink r:id="rId1634" ref="Q819"/>
    <hyperlink r:id="rId1635" ref="S819"/>
    <hyperlink r:id="rId1636" ref="Q820"/>
    <hyperlink r:id="rId1637" ref="S820"/>
    <hyperlink r:id="rId1638" ref="Q821"/>
    <hyperlink r:id="rId1639" ref="S821"/>
    <hyperlink r:id="rId1640" ref="Q822"/>
    <hyperlink r:id="rId1641" ref="S822"/>
    <hyperlink r:id="rId1642" ref="Q823"/>
    <hyperlink r:id="rId1643" ref="S823"/>
    <hyperlink r:id="rId1644" ref="Q824"/>
    <hyperlink r:id="rId1645" ref="S824"/>
    <hyperlink r:id="rId1646" ref="Q825"/>
    <hyperlink r:id="rId1647" ref="S825"/>
    <hyperlink r:id="rId1648" ref="Q826"/>
    <hyperlink r:id="rId1649" ref="S826"/>
    <hyperlink r:id="rId1650" ref="Q827"/>
    <hyperlink r:id="rId1651" ref="S827"/>
    <hyperlink r:id="rId1652" ref="Q828"/>
    <hyperlink r:id="rId1653" ref="S828"/>
    <hyperlink r:id="rId1654" ref="Q829"/>
    <hyperlink r:id="rId1655" ref="S829"/>
    <hyperlink r:id="rId1656" ref="Q830"/>
    <hyperlink r:id="rId1657" ref="S830"/>
    <hyperlink r:id="rId1658" ref="Q831"/>
    <hyperlink r:id="rId1659" ref="S831"/>
    <hyperlink r:id="rId1660" ref="Q832"/>
    <hyperlink r:id="rId1661" ref="S832"/>
    <hyperlink r:id="rId1662" ref="Q833"/>
    <hyperlink r:id="rId1663" ref="S833"/>
    <hyperlink r:id="rId1664" ref="Q834"/>
    <hyperlink r:id="rId1665" ref="S834"/>
    <hyperlink r:id="rId1666" ref="Q835"/>
    <hyperlink r:id="rId1667" ref="S835"/>
    <hyperlink r:id="rId1668" ref="Q836"/>
    <hyperlink r:id="rId1669" ref="S836"/>
    <hyperlink r:id="rId1670" ref="Q837"/>
    <hyperlink r:id="rId1671" ref="S837"/>
    <hyperlink r:id="rId1672" ref="Q838"/>
    <hyperlink r:id="rId1673" ref="S838"/>
    <hyperlink r:id="rId1674" ref="Q839"/>
    <hyperlink r:id="rId1675" ref="S839"/>
    <hyperlink r:id="rId1676" ref="Q840"/>
    <hyperlink r:id="rId1677" ref="S840"/>
    <hyperlink r:id="rId1678" ref="Q841"/>
    <hyperlink r:id="rId1679" ref="S841"/>
    <hyperlink r:id="rId1680" ref="Q842"/>
    <hyperlink r:id="rId1681" ref="S842"/>
    <hyperlink r:id="rId1682" ref="Q843"/>
    <hyperlink r:id="rId1683" ref="S843"/>
    <hyperlink r:id="rId1684" ref="Q844"/>
    <hyperlink r:id="rId1685" ref="S844"/>
    <hyperlink r:id="rId1686" ref="Q845"/>
    <hyperlink r:id="rId1687" ref="S845"/>
    <hyperlink r:id="rId1688" ref="Q846"/>
    <hyperlink r:id="rId1689" ref="S846"/>
    <hyperlink r:id="rId1690" ref="Q847"/>
    <hyperlink r:id="rId1691" ref="S847"/>
    <hyperlink r:id="rId1692" ref="Q848"/>
    <hyperlink r:id="rId1693" ref="S848"/>
    <hyperlink r:id="rId1694" ref="Q849"/>
    <hyperlink r:id="rId1695" ref="S849"/>
    <hyperlink r:id="rId1696" ref="Q850"/>
    <hyperlink r:id="rId1697" ref="S850"/>
    <hyperlink r:id="rId1698" ref="Q851"/>
    <hyperlink r:id="rId1699" ref="S851"/>
    <hyperlink r:id="rId1700" ref="Q852"/>
    <hyperlink r:id="rId1701" ref="S852"/>
    <hyperlink r:id="rId1702" ref="Q853"/>
    <hyperlink r:id="rId1703" ref="S853"/>
    <hyperlink r:id="rId1704" ref="Q854"/>
    <hyperlink r:id="rId1705" ref="S854"/>
    <hyperlink r:id="rId1706" ref="Q855"/>
    <hyperlink r:id="rId1707" ref="S855"/>
    <hyperlink r:id="rId1708" ref="Q856"/>
    <hyperlink r:id="rId1709" ref="S856"/>
    <hyperlink r:id="rId1710" ref="Q857"/>
    <hyperlink r:id="rId1711" ref="S857"/>
    <hyperlink r:id="rId1712" ref="Q858"/>
    <hyperlink r:id="rId1713" ref="S858"/>
    <hyperlink r:id="rId1714" ref="Q859"/>
    <hyperlink r:id="rId1715" ref="S859"/>
    <hyperlink r:id="rId1716" ref="Q860"/>
    <hyperlink r:id="rId1717" ref="S860"/>
    <hyperlink r:id="rId1718" ref="Q861"/>
    <hyperlink r:id="rId1719" ref="S861"/>
    <hyperlink r:id="rId1720" ref="Q862"/>
    <hyperlink r:id="rId1721" ref="S862"/>
    <hyperlink r:id="rId1722" ref="Q863"/>
    <hyperlink r:id="rId1723" ref="S863"/>
    <hyperlink r:id="rId1724" ref="Q864"/>
    <hyperlink r:id="rId1725" ref="S864"/>
    <hyperlink r:id="rId1726" ref="Q865"/>
    <hyperlink r:id="rId1727" ref="S865"/>
    <hyperlink r:id="rId1728" ref="Q866"/>
    <hyperlink r:id="rId1729" ref="S866"/>
    <hyperlink r:id="rId1730" ref="Q867"/>
    <hyperlink r:id="rId1731" ref="S867"/>
    <hyperlink r:id="rId1732" ref="Q868"/>
    <hyperlink r:id="rId1733" ref="S868"/>
    <hyperlink r:id="rId1734" ref="Q869"/>
    <hyperlink r:id="rId1735" ref="S869"/>
    <hyperlink r:id="rId1736" ref="Q870"/>
    <hyperlink r:id="rId1737" ref="S870"/>
    <hyperlink r:id="rId1738" ref="Q871"/>
    <hyperlink r:id="rId1739" ref="S871"/>
    <hyperlink r:id="rId1740" ref="Q872"/>
    <hyperlink r:id="rId1741" ref="S872"/>
    <hyperlink r:id="rId1742" ref="Q873"/>
    <hyperlink r:id="rId1743" ref="S873"/>
    <hyperlink r:id="rId1744" ref="Q874"/>
    <hyperlink r:id="rId1745" ref="S874"/>
    <hyperlink r:id="rId1746" ref="Q875"/>
    <hyperlink r:id="rId1747" ref="S875"/>
    <hyperlink r:id="rId1748" ref="Q876"/>
    <hyperlink r:id="rId1749" ref="S876"/>
    <hyperlink r:id="rId1750" ref="Q877"/>
    <hyperlink r:id="rId1751" ref="S877"/>
    <hyperlink r:id="rId1752" ref="Q878"/>
    <hyperlink r:id="rId1753" ref="S878"/>
    <hyperlink r:id="rId1754" ref="Q879"/>
    <hyperlink r:id="rId1755" ref="S879"/>
    <hyperlink r:id="rId1756" ref="Q880"/>
    <hyperlink r:id="rId1757" ref="S880"/>
    <hyperlink r:id="rId1758" ref="Q881"/>
    <hyperlink r:id="rId1759" ref="S881"/>
    <hyperlink r:id="rId1760" ref="Q882"/>
    <hyperlink r:id="rId1761" ref="S882"/>
    <hyperlink r:id="rId1762" ref="Q883"/>
    <hyperlink r:id="rId1763" ref="S883"/>
    <hyperlink r:id="rId1764" ref="Q884"/>
    <hyperlink r:id="rId1765" ref="S884"/>
    <hyperlink r:id="rId1766" ref="Q885"/>
    <hyperlink r:id="rId1767" ref="S885"/>
    <hyperlink r:id="rId1768" ref="Q886"/>
    <hyperlink r:id="rId1769" ref="S886"/>
    <hyperlink r:id="rId1770" ref="Q887"/>
    <hyperlink r:id="rId1771" ref="S887"/>
    <hyperlink r:id="rId1772" ref="Q888"/>
    <hyperlink r:id="rId1773" ref="S888"/>
    <hyperlink r:id="rId1774" ref="Q889"/>
    <hyperlink r:id="rId1775" ref="S889"/>
    <hyperlink r:id="rId1776" ref="Q890"/>
    <hyperlink r:id="rId1777" ref="S890"/>
    <hyperlink r:id="rId1778" ref="Q891"/>
    <hyperlink r:id="rId1779" ref="S891"/>
    <hyperlink r:id="rId1780" ref="Q892"/>
    <hyperlink r:id="rId1781" ref="S892"/>
    <hyperlink r:id="rId1782" ref="Q893"/>
    <hyperlink r:id="rId1783" ref="S893"/>
    <hyperlink r:id="rId1784" ref="Q894"/>
    <hyperlink r:id="rId1785" ref="S894"/>
    <hyperlink r:id="rId1786" ref="Q895"/>
    <hyperlink r:id="rId1787" ref="S895"/>
    <hyperlink r:id="rId1788" ref="Q896"/>
    <hyperlink r:id="rId1789" ref="S896"/>
    <hyperlink r:id="rId1790" ref="Q897"/>
    <hyperlink r:id="rId1791" ref="S897"/>
    <hyperlink r:id="rId1792" ref="Q898"/>
    <hyperlink r:id="rId1793" ref="S898"/>
    <hyperlink r:id="rId1794" ref="Q899"/>
    <hyperlink r:id="rId1795" ref="S899"/>
    <hyperlink r:id="rId1796" ref="Q900"/>
    <hyperlink r:id="rId1797" ref="S900"/>
    <hyperlink r:id="rId1798" ref="Q901"/>
    <hyperlink r:id="rId1799" ref="S901"/>
    <hyperlink r:id="rId1800" ref="Q902"/>
    <hyperlink r:id="rId1801" ref="S902"/>
    <hyperlink r:id="rId1802" ref="Q903"/>
    <hyperlink r:id="rId1803" ref="S903"/>
    <hyperlink r:id="rId1804" ref="Q904"/>
    <hyperlink r:id="rId1805" ref="S904"/>
    <hyperlink r:id="rId1806" ref="Q905"/>
    <hyperlink r:id="rId1807" ref="S905"/>
    <hyperlink r:id="rId1808" ref="Q906"/>
    <hyperlink r:id="rId1809" ref="S906"/>
    <hyperlink r:id="rId1810" ref="Q907"/>
    <hyperlink r:id="rId1811" ref="S907"/>
    <hyperlink r:id="rId1812" ref="Q908"/>
    <hyperlink r:id="rId1813" ref="S908"/>
    <hyperlink r:id="rId1814" ref="Q909"/>
    <hyperlink r:id="rId1815" ref="S909"/>
    <hyperlink r:id="rId1816" ref="Q910"/>
    <hyperlink r:id="rId1817" ref="S910"/>
    <hyperlink r:id="rId1818" ref="Q911"/>
    <hyperlink r:id="rId1819" ref="S911"/>
    <hyperlink r:id="rId1820" ref="Q912"/>
    <hyperlink r:id="rId1821" ref="S912"/>
    <hyperlink r:id="rId1822" ref="Q913"/>
    <hyperlink r:id="rId1823" ref="S913"/>
    <hyperlink r:id="rId1824" ref="Q914"/>
    <hyperlink r:id="rId1825" ref="S914"/>
    <hyperlink r:id="rId1826" ref="Q915"/>
    <hyperlink r:id="rId1827" ref="S915"/>
    <hyperlink r:id="rId1828" ref="Q916"/>
    <hyperlink r:id="rId1829" ref="S916"/>
    <hyperlink r:id="rId1830" ref="Q917"/>
    <hyperlink r:id="rId1831" ref="S917"/>
    <hyperlink r:id="rId1832" ref="Q918"/>
    <hyperlink r:id="rId1833" ref="S918"/>
    <hyperlink r:id="rId1834" ref="Q919"/>
    <hyperlink r:id="rId1835" ref="S919"/>
    <hyperlink r:id="rId1836" ref="Q920"/>
    <hyperlink r:id="rId1837" ref="S920"/>
    <hyperlink r:id="rId1838" ref="Q921"/>
    <hyperlink r:id="rId1839" ref="S921"/>
    <hyperlink r:id="rId1840" ref="Q922"/>
    <hyperlink r:id="rId1841" ref="S922"/>
    <hyperlink r:id="rId1842" ref="Q923"/>
    <hyperlink r:id="rId1843" ref="S923"/>
    <hyperlink r:id="rId1844" ref="Q924"/>
    <hyperlink r:id="rId1845" ref="S924"/>
    <hyperlink r:id="rId1846" ref="Q925"/>
    <hyperlink r:id="rId1847" ref="S925"/>
    <hyperlink r:id="rId1848" ref="Q926"/>
    <hyperlink r:id="rId1849" ref="S926"/>
    <hyperlink r:id="rId1850" ref="Q927"/>
    <hyperlink r:id="rId1851" ref="S927"/>
    <hyperlink r:id="rId1852" ref="Q928"/>
    <hyperlink r:id="rId1853" ref="S928"/>
    <hyperlink r:id="rId1854" ref="Q929"/>
    <hyperlink r:id="rId1855" ref="S929"/>
    <hyperlink r:id="rId1856" ref="Q930"/>
    <hyperlink r:id="rId1857" ref="S930"/>
    <hyperlink r:id="rId1858" ref="Q931"/>
    <hyperlink r:id="rId1859" ref="S931"/>
    <hyperlink r:id="rId1860" ref="Q932"/>
    <hyperlink r:id="rId1861" ref="S932"/>
    <hyperlink r:id="rId1862" ref="Q933"/>
    <hyperlink r:id="rId1863" ref="S933"/>
    <hyperlink r:id="rId1864" ref="Q934"/>
    <hyperlink r:id="rId1865" ref="S934"/>
    <hyperlink r:id="rId1866" ref="Q935"/>
    <hyperlink r:id="rId1867" ref="S935"/>
    <hyperlink r:id="rId1868" ref="Q936"/>
    <hyperlink r:id="rId1869" ref="S936"/>
    <hyperlink r:id="rId1870" ref="Q937"/>
    <hyperlink r:id="rId1871" ref="S937"/>
    <hyperlink r:id="rId1872" ref="Q938"/>
    <hyperlink r:id="rId1873" ref="S938"/>
    <hyperlink r:id="rId1874" ref="Q939"/>
    <hyperlink r:id="rId1875" ref="S939"/>
    <hyperlink r:id="rId1876" ref="Q940"/>
    <hyperlink r:id="rId1877" ref="S940"/>
    <hyperlink r:id="rId1878" ref="Q941"/>
    <hyperlink r:id="rId1879" ref="S941"/>
    <hyperlink r:id="rId1880" ref="Q942"/>
    <hyperlink r:id="rId1881" ref="S942"/>
    <hyperlink r:id="rId1882" ref="Q943"/>
    <hyperlink r:id="rId1883" ref="S943"/>
    <hyperlink r:id="rId1884" ref="Q944"/>
    <hyperlink r:id="rId1885" ref="S944"/>
    <hyperlink r:id="rId1886" ref="Q945"/>
    <hyperlink r:id="rId1887" ref="S945"/>
    <hyperlink r:id="rId1888" ref="Q946"/>
    <hyperlink r:id="rId1889" ref="S946"/>
    <hyperlink r:id="rId1890" ref="Q947"/>
    <hyperlink r:id="rId1891" ref="S947"/>
    <hyperlink r:id="rId1892" ref="Q948"/>
    <hyperlink r:id="rId1893" ref="S948"/>
    <hyperlink r:id="rId1894" ref="Q949"/>
    <hyperlink r:id="rId1895" ref="S949"/>
    <hyperlink r:id="rId1896" ref="Q950"/>
    <hyperlink r:id="rId1897" ref="S950"/>
    <hyperlink r:id="rId1898" ref="Q951"/>
    <hyperlink r:id="rId1899" ref="S951"/>
    <hyperlink r:id="rId1900" ref="Q952"/>
    <hyperlink r:id="rId1901" ref="S952"/>
    <hyperlink r:id="rId1902" ref="Q953"/>
    <hyperlink r:id="rId1903" ref="S953"/>
    <hyperlink r:id="rId1904" ref="Q954"/>
    <hyperlink r:id="rId1905" ref="S954"/>
    <hyperlink r:id="rId1906" ref="Q955"/>
    <hyperlink r:id="rId1907" ref="S955"/>
    <hyperlink r:id="rId1908" ref="Q956"/>
    <hyperlink r:id="rId1909" ref="S956"/>
    <hyperlink r:id="rId1910" ref="Q957"/>
    <hyperlink r:id="rId1911" ref="S957"/>
    <hyperlink r:id="rId1912" ref="Q958"/>
    <hyperlink r:id="rId1913" ref="S958"/>
    <hyperlink r:id="rId1914" ref="Q959"/>
    <hyperlink r:id="rId1915" ref="S959"/>
    <hyperlink r:id="rId1916" ref="Q960"/>
    <hyperlink r:id="rId1917" ref="S960"/>
    <hyperlink r:id="rId1918" ref="Q961"/>
    <hyperlink r:id="rId1919" ref="S961"/>
    <hyperlink r:id="rId1920" ref="Q962"/>
    <hyperlink r:id="rId1921" ref="S962"/>
    <hyperlink r:id="rId1922" ref="Q963"/>
    <hyperlink r:id="rId1923" ref="S963"/>
    <hyperlink r:id="rId1924" ref="Q964"/>
    <hyperlink r:id="rId1925" ref="S964"/>
    <hyperlink r:id="rId1926" ref="Q965"/>
    <hyperlink r:id="rId1927" ref="S965"/>
    <hyperlink r:id="rId1928" ref="Q966"/>
    <hyperlink r:id="rId1929" ref="S966"/>
    <hyperlink r:id="rId1930" ref="Q967"/>
    <hyperlink r:id="rId1931" ref="S967"/>
    <hyperlink r:id="rId1932" ref="Q968"/>
    <hyperlink r:id="rId1933" ref="S968"/>
    <hyperlink r:id="rId1934" ref="Q969"/>
    <hyperlink r:id="rId1935" ref="S969"/>
    <hyperlink r:id="rId1936" ref="Q970"/>
    <hyperlink r:id="rId1937" ref="S970"/>
    <hyperlink r:id="rId1938" ref="Q971"/>
    <hyperlink r:id="rId1939" ref="S971"/>
    <hyperlink r:id="rId1940" ref="Q972"/>
    <hyperlink r:id="rId1941" ref="S972"/>
    <hyperlink r:id="rId1942" ref="Q973"/>
    <hyperlink r:id="rId1943" ref="S973"/>
    <hyperlink r:id="rId1944" ref="Q974"/>
    <hyperlink r:id="rId1945" ref="S974"/>
    <hyperlink r:id="rId1946" ref="Q975"/>
    <hyperlink r:id="rId1947" ref="S975"/>
    <hyperlink r:id="rId1948" ref="Q976"/>
    <hyperlink r:id="rId1949" ref="S976"/>
    <hyperlink r:id="rId1950" ref="Q977"/>
    <hyperlink r:id="rId1951" ref="S977"/>
    <hyperlink r:id="rId1952" ref="Q978"/>
    <hyperlink r:id="rId1953" ref="S978"/>
    <hyperlink r:id="rId1954" ref="Q979"/>
    <hyperlink r:id="rId1955" ref="S979"/>
    <hyperlink r:id="rId1956" ref="Q980"/>
    <hyperlink r:id="rId1957" ref="S980"/>
    <hyperlink r:id="rId1958" ref="Q981"/>
    <hyperlink r:id="rId1959" ref="S981"/>
    <hyperlink r:id="rId1960" ref="Q982"/>
    <hyperlink r:id="rId1961" ref="S982"/>
    <hyperlink r:id="rId1962" ref="Q983"/>
    <hyperlink r:id="rId1963" ref="S983"/>
    <hyperlink r:id="rId1964" ref="Q984"/>
    <hyperlink r:id="rId1965" ref="S984"/>
    <hyperlink r:id="rId1966" ref="Q985"/>
    <hyperlink r:id="rId1967" ref="S985"/>
    <hyperlink r:id="rId1968" ref="Q986"/>
    <hyperlink r:id="rId1969" ref="S986"/>
    <hyperlink r:id="rId1970" ref="Q987"/>
    <hyperlink r:id="rId1971" ref="S987"/>
    <hyperlink r:id="rId1972" ref="Q988"/>
    <hyperlink r:id="rId1973" ref="S988"/>
  </hyperlinks>
  <drawing r:id="rId1974"/>
  <tableParts count="1">
    <tablePart r:id="rId1976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4" t="s">
        <v>5235</v>
      </c>
      <c r="B1" s="44" t="s">
        <v>5236</v>
      </c>
    </row>
    <row r="2">
      <c r="A2" s="1" t="s">
        <v>5237</v>
      </c>
      <c r="B2" s="1" t="s">
        <v>5238</v>
      </c>
    </row>
    <row r="3">
      <c r="A3" s="1" t="s">
        <v>5239</v>
      </c>
      <c r="B3" s="1" t="s">
        <v>5240</v>
      </c>
    </row>
    <row r="4">
      <c r="A4" s="1" t="s">
        <v>5241</v>
      </c>
      <c r="B4" s="1" t="s">
        <v>5242</v>
      </c>
    </row>
    <row r="5">
      <c r="A5" s="1" t="s">
        <v>5243</v>
      </c>
      <c r="B5" s="1" t="s">
        <v>5244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2.25"/>
    <col customWidth="1" min="3" max="3" width="19.38"/>
    <col customWidth="1" min="5" max="5" width="38.5"/>
    <col customWidth="1" min="6" max="6" width="7.63"/>
    <col customWidth="1" min="7" max="8" width="11.75"/>
    <col customWidth="1" min="9" max="9" width="17.5"/>
    <col customWidth="1" min="14" max="14" width="17.75"/>
    <col customWidth="1" min="17" max="17" width="15.25"/>
    <col customWidth="1" min="18" max="18" width="15.5"/>
    <col customWidth="1" min="19" max="22" width="18.88"/>
  </cols>
  <sheetData>
    <row r="1" ht="22.5" customHeight="1">
      <c r="A1" s="9" t="s">
        <v>5245</v>
      </c>
      <c r="B1" s="10" t="s">
        <v>199</v>
      </c>
      <c r="C1" s="11" t="s">
        <v>9</v>
      </c>
      <c r="D1" s="11" t="s">
        <v>5246</v>
      </c>
      <c r="E1" s="11" t="s">
        <v>201</v>
      </c>
      <c r="F1" s="11" t="s">
        <v>13</v>
      </c>
      <c r="G1" s="12" t="s">
        <v>14</v>
      </c>
      <c r="H1" s="45" t="s">
        <v>5247</v>
      </c>
      <c r="I1" s="10" t="s">
        <v>204</v>
      </c>
      <c r="J1" s="10" t="s">
        <v>205</v>
      </c>
      <c r="K1" s="14" t="s">
        <v>4</v>
      </c>
      <c r="L1" s="14" t="s">
        <v>5</v>
      </c>
      <c r="M1" s="14" t="s">
        <v>6</v>
      </c>
      <c r="N1" s="15" t="s">
        <v>206</v>
      </c>
      <c r="O1" s="15" t="s">
        <v>207</v>
      </c>
      <c r="P1" s="15" t="s">
        <v>208</v>
      </c>
      <c r="Q1" s="12" t="s">
        <v>209</v>
      </c>
      <c r="R1" s="12" t="s">
        <v>210</v>
      </c>
      <c r="S1" s="16" t="s">
        <v>211</v>
      </c>
      <c r="T1" s="16" t="s">
        <v>212</v>
      </c>
      <c r="U1" s="16" t="s">
        <v>213</v>
      </c>
      <c r="V1" s="16" t="s">
        <v>214</v>
      </c>
    </row>
    <row r="2" ht="22.5" customHeight="1">
      <c r="A2" s="18">
        <v>3.0</v>
      </c>
      <c r="B2" s="46">
        <v>1.0</v>
      </c>
      <c r="C2" s="18">
        <v>0.0</v>
      </c>
      <c r="D2" s="47">
        <v>2.52610008E8</v>
      </c>
      <c r="E2" s="36" t="s">
        <v>5248</v>
      </c>
      <c r="F2" s="36" t="s">
        <v>220</v>
      </c>
      <c r="G2" s="12">
        <v>33.0</v>
      </c>
      <c r="H2" s="48" t="str">
        <f t="shared" ref="H2:H516" si="1">K2</f>
        <v>X-1</v>
      </c>
      <c r="I2" s="19" t="str">
        <f t="shared" ref="I2:I948" si="2">N2</f>
        <v>33 - BC X-1</v>
      </c>
      <c r="J2" s="20" t="str">
        <f>VLOOKUP(I2,'Database Grup SCC'!$B$2:$C1382,2,false)</f>
        <v>Rony</v>
      </c>
      <c r="K2" s="49" t="s">
        <v>5249</v>
      </c>
      <c r="L2" s="49"/>
      <c r="M2" s="50"/>
      <c r="N2" s="33" t="s">
        <v>5250</v>
      </c>
      <c r="O2" s="34"/>
      <c r="P2" s="34"/>
      <c r="Q2" s="24" t="str">
        <f t="shared" ref="Q2:Q948" si="3">"https://docs.google.com/forms/d/e/1FAIpQLSeZ-R1GrWlAPkfaThGqxeTj0QTtrARw4rroxIIepf2kipn1nw/formResponse?usp=pp_url&amp;entry.1313582257="&amp;C2&amp;"&amp;entry.1578404635=Hadir"</f>
        <v>https://docs.google.com/forms/d/e/1FAIpQLSeZ-R1GrWlAPkfaThGqxeTj0QTtrARw4rroxIIepf2kipn1nw/formResponse?usp=pp_url&amp;entry.1313582257=0&amp;entry.1578404635=Hadir</v>
      </c>
      <c r="R2" s="23" t="str">
        <f t="array" ref="R2:R1382">IF(Q2:Q1382="","",
 "https://quickchart.io/qr?size=250&amp;text=" &amp; ENCODEURL(Q2:Q1382))
</f>
        <v>https://quickchart.io/qr?size=250&amp;text=https%3A%2F%2Fdocs.google.com%2Fforms%2Fd%2Fe%2F1FAIpQLSeZ-R1GrWlAPkfaThGqxeTj0QTtrARw4rroxIIepf2kipn1nw%2FformResponse%3Fusp%3Dpp_url%26entry.1313582257%3D0%26entry.1578404635%3DHadir</v>
      </c>
      <c r="S2" s="39"/>
      <c r="T2" s="39"/>
      <c r="U2" s="39"/>
      <c r="V2" s="39"/>
    </row>
    <row r="3" ht="22.5" customHeight="1">
      <c r="A3" s="10">
        <v>4.0</v>
      </c>
      <c r="B3" s="46">
        <v>2.0</v>
      </c>
      <c r="C3" s="36" t="s">
        <v>5251</v>
      </c>
      <c r="D3" s="47">
        <v>2.52610048E8</v>
      </c>
      <c r="E3" s="36" t="s">
        <v>5252</v>
      </c>
      <c r="F3" s="36" t="s">
        <v>227</v>
      </c>
      <c r="G3" s="12">
        <v>33.0</v>
      </c>
      <c r="H3" s="48" t="str">
        <f t="shared" si="1"/>
        <v>X-1</v>
      </c>
      <c r="I3" s="19" t="str">
        <f t="shared" si="2"/>
        <v>33 - GC1 X-1</v>
      </c>
      <c r="J3" s="20" t="str">
        <f>VLOOKUP(I3,'Database Grup SCC'!$B$2:$C1382,2,false)</f>
        <v>Syifa</v>
      </c>
      <c r="K3" s="49" t="s">
        <v>5249</v>
      </c>
      <c r="L3" s="49"/>
      <c r="M3" s="50"/>
      <c r="N3" s="33" t="s">
        <v>5253</v>
      </c>
      <c r="O3" s="34"/>
      <c r="P3" s="34"/>
      <c r="Q3" s="24" t="str">
        <f t="shared" si="3"/>
        <v>https://docs.google.com/forms/d/e/1FAIpQLSeZ-R1GrWlAPkfaThGqxeTj0QTtrARw4rroxIIepf2kipn1nw/formResponse?usp=pp_url&amp;entry.1313582257=3103201253&amp;entry.1578404635=Hadir</v>
      </c>
      <c r="R3" s="23" t="s">
        <v>5254</v>
      </c>
      <c r="S3" s="39"/>
      <c r="T3" s="39"/>
      <c r="U3" s="39"/>
      <c r="V3" s="39"/>
    </row>
    <row r="4" ht="22.5" customHeight="1">
      <c r="A4" s="18">
        <v>5.0</v>
      </c>
      <c r="B4" s="46">
        <v>3.0</v>
      </c>
      <c r="C4" s="36" t="s">
        <v>5255</v>
      </c>
      <c r="D4" s="47">
        <v>2.52610053E8</v>
      </c>
      <c r="E4" s="36" t="s">
        <v>5256</v>
      </c>
      <c r="F4" s="36" t="s">
        <v>227</v>
      </c>
      <c r="G4" s="12">
        <v>33.0</v>
      </c>
      <c r="H4" s="48" t="str">
        <f t="shared" si="1"/>
        <v>X-1</v>
      </c>
      <c r="I4" s="19" t="str">
        <f t="shared" si="2"/>
        <v>33 - GC1 X-1</v>
      </c>
      <c r="J4" s="20" t="str">
        <f>VLOOKUP(I4,'Database Grup SCC'!$B$2:$C1382,2,false)</f>
        <v>Syifa</v>
      </c>
      <c r="K4" s="49" t="s">
        <v>5249</v>
      </c>
      <c r="L4" s="49"/>
      <c r="M4" s="50"/>
      <c r="N4" s="33" t="s">
        <v>5253</v>
      </c>
      <c r="O4" s="34"/>
      <c r="P4" s="34"/>
      <c r="Q4" s="24" t="str">
        <f t="shared" si="3"/>
        <v>https://docs.google.com/forms/d/e/1FAIpQLSeZ-R1GrWlAPkfaThGqxeTj0QTtrARw4rroxIIepf2kipn1nw/formResponse?usp=pp_url&amp;entry.1313582257=0102149444&amp;entry.1578404635=Hadir</v>
      </c>
      <c r="R4" s="23" t="s">
        <v>5257</v>
      </c>
      <c r="S4" s="39"/>
      <c r="T4" s="39"/>
      <c r="U4" s="39"/>
      <c r="V4" s="39"/>
    </row>
    <row r="5" ht="22.5" customHeight="1">
      <c r="A5" s="10">
        <v>6.0</v>
      </c>
      <c r="B5" s="46">
        <v>4.0</v>
      </c>
      <c r="C5" s="36" t="s">
        <v>39</v>
      </c>
      <c r="D5" s="47">
        <v>2.52610082E8</v>
      </c>
      <c r="E5" s="36" t="s">
        <v>5258</v>
      </c>
      <c r="F5" s="36" t="s">
        <v>220</v>
      </c>
      <c r="G5" s="12">
        <v>33.0</v>
      </c>
      <c r="H5" s="48" t="str">
        <f t="shared" si="1"/>
        <v>X-1</v>
      </c>
      <c r="I5" s="19" t="str">
        <f t="shared" si="2"/>
        <v>33 - BC X-1</v>
      </c>
      <c r="J5" s="20" t="str">
        <f>VLOOKUP(I5,'Database Grup SCC'!$B$2:$C1382,2,false)</f>
        <v>Rony</v>
      </c>
      <c r="K5" s="49" t="s">
        <v>5249</v>
      </c>
      <c r="L5" s="49"/>
      <c r="M5" s="50"/>
      <c r="N5" s="33" t="s">
        <v>5250</v>
      </c>
      <c r="O5" s="34"/>
      <c r="P5" s="34"/>
      <c r="Q5" s="24" t="str">
        <f t="shared" si="3"/>
        <v>https://docs.google.com/forms/d/e/1FAIpQLSeZ-R1GrWlAPkfaThGqxeTj0QTtrARw4rroxIIepf2kipn1nw/formResponse?usp=pp_url&amp;entry.1313582257=0095992391&amp;entry.1578404635=Hadir</v>
      </c>
      <c r="R5" s="23" t="s">
        <v>5259</v>
      </c>
      <c r="S5" s="39"/>
      <c r="T5" s="39"/>
      <c r="U5" s="39"/>
      <c r="V5" s="39"/>
    </row>
    <row r="6" ht="22.5" customHeight="1">
      <c r="A6" s="18">
        <v>7.0</v>
      </c>
      <c r="B6" s="46">
        <v>5.0</v>
      </c>
      <c r="C6" s="36" t="s">
        <v>5260</v>
      </c>
      <c r="D6" s="47">
        <v>2.52610083E8</v>
      </c>
      <c r="E6" s="36" t="s">
        <v>5261</v>
      </c>
      <c r="F6" s="36" t="s">
        <v>227</v>
      </c>
      <c r="G6" s="12">
        <v>33.0</v>
      </c>
      <c r="H6" s="48" t="str">
        <f t="shared" si="1"/>
        <v>X-1</v>
      </c>
      <c r="I6" s="19" t="str">
        <f t="shared" si="2"/>
        <v>33 - GC1 X-1</v>
      </c>
      <c r="J6" s="20" t="str">
        <f>VLOOKUP(I6,'Database Grup SCC'!$B$2:$C1382,2,false)</f>
        <v>Syifa</v>
      </c>
      <c r="K6" s="49" t="s">
        <v>5249</v>
      </c>
      <c r="L6" s="49"/>
      <c r="M6" s="50"/>
      <c r="N6" s="33" t="s">
        <v>5253</v>
      </c>
      <c r="O6" s="34"/>
      <c r="P6" s="34"/>
      <c r="Q6" s="24" t="str">
        <f t="shared" si="3"/>
        <v>https://docs.google.com/forms/d/e/1FAIpQLSeZ-R1GrWlAPkfaThGqxeTj0QTtrARw4rroxIIepf2kipn1nw/formResponse?usp=pp_url&amp;entry.1313582257=0106142601&amp;entry.1578404635=Hadir</v>
      </c>
      <c r="R6" s="23" t="s">
        <v>5262</v>
      </c>
      <c r="S6" s="39"/>
      <c r="T6" s="39"/>
      <c r="U6" s="39"/>
      <c r="V6" s="39"/>
    </row>
    <row r="7" ht="22.5" customHeight="1">
      <c r="A7" s="10">
        <v>8.0</v>
      </c>
      <c r="B7" s="46">
        <v>6.0</v>
      </c>
      <c r="C7" s="36" t="s">
        <v>5263</v>
      </c>
      <c r="D7" s="47">
        <v>2.52610087E8</v>
      </c>
      <c r="E7" s="36" t="s">
        <v>5264</v>
      </c>
      <c r="F7" s="36" t="s">
        <v>227</v>
      </c>
      <c r="G7" s="12">
        <v>33.0</v>
      </c>
      <c r="H7" s="48" t="str">
        <f t="shared" si="1"/>
        <v>X-1</v>
      </c>
      <c r="I7" s="19" t="str">
        <f t="shared" si="2"/>
        <v>33 - GC1 X-1</v>
      </c>
      <c r="J7" s="20" t="str">
        <f>VLOOKUP(I7,'Database Grup SCC'!$B$2:$C1382,2,false)</f>
        <v>Syifa</v>
      </c>
      <c r="K7" s="49" t="s">
        <v>5249</v>
      </c>
      <c r="L7" s="49"/>
      <c r="M7" s="50"/>
      <c r="N7" s="33" t="s">
        <v>5253</v>
      </c>
      <c r="O7" s="34"/>
      <c r="P7" s="34"/>
      <c r="Q7" s="24" t="str">
        <f t="shared" si="3"/>
        <v>https://docs.google.com/forms/d/e/1FAIpQLSeZ-R1GrWlAPkfaThGqxeTj0QTtrARw4rroxIIepf2kipn1nw/formResponse?usp=pp_url&amp;entry.1313582257=0108104548&amp;entry.1578404635=Hadir</v>
      </c>
      <c r="R7" s="23" t="s">
        <v>5265</v>
      </c>
      <c r="S7" s="39"/>
      <c r="T7" s="39"/>
      <c r="U7" s="39"/>
      <c r="V7" s="39"/>
    </row>
    <row r="8" ht="22.5" customHeight="1">
      <c r="A8" s="18">
        <v>9.0</v>
      </c>
      <c r="B8" s="46">
        <v>7.0</v>
      </c>
      <c r="C8" s="36" t="s">
        <v>5266</v>
      </c>
      <c r="D8" s="47">
        <v>2.52610088E8</v>
      </c>
      <c r="E8" s="36" t="s">
        <v>5267</v>
      </c>
      <c r="F8" s="36" t="s">
        <v>227</v>
      </c>
      <c r="G8" s="12">
        <v>33.0</v>
      </c>
      <c r="H8" s="48" t="str">
        <f t="shared" si="1"/>
        <v>X-1</v>
      </c>
      <c r="I8" s="19" t="str">
        <f t="shared" si="2"/>
        <v>33 - GC1 X-1</v>
      </c>
      <c r="J8" s="20" t="str">
        <f>VLOOKUP(I8,'Database Grup SCC'!$B$2:$C1382,2,false)</f>
        <v>Syifa</v>
      </c>
      <c r="K8" s="49" t="s">
        <v>5249</v>
      </c>
      <c r="L8" s="49"/>
      <c r="M8" s="50"/>
      <c r="N8" s="33" t="s">
        <v>5253</v>
      </c>
      <c r="O8" s="34"/>
      <c r="P8" s="34"/>
      <c r="Q8" s="24" t="str">
        <f t="shared" si="3"/>
        <v>https://docs.google.com/forms/d/e/1FAIpQLSeZ-R1GrWlAPkfaThGqxeTj0QTtrARw4rroxIIepf2kipn1nw/formResponse?usp=pp_url&amp;entry.1313582257=0103045473&amp;entry.1578404635=Hadir</v>
      </c>
      <c r="R8" s="23" t="s">
        <v>5268</v>
      </c>
      <c r="S8" s="39"/>
      <c r="T8" s="39"/>
      <c r="U8" s="39"/>
      <c r="V8" s="39"/>
    </row>
    <row r="9" ht="22.5" customHeight="1">
      <c r="A9" s="10">
        <v>10.0</v>
      </c>
      <c r="B9" s="46">
        <v>8.0</v>
      </c>
      <c r="C9" s="36" t="s">
        <v>5269</v>
      </c>
      <c r="D9" s="47">
        <v>2.526101E8</v>
      </c>
      <c r="E9" s="36" t="s">
        <v>5270</v>
      </c>
      <c r="F9" s="36" t="s">
        <v>227</v>
      </c>
      <c r="G9" s="12">
        <v>33.0</v>
      </c>
      <c r="H9" s="48" t="str">
        <f t="shared" si="1"/>
        <v>X-1</v>
      </c>
      <c r="I9" s="19" t="str">
        <f t="shared" si="2"/>
        <v>33 - GC1 X-1</v>
      </c>
      <c r="J9" s="20" t="str">
        <f>VLOOKUP(I9,'Database Grup SCC'!$B$2:$C1382,2,false)</f>
        <v>Syifa</v>
      </c>
      <c r="K9" s="49" t="s">
        <v>5249</v>
      </c>
      <c r="L9" s="49"/>
      <c r="M9" s="50"/>
      <c r="N9" s="33" t="s">
        <v>5253</v>
      </c>
      <c r="O9" s="34"/>
      <c r="P9" s="34"/>
      <c r="Q9" s="24" t="str">
        <f t="shared" si="3"/>
        <v>https://docs.google.com/forms/d/e/1FAIpQLSeZ-R1GrWlAPkfaThGqxeTj0QTtrARw4rroxIIepf2kipn1nw/formResponse?usp=pp_url&amp;entry.1313582257=0109105725&amp;entry.1578404635=Hadir</v>
      </c>
      <c r="R9" s="23" t="s">
        <v>5271</v>
      </c>
      <c r="S9" s="39"/>
      <c r="T9" s="39"/>
      <c r="U9" s="39"/>
      <c r="V9" s="39"/>
    </row>
    <row r="10" ht="22.5" customHeight="1">
      <c r="A10" s="18">
        <v>11.0</v>
      </c>
      <c r="B10" s="46">
        <v>9.0</v>
      </c>
      <c r="C10" s="36" t="s">
        <v>5272</v>
      </c>
      <c r="D10" s="47">
        <v>2.52610101E8</v>
      </c>
      <c r="E10" s="36" t="s">
        <v>5273</v>
      </c>
      <c r="F10" s="36" t="s">
        <v>227</v>
      </c>
      <c r="G10" s="12">
        <v>33.0</v>
      </c>
      <c r="H10" s="48" t="str">
        <f t="shared" si="1"/>
        <v>X-1</v>
      </c>
      <c r="I10" s="19" t="str">
        <f t="shared" si="2"/>
        <v>33 - GC1 X-1</v>
      </c>
      <c r="J10" s="20" t="str">
        <f>VLOOKUP(I10,'Database Grup SCC'!$B$2:$C1382,2,false)</f>
        <v>Syifa</v>
      </c>
      <c r="K10" s="49" t="s">
        <v>5249</v>
      </c>
      <c r="L10" s="49"/>
      <c r="M10" s="50"/>
      <c r="N10" s="33" t="s">
        <v>5253</v>
      </c>
      <c r="O10" s="34"/>
      <c r="P10" s="34"/>
      <c r="Q10" s="24" t="str">
        <f t="shared" si="3"/>
        <v>https://docs.google.com/forms/d/e/1FAIpQLSeZ-R1GrWlAPkfaThGqxeTj0QTtrARw4rroxIIepf2kipn1nw/formResponse?usp=pp_url&amp;entry.1313582257=0096394871&amp;entry.1578404635=Hadir</v>
      </c>
      <c r="R10" s="23" t="s">
        <v>5274</v>
      </c>
      <c r="S10" s="39"/>
      <c r="T10" s="39"/>
      <c r="U10" s="39"/>
      <c r="V10" s="39"/>
    </row>
    <row r="11" ht="22.5" customHeight="1">
      <c r="A11" s="10">
        <v>12.0</v>
      </c>
      <c r="B11" s="46">
        <v>10.0</v>
      </c>
      <c r="C11" s="36" t="s">
        <v>5275</v>
      </c>
      <c r="D11" s="47">
        <v>2.52610122E8</v>
      </c>
      <c r="E11" s="36" t="s">
        <v>5276</v>
      </c>
      <c r="F11" s="36" t="s">
        <v>227</v>
      </c>
      <c r="G11" s="12">
        <v>33.0</v>
      </c>
      <c r="H11" s="48" t="str">
        <f t="shared" si="1"/>
        <v>X-1</v>
      </c>
      <c r="I11" s="19" t="str">
        <f t="shared" si="2"/>
        <v>33 - XSUMEN1 GC</v>
      </c>
      <c r="J11" s="20" t="str">
        <f>VLOOKUP(I11,'Database Grup SCC'!$B$2:$C1382,2,false)</f>
        <v>Ayun</v>
      </c>
      <c r="K11" s="49" t="s">
        <v>5249</v>
      </c>
      <c r="L11" s="49"/>
      <c r="M11" s="50"/>
      <c r="N11" s="33" t="s">
        <v>5277</v>
      </c>
      <c r="O11" s="34"/>
      <c r="P11" s="34"/>
      <c r="Q11" s="24" t="str">
        <f t="shared" si="3"/>
        <v>https://docs.google.com/forms/d/e/1FAIpQLSeZ-R1GrWlAPkfaThGqxeTj0QTtrARw4rroxIIepf2kipn1nw/formResponse?usp=pp_url&amp;entry.1313582257=0096477713&amp;entry.1578404635=Hadir</v>
      </c>
      <c r="R11" s="23" t="s">
        <v>5278</v>
      </c>
      <c r="S11" s="39"/>
      <c r="T11" s="39"/>
      <c r="U11" s="39"/>
      <c r="V11" s="39"/>
    </row>
    <row r="12" ht="22.5" customHeight="1">
      <c r="A12" s="18">
        <v>13.0</v>
      </c>
      <c r="B12" s="46">
        <v>11.0</v>
      </c>
      <c r="C12" s="36" t="s">
        <v>34</v>
      </c>
      <c r="D12" s="47">
        <v>2.52610126E8</v>
      </c>
      <c r="E12" s="36" t="s">
        <v>5279</v>
      </c>
      <c r="F12" s="36" t="s">
        <v>220</v>
      </c>
      <c r="G12" s="12">
        <v>33.0</v>
      </c>
      <c r="H12" s="48" t="str">
        <f t="shared" si="1"/>
        <v>X-1</v>
      </c>
      <c r="I12" s="19" t="str">
        <f t="shared" si="2"/>
        <v>33 - BC X-1</v>
      </c>
      <c r="J12" s="20" t="str">
        <f>VLOOKUP(I12,'Database Grup SCC'!$B$2:$C1382,2,false)</f>
        <v>Rony</v>
      </c>
      <c r="K12" s="49" t="s">
        <v>5249</v>
      </c>
      <c r="L12" s="49"/>
      <c r="M12" s="50"/>
      <c r="N12" s="33" t="s">
        <v>5250</v>
      </c>
      <c r="O12" s="34"/>
      <c r="P12" s="34"/>
      <c r="Q12" s="24" t="str">
        <f t="shared" si="3"/>
        <v>https://docs.google.com/forms/d/e/1FAIpQLSeZ-R1GrWlAPkfaThGqxeTj0QTtrARw4rroxIIepf2kipn1nw/formResponse?usp=pp_url&amp;entry.1313582257=0106995291&amp;entry.1578404635=Hadir</v>
      </c>
      <c r="R12" s="23" t="s">
        <v>5280</v>
      </c>
      <c r="S12" s="39"/>
      <c r="T12" s="39"/>
      <c r="U12" s="39"/>
      <c r="V12" s="39"/>
    </row>
    <row r="13" ht="22.5" customHeight="1">
      <c r="A13" s="10">
        <v>14.0</v>
      </c>
      <c r="B13" s="46">
        <v>12.0</v>
      </c>
      <c r="C13" s="36" t="s">
        <v>5281</v>
      </c>
      <c r="D13" s="47">
        <v>2.5261013E8</v>
      </c>
      <c r="E13" s="36" t="s">
        <v>5282</v>
      </c>
      <c r="F13" s="36" t="s">
        <v>227</v>
      </c>
      <c r="G13" s="12">
        <v>33.0</v>
      </c>
      <c r="H13" s="48" t="str">
        <f t="shared" si="1"/>
        <v>X-1</v>
      </c>
      <c r="I13" s="19" t="str">
        <f t="shared" si="2"/>
        <v>33 - GC1 X-1</v>
      </c>
      <c r="J13" s="20" t="str">
        <f>VLOOKUP(I13,'Database Grup SCC'!$B$2:$C1382,2,false)</f>
        <v>Syifa</v>
      </c>
      <c r="K13" s="49" t="s">
        <v>5249</v>
      </c>
      <c r="L13" s="49"/>
      <c r="M13" s="50"/>
      <c r="N13" s="33" t="s">
        <v>5253</v>
      </c>
      <c r="O13" s="34"/>
      <c r="P13" s="34"/>
      <c r="Q13" s="24" t="str">
        <f t="shared" si="3"/>
        <v>https://docs.google.com/forms/d/e/1FAIpQLSeZ-R1GrWlAPkfaThGqxeTj0QTtrARw4rroxIIepf2kipn1nw/formResponse?usp=pp_url&amp;entry.1313582257=0094126705&amp;entry.1578404635=Hadir</v>
      </c>
      <c r="R13" s="23" t="s">
        <v>5283</v>
      </c>
      <c r="S13" s="39"/>
      <c r="T13" s="39"/>
      <c r="U13" s="39"/>
      <c r="V13" s="39"/>
    </row>
    <row r="14" ht="22.5" customHeight="1">
      <c r="A14" s="18">
        <v>15.0</v>
      </c>
      <c r="B14" s="46">
        <v>13.0</v>
      </c>
      <c r="C14" s="36" t="s">
        <v>41</v>
      </c>
      <c r="D14" s="47">
        <v>2.52610171E8</v>
      </c>
      <c r="E14" s="36" t="s">
        <v>5284</v>
      </c>
      <c r="F14" s="36" t="s">
        <v>220</v>
      </c>
      <c r="G14" s="12">
        <v>33.0</v>
      </c>
      <c r="H14" s="48" t="str">
        <f t="shared" si="1"/>
        <v>X-1</v>
      </c>
      <c r="I14" s="19" t="str">
        <f t="shared" si="2"/>
        <v>33 - BC X-1</v>
      </c>
      <c r="J14" s="20" t="str">
        <f>VLOOKUP(I14,'Database Grup SCC'!$B$2:$C1382,2,false)</f>
        <v>Rony</v>
      </c>
      <c r="K14" s="49" t="s">
        <v>5249</v>
      </c>
      <c r="L14" s="49"/>
      <c r="M14" s="50"/>
      <c r="N14" s="33" t="s">
        <v>5250</v>
      </c>
      <c r="O14" s="34"/>
      <c r="P14" s="34"/>
      <c r="Q14" s="24" t="str">
        <f t="shared" si="3"/>
        <v>https://docs.google.com/forms/d/e/1FAIpQLSeZ-R1GrWlAPkfaThGqxeTj0QTtrARw4rroxIIepf2kipn1nw/formResponse?usp=pp_url&amp;entry.1313582257=0105914504&amp;entry.1578404635=Hadir</v>
      </c>
      <c r="R14" s="23" t="s">
        <v>5285</v>
      </c>
      <c r="S14" s="39"/>
      <c r="T14" s="39"/>
      <c r="U14" s="39"/>
      <c r="V14" s="39"/>
    </row>
    <row r="15" ht="22.5" customHeight="1">
      <c r="A15" s="10">
        <v>16.0</v>
      </c>
      <c r="B15" s="36">
        <v>14.0</v>
      </c>
      <c r="C15" s="36" t="s">
        <v>5286</v>
      </c>
      <c r="D15" s="47">
        <v>2.52610175E8</v>
      </c>
      <c r="E15" s="36" t="s">
        <v>5287</v>
      </c>
      <c r="F15" s="36" t="s">
        <v>227</v>
      </c>
      <c r="G15" s="12">
        <v>33.0</v>
      </c>
      <c r="H15" s="48" t="str">
        <f t="shared" si="1"/>
        <v>X-1</v>
      </c>
      <c r="I15" s="19" t="str">
        <f t="shared" si="2"/>
        <v>33 - GC1 X-1</v>
      </c>
      <c r="J15" s="20" t="str">
        <f>VLOOKUP(I15,'Database Grup SCC'!$B$2:$C1382,2,false)</f>
        <v>Syifa</v>
      </c>
      <c r="K15" s="49" t="s">
        <v>5249</v>
      </c>
      <c r="L15" s="49"/>
      <c r="M15" s="50"/>
      <c r="N15" s="33" t="s">
        <v>5253</v>
      </c>
      <c r="O15" s="34"/>
      <c r="P15" s="34"/>
      <c r="Q15" s="24" t="str">
        <f t="shared" si="3"/>
        <v>https://docs.google.com/forms/d/e/1FAIpQLSeZ-R1GrWlAPkfaThGqxeTj0QTtrARw4rroxIIepf2kipn1nw/formResponse?usp=pp_url&amp;entry.1313582257=0092097491&amp;entry.1578404635=Hadir</v>
      </c>
      <c r="R15" s="23" t="s">
        <v>5288</v>
      </c>
      <c r="S15" s="39"/>
      <c r="T15" s="39"/>
      <c r="U15" s="39"/>
      <c r="V15" s="39"/>
    </row>
    <row r="16" ht="22.5" customHeight="1">
      <c r="A16" s="18">
        <v>17.0</v>
      </c>
      <c r="B16" s="36">
        <v>15.0</v>
      </c>
      <c r="C16" s="36" t="s">
        <v>5289</v>
      </c>
      <c r="D16" s="47">
        <v>2.52610193E8</v>
      </c>
      <c r="E16" s="36" t="s">
        <v>5290</v>
      </c>
      <c r="F16" s="36" t="s">
        <v>220</v>
      </c>
      <c r="G16" s="12">
        <v>33.0</v>
      </c>
      <c r="H16" s="48" t="str">
        <f t="shared" si="1"/>
        <v>X-1</v>
      </c>
      <c r="I16" s="19" t="str">
        <f t="shared" si="2"/>
        <v>33 - BC X-1</v>
      </c>
      <c r="J16" s="20" t="str">
        <f>VLOOKUP(I16,'Database Grup SCC'!$B$2:$C1382,2,false)</f>
        <v>Rony</v>
      </c>
      <c r="K16" s="49" t="s">
        <v>5249</v>
      </c>
      <c r="L16" s="49"/>
      <c r="M16" s="50"/>
      <c r="N16" s="33" t="s">
        <v>5250</v>
      </c>
      <c r="O16" s="34"/>
      <c r="P16" s="34"/>
      <c r="Q16" s="24" t="str">
        <f t="shared" si="3"/>
        <v>https://docs.google.com/forms/d/e/1FAIpQLSeZ-R1GrWlAPkfaThGqxeTj0QTtrARw4rroxIIepf2kipn1nw/formResponse?usp=pp_url&amp;entry.1313582257=0102644442&amp;entry.1578404635=Hadir</v>
      </c>
      <c r="R16" s="23" t="s">
        <v>5291</v>
      </c>
      <c r="S16" s="39"/>
      <c r="T16" s="39"/>
      <c r="U16" s="39"/>
      <c r="V16" s="39"/>
    </row>
    <row r="17" ht="22.5" customHeight="1">
      <c r="A17" s="10">
        <v>18.0</v>
      </c>
      <c r="B17" s="36">
        <v>16.0</v>
      </c>
      <c r="C17" s="36" t="s">
        <v>5292</v>
      </c>
      <c r="D17" s="47">
        <v>2.52610202E8</v>
      </c>
      <c r="E17" s="36" t="s">
        <v>5293</v>
      </c>
      <c r="F17" s="36" t="s">
        <v>220</v>
      </c>
      <c r="G17" s="12">
        <v>33.0</v>
      </c>
      <c r="H17" s="48" t="str">
        <f t="shared" si="1"/>
        <v>X-1</v>
      </c>
      <c r="I17" s="19" t="str">
        <f t="shared" si="2"/>
        <v>33 - BC X-1</v>
      </c>
      <c r="J17" s="20" t="str">
        <f>VLOOKUP(I17,'Database Grup SCC'!$B$2:$C1382,2,false)</f>
        <v>Rony</v>
      </c>
      <c r="K17" s="49" t="s">
        <v>5249</v>
      </c>
      <c r="L17" s="49"/>
      <c r="M17" s="50"/>
      <c r="N17" s="33" t="s">
        <v>5250</v>
      </c>
      <c r="O17" s="34"/>
      <c r="P17" s="34"/>
      <c r="Q17" s="24" t="str">
        <f t="shared" si="3"/>
        <v>https://docs.google.com/forms/d/e/1FAIpQLSeZ-R1GrWlAPkfaThGqxeTj0QTtrARw4rroxIIepf2kipn1nw/formResponse?usp=pp_url&amp;entry.1313582257=0107657965&amp;entry.1578404635=Hadir</v>
      </c>
      <c r="R17" s="23" t="s">
        <v>5294</v>
      </c>
      <c r="S17" s="39"/>
      <c r="T17" s="39"/>
      <c r="U17" s="39"/>
      <c r="V17" s="39"/>
    </row>
    <row r="18" ht="22.5" customHeight="1">
      <c r="A18" s="18">
        <v>19.0</v>
      </c>
      <c r="B18" s="36">
        <v>17.0</v>
      </c>
      <c r="C18" s="36" t="s">
        <v>5295</v>
      </c>
      <c r="D18" s="47">
        <v>2.52610206E8</v>
      </c>
      <c r="E18" s="36" t="s">
        <v>5296</v>
      </c>
      <c r="F18" s="36" t="s">
        <v>227</v>
      </c>
      <c r="G18" s="12">
        <v>33.0</v>
      </c>
      <c r="H18" s="48" t="str">
        <f t="shared" si="1"/>
        <v>X-1</v>
      </c>
      <c r="I18" s="19" t="str">
        <f t="shared" si="2"/>
        <v>33 - GC1 X-1</v>
      </c>
      <c r="J18" s="20" t="str">
        <f>VLOOKUP(I18,'Database Grup SCC'!$B$2:$C1382,2,false)</f>
        <v>Syifa</v>
      </c>
      <c r="K18" s="49" t="s">
        <v>5249</v>
      </c>
      <c r="L18" s="49"/>
      <c r="M18" s="50"/>
      <c r="N18" s="33" t="s">
        <v>5253</v>
      </c>
      <c r="O18" s="34"/>
      <c r="P18" s="34"/>
      <c r="Q18" s="24" t="str">
        <f t="shared" si="3"/>
        <v>https://docs.google.com/forms/d/e/1FAIpQLSeZ-R1GrWlAPkfaThGqxeTj0QTtrARw4rroxIIepf2kipn1nw/formResponse?usp=pp_url&amp;entry.1313582257=0095023834&amp;entry.1578404635=Hadir</v>
      </c>
      <c r="R18" s="23" t="s">
        <v>5297</v>
      </c>
      <c r="S18" s="39"/>
      <c r="T18" s="39"/>
      <c r="U18" s="39"/>
      <c r="V18" s="39"/>
    </row>
    <row r="19" ht="22.5" customHeight="1">
      <c r="A19" s="10">
        <v>20.0</v>
      </c>
      <c r="B19" s="36">
        <v>18.0</v>
      </c>
      <c r="C19" s="36" t="s">
        <v>5298</v>
      </c>
      <c r="D19" s="47">
        <v>2.52610224E8</v>
      </c>
      <c r="E19" s="36" t="s">
        <v>5299</v>
      </c>
      <c r="F19" s="36" t="s">
        <v>227</v>
      </c>
      <c r="G19" s="12">
        <v>33.0</v>
      </c>
      <c r="H19" s="48" t="str">
        <f t="shared" si="1"/>
        <v>X-1</v>
      </c>
      <c r="I19" s="19" t="str">
        <f t="shared" si="2"/>
        <v>33 - GC1 X-1</v>
      </c>
      <c r="J19" s="20" t="str">
        <f>VLOOKUP(I19,'Database Grup SCC'!$B$2:$C1382,2,false)</f>
        <v>Syifa</v>
      </c>
      <c r="K19" s="49" t="s">
        <v>5249</v>
      </c>
      <c r="L19" s="49"/>
      <c r="M19" s="50"/>
      <c r="N19" s="33" t="s">
        <v>5253</v>
      </c>
      <c r="O19" s="34"/>
      <c r="P19" s="34"/>
      <c r="Q19" s="24" t="str">
        <f t="shared" si="3"/>
        <v>https://docs.google.com/forms/d/e/1FAIpQLSeZ-R1GrWlAPkfaThGqxeTj0QTtrARw4rroxIIepf2kipn1nw/formResponse?usp=pp_url&amp;entry.1313582257=0094631117&amp;entry.1578404635=Hadir</v>
      </c>
      <c r="R19" s="23" t="s">
        <v>5300</v>
      </c>
      <c r="S19" s="39"/>
      <c r="T19" s="39"/>
      <c r="U19" s="39"/>
      <c r="V19" s="39"/>
    </row>
    <row r="20" ht="22.5" customHeight="1">
      <c r="A20" s="18">
        <v>21.0</v>
      </c>
      <c r="B20" s="36">
        <v>19.0</v>
      </c>
      <c r="C20" s="36" t="s">
        <v>5301</v>
      </c>
      <c r="D20" s="47">
        <v>2.52610239E8</v>
      </c>
      <c r="E20" s="36" t="s">
        <v>5302</v>
      </c>
      <c r="F20" s="36" t="s">
        <v>227</v>
      </c>
      <c r="G20" s="12">
        <v>33.0</v>
      </c>
      <c r="H20" s="48" t="str">
        <f t="shared" si="1"/>
        <v>X-1</v>
      </c>
      <c r="I20" s="19" t="str">
        <f t="shared" si="2"/>
        <v>33 - GC2 X-1</v>
      </c>
      <c r="J20" s="20" t="str">
        <f>VLOOKUP(I20,'Database Grup SCC'!$B$2:$C1382,2,false)</f>
        <v>Oshe (XI)</v>
      </c>
      <c r="K20" s="49" t="s">
        <v>5249</v>
      </c>
      <c r="L20" s="49"/>
      <c r="M20" s="50"/>
      <c r="N20" s="33" t="s">
        <v>5303</v>
      </c>
      <c r="O20" s="34"/>
      <c r="P20" s="34"/>
      <c r="Q20" s="24" t="str">
        <f t="shared" si="3"/>
        <v>https://docs.google.com/forms/d/e/1FAIpQLSeZ-R1GrWlAPkfaThGqxeTj0QTtrARw4rroxIIepf2kipn1nw/formResponse?usp=pp_url&amp;entry.1313582257=0092679798&amp;entry.1578404635=Hadir</v>
      </c>
      <c r="R20" s="23" t="s">
        <v>5304</v>
      </c>
      <c r="S20" s="39"/>
      <c r="T20" s="39"/>
      <c r="U20" s="39"/>
      <c r="V20" s="39"/>
    </row>
    <row r="21" ht="22.5" customHeight="1">
      <c r="A21" s="10">
        <v>22.0</v>
      </c>
      <c r="B21" s="36">
        <v>20.0</v>
      </c>
      <c r="C21" s="36" t="s">
        <v>5305</v>
      </c>
      <c r="D21" s="47">
        <v>2.52610246E8</v>
      </c>
      <c r="E21" s="36" t="s">
        <v>5306</v>
      </c>
      <c r="F21" s="36" t="s">
        <v>227</v>
      </c>
      <c r="G21" s="12">
        <v>33.0</v>
      </c>
      <c r="H21" s="48" t="str">
        <f t="shared" si="1"/>
        <v>X-1</v>
      </c>
      <c r="I21" s="19" t="str">
        <f t="shared" si="2"/>
        <v>33 - GC2 X-1</v>
      </c>
      <c r="J21" s="20" t="str">
        <f>VLOOKUP(I21,'Database Grup SCC'!$B$2:$C1382,2,false)</f>
        <v>Oshe (XI)</v>
      </c>
      <c r="K21" s="49" t="s">
        <v>5249</v>
      </c>
      <c r="L21" s="49"/>
      <c r="M21" s="50"/>
      <c r="N21" s="33" t="s">
        <v>5303</v>
      </c>
      <c r="O21" s="34"/>
      <c r="P21" s="34"/>
      <c r="Q21" s="24" t="str">
        <f t="shared" si="3"/>
        <v>https://docs.google.com/forms/d/e/1FAIpQLSeZ-R1GrWlAPkfaThGqxeTj0QTtrARw4rroxIIepf2kipn1nw/formResponse?usp=pp_url&amp;entry.1313582257=0103648473&amp;entry.1578404635=Hadir</v>
      </c>
      <c r="R21" s="23" t="s">
        <v>5307</v>
      </c>
      <c r="S21" s="39"/>
      <c r="T21" s="39"/>
      <c r="U21" s="39"/>
      <c r="V21" s="39"/>
    </row>
    <row r="22" ht="22.5" customHeight="1">
      <c r="A22" s="18">
        <v>23.0</v>
      </c>
      <c r="B22" s="36">
        <v>21.0</v>
      </c>
      <c r="C22" s="36" t="s">
        <v>5308</v>
      </c>
      <c r="D22" s="47">
        <v>2.52610311E8</v>
      </c>
      <c r="E22" s="36" t="s">
        <v>5309</v>
      </c>
      <c r="F22" s="36" t="s">
        <v>227</v>
      </c>
      <c r="G22" s="12">
        <v>33.0</v>
      </c>
      <c r="H22" s="48" t="str">
        <f t="shared" si="1"/>
        <v>X-1</v>
      </c>
      <c r="I22" s="19" t="str">
        <f t="shared" si="2"/>
        <v>33 - GC2 X-1</v>
      </c>
      <c r="J22" s="20" t="str">
        <f>VLOOKUP(I22,'Database Grup SCC'!$B$2:$C1382,2,false)</f>
        <v>Oshe (XI)</v>
      </c>
      <c r="K22" s="49" t="s">
        <v>5249</v>
      </c>
      <c r="L22" s="49"/>
      <c r="M22" s="50"/>
      <c r="N22" s="33" t="s">
        <v>5303</v>
      </c>
      <c r="O22" s="34"/>
      <c r="P22" s="34"/>
      <c r="Q22" s="24" t="str">
        <f t="shared" si="3"/>
        <v>https://docs.google.com/forms/d/e/1FAIpQLSeZ-R1GrWlAPkfaThGqxeTj0QTtrARw4rroxIIepf2kipn1nw/formResponse?usp=pp_url&amp;entry.1313582257=0092985486&amp;entry.1578404635=Hadir</v>
      </c>
      <c r="R22" s="23" t="s">
        <v>5310</v>
      </c>
      <c r="S22" s="39"/>
      <c r="T22" s="39"/>
      <c r="U22" s="39"/>
      <c r="V22" s="39"/>
    </row>
    <row r="23" ht="22.5" customHeight="1">
      <c r="A23" s="10">
        <v>24.0</v>
      </c>
      <c r="B23" s="36">
        <v>22.0</v>
      </c>
      <c r="C23" s="36" t="s">
        <v>5311</v>
      </c>
      <c r="D23" s="47">
        <v>2.52610316E8</v>
      </c>
      <c r="E23" s="36" t="s">
        <v>5312</v>
      </c>
      <c r="F23" s="36" t="s">
        <v>220</v>
      </c>
      <c r="G23" s="12">
        <v>33.0</v>
      </c>
      <c r="H23" s="48" t="str">
        <f t="shared" si="1"/>
        <v>X-1</v>
      </c>
      <c r="I23" s="19" t="str">
        <f t="shared" si="2"/>
        <v>33 - BC X-1</v>
      </c>
      <c r="J23" s="20" t="str">
        <f>VLOOKUP(I23,'Database Grup SCC'!$B$2:$C1382,2,false)</f>
        <v>Rony</v>
      </c>
      <c r="K23" s="49" t="s">
        <v>5249</v>
      </c>
      <c r="L23" s="49"/>
      <c r="M23" s="50"/>
      <c r="N23" s="33" t="s">
        <v>5250</v>
      </c>
      <c r="O23" s="34"/>
      <c r="P23" s="34"/>
      <c r="Q23" s="24" t="str">
        <f t="shared" si="3"/>
        <v>https://docs.google.com/forms/d/e/1FAIpQLSeZ-R1GrWlAPkfaThGqxeTj0QTtrARw4rroxIIepf2kipn1nw/formResponse?usp=pp_url&amp;entry.1313582257=0107959828&amp;entry.1578404635=Hadir</v>
      </c>
      <c r="R23" s="23" t="s">
        <v>5313</v>
      </c>
      <c r="S23" s="39"/>
      <c r="T23" s="39"/>
      <c r="U23" s="39"/>
      <c r="V23" s="39"/>
    </row>
    <row r="24" ht="22.5" customHeight="1">
      <c r="A24" s="18">
        <v>25.0</v>
      </c>
      <c r="B24" s="36">
        <v>23.0</v>
      </c>
      <c r="C24" s="36" t="s">
        <v>5314</v>
      </c>
      <c r="D24" s="47">
        <v>2.5261033E8</v>
      </c>
      <c r="E24" s="36" t="s">
        <v>5315</v>
      </c>
      <c r="F24" s="36" t="s">
        <v>220</v>
      </c>
      <c r="G24" s="12">
        <v>33.0</v>
      </c>
      <c r="H24" s="48" t="str">
        <f t="shared" si="1"/>
        <v>X-1</v>
      </c>
      <c r="I24" s="19" t="str">
        <f t="shared" si="2"/>
        <v>33 - BC X-1</v>
      </c>
      <c r="J24" s="20" t="str">
        <f>VLOOKUP(I24,'Database Grup SCC'!$B$2:$C1382,2,false)</f>
        <v>Rony</v>
      </c>
      <c r="K24" s="49" t="s">
        <v>5249</v>
      </c>
      <c r="L24" s="49"/>
      <c r="M24" s="50"/>
      <c r="N24" s="33" t="s">
        <v>5250</v>
      </c>
      <c r="O24" s="34"/>
      <c r="P24" s="34"/>
      <c r="Q24" s="24" t="str">
        <f t="shared" si="3"/>
        <v>https://docs.google.com/forms/d/e/1FAIpQLSeZ-R1GrWlAPkfaThGqxeTj0QTtrARw4rroxIIepf2kipn1nw/formResponse?usp=pp_url&amp;entry.1313582257=0092600602&amp;entry.1578404635=Hadir</v>
      </c>
      <c r="R24" s="23" t="s">
        <v>5316</v>
      </c>
      <c r="S24" s="39"/>
      <c r="T24" s="39"/>
      <c r="U24" s="39"/>
      <c r="V24" s="39"/>
    </row>
    <row r="25" ht="22.5" customHeight="1">
      <c r="A25" s="10">
        <v>26.0</v>
      </c>
      <c r="B25" s="36">
        <v>24.0</v>
      </c>
      <c r="C25" s="36" t="s">
        <v>5317</v>
      </c>
      <c r="D25" s="47">
        <v>2.52610334E8</v>
      </c>
      <c r="E25" s="36" t="s">
        <v>5318</v>
      </c>
      <c r="F25" s="36" t="s">
        <v>220</v>
      </c>
      <c r="G25" s="12">
        <v>33.0</v>
      </c>
      <c r="H25" s="48" t="str">
        <f t="shared" si="1"/>
        <v>X-1</v>
      </c>
      <c r="I25" s="19" t="str">
        <f t="shared" si="2"/>
        <v>33 - XSUMEN BC</v>
      </c>
      <c r="J25" s="20" t="str">
        <f>VLOOKUP(I25,'Database Grup SCC'!$B$2:$C1382,2,false)</f>
        <v>Rekhsa</v>
      </c>
      <c r="K25" s="49" t="s">
        <v>5249</v>
      </c>
      <c r="L25" s="49"/>
      <c r="M25" s="50"/>
      <c r="N25" s="33" t="s">
        <v>371</v>
      </c>
      <c r="O25" s="34"/>
      <c r="P25" s="34"/>
      <c r="Q25" s="24" t="str">
        <f t="shared" si="3"/>
        <v>https://docs.google.com/forms/d/e/1FAIpQLSeZ-R1GrWlAPkfaThGqxeTj0QTtrARw4rroxIIepf2kipn1nw/formResponse?usp=pp_url&amp;entry.1313582257=0108695912&amp;entry.1578404635=Hadir</v>
      </c>
      <c r="R25" s="23" t="s">
        <v>5319</v>
      </c>
      <c r="S25" s="39"/>
      <c r="T25" s="39"/>
      <c r="U25" s="39"/>
      <c r="V25" s="39"/>
    </row>
    <row r="26" ht="22.5" customHeight="1">
      <c r="A26" s="18">
        <v>27.0</v>
      </c>
      <c r="B26" s="36">
        <v>25.0</v>
      </c>
      <c r="C26" s="36" t="s">
        <v>40</v>
      </c>
      <c r="D26" s="47">
        <v>2.52610343E8</v>
      </c>
      <c r="E26" s="36" t="s">
        <v>5320</v>
      </c>
      <c r="F26" s="36" t="s">
        <v>220</v>
      </c>
      <c r="G26" s="12">
        <v>33.0</v>
      </c>
      <c r="H26" s="48" t="str">
        <f t="shared" si="1"/>
        <v>X-1</v>
      </c>
      <c r="I26" s="19" t="str">
        <f t="shared" si="2"/>
        <v>33 - BC X-1</v>
      </c>
      <c r="J26" s="20" t="str">
        <f>VLOOKUP(I26,'Database Grup SCC'!$B$2:$C1382,2,false)</f>
        <v>Rony</v>
      </c>
      <c r="K26" s="49" t="s">
        <v>5249</v>
      </c>
      <c r="L26" s="49"/>
      <c r="M26" s="50"/>
      <c r="N26" s="33" t="s">
        <v>5250</v>
      </c>
      <c r="O26" s="34"/>
      <c r="P26" s="34"/>
      <c r="Q26" s="24" t="str">
        <f t="shared" si="3"/>
        <v>https://docs.google.com/forms/d/e/1FAIpQLSeZ-R1GrWlAPkfaThGqxeTj0QTtrARw4rroxIIepf2kipn1nw/formResponse?usp=pp_url&amp;entry.1313582257=0093126257&amp;entry.1578404635=Hadir</v>
      </c>
      <c r="R26" s="23" t="s">
        <v>5321</v>
      </c>
      <c r="S26" s="39"/>
      <c r="T26" s="39"/>
      <c r="U26" s="39"/>
      <c r="V26" s="39"/>
    </row>
    <row r="27" ht="22.5" customHeight="1">
      <c r="A27" s="10">
        <v>28.0</v>
      </c>
      <c r="B27" s="36">
        <v>26.0</v>
      </c>
      <c r="C27" s="36" t="s">
        <v>5322</v>
      </c>
      <c r="D27" s="47">
        <v>2.52610351E8</v>
      </c>
      <c r="E27" s="36" t="s">
        <v>5323</v>
      </c>
      <c r="F27" s="36" t="s">
        <v>220</v>
      </c>
      <c r="G27" s="12">
        <v>33.0</v>
      </c>
      <c r="H27" s="48" t="str">
        <f t="shared" si="1"/>
        <v>X-1</v>
      </c>
      <c r="I27" s="19" t="str">
        <f t="shared" si="2"/>
        <v>33 - BC X-1</v>
      </c>
      <c r="J27" s="20" t="str">
        <f>VLOOKUP(I27,'Database Grup SCC'!$B$2:$C1382,2,false)</f>
        <v>Rony</v>
      </c>
      <c r="K27" s="49" t="s">
        <v>5249</v>
      </c>
      <c r="L27" s="49"/>
      <c r="M27" s="50"/>
      <c r="N27" s="33" t="s">
        <v>5250</v>
      </c>
      <c r="O27" s="34"/>
      <c r="P27" s="34"/>
      <c r="Q27" s="24" t="str">
        <f t="shared" si="3"/>
        <v>https://docs.google.com/forms/d/e/1FAIpQLSeZ-R1GrWlAPkfaThGqxeTj0QTtrARw4rroxIIepf2kipn1nw/formResponse?usp=pp_url&amp;entry.1313582257=3104497802&amp;entry.1578404635=Hadir</v>
      </c>
      <c r="R27" s="23" t="s">
        <v>5324</v>
      </c>
      <c r="S27" s="39"/>
      <c r="T27" s="39"/>
      <c r="U27" s="39"/>
      <c r="V27" s="39"/>
    </row>
    <row r="28" ht="22.5" customHeight="1">
      <c r="A28" s="18">
        <v>29.0</v>
      </c>
      <c r="B28" s="36">
        <v>27.0</v>
      </c>
      <c r="C28" s="36" t="s">
        <v>36</v>
      </c>
      <c r="D28" s="47">
        <v>2.52610369E8</v>
      </c>
      <c r="E28" s="36" t="s">
        <v>5325</v>
      </c>
      <c r="F28" s="36" t="s">
        <v>220</v>
      </c>
      <c r="G28" s="12">
        <v>33.0</v>
      </c>
      <c r="H28" s="48" t="str">
        <f t="shared" si="1"/>
        <v>X-1</v>
      </c>
      <c r="I28" s="19" t="str">
        <f t="shared" si="2"/>
        <v>33 - BC X-1</v>
      </c>
      <c r="J28" s="20" t="str">
        <f>VLOOKUP(I28,'Database Grup SCC'!$B$2:$C1382,2,false)</f>
        <v>Rony</v>
      </c>
      <c r="K28" s="49" t="s">
        <v>5249</v>
      </c>
      <c r="L28" s="49"/>
      <c r="M28" s="50"/>
      <c r="N28" s="33" t="s">
        <v>5250</v>
      </c>
      <c r="O28" s="34"/>
      <c r="P28" s="34"/>
      <c r="Q28" s="24" t="str">
        <f t="shared" si="3"/>
        <v>https://docs.google.com/forms/d/e/1FAIpQLSeZ-R1GrWlAPkfaThGqxeTj0QTtrARw4rroxIIepf2kipn1nw/formResponse?usp=pp_url&amp;entry.1313582257=0108107461&amp;entry.1578404635=Hadir</v>
      </c>
      <c r="R28" s="23" t="s">
        <v>5326</v>
      </c>
      <c r="S28" s="39"/>
      <c r="T28" s="39"/>
      <c r="U28" s="39"/>
      <c r="V28" s="39"/>
    </row>
    <row r="29" ht="22.5" customHeight="1">
      <c r="A29" s="10">
        <v>30.0</v>
      </c>
      <c r="B29" s="36">
        <v>28.0</v>
      </c>
      <c r="C29" s="36" t="s">
        <v>5327</v>
      </c>
      <c r="D29" s="47">
        <v>2.52610371E8</v>
      </c>
      <c r="E29" s="36" t="s">
        <v>5328</v>
      </c>
      <c r="F29" s="36" t="s">
        <v>220</v>
      </c>
      <c r="G29" s="12">
        <v>33.0</v>
      </c>
      <c r="H29" s="48" t="str">
        <f t="shared" si="1"/>
        <v>X-1</v>
      </c>
      <c r="I29" s="19" t="str">
        <f t="shared" si="2"/>
        <v>33 - BC X-1</v>
      </c>
      <c r="J29" s="20" t="str">
        <f>VLOOKUP(I29,'Database Grup SCC'!$B$2:$C1382,2,false)</f>
        <v>Rony</v>
      </c>
      <c r="K29" s="49" t="s">
        <v>5249</v>
      </c>
      <c r="L29" s="49"/>
      <c r="M29" s="50"/>
      <c r="N29" s="33" t="s">
        <v>5250</v>
      </c>
      <c r="O29" s="34"/>
      <c r="P29" s="34"/>
      <c r="Q29" s="24" t="str">
        <f t="shared" si="3"/>
        <v>https://docs.google.com/forms/d/e/1FAIpQLSeZ-R1GrWlAPkfaThGqxeTj0QTtrARw4rroxIIepf2kipn1nw/formResponse?usp=pp_url&amp;entry.1313582257=0092807405&amp;entry.1578404635=Hadir</v>
      </c>
      <c r="R29" s="23" t="s">
        <v>5329</v>
      </c>
      <c r="S29" s="39"/>
      <c r="T29" s="39"/>
      <c r="U29" s="39"/>
      <c r="V29" s="39"/>
    </row>
    <row r="30" ht="22.5" customHeight="1">
      <c r="A30" s="18">
        <v>31.0</v>
      </c>
      <c r="B30" s="36">
        <v>29.0</v>
      </c>
      <c r="C30" s="36" t="s">
        <v>5330</v>
      </c>
      <c r="D30" s="47">
        <v>2.5261039E8</v>
      </c>
      <c r="E30" s="36" t="s">
        <v>5331</v>
      </c>
      <c r="F30" s="36" t="s">
        <v>227</v>
      </c>
      <c r="G30" s="12">
        <v>33.0</v>
      </c>
      <c r="H30" s="48" t="str">
        <f t="shared" si="1"/>
        <v>X-1</v>
      </c>
      <c r="I30" s="19" t="str">
        <f t="shared" si="2"/>
        <v>33 - GC2 X-1</v>
      </c>
      <c r="J30" s="20" t="str">
        <f>VLOOKUP(I30,'Database Grup SCC'!$B$2:$C1382,2,false)</f>
        <v>Oshe (XI)</v>
      </c>
      <c r="K30" s="49" t="s">
        <v>5249</v>
      </c>
      <c r="L30" s="49"/>
      <c r="M30" s="50"/>
      <c r="N30" s="33" t="s">
        <v>5303</v>
      </c>
      <c r="O30" s="34"/>
      <c r="P30" s="34"/>
      <c r="Q30" s="24" t="str">
        <f t="shared" si="3"/>
        <v>https://docs.google.com/forms/d/e/1FAIpQLSeZ-R1GrWlAPkfaThGqxeTj0QTtrARw4rroxIIepf2kipn1nw/formResponse?usp=pp_url&amp;entry.1313582257=0102300207&amp;entry.1578404635=Hadir</v>
      </c>
      <c r="R30" s="23" t="s">
        <v>5332</v>
      </c>
      <c r="S30" s="39"/>
      <c r="T30" s="39"/>
      <c r="U30" s="39"/>
      <c r="V30" s="39"/>
    </row>
    <row r="31" ht="22.5" customHeight="1">
      <c r="A31" s="10">
        <v>32.0</v>
      </c>
      <c r="B31" s="36">
        <v>30.0</v>
      </c>
      <c r="C31" s="36" t="s">
        <v>5333</v>
      </c>
      <c r="D31" s="47">
        <v>2.52610393E8</v>
      </c>
      <c r="E31" s="36" t="s">
        <v>5334</v>
      </c>
      <c r="F31" s="36" t="s">
        <v>227</v>
      </c>
      <c r="G31" s="12">
        <v>33.0</v>
      </c>
      <c r="H31" s="48" t="str">
        <f t="shared" si="1"/>
        <v>X-1</v>
      </c>
      <c r="I31" s="19" t="str">
        <f t="shared" si="2"/>
        <v>33 - GC2 X-1</v>
      </c>
      <c r="J31" s="20" t="str">
        <f>VLOOKUP(I31,'Database Grup SCC'!$B$2:$C1382,2,false)</f>
        <v>Oshe (XI)</v>
      </c>
      <c r="K31" s="49" t="s">
        <v>5249</v>
      </c>
      <c r="L31" s="49"/>
      <c r="M31" s="50"/>
      <c r="N31" s="33" t="s">
        <v>5303</v>
      </c>
      <c r="O31" s="34"/>
      <c r="P31" s="34"/>
      <c r="Q31" s="24" t="str">
        <f t="shared" si="3"/>
        <v>https://docs.google.com/forms/d/e/1FAIpQLSeZ-R1GrWlAPkfaThGqxeTj0QTtrARw4rroxIIepf2kipn1nw/formResponse?usp=pp_url&amp;entry.1313582257=0097892166&amp;entry.1578404635=Hadir</v>
      </c>
      <c r="R31" s="23" t="s">
        <v>5335</v>
      </c>
      <c r="S31" s="39"/>
      <c r="T31" s="39"/>
      <c r="U31" s="39"/>
      <c r="V31" s="39"/>
    </row>
    <row r="32" ht="22.5" customHeight="1">
      <c r="A32" s="18">
        <v>33.0</v>
      </c>
      <c r="B32" s="36">
        <v>31.0</v>
      </c>
      <c r="C32" s="36" t="s">
        <v>5336</v>
      </c>
      <c r="D32" s="47">
        <v>2.52610423E8</v>
      </c>
      <c r="E32" s="36" t="s">
        <v>5337</v>
      </c>
      <c r="F32" s="36" t="s">
        <v>227</v>
      </c>
      <c r="G32" s="12">
        <v>33.0</v>
      </c>
      <c r="H32" s="48" t="str">
        <f t="shared" si="1"/>
        <v>X-1</v>
      </c>
      <c r="I32" s="19" t="str">
        <f t="shared" si="2"/>
        <v>33 - GC2 X-1</v>
      </c>
      <c r="J32" s="20" t="str">
        <f>VLOOKUP(I32,'Database Grup SCC'!$B$2:$C1382,2,false)</f>
        <v>Oshe (XI)</v>
      </c>
      <c r="K32" s="49" t="s">
        <v>5249</v>
      </c>
      <c r="L32" s="49"/>
      <c r="M32" s="50"/>
      <c r="N32" s="33" t="s">
        <v>5303</v>
      </c>
      <c r="O32" s="34"/>
      <c r="P32" s="34"/>
      <c r="Q32" s="24" t="str">
        <f t="shared" si="3"/>
        <v>https://docs.google.com/forms/d/e/1FAIpQLSeZ-R1GrWlAPkfaThGqxeTj0QTtrARw4rroxIIepf2kipn1nw/formResponse?usp=pp_url&amp;entry.1313582257=0097858274&amp;entry.1578404635=Hadir</v>
      </c>
      <c r="R32" s="23" t="s">
        <v>5338</v>
      </c>
      <c r="S32" s="39"/>
      <c r="T32" s="39"/>
      <c r="U32" s="39"/>
      <c r="V32" s="39"/>
    </row>
    <row r="33" ht="22.5" customHeight="1">
      <c r="A33" s="10">
        <v>34.0</v>
      </c>
      <c r="B33" s="36">
        <v>32.0</v>
      </c>
      <c r="C33" s="36" t="s">
        <v>5339</v>
      </c>
      <c r="D33" s="47">
        <v>2.52610424E8</v>
      </c>
      <c r="E33" s="36" t="s">
        <v>5340</v>
      </c>
      <c r="F33" s="36" t="s">
        <v>227</v>
      </c>
      <c r="G33" s="12">
        <v>33.0</v>
      </c>
      <c r="H33" s="48" t="str">
        <f t="shared" si="1"/>
        <v>X-1</v>
      </c>
      <c r="I33" s="19" t="str">
        <f t="shared" si="2"/>
        <v>33 - GC2 X-1</v>
      </c>
      <c r="J33" s="20" t="str">
        <f>VLOOKUP(I33,'Database Grup SCC'!$B$2:$C1382,2,false)</f>
        <v>Oshe (XI)</v>
      </c>
      <c r="K33" s="49" t="s">
        <v>5249</v>
      </c>
      <c r="L33" s="49"/>
      <c r="M33" s="50"/>
      <c r="N33" s="33" t="s">
        <v>5303</v>
      </c>
      <c r="O33" s="34"/>
      <c r="P33" s="34"/>
      <c r="Q33" s="24" t="str">
        <f t="shared" si="3"/>
        <v>https://docs.google.com/forms/d/e/1FAIpQLSeZ-R1GrWlAPkfaThGqxeTj0QTtrARw4rroxIIepf2kipn1nw/formResponse?usp=pp_url&amp;entry.1313582257=0093105045&amp;entry.1578404635=Hadir</v>
      </c>
      <c r="R33" s="23" t="s">
        <v>5341</v>
      </c>
      <c r="S33" s="39"/>
      <c r="T33" s="39"/>
      <c r="U33" s="39"/>
      <c r="V33" s="39"/>
    </row>
    <row r="34" ht="22.5" customHeight="1">
      <c r="A34" s="18">
        <v>35.0</v>
      </c>
      <c r="B34" s="36">
        <v>33.0</v>
      </c>
      <c r="C34" s="36" t="s">
        <v>5342</v>
      </c>
      <c r="D34" s="47">
        <v>2.52610436E8</v>
      </c>
      <c r="E34" s="36" t="s">
        <v>5343</v>
      </c>
      <c r="F34" s="36" t="s">
        <v>220</v>
      </c>
      <c r="G34" s="12">
        <v>33.0</v>
      </c>
      <c r="H34" s="48" t="str">
        <f t="shared" si="1"/>
        <v>X-1</v>
      </c>
      <c r="I34" s="19" t="str">
        <f t="shared" si="2"/>
        <v>33 - BC X-1</v>
      </c>
      <c r="J34" s="20" t="str">
        <f>VLOOKUP(I34,'Database Grup SCC'!$B$2:$C1382,2,false)</f>
        <v>Rony</v>
      </c>
      <c r="K34" s="49" t="s">
        <v>5249</v>
      </c>
      <c r="L34" s="49"/>
      <c r="M34" s="50"/>
      <c r="N34" s="33" t="s">
        <v>5250</v>
      </c>
      <c r="O34" s="34"/>
      <c r="P34" s="34"/>
      <c r="Q34" s="24" t="str">
        <f t="shared" si="3"/>
        <v>https://docs.google.com/forms/d/e/1FAIpQLSeZ-R1GrWlAPkfaThGqxeTj0QTtrARw4rroxIIepf2kipn1nw/formResponse?usp=pp_url&amp;entry.1313582257=0095438030&amp;entry.1578404635=Hadir</v>
      </c>
      <c r="R34" s="23" t="s">
        <v>5344</v>
      </c>
      <c r="S34" s="39"/>
      <c r="T34" s="39"/>
      <c r="U34" s="39"/>
      <c r="V34" s="39"/>
    </row>
    <row r="35" ht="22.5" customHeight="1">
      <c r="A35" s="10">
        <v>36.0</v>
      </c>
      <c r="B35" s="36">
        <v>34.0</v>
      </c>
      <c r="C35" s="36" t="s">
        <v>5345</v>
      </c>
      <c r="D35" s="47">
        <v>2.52610452E8</v>
      </c>
      <c r="E35" s="36" t="s">
        <v>5346</v>
      </c>
      <c r="F35" s="36" t="s">
        <v>220</v>
      </c>
      <c r="G35" s="12">
        <v>33.0</v>
      </c>
      <c r="H35" s="48" t="str">
        <f t="shared" si="1"/>
        <v>X-1</v>
      </c>
      <c r="I35" s="19" t="str">
        <f t="shared" si="2"/>
        <v>33 - BC X-1</v>
      </c>
      <c r="J35" s="20" t="str">
        <f>VLOOKUP(I35,'Database Grup SCC'!$B$2:$C1382,2,false)</f>
        <v>Rony</v>
      </c>
      <c r="K35" s="49" t="s">
        <v>5249</v>
      </c>
      <c r="L35" s="49"/>
      <c r="M35" s="50"/>
      <c r="N35" s="33" t="s">
        <v>5250</v>
      </c>
      <c r="O35" s="34"/>
      <c r="P35" s="34"/>
      <c r="Q35" s="24" t="str">
        <f t="shared" si="3"/>
        <v>https://docs.google.com/forms/d/e/1FAIpQLSeZ-R1GrWlAPkfaThGqxeTj0QTtrARw4rroxIIepf2kipn1nw/formResponse?usp=pp_url&amp;entry.1313582257=0107914534&amp;entry.1578404635=Hadir</v>
      </c>
      <c r="R35" s="23" t="s">
        <v>5347</v>
      </c>
      <c r="S35" s="39"/>
      <c r="T35" s="39"/>
      <c r="U35" s="39"/>
      <c r="V35" s="39"/>
    </row>
    <row r="36" ht="22.5" customHeight="1">
      <c r="A36" s="18">
        <v>37.0</v>
      </c>
      <c r="B36" s="36">
        <v>35.0</v>
      </c>
      <c r="C36" s="36" t="s">
        <v>5348</v>
      </c>
      <c r="D36" s="47">
        <v>2.52610454E8</v>
      </c>
      <c r="E36" s="36" t="s">
        <v>5349</v>
      </c>
      <c r="F36" s="36" t="s">
        <v>220</v>
      </c>
      <c r="G36" s="12">
        <v>33.0</v>
      </c>
      <c r="H36" s="48" t="str">
        <f t="shared" si="1"/>
        <v>X-1</v>
      </c>
      <c r="I36" s="19" t="str">
        <f t="shared" si="2"/>
        <v>33 - BC X-1</v>
      </c>
      <c r="J36" s="20" t="str">
        <f>VLOOKUP(I36,'Database Grup SCC'!$B$2:$C1382,2,false)</f>
        <v>Rony</v>
      </c>
      <c r="K36" s="49" t="s">
        <v>5249</v>
      </c>
      <c r="L36" s="49"/>
      <c r="M36" s="50"/>
      <c r="N36" s="33" t="s">
        <v>5250</v>
      </c>
      <c r="O36" s="34"/>
      <c r="P36" s="34"/>
      <c r="Q36" s="24" t="str">
        <f t="shared" si="3"/>
        <v>https://docs.google.com/forms/d/e/1FAIpQLSeZ-R1GrWlAPkfaThGqxeTj0QTtrARw4rroxIIepf2kipn1nw/formResponse?usp=pp_url&amp;entry.1313582257=0097963483&amp;entry.1578404635=Hadir</v>
      </c>
      <c r="R36" s="23" t="s">
        <v>5350</v>
      </c>
      <c r="S36" s="39"/>
      <c r="T36" s="39"/>
      <c r="U36" s="39"/>
      <c r="V36" s="39"/>
    </row>
    <row r="37" ht="22.5" customHeight="1">
      <c r="A37" s="10">
        <v>38.0</v>
      </c>
      <c r="B37" s="36">
        <v>36.0</v>
      </c>
      <c r="C37" s="36" t="s">
        <v>42</v>
      </c>
      <c r="D37" s="47">
        <v>2.52610476E8</v>
      </c>
      <c r="E37" s="36" t="s">
        <v>5351</v>
      </c>
      <c r="F37" s="36" t="s">
        <v>220</v>
      </c>
      <c r="G37" s="12">
        <v>33.0</v>
      </c>
      <c r="H37" s="48" t="str">
        <f t="shared" si="1"/>
        <v>X-1</v>
      </c>
      <c r="I37" s="19" t="str">
        <f t="shared" si="2"/>
        <v>33 - BC X-1</v>
      </c>
      <c r="J37" s="20" t="str">
        <f>VLOOKUP(I37,'Database Grup SCC'!$B$2:$C1382,2,false)</f>
        <v>Rony</v>
      </c>
      <c r="K37" s="49" t="s">
        <v>5249</v>
      </c>
      <c r="L37" s="49"/>
      <c r="M37" s="50"/>
      <c r="N37" s="33" t="s">
        <v>5250</v>
      </c>
      <c r="O37" s="34"/>
      <c r="P37" s="34"/>
      <c r="Q37" s="24" t="str">
        <f t="shared" si="3"/>
        <v>https://docs.google.com/forms/d/e/1FAIpQLSeZ-R1GrWlAPkfaThGqxeTj0QTtrARw4rroxIIepf2kipn1nw/formResponse?usp=pp_url&amp;entry.1313582257=0092135851&amp;entry.1578404635=Hadir</v>
      </c>
      <c r="R37" s="23" t="s">
        <v>5352</v>
      </c>
      <c r="S37" s="39"/>
      <c r="T37" s="39"/>
      <c r="U37" s="39"/>
      <c r="V37" s="39"/>
    </row>
    <row r="38" ht="22.5" customHeight="1">
      <c r="A38" s="18">
        <v>39.0</v>
      </c>
      <c r="B38" s="36">
        <v>37.0</v>
      </c>
      <c r="C38" s="36" t="s">
        <v>5353</v>
      </c>
      <c r="D38" s="47">
        <v>2.52610477E8</v>
      </c>
      <c r="E38" s="36" t="s">
        <v>5354</v>
      </c>
      <c r="F38" s="36" t="s">
        <v>227</v>
      </c>
      <c r="G38" s="12">
        <v>33.0</v>
      </c>
      <c r="H38" s="48" t="str">
        <f t="shared" si="1"/>
        <v>X-1</v>
      </c>
      <c r="I38" s="19" t="str">
        <f t="shared" si="2"/>
        <v>33 - XSUMEN1 GC</v>
      </c>
      <c r="J38" s="20" t="str">
        <f>VLOOKUP(I38,'Database Grup SCC'!$B$2:$C1382,2,false)</f>
        <v>Ayun</v>
      </c>
      <c r="K38" s="49" t="s">
        <v>5249</v>
      </c>
      <c r="L38" s="49"/>
      <c r="M38" s="50"/>
      <c r="N38" s="33" t="s">
        <v>5277</v>
      </c>
      <c r="O38" s="34"/>
      <c r="P38" s="34"/>
      <c r="Q38" s="24" t="str">
        <f t="shared" si="3"/>
        <v>https://docs.google.com/forms/d/e/1FAIpQLSeZ-R1GrWlAPkfaThGqxeTj0QTtrARw4rroxIIepf2kipn1nw/formResponse?usp=pp_url&amp;entry.1313582257=0092605198&amp;entry.1578404635=Hadir</v>
      </c>
      <c r="R38" s="23" t="s">
        <v>5355</v>
      </c>
      <c r="S38" s="39"/>
      <c r="T38" s="39"/>
      <c r="U38" s="39"/>
      <c r="V38" s="39"/>
    </row>
    <row r="39" ht="22.5" customHeight="1">
      <c r="A39" s="10">
        <v>40.0</v>
      </c>
      <c r="B39" s="36">
        <v>38.0</v>
      </c>
      <c r="C39" s="36" t="s">
        <v>37</v>
      </c>
      <c r="D39" s="47">
        <v>2.52610489E8</v>
      </c>
      <c r="E39" s="36" t="s">
        <v>5356</v>
      </c>
      <c r="F39" s="36" t="s">
        <v>227</v>
      </c>
      <c r="G39" s="12">
        <v>33.0</v>
      </c>
      <c r="H39" s="48" t="str">
        <f t="shared" si="1"/>
        <v>X-1</v>
      </c>
      <c r="I39" s="19" t="str">
        <f t="shared" si="2"/>
        <v>33 - GC2 X-1</v>
      </c>
      <c r="J39" s="20" t="str">
        <f>VLOOKUP(I39,'Database Grup SCC'!$B$2:$C1382,2,false)</f>
        <v>Oshe (XI)</v>
      </c>
      <c r="K39" s="49" t="s">
        <v>5249</v>
      </c>
      <c r="L39" s="49"/>
      <c r="M39" s="50"/>
      <c r="N39" s="33" t="s">
        <v>5303</v>
      </c>
      <c r="O39" s="34"/>
      <c r="P39" s="34"/>
      <c r="Q39" s="24" t="str">
        <f t="shared" si="3"/>
        <v>https://docs.google.com/forms/d/e/1FAIpQLSeZ-R1GrWlAPkfaThGqxeTj0QTtrARw4rroxIIepf2kipn1nw/formResponse?usp=pp_url&amp;entry.1313582257=0103151970&amp;entry.1578404635=Hadir</v>
      </c>
      <c r="R39" s="23" t="s">
        <v>5357</v>
      </c>
      <c r="S39" s="39"/>
      <c r="T39" s="39"/>
      <c r="U39" s="39"/>
      <c r="V39" s="39"/>
    </row>
    <row r="40" ht="22.5" customHeight="1">
      <c r="A40" s="18">
        <v>41.0</v>
      </c>
      <c r="B40" s="36">
        <v>39.0</v>
      </c>
      <c r="C40" s="36" t="s">
        <v>5358</v>
      </c>
      <c r="D40" s="47">
        <v>2.52610508E8</v>
      </c>
      <c r="E40" s="36" t="s">
        <v>5359</v>
      </c>
      <c r="F40" s="36" t="s">
        <v>227</v>
      </c>
      <c r="G40" s="12">
        <v>33.0</v>
      </c>
      <c r="H40" s="48" t="str">
        <f t="shared" si="1"/>
        <v>X-1</v>
      </c>
      <c r="I40" s="19" t="str">
        <f t="shared" si="2"/>
        <v>33 - GC2 X-1</v>
      </c>
      <c r="J40" s="20" t="str">
        <f>VLOOKUP(I40,'Database Grup SCC'!$B$2:$C1382,2,false)</f>
        <v>Oshe (XI)</v>
      </c>
      <c r="K40" s="49" t="s">
        <v>5249</v>
      </c>
      <c r="L40" s="49"/>
      <c r="M40" s="50"/>
      <c r="N40" s="33" t="s">
        <v>5303</v>
      </c>
      <c r="O40" s="34"/>
      <c r="P40" s="34"/>
      <c r="Q40" s="24" t="str">
        <f t="shared" si="3"/>
        <v>https://docs.google.com/forms/d/e/1FAIpQLSeZ-R1GrWlAPkfaThGqxeTj0QTtrARw4rroxIIepf2kipn1nw/formResponse?usp=pp_url&amp;entry.1313582257=0097644165&amp;entry.1578404635=Hadir</v>
      </c>
      <c r="R40" s="23" t="s">
        <v>5360</v>
      </c>
      <c r="S40" s="39"/>
      <c r="T40" s="39"/>
      <c r="U40" s="39"/>
      <c r="V40" s="39"/>
    </row>
    <row r="41" ht="22.5" customHeight="1">
      <c r="A41" s="10">
        <v>42.0</v>
      </c>
      <c r="B41" s="36">
        <v>40.0</v>
      </c>
      <c r="C41" s="36" t="s">
        <v>5361</v>
      </c>
      <c r="D41" s="47">
        <v>2.52610513E8</v>
      </c>
      <c r="E41" s="36" t="s">
        <v>5362</v>
      </c>
      <c r="F41" s="36" t="s">
        <v>227</v>
      </c>
      <c r="G41" s="12">
        <v>33.0</v>
      </c>
      <c r="H41" s="48" t="str">
        <f t="shared" si="1"/>
        <v>X-1</v>
      </c>
      <c r="I41" s="19" t="str">
        <f t="shared" si="2"/>
        <v>33 - GC2 X-1</v>
      </c>
      <c r="J41" s="20" t="str">
        <f>VLOOKUP(I41,'Database Grup SCC'!$B$2:$C1382,2,false)</f>
        <v>Oshe (XI)</v>
      </c>
      <c r="K41" s="49" t="s">
        <v>5249</v>
      </c>
      <c r="L41" s="49"/>
      <c r="M41" s="50"/>
      <c r="N41" s="33" t="s">
        <v>5303</v>
      </c>
      <c r="O41" s="34"/>
      <c r="P41" s="34"/>
      <c r="Q41" s="24" t="str">
        <f t="shared" si="3"/>
        <v>https://docs.google.com/forms/d/e/1FAIpQLSeZ-R1GrWlAPkfaThGqxeTj0QTtrARw4rroxIIepf2kipn1nw/formResponse?usp=pp_url&amp;entry.1313582257=0102657659&amp;entry.1578404635=Hadir</v>
      </c>
      <c r="R41" s="23" t="s">
        <v>5363</v>
      </c>
      <c r="S41" s="39"/>
      <c r="T41" s="39"/>
      <c r="U41" s="39"/>
      <c r="V41" s="39"/>
    </row>
    <row r="42" ht="22.5" customHeight="1">
      <c r="A42" s="18">
        <v>43.0</v>
      </c>
      <c r="B42" s="36">
        <v>41.0</v>
      </c>
      <c r="C42" s="36" t="s">
        <v>5364</v>
      </c>
      <c r="D42" s="47">
        <v>2.52610564E8</v>
      </c>
      <c r="E42" s="36" t="s">
        <v>5365</v>
      </c>
      <c r="F42" s="36" t="s">
        <v>220</v>
      </c>
      <c r="G42" s="12">
        <v>33.0</v>
      </c>
      <c r="H42" s="48" t="str">
        <f t="shared" si="1"/>
        <v>X-1</v>
      </c>
      <c r="I42" s="19" t="str">
        <f t="shared" si="2"/>
        <v>33 - BC X-1</v>
      </c>
      <c r="J42" s="20" t="str">
        <f>VLOOKUP(I42,'Database Grup SCC'!$B$2:$C1382,2,false)</f>
        <v>Rony</v>
      </c>
      <c r="K42" s="49" t="s">
        <v>5249</v>
      </c>
      <c r="L42" s="49"/>
      <c r="M42" s="50"/>
      <c r="N42" s="33" t="s">
        <v>5250</v>
      </c>
      <c r="O42" s="34"/>
      <c r="P42" s="34"/>
      <c r="Q42" s="24" t="str">
        <f t="shared" si="3"/>
        <v>https://docs.google.com/forms/d/e/1FAIpQLSeZ-R1GrWlAPkfaThGqxeTj0QTtrARw4rroxIIepf2kipn1nw/formResponse?usp=pp_url&amp;entry.1313582257=0111428850&amp;entry.1578404635=Hadir</v>
      </c>
      <c r="R42" s="23" t="s">
        <v>5366</v>
      </c>
      <c r="S42" s="39"/>
      <c r="T42" s="39"/>
      <c r="U42" s="39"/>
      <c r="V42" s="39"/>
    </row>
    <row r="43" ht="22.5" customHeight="1">
      <c r="A43" s="10">
        <v>44.0</v>
      </c>
      <c r="B43" s="36">
        <v>42.0</v>
      </c>
      <c r="C43" s="36" t="s">
        <v>5367</v>
      </c>
      <c r="D43" s="47">
        <v>2.52610566E8</v>
      </c>
      <c r="E43" s="36" t="s">
        <v>5368</v>
      </c>
      <c r="F43" s="36" t="s">
        <v>227</v>
      </c>
      <c r="G43" s="12">
        <v>33.0</v>
      </c>
      <c r="H43" s="48" t="str">
        <f t="shared" si="1"/>
        <v>X-1</v>
      </c>
      <c r="I43" s="19" t="str">
        <f t="shared" si="2"/>
        <v>33 - GC2 X-1</v>
      </c>
      <c r="J43" s="20" t="str">
        <f>VLOOKUP(I43,'Database Grup SCC'!$B$2:$C1382,2,false)</f>
        <v>Oshe (XI)</v>
      </c>
      <c r="K43" s="49" t="s">
        <v>5249</v>
      </c>
      <c r="L43" s="49"/>
      <c r="M43" s="50"/>
      <c r="N43" s="33" t="s">
        <v>5303</v>
      </c>
      <c r="O43" s="34"/>
      <c r="P43" s="34"/>
      <c r="Q43" s="24" t="str">
        <f t="shared" si="3"/>
        <v>https://docs.google.com/forms/d/e/1FAIpQLSeZ-R1GrWlAPkfaThGqxeTj0QTtrARw4rroxIIepf2kipn1nw/formResponse?usp=pp_url&amp;entry.1313582257=0108505453&amp;entry.1578404635=Hadir</v>
      </c>
      <c r="R43" s="23" t="s">
        <v>5369</v>
      </c>
      <c r="S43" s="39"/>
      <c r="T43" s="39"/>
      <c r="U43" s="39"/>
      <c r="V43" s="39"/>
    </row>
    <row r="44" ht="22.5" customHeight="1">
      <c r="A44" s="10">
        <v>52.0</v>
      </c>
      <c r="B44" s="36">
        <v>1.0</v>
      </c>
      <c r="C44" s="36" t="s">
        <v>5370</v>
      </c>
      <c r="D44" s="47">
        <v>2.52610011E8</v>
      </c>
      <c r="E44" s="36" t="s">
        <v>5371</v>
      </c>
      <c r="F44" s="36" t="s">
        <v>227</v>
      </c>
      <c r="G44" s="12">
        <v>33.0</v>
      </c>
      <c r="H44" s="48" t="str">
        <f t="shared" si="1"/>
        <v>X-2</v>
      </c>
      <c r="I44" s="19" t="str">
        <f t="shared" si="2"/>
        <v>33 - GC1 X-2</v>
      </c>
      <c r="J44" s="20" t="str">
        <f>VLOOKUP(I44,'Database Grup SCC'!$B$2:$C1382,2,false)</f>
        <v>Rania (XII)</v>
      </c>
      <c r="K44" s="49" t="s">
        <v>5372</v>
      </c>
      <c r="L44" s="49"/>
      <c r="M44" s="50"/>
      <c r="N44" s="33" t="s">
        <v>5373</v>
      </c>
      <c r="O44" s="34"/>
      <c r="P44" s="34"/>
      <c r="Q44" s="24" t="str">
        <f t="shared" si="3"/>
        <v>https://docs.google.com/forms/d/e/1FAIpQLSeZ-R1GrWlAPkfaThGqxeTj0QTtrARw4rroxIIepf2kipn1nw/formResponse?usp=pp_url&amp;entry.1313582257=0094216870&amp;entry.1578404635=Hadir</v>
      </c>
      <c r="R44" s="23" t="s">
        <v>5374</v>
      </c>
      <c r="S44" s="39"/>
      <c r="T44" s="39"/>
      <c r="U44" s="39"/>
      <c r="V44" s="39"/>
    </row>
    <row r="45" ht="22.5" customHeight="1">
      <c r="A45" s="18">
        <v>53.0</v>
      </c>
      <c r="B45" s="36">
        <v>2.0</v>
      </c>
      <c r="C45" s="36" t="s">
        <v>5375</v>
      </c>
      <c r="D45" s="47">
        <v>2.52610023E8</v>
      </c>
      <c r="E45" s="36" t="s">
        <v>5376</v>
      </c>
      <c r="F45" s="36" t="s">
        <v>227</v>
      </c>
      <c r="G45" s="12">
        <v>33.0</v>
      </c>
      <c r="H45" s="48" t="str">
        <f t="shared" si="1"/>
        <v>X-2</v>
      </c>
      <c r="I45" s="19" t="str">
        <f t="shared" si="2"/>
        <v>33 - XSUMEN2 GC</v>
      </c>
      <c r="J45" s="20" t="str">
        <f>VLOOKUP(I45,'Database Grup SCC'!$B$2:$C1382,2,false)</f>
        <v>Iqlima</v>
      </c>
      <c r="K45" s="49" t="s">
        <v>5372</v>
      </c>
      <c r="L45" s="49"/>
      <c r="M45" s="50"/>
      <c r="N45" s="33" t="s">
        <v>5377</v>
      </c>
      <c r="O45" s="34"/>
      <c r="P45" s="34"/>
      <c r="Q45" s="24" t="str">
        <f t="shared" si="3"/>
        <v>https://docs.google.com/forms/d/e/1FAIpQLSeZ-R1GrWlAPkfaThGqxeTj0QTtrARw4rroxIIepf2kipn1nw/formResponse?usp=pp_url&amp;entry.1313582257=0107760733&amp;entry.1578404635=Hadir</v>
      </c>
      <c r="R45" s="23" t="s">
        <v>5378</v>
      </c>
      <c r="S45" s="39"/>
      <c r="T45" s="39"/>
      <c r="U45" s="39"/>
      <c r="V45" s="39"/>
    </row>
    <row r="46" ht="22.5" customHeight="1">
      <c r="A46" s="10">
        <v>54.0</v>
      </c>
      <c r="B46" s="36">
        <v>3.0</v>
      </c>
      <c r="C46" s="36" t="s">
        <v>5379</v>
      </c>
      <c r="D46" s="47">
        <v>2.52610026E8</v>
      </c>
      <c r="E46" s="36" t="s">
        <v>5380</v>
      </c>
      <c r="F46" s="36" t="s">
        <v>227</v>
      </c>
      <c r="G46" s="12">
        <v>33.0</v>
      </c>
      <c r="H46" s="48" t="str">
        <f t="shared" si="1"/>
        <v>X-2</v>
      </c>
      <c r="I46" s="19" t="str">
        <f t="shared" si="2"/>
        <v>33 - GC1 X-2</v>
      </c>
      <c r="J46" s="20" t="str">
        <f>VLOOKUP(I46,'Database Grup SCC'!$B$2:$C1382,2,false)</f>
        <v>Rania (XII)</v>
      </c>
      <c r="K46" s="49" t="s">
        <v>5372</v>
      </c>
      <c r="L46" s="49"/>
      <c r="M46" s="50"/>
      <c r="N46" s="33" t="s">
        <v>5373</v>
      </c>
      <c r="O46" s="34"/>
      <c r="P46" s="34"/>
      <c r="Q46" s="24" t="str">
        <f t="shared" si="3"/>
        <v>https://docs.google.com/forms/d/e/1FAIpQLSeZ-R1GrWlAPkfaThGqxeTj0QTtrARw4rroxIIepf2kipn1nw/formResponse?usp=pp_url&amp;entry.1313582257=0105130233&amp;entry.1578404635=Hadir</v>
      </c>
      <c r="R46" s="23" t="s">
        <v>5381</v>
      </c>
      <c r="S46" s="39"/>
      <c r="T46" s="39"/>
      <c r="U46" s="39"/>
      <c r="V46" s="39"/>
    </row>
    <row r="47" ht="22.5" customHeight="1">
      <c r="A47" s="18">
        <v>55.0</v>
      </c>
      <c r="B47" s="36">
        <v>4.0</v>
      </c>
      <c r="C47" s="36" t="s">
        <v>5382</v>
      </c>
      <c r="D47" s="47">
        <v>2.52610039E8</v>
      </c>
      <c r="E47" s="36" t="s">
        <v>5383</v>
      </c>
      <c r="F47" s="36" t="s">
        <v>227</v>
      </c>
      <c r="G47" s="12">
        <v>33.0</v>
      </c>
      <c r="H47" s="48" t="str">
        <f t="shared" si="1"/>
        <v>X-2</v>
      </c>
      <c r="I47" s="19" t="str">
        <f t="shared" si="2"/>
        <v>33 - GC1 X-2</v>
      </c>
      <c r="J47" s="20" t="str">
        <f>VLOOKUP(I47,'Database Grup SCC'!$B$2:$C1382,2,false)</f>
        <v>Rania (XII)</v>
      </c>
      <c r="K47" s="49" t="s">
        <v>5372</v>
      </c>
      <c r="L47" s="49"/>
      <c r="M47" s="50"/>
      <c r="N47" s="33" t="s">
        <v>5373</v>
      </c>
      <c r="O47" s="34"/>
      <c r="P47" s="34"/>
      <c r="Q47" s="24" t="str">
        <f t="shared" si="3"/>
        <v>https://docs.google.com/forms/d/e/1FAIpQLSeZ-R1GrWlAPkfaThGqxeTj0QTtrARw4rroxIIepf2kipn1nw/formResponse?usp=pp_url&amp;entry.1313582257=0104550133&amp;entry.1578404635=Hadir</v>
      </c>
      <c r="R47" s="23" t="s">
        <v>5384</v>
      </c>
      <c r="S47" s="39"/>
      <c r="T47" s="39"/>
      <c r="U47" s="39"/>
      <c r="V47" s="39"/>
    </row>
    <row r="48" ht="22.5" customHeight="1">
      <c r="A48" s="10">
        <v>56.0</v>
      </c>
      <c r="B48" s="36">
        <v>5.0</v>
      </c>
      <c r="C48" s="36" t="s">
        <v>5385</v>
      </c>
      <c r="D48" s="47">
        <v>2.5261005E8</v>
      </c>
      <c r="E48" s="36" t="s">
        <v>5386</v>
      </c>
      <c r="F48" s="36" t="s">
        <v>227</v>
      </c>
      <c r="G48" s="12">
        <v>33.0</v>
      </c>
      <c r="H48" s="48" t="str">
        <f t="shared" si="1"/>
        <v>X-2</v>
      </c>
      <c r="I48" s="19" t="str">
        <f t="shared" si="2"/>
        <v>33 - GC1 X-2</v>
      </c>
      <c r="J48" s="20" t="str">
        <f>VLOOKUP(I48,'Database Grup SCC'!$B$2:$C1382,2,false)</f>
        <v>Rania (XII)</v>
      </c>
      <c r="K48" s="49" t="s">
        <v>5372</v>
      </c>
      <c r="L48" s="49"/>
      <c r="M48" s="50"/>
      <c r="N48" s="33" t="s">
        <v>5373</v>
      </c>
      <c r="O48" s="34"/>
      <c r="P48" s="34"/>
      <c r="Q48" s="24" t="str">
        <f t="shared" si="3"/>
        <v>https://docs.google.com/forms/d/e/1FAIpQLSeZ-R1GrWlAPkfaThGqxeTj0QTtrARw4rroxIIepf2kipn1nw/formResponse?usp=pp_url&amp;entry.1313582257=0095372504&amp;entry.1578404635=Hadir</v>
      </c>
      <c r="R48" s="23" t="s">
        <v>5387</v>
      </c>
      <c r="S48" s="39"/>
      <c r="T48" s="39"/>
      <c r="U48" s="39"/>
      <c r="V48" s="39"/>
    </row>
    <row r="49" ht="22.5" customHeight="1">
      <c r="A49" s="18">
        <v>57.0</v>
      </c>
      <c r="B49" s="36">
        <v>6.0</v>
      </c>
      <c r="C49" s="36" t="s">
        <v>5388</v>
      </c>
      <c r="D49" s="47">
        <v>2.52610052E8</v>
      </c>
      <c r="E49" s="36" t="s">
        <v>5389</v>
      </c>
      <c r="F49" s="36" t="s">
        <v>227</v>
      </c>
      <c r="G49" s="12">
        <v>33.0</v>
      </c>
      <c r="H49" s="48" t="str">
        <f t="shared" si="1"/>
        <v>X-2</v>
      </c>
      <c r="I49" s="19" t="str">
        <f t="shared" si="2"/>
        <v>33 - XSUMEN1 GC</v>
      </c>
      <c r="J49" s="20" t="str">
        <f>VLOOKUP(I49,'Database Grup SCC'!$B$2:$C1382,2,false)</f>
        <v>Ayun</v>
      </c>
      <c r="K49" s="49" t="s">
        <v>5372</v>
      </c>
      <c r="L49" s="49"/>
      <c r="M49" s="50"/>
      <c r="N49" s="33" t="s">
        <v>5277</v>
      </c>
      <c r="O49" s="34"/>
      <c r="P49" s="34"/>
      <c r="Q49" s="24" t="str">
        <f t="shared" si="3"/>
        <v>https://docs.google.com/forms/d/e/1FAIpQLSeZ-R1GrWlAPkfaThGqxeTj0QTtrARw4rroxIIepf2kipn1nw/formResponse?usp=pp_url&amp;entry.1313582257=0105813396&amp;entry.1578404635=Hadir</v>
      </c>
      <c r="R49" s="23" t="s">
        <v>5390</v>
      </c>
      <c r="S49" s="39"/>
      <c r="T49" s="39"/>
      <c r="U49" s="39"/>
      <c r="V49" s="39"/>
    </row>
    <row r="50" ht="22.5" customHeight="1">
      <c r="A50" s="10">
        <v>58.0</v>
      </c>
      <c r="B50" s="36">
        <v>7.0</v>
      </c>
      <c r="C50" s="36" t="s">
        <v>5391</v>
      </c>
      <c r="D50" s="47">
        <v>2.52610058E8</v>
      </c>
      <c r="E50" s="36" t="s">
        <v>5392</v>
      </c>
      <c r="F50" s="36" t="s">
        <v>220</v>
      </c>
      <c r="G50" s="12">
        <v>33.0</v>
      </c>
      <c r="H50" s="48" t="str">
        <f t="shared" si="1"/>
        <v>X-2</v>
      </c>
      <c r="I50" s="19" t="str">
        <f t="shared" si="2"/>
        <v>33 - BC X-2</v>
      </c>
      <c r="J50" s="20" t="str">
        <f>VLOOKUP(I50,'Database Grup SCC'!$B$2:$C1382,2,false)</f>
        <v>Joko</v>
      </c>
      <c r="K50" s="49" t="s">
        <v>5372</v>
      </c>
      <c r="L50" s="49"/>
      <c r="M50" s="50"/>
      <c r="N50" s="33" t="s">
        <v>5393</v>
      </c>
      <c r="O50" s="34"/>
      <c r="P50" s="34"/>
      <c r="Q50" s="24" t="str">
        <f t="shared" si="3"/>
        <v>https://docs.google.com/forms/d/e/1FAIpQLSeZ-R1GrWlAPkfaThGqxeTj0QTtrARw4rroxIIepf2kipn1nw/formResponse?usp=pp_url&amp;entry.1313582257=0109006152&amp;entry.1578404635=Hadir</v>
      </c>
      <c r="R50" s="23" t="s">
        <v>5394</v>
      </c>
      <c r="S50" s="39"/>
      <c r="T50" s="39"/>
      <c r="U50" s="39"/>
      <c r="V50" s="39"/>
    </row>
    <row r="51" ht="22.5" customHeight="1">
      <c r="A51" s="18">
        <v>59.0</v>
      </c>
      <c r="B51" s="36">
        <v>8.0</v>
      </c>
      <c r="C51" s="36" t="s">
        <v>5395</v>
      </c>
      <c r="D51" s="47">
        <v>2.52610062E8</v>
      </c>
      <c r="E51" s="36" t="s">
        <v>5396</v>
      </c>
      <c r="F51" s="36" t="s">
        <v>227</v>
      </c>
      <c r="G51" s="12">
        <v>33.0</v>
      </c>
      <c r="H51" s="48" t="str">
        <f t="shared" si="1"/>
        <v>X-2</v>
      </c>
      <c r="I51" s="19" t="str">
        <f t="shared" si="2"/>
        <v>33 - GC1 X-2</v>
      </c>
      <c r="J51" s="20" t="str">
        <f>VLOOKUP(I51,'Database Grup SCC'!$B$2:$C1382,2,false)</f>
        <v>Rania (XII)</v>
      </c>
      <c r="K51" s="49" t="s">
        <v>5372</v>
      </c>
      <c r="L51" s="49"/>
      <c r="M51" s="50"/>
      <c r="N51" s="33" t="s">
        <v>5373</v>
      </c>
      <c r="O51" s="34"/>
      <c r="P51" s="34"/>
      <c r="Q51" s="24" t="str">
        <f t="shared" si="3"/>
        <v>https://docs.google.com/forms/d/e/1FAIpQLSeZ-R1GrWlAPkfaThGqxeTj0QTtrARw4rroxIIepf2kipn1nw/formResponse?usp=pp_url&amp;entry.1313582257=0097211030&amp;entry.1578404635=Hadir</v>
      </c>
      <c r="R51" s="23" t="s">
        <v>5397</v>
      </c>
      <c r="S51" s="39"/>
      <c r="T51" s="39"/>
      <c r="U51" s="39"/>
      <c r="V51" s="39"/>
    </row>
    <row r="52" ht="22.5" customHeight="1">
      <c r="A52" s="10">
        <v>60.0</v>
      </c>
      <c r="B52" s="36">
        <v>9.0</v>
      </c>
      <c r="C52" s="36" t="s">
        <v>5398</v>
      </c>
      <c r="D52" s="47">
        <v>2.5261007E8</v>
      </c>
      <c r="E52" s="36" t="s">
        <v>5399</v>
      </c>
      <c r="F52" s="36" t="s">
        <v>227</v>
      </c>
      <c r="G52" s="12">
        <v>33.0</v>
      </c>
      <c r="H52" s="48" t="str">
        <f t="shared" si="1"/>
        <v>X-2</v>
      </c>
      <c r="I52" s="19" t="str">
        <f t="shared" si="2"/>
        <v>33 - GC1 X-2</v>
      </c>
      <c r="J52" s="20" t="str">
        <f>VLOOKUP(I52,'Database Grup SCC'!$B$2:$C1382,2,false)</f>
        <v>Rania (XII)</v>
      </c>
      <c r="K52" s="49" t="s">
        <v>5372</v>
      </c>
      <c r="L52" s="49"/>
      <c r="M52" s="50"/>
      <c r="N52" s="33" t="s">
        <v>5373</v>
      </c>
      <c r="O52" s="34"/>
      <c r="P52" s="34"/>
      <c r="Q52" s="24" t="str">
        <f t="shared" si="3"/>
        <v>https://docs.google.com/forms/d/e/1FAIpQLSeZ-R1GrWlAPkfaThGqxeTj0QTtrARw4rroxIIepf2kipn1nw/formResponse?usp=pp_url&amp;entry.1313582257=3108667209&amp;entry.1578404635=Hadir</v>
      </c>
      <c r="R52" s="23" t="s">
        <v>5400</v>
      </c>
      <c r="S52" s="39"/>
      <c r="T52" s="39"/>
      <c r="U52" s="39"/>
      <c r="V52" s="39"/>
    </row>
    <row r="53" ht="22.5" customHeight="1">
      <c r="A53" s="18">
        <v>61.0</v>
      </c>
      <c r="B53" s="36">
        <v>10.0</v>
      </c>
      <c r="C53" s="36" t="s">
        <v>5401</v>
      </c>
      <c r="D53" s="47">
        <v>2.52610084E8</v>
      </c>
      <c r="E53" s="36" t="s">
        <v>5402</v>
      </c>
      <c r="F53" s="36" t="s">
        <v>227</v>
      </c>
      <c r="G53" s="12">
        <v>33.0</v>
      </c>
      <c r="H53" s="48" t="str">
        <f t="shared" si="1"/>
        <v>X-2</v>
      </c>
      <c r="I53" s="19" t="str">
        <f t="shared" si="2"/>
        <v>33 - GC1 X-2</v>
      </c>
      <c r="J53" s="20" t="str">
        <f>VLOOKUP(I53,'Database Grup SCC'!$B$2:$C1382,2,false)</f>
        <v>Rania (XII)</v>
      </c>
      <c r="K53" s="49" t="s">
        <v>5372</v>
      </c>
      <c r="L53" s="49"/>
      <c r="M53" s="50"/>
      <c r="N53" s="33" t="s">
        <v>5373</v>
      </c>
      <c r="O53" s="34"/>
      <c r="P53" s="34"/>
      <c r="Q53" s="24" t="str">
        <f t="shared" si="3"/>
        <v>https://docs.google.com/forms/d/e/1FAIpQLSeZ-R1GrWlAPkfaThGqxeTj0QTtrARw4rroxIIepf2kipn1nw/formResponse?usp=pp_url&amp;entry.1313582257=0098513542&amp;entry.1578404635=Hadir</v>
      </c>
      <c r="R53" s="23" t="s">
        <v>5403</v>
      </c>
      <c r="S53" s="39"/>
      <c r="T53" s="39"/>
      <c r="U53" s="39"/>
      <c r="V53" s="39"/>
    </row>
    <row r="54" ht="22.5" customHeight="1">
      <c r="A54" s="10">
        <v>62.0</v>
      </c>
      <c r="B54" s="36">
        <v>11.0</v>
      </c>
      <c r="C54" s="36" t="s">
        <v>5404</v>
      </c>
      <c r="D54" s="47">
        <v>2.5261009E8</v>
      </c>
      <c r="E54" s="36" t="s">
        <v>5405</v>
      </c>
      <c r="F54" s="36" t="s">
        <v>227</v>
      </c>
      <c r="G54" s="12">
        <v>33.0</v>
      </c>
      <c r="H54" s="48" t="str">
        <f t="shared" si="1"/>
        <v>X-2</v>
      </c>
      <c r="I54" s="19" t="str">
        <f t="shared" si="2"/>
        <v>33 - GC1 X-2</v>
      </c>
      <c r="J54" s="20" t="str">
        <f>VLOOKUP(I54,'Database Grup SCC'!$B$2:$C1382,2,false)</f>
        <v>Rania (XII)</v>
      </c>
      <c r="K54" s="49" t="s">
        <v>5372</v>
      </c>
      <c r="L54" s="49"/>
      <c r="M54" s="50"/>
      <c r="N54" s="33" t="s">
        <v>5373</v>
      </c>
      <c r="O54" s="34"/>
      <c r="P54" s="34"/>
      <c r="Q54" s="24" t="str">
        <f t="shared" si="3"/>
        <v>https://docs.google.com/forms/d/e/1FAIpQLSeZ-R1GrWlAPkfaThGqxeTj0QTtrARw4rroxIIepf2kipn1nw/formResponse?usp=pp_url&amp;entry.1313582257=0106376916&amp;entry.1578404635=Hadir</v>
      </c>
      <c r="R54" s="23" t="s">
        <v>5406</v>
      </c>
      <c r="S54" s="39"/>
      <c r="T54" s="39"/>
      <c r="U54" s="39"/>
      <c r="V54" s="39"/>
    </row>
    <row r="55" ht="22.5" customHeight="1">
      <c r="A55" s="18">
        <v>63.0</v>
      </c>
      <c r="B55" s="36">
        <v>12.0</v>
      </c>
      <c r="C55" s="36" t="s">
        <v>5407</v>
      </c>
      <c r="D55" s="47">
        <v>2.52610102E8</v>
      </c>
      <c r="E55" s="36" t="s">
        <v>5408</v>
      </c>
      <c r="F55" s="36" t="s">
        <v>227</v>
      </c>
      <c r="G55" s="12">
        <v>33.0</v>
      </c>
      <c r="H55" s="48" t="str">
        <f t="shared" si="1"/>
        <v>X-2</v>
      </c>
      <c r="I55" s="19" t="str">
        <f t="shared" si="2"/>
        <v>33 - GC1 X-2</v>
      </c>
      <c r="J55" s="20" t="str">
        <f>VLOOKUP(I55,'Database Grup SCC'!$B$2:$C1382,2,false)</f>
        <v>Rania (XII)</v>
      </c>
      <c r="K55" s="49" t="s">
        <v>5372</v>
      </c>
      <c r="L55" s="49"/>
      <c r="M55" s="50"/>
      <c r="N55" s="33" t="s">
        <v>5373</v>
      </c>
      <c r="O55" s="34"/>
      <c r="P55" s="34"/>
      <c r="Q55" s="24" t="str">
        <f t="shared" si="3"/>
        <v>https://docs.google.com/forms/d/e/1FAIpQLSeZ-R1GrWlAPkfaThGqxeTj0QTtrARw4rroxIIepf2kipn1nw/formResponse?usp=pp_url&amp;entry.1313582257=0105797314&amp;entry.1578404635=Hadir</v>
      </c>
      <c r="R55" s="23" t="s">
        <v>5409</v>
      </c>
      <c r="S55" s="39"/>
      <c r="T55" s="39"/>
      <c r="U55" s="39"/>
      <c r="V55" s="39"/>
    </row>
    <row r="56" ht="22.5" customHeight="1">
      <c r="A56" s="10">
        <v>64.0</v>
      </c>
      <c r="B56" s="36">
        <v>13.0</v>
      </c>
      <c r="C56" s="36" t="s">
        <v>5410</v>
      </c>
      <c r="D56" s="47">
        <v>2.52610124E8</v>
      </c>
      <c r="E56" s="36" t="s">
        <v>5411</v>
      </c>
      <c r="F56" s="36" t="s">
        <v>220</v>
      </c>
      <c r="G56" s="12">
        <v>33.0</v>
      </c>
      <c r="H56" s="48" t="str">
        <f t="shared" si="1"/>
        <v>X-2</v>
      </c>
      <c r="I56" s="19" t="str">
        <f t="shared" si="2"/>
        <v>33 - BC X-2</v>
      </c>
      <c r="J56" s="20" t="str">
        <f>VLOOKUP(I56,'Database Grup SCC'!$B$2:$C1382,2,false)</f>
        <v>Joko</v>
      </c>
      <c r="K56" s="49" t="s">
        <v>5372</v>
      </c>
      <c r="L56" s="49"/>
      <c r="M56" s="50"/>
      <c r="N56" s="33" t="s">
        <v>5393</v>
      </c>
      <c r="O56" s="34"/>
      <c r="P56" s="34"/>
      <c r="Q56" s="24" t="str">
        <f t="shared" si="3"/>
        <v>https://docs.google.com/forms/d/e/1FAIpQLSeZ-R1GrWlAPkfaThGqxeTj0QTtrARw4rroxIIepf2kipn1nw/formResponse?usp=pp_url&amp;entry.1313582257=0102731314&amp;entry.1578404635=Hadir</v>
      </c>
      <c r="R56" s="23" t="s">
        <v>5412</v>
      </c>
      <c r="S56" s="39"/>
      <c r="T56" s="39"/>
      <c r="U56" s="39"/>
      <c r="V56" s="39"/>
    </row>
    <row r="57" ht="22.5" customHeight="1">
      <c r="A57" s="18">
        <v>65.0</v>
      </c>
      <c r="B57" s="36">
        <v>14.0</v>
      </c>
      <c r="C57" s="36" t="s">
        <v>5413</v>
      </c>
      <c r="D57" s="47">
        <v>2.52610139E8</v>
      </c>
      <c r="E57" s="36" t="s">
        <v>5414</v>
      </c>
      <c r="F57" s="36" t="s">
        <v>227</v>
      </c>
      <c r="G57" s="12">
        <v>33.0</v>
      </c>
      <c r="H57" s="48" t="str">
        <f t="shared" si="1"/>
        <v>X-2</v>
      </c>
      <c r="I57" s="19" t="str">
        <f t="shared" si="2"/>
        <v>33 - GC1 X-2</v>
      </c>
      <c r="J57" s="20" t="str">
        <f>VLOOKUP(I57,'Database Grup SCC'!$B$2:$C1382,2,false)</f>
        <v>Rania (XII)</v>
      </c>
      <c r="K57" s="49" t="s">
        <v>5372</v>
      </c>
      <c r="L57" s="49"/>
      <c r="M57" s="50"/>
      <c r="N57" s="33" t="s">
        <v>5373</v>
      </c>
      <c r="O57" s="34"/>
      <c r="P57" s="34"/>
      <c r="Q57" s="24" t="str">
        <f t="shared" si="3"/>
        <v>https://docs.google.com/forms/d/e/1FAIpQLSeZ-R1GrWlAPkfaThGqxeTj0QTtrARw4rroxIIepf2kipn1nw/formResponse?usp=pp_url&amp;entry.1313582257=0092794157&amp;entry.1578404635=Hadir</v>
      </c>
      <c r="R57" s="23" t="s">
        <v>5415</v>
      </c>
      <c r="S57" s="39"/>
      <c r="T57" s="39"/>
      <c r="U57" s="39"/>
      <c r="V57" s="39"/>
    </row>
    <row r="58" ht="22.5" customHeight="1">
      <c r="A58" s="10">
        <v>66.0</v>
      </c>
      <c r="B58" s="36">
        <v>15.0</v>
      </c>
      <c r="C58" s="36" t="s">
        <v>5416</v>
      </c>
      <c r="D58" s="47">
        <v>2.52610145E8</v>
      </c>
      <c r="E58" s="36" t="s">
        <v>5417</v>
      </c>
      <c r="F58" s="36" t="s">
        <v>220</v>
      </c>
      <c r="G58" s="12">
        <v>33.0</v>
      </c>
      <c r="H58" s="48" t="str">
        <f t="shared" si="1"/>
        <v>X-2</v>
      </c>
      <c r="I58" s="19" t="str">
        <f t="shared" si="2"/>
        <v>33 - BC X-2</v>
      </c>
      <c r="J58" s="20" t="str">
        <f>VLOOKUP(I58,'Database Grup SCC'!$B$2:$C1382,2,false)</f>
        <v>Joko</v>
      </c>
      <c r="K58" s="49" t="s">
        <v>5372</v>
      </c>
      <c r="L58" s="49"/>
      <c r="M58" s="50"/>
      <c r="N58" s="33" t="s">
        <v>5393</v>
      </c>
      <c r="O58" s="34"/>
      <c r="P58" s="34"/>
      <c r="Q58" s="24" t="str">
        <f t="shared" si="3"/>
        <v>https://docs.google.com/forms/d/e/1FAIpQLSeZ-R1GrWlAPkfaThGqxeTj0QTtrARw4rroxIIepf2kipn1nw/formResponse?usp=pp_url&amp;entry.1313582257=0106384221&amp;entry.1578404635=Hadir</v>
      </c>
      <c r="R58" s="23" t="s">
        <v>5418</v>
      </c>
      <c r="S58" s="39"/>
      <c r="T58" s="39"/>
      <c r="U58" s="39"/>
      <c r="V58" s="39"/>
    </row>
    <row r="59" ht="22.5" customHeight="1">
      <c r="A59" s="18">
        <v>67.0</v>
      </c>
      <c r="B59" s="36">
        <v>16.0</v>
      </c>
      <c r="C59" s="36" t="s">
        <v>5419</v>
      </c>
      <c r="D59" s="47">
        <v>2.52610153E8</v>
      </c>
      <c r="E59" s="36" t="s">
        <v>5420</v>
      </c>
      <c r="F59" s="36" t="s">
        <v>227</v>
      </c>
      <c r="G59" s="12">
        <v>33.0</v>
      </c>
      <c r="H59" s="48" t="str">
        <f t="shared" si="1"/>
        <v>X-2</v>
      </c>
      <c r="I59" s="19" t="str">
        <f t="shared" si="2"/>
        <v>33 - GC1 X-2</v>
      </c>
      <c r="J59" s="20" t="str">
        <f>VLOOKUP(I59,'Database Grup SCC'!$B$2:$C1382,2,false)</f>
        <v>Rania (XII)</v>
      </c>
      <c r="K59" s="49" t="s">
        <v>5372</v>
      </c>
      <c r="L59" s="49"/>
      <c r="M59" s="50"/>
      <c r="N59" s="33" t="s">
        <v>5373</v>
      </c>
      <c r="O59" s="34"/>
      <c r="P59" s="34"/>
      <c r="Q59" s="24" t="str">
        <f t="shared" si="3"/>
        <v>https://docs.google.com/forms/d/e/1FAIpQLSeZ-R1GrWlAPkfaThGqxeTj0QTtrARw4rroxIIepf2kipn1nw/formResponse?usp=pp_url&amp;entry.1313582257=3104617391&amp;entry.1578404635=Hadir</v>
      </c>
      <c r="R59" s="23" t="s">
        <v>5421</v>
      </c>
      <c r="S59" s="39"/>
      <c r="T59" s="39"/>
      <c r="U59" s="39"/>
      <c r="V59" s="39"/>
    </row>
    <row r="60" ht="22.5" customHeight="1">
      <c r="A60" s="10">
        <v>68.0</v>
      </c>
      <c r="B60" s="36">
        <v>17.0</v>
      </c>
      <c r="C60" s="36" t="s">
        <v>5422</v>
      </c>
      <c r="D60" s="47">
        <v>2.52610154E8</v>
      </c>
      <c r="E60" s="36" t="s">
        <v>5423</v>
      </c>
      <c r="F60" s="36" t="s">
        <v>227</v>
      </c>
      <c r="G60" s="12">
        <v>33.0</v>
      </c>
      <c r="H60" s="48" t="str">
        <f t="shared" si="1"/>
        <v>X-2</v>
      </c>
      <c r="I60" s="19" t="str">
        <f t="shared" si="2"/>
        <v>33 - GC1 X-2</v>
      </c>
      <c r="J60" s="20" t="str">
        <f>VLOOKUP(I60,'Database Grup SCC'!$B$2:$C1382,2,false)</f>
        <v>Rania (XII)</v>
      </c>
      <c r="K60" s="49" t="s">
        <v>5372</v>
      </c>
      <c r="L60" s="49"/>
      <c r="M60" s="50"/>
      <c r="N60" s="33" t="s">
        <v>5373</v>
      </c>
      <c r="O60" s="34"/>
      <c r="P60" s="34"/>
      <c r="Q60" s="24" t="str">
        <f t="shared" si="3"/>
        <v>https://docs.google.com/forms/d/e/1FAIpQLSeZ-R1GrWlAPkfaThGqxeTj0QTtrARw4rroxIIepf2kipn1nw/formResponse?usp=pp_url&amp;entry.1313582257=0098157268&amp;entry.1578404635=Hadir</v>
      </c>
      <c r="R60" s="23" t="s">
        <v>5424</v>
      </c>
      <c r="S60" s="39"/>
      <c r="T60" s="39"/>
      <c r="U60" s="39"/>
      <c r="V60" s="39"/>
    </row>
    <row r="61" ht="22.5" customHeight="1">
      <c r="A61" s="18">
        <v>69.0</v>
      </c>
      <c r="B61" s="36">
        <v>18.0</v>
      </c>
      <c r="C61" s="36" t="s">
        <v>5425</v>
      </c>
      <c r="D61" s="47">
        <v>2.52610164E8</v>
      </c>
      <c r="E61" s="36" t="s">
        <v>5426</v>
      </c>
      <c r="F61" s="36" t="s">
        <v>220</v>
      </c>
      <c r="G61" s="12">
        <v>33.0</v>
      </c>
      <c r="H61" s="48" t="str">
        <f t="shared" si="1"/>
        <v>X-2</v>
      </c>
      <c r="I61" s="19" t="str">
        <f t="shared" si="2"/>
        <v>33 - BC X-2</v>
      </c>
      <c r="J61" s="20" t="str">
        <f>VLOOKUP(I61,'Database Grup SCC'!$B$2:$C1382,2,false)</f>
        <v>Joko</v>
      </c>
      <c r="K61" s="49" t="s">
        <v>5372</v>
      </c>
      <c r="L61" s="49"/>
      <c r="M61" s="50"/>
      <c r="N61" s="33" t="s">
        <v>5393</v>
      </c>
      <c r="O61" s="34"/>
      <c r="P61" s="34"/>
      <c r="Q61" s="24" t="str">
        <f t="shared" si="3"/>
        <v>https://docs.google.com/forms/d/e/1FAIpQLSeZ-R1GrWlAPkfaThGqxeTj0QTtrARw4rroxIIepf2kipn1nw/formResponse?usp=pp_url&amp;entry.1313582257=0099675945&amp;entry.1578404635=Hadir</v>
      </c>
      <c r="R61" s="23" t="s">
        <v>5427</v>
      </c>
      <c r="S61" s="39"/>
      <c r="T61" s="39"/>
      <c r="U61" s="39"/>
      <c r="V61" s="39"/>
    </row>
    <row r="62" ht="22.5" customHeight="1">
      <c r="A62" s="10">
        <v>70.0</v>
      </c>
      <c r="B62" s="36">
        <v>19.0</v>
      </c>
      <c r="C62" s="36" t="s">
        <v>5428</v>
      </c>
      <c r="D62" s="47">
        <v>2.5261018E8</v>
      </c>
      <c r="E62" s="36" t="s">
        <v>5429</v>
      </c>
      <c r="F62" s="36" t="s">
        <v>220</v>
      </c>
      <c r="G62" s="12">
        <v>33.0</v>
      </c>
      <c r="H62" s="48" t="str">
        <f t="shared" si="1"/>
        <v>X-2</v>
      </c>
      <c r="I62" s="19" t="str">
        <f t="shared" si="2"/>
        <v>33 - BC X-2</v>
      </c>
      <c r="J62" s="20" t="str">
        <f>VLOOKUP(I62,'Database Grup SCC'!$B$2:$C1382,2,false)</f>
        <v>Joko</v>
      </c>
      <c r="K62" s="49" t="s">
        <v>5372</v>
      </c>
      <c r="L62" s="49"/>
      <c r="M62" s="50"/>
      <c r="N62" s="33" t="s">
        <v>5393</v>
      </c>
      <c r="O62" s="34"/>
      <c r="P62" s="34"/>
      <c r="Q62" s="24" t="str">
        <f t="shared" si="3"/>
        <v>https://docs.google.com/forms/d/e/1FAIpQLSeZ-R1GrWlAPkfaThGqxeTj0QTtrARw4rroxIIepf2kipn1nw/formResponse?usp=pp_url&amp;entry.1313582257=0104532267&amp;entry.1578404635=Hadir</v>
      </c>
      <c r="R62" s="23" t="s">
        <v>5430</v>
      </c>
      <c r="S62" s="39"/>
      <c r="T62" s="39"/>
      <c r="U62" s="39"/>
      <c r="V62" s="39"/>
    </row>
    <row r="63" ht="22.5" customHeight="1">
      <c r="A63" s="18">
        <v>71.0</v>
      </c>
      <c r="B63" s="36">
        <v>20.0</v>
      </c>
      <c r="C63" s="36" t="s">
        <v>5431</v>
      </c>
      <c r="D63" s="47">
        <v>2.52610181E8</v>
      </c>
      <c r="E63" s="36" t="s">
        <v>5432</v>
      </c>
      <c r="F63" s="36" t="s">
        <v>227</v>
      </c>
      <c r="G63" s="12">
        <v>33.0</v>
      </c>
      <c r="H63" s="48" t="str">
        <f t="shared" si="1"/>
        <v>X-2</v>
      </c>
      <c r="I63" s="19" t="str">
        <f t="shared" si="2"/>
        <v>33 - GC2 X-2</v>
      </c>
      <c r="J63" s="20" t="str">
        <f>VLOOKUP(I63,'Database Grup SCC'!$B$2:$C1382,2,false)</f>
        <v>Nadine (XI)</v>
      </c>
      <c r="K63" s="49" t="s">
        <v>5372</v>
      </c>
      <c r="L63" s="49"/>
      <c r="M63" s="50"/>
      <c r="N63" s="33" t="s">
        <v>5433</v>
      </c>
      <c r="O63" s="34"/>
      <c r="P63" s="34"/>
      <c r="Q63" s="24" t="str">
        <f t="shared" si="3"/>
        <v>https://docs.google.com/forms/d/e/1FAIpQLSeZ-R1GrWlAPkfaThGqxeTj0QTtrARw4rroxIIepf2kipn1nw/formResponse?usp=pp_url&amp;entry.1313582257=0097593921&amp;entry.1578404635=Hadir</v>
      </c>
      <c r="R63" s="23" t="s">
        <v>5434</v>
      </c>
      <c r="S63" s="39"/>
      <c r="T63" s="39"/>
      <c r="U63" s="39"/>
      <c r="V63" s="39"/>
    </row>
    <row r="64" ht="22.5" customHeight="1">
      <c r="A64" s="10">
        <v>72.0</v>
      </c>
      <c r="B64" s="36">
        <v>21.0</v>
      </c>
      <c r="C64" s="36" t="s">
        <v>5435</v>
      </c>
      <c r="D64" s="47">
        <v>2.52610185E8</v>
      </c>
      <c r="E64" s="36" t="s">
        <v>5436</v>
      </c>
      <c r="F64" s="36" t="s">
        <v>220</v>
      </c>
      <c r="G64" s="12">
        <v>33.0</v>
      </c>
      <c r="H64" s="48" t="str">
        <f t="shared" si="1"/>
        <v>X-2</v>
      </c>
      <c r="I64" s="19" t="str">
        <f t="shared" si="2"/>
        <v>33 - BC X-2</v>
      </c>
      <c r="J64" s="20" t="str">
        <f>VLOOKUP(I64,'Database Grup SCC'!$B$2:$C1382,2,false)</f>
        <v>Joko</v>
      </c>
      <c r="K64" s="49" t="s">
        <v>5372</v>
      </c>
      <c r="L64" s="49"/>
      <c r="M64" s="50"/>
      <c r="N64" s="33" t="s">
        <v>5393</v>
      </c>
      <c r="O64" s="34"/>
      <c r="P64" s="34"/>
      <c r="Q64" s="24" t="str">
        <f t="shared" si="3"/>
        <v>https://docs.google.com/forms/d/e/1FAIpQLSeZ-R1GrWlAPkfaThGqxeTj0QTtrARw4rroxIIepf2kipn1nw/formResponse?usp=pp_url&amp;entry.1313582257=0106157075&amp;entry.1578404635=Hadir</v>
      </c>
      <c r="R64" s="23" t="s">
        <v>5437</v>
      </c>
      <c r="S64" s="39"/>
      <c r="T64" s="39"/>
      <c r="U64" s="39"/>
      <c r="V64" s="39"/>
    </row>
    <row r="65" ht="22.5" customHeight="1">
      <c r="A65" s="18">
        <v>73.0</v>
      </c>
      <c r="B65" s="36">
        <v>22.0</v>
      </c>
      <c r="C65" s="36" t="s">
        <v>5438</v>
      </c>
      <c r="D65" s="47">
        <v>2.52610186E8</v>
      </c>
      <c r="E65" s="36" t="s">
        <v>5439</v>
      </c>
      <c r="F65" s="36" t="s">
        <v>220</v>
      </c>
      <c r="G65" s="12">
        <v>33.0</v>
      </c>
      <c r="H65" s="48" t="str">
        <f t="shared" si="1"/>
        <v>X-2</v>
      </c>
      <c r="I65" s="19" t="str">
        <f t="shared" si="2"/>
        <v>33 - BC X-2</v>
      </c>
      <c r="J65" s="20" t="str">
        <f>VLOOKUP(I65,'Database Grup SCC'!$B$2:$C1382,2,false)</f>
        <v>Joko</v>
      </c>
      <c r="K65" s="49" t="s">
        <v>5372</v>
      </c>
      <c r="L65" s="49"/>
      <c r="M65" s="50"/>
      <c r="N65" s="33" t="s">
        <v>5393</v>
      </c>
      <c r="O65" s="34"/>
      <c r="P65" s="34"/>
      <c r="Q65" s="24" t="str">
        <f t="shared" si="3"/>
        <v>https://docs.google.com/forms/d/e/1FAIpQLSeZ-R1GrWlAPkfaThGqxeTj0QTtrARw4rroxIIepf2kipn1nw/formResponse?usp=pp_url&amp;entry.1313582257=0104141415&amp;entry.1578404635=Hadir</v>
      </c>
      <c r="R65" s="23" t="s">
        <v>5440</v>
      </c>
      <c r="S65" s="39"/>
      <c r="T65" s="39"/>
      <c r="U65" s="39"/>
      <c r="V65" s="39"/>
    </row>
    <row r="66" ht="22.5" customHeight="1">
      <c r="A66" s="10">
        <v>74.0</v>
      </c>
      <c r="B66" s="36">
        <v>23.0</v>
      </c>
      <c r="C66" s="36" t="s">
        <v>5441</v>
      </c>
      <c r="D66" s="47">
        <v>2.52610238E8</v>
      </c>
      <c r="E66" s="36" t="s">
        <v>5442</v>
      </c>
      <c r="F66" s="36" t="s">
        <v>227</v>
      </c>
      <c r="G66" s="12">
        <v>33.0</v>
      </c>
      <c r="H66" s="48" t="str">
        <f t="shared" si="1"/>
        <v>X-2</v>
      </c>
      <c r="I66" s="19" t="str">
        <f t="shared" si="2"/>
        <v>33 - GC2 X-2</v>
      </c>
      <c r="J66" s="20" t="str">
        <f>VLOOKUP(I66,'Database Grup SCC'!$B$2:$C1382,2,false)</f>
        <v>Nadine (XI)</v>
      </c>
      <c r="K66" s="49" t="s">
        <v>5372</v>
      </c>
      <c r="L66" s="49"/>
      <c r="M66" s="50"/>
      <c r="N66" s="33" t="s">
        <v>5433</v>
      </c>
      <c r="O66" s="34"/>
      <c r="P66" s="34"/>
      <c r="Q66" s="24" t="str">
        <f t="shared" si="3"/>
        <v>https://docs.google.com/forms/d/e/1FAIpQLSeZ-R1GrWlAPkfaThGqxeTj0QTtrARw4rroxIIepf2kipn1nw/formResponse?usp=pp_url&amp;entry.1313582257=0105606050&amp;entry.1578404635=Hadir</v>
      </c>
      <c r="R66" s="23" t="s">
        <v>5443</v>
      </c>
      <c r="S66" s="39"/>
      <c r="T66" s="39"/>
      <c r="U66" s="39"/>
      <c r="V66" s="39"/>
    </row>
    <row r="67" ht="22.5" customHeight="1">
      <c r="A67" s="18">
        <v>75.0</v>
      </c>
      <c r="B67" s="36">
        <v>24.0</v>
      </c>
      <c r="C67" s="36" t="s">
        <v>5444</v>
      </c>
      <c r="D67" s="47">
        <v>2.52610277E8</v>
      </c>
      <c r="E67" s="36" t="s">
        <v>5445</v>
      </c>
      <c r="F67" s="36" t="s">
        <v>220</v>
      </c>
      <c r="G67" s="12">
        <v>33.0</v>
      </c>
      <c r="H67" s="48" t="str">
        <f t="shared" si="1"/>
        <v>X-2</v>
      </c>
      <c r="I67" s="19" t="str">
        <f t="shared" si="2"/>
        <v>33 - BC X-2</v>
      </c>
      <c r="J67" s="20" t="str">
        <f>VLOOKUP(I67,'Database Grup SCC'!$B$2:$C1382,2,false)</f>
        <v>Joko</v>
      </c>
      <c r="K67" s="49" t="s">
        <v>5372</v>
      </c>
      <c r="L67" s="49"/>
      <c r="M67" s="50"/>
      <c r="N67" s="33" t="s">
        <v>5393</v>
      </c>
      <c r="O67" s="34"/>
      <c r="P67" s="34"/>
      <c r="Q67" s="24" t="str">
        <f t="shared" si="3"/>
        <v>https://docs.google.com/forms/d/e/1FAIpQLSeZ-R1GrWlAPkfaThGqxeTj0QTtrARw4rroxIIepf2kipn1nw/formResponse?usp=pp_url&amp;entry.1313582257=0094564578&amp;entry.1578404635=Hadir</v>
      </c>
      <c r="R67" s="23" t="s">
        <v>5446</v>
      </c>
      <c r="S67" s="39"/>
      <c r="T67" s="39"/>
      <c r="U67" s="39"/>
      <c r="V67" s="39"/>
    </row>
    <row r="68" ht="22.5" customHeight="1">
      <c r="A68" s="10">
        <v>76.0</v>
      </c>
      <c r="B68" s="36">
        <v>25.0</v>
      </c>
      <c r="C68" s="36" t="s">
        <v>5447</v>
      </c>
      <c r="D68" s="47">
        <v>2.5261028E8</v>
      </c>
      <c r="E68" s="36" t="s">
        <v>5448</v>
      </c>
      <c r="F68" s="36" t="s">
        <v>227</v>
      </c>
      <c r="G68" s="12">
        <v>33.0</v>
      </c>
      <c r="H68" s="48" t="str">
        <f t="shared" si="1"/>
        <v>X-2</v>
      </c>
      <c r="I68" s="19" t="str">
        <f t="shared" si="2"/>
        <v>33 - GC2 X-2</v>
      </c>
      <c r="J68" s="20" t="str">
        <f>VLOOKUP(I68,'Database Grup SCC'!$B$2:$C1382,2,false)</f>
        <v>Nadine (XI)</v>
      </c>
      <c r="K68" s="49" t="s">
        <v>5372</v>
      </c>
      <c r="L68" s="49"/>
      <c r="M68" s="50"/>
      <c r="N68" s="33" t="s">
        <v>5433</v>
      </c>
      <c r="O68" s="34"/>
      <c r="P68" s="34"/>
      <c r="Q68" s="24" t="str">
        <f t="shared" si="3"/>
        <v>https://docs.google.com/forms/d/e/1FAIpQLSeZ-R1GrWlAPkfaThGqxeTj0QTtrARw4rroxIIepf2kipn1nw/formResponse?usp=pp_url&amp;entry.1313582257=0103261879&amp;entry.1578404635=Hadir</v>
      </c>
      <c r="R68" s="23" t="s">
        <v>5449</v>
      </c>
      <c r="S68" s="39"/>
      <c r="T68" s="39"/>
      <c r="U68" s="39"/>
      <c r="V68" s="39"/>
    </row>
    <row r="69" ht="22.5" customHeight="1">
      <c r="A69" s="18">
        <v>77.0</v>
      </c>
      <c r="B69" s="36">
        <v>26.0</v>
      </c>
      <c r="C69" s="36" t="s">
        <v>5450</v>
      </c>
      <c r="D69" s="47">
        <v>2.52610302E8</v>
      </c>
      <c r="E69" s="36" t="s">
        <v>5451</v>
      </c>
      <c r="F69" s="36" t="s">
        <v>220</v>
      </c>
      <c r="G69" s="12">
        <v>33.0</v>
      </c>
      <c r="H69" s="48" t="str">
        <f t="shared" si="1"/>
        <v>X-2</v>
      </c>
      <c r="I69" s="19" t="str">
        <f t="shared" si="2"/>
        <v>33 - BC X-2</v>
      </c>
      <c r="J69" s="20" t="str">
        <f>VLOOKUP(I69,'Database Grup SCC'!$B$2:$C1382,2,false)</f>
        <v>Joko</v>
      </c>
      <c r="K69" s="49" t="s">
        <v>5372</v>
      </c>
      <c r="L69" s="49"/>
      <c r="M69" s="50"/>
      <c r="N69" s="33" t="s">
        <v>5393</v>
      </c>
      <c r="O69" s="34"/>
      <c r="P69" s="34"/>
      <c r="Q69" s="24" t="str">
        <f t="shared" si="3"/>
        <v>https://docs.google.com/forms/d/e/1FAIpQLSeZ-R1GrWlAPkfaThGqxeTj0QTtrARw4rroxIIepf2kipn1nw/formResponse?usp=pp_url&amp;entry.1313582257=0092576905&amp;entry.1578404635=Hadir</v>
      </c>
      <c r="R69" s="23" t="s">
        <v>5452</v>
      </c>
      <c r="S69" s="39"/>
      <c r="T69" s="39"/>
      <c r="U69" s="39"/>
      <c r="V69" s="39"/>
    </row>
    <row r="70" ht="22.5" customHeight="1">
      <c r="A70" s="10">
        <v>78.0</v>
      </c>
      <c r="B70" s="36">
        <v>27.0</v>
      </c>
      <c r="C70" s="36" t="s">
        <v>5453</v>
      </c>
      <c r="D70" s="47">
        <v>2.52610319E8</v>
      </c>
      <c r="E70" s="36" t="s">
        <v>5454</v>
      </c>
      <c r="F70" s="36" t="s">
        <v>220</v>
      </c>
      <c r="G70" s="12">
        <v>33.0</v>
      </c>
      <c r="H70" s="48" t="str">
        <f t="shared" si="1"/>
        <v>X-2</v>
      </c>
      <c r="I70" s="19" t="str">
        <f t="shared" si="2"/>
        <v>33 - BC X-2</v>
      </c>
      <c r="J70" s="20" t="str">
        <f>VLOOKUP(I70,'Database Grup SCC'!$B$2:$C1382,2,false)</f>
        <v>Joko</v>
      </c>
      <c r="K70" s="49" t="s">
        <v>5372</v>
      </c>
      <c r="L70" s="49"/>
      <c r="M70" s="50"/>
      <c r="N70" s="33" t="s">
        <v>5393</v>
      </c>
      <c r="O70" s="34"/>
      <c r="P70" s="34"/>
      <c r="Q70" s="24" t="str">
        <f t="shared" si="3"/>
        <v>https://docs.google.com/forms/d/e/1FAIpQLSeZ-R1GrWlAPkfaThGqxeTj0QTtrARw4rroxIIepf2kipn1nw/formResponse?usp=pp_url&amp;entry.1313582257=0099605205&amp;entry.1578404635=Hadir</v>
      </c>
      <c r="R70" s="23" t="s">
        <v>5455</v>
      </c>
      <c r="S70" s="39"/>
      <c r="T70" s="39"/>
      <c r="U70" s="39"/>
      <c r="V70" s="39"/>
    </row>
    <row r="71" ht="22.5" customHeight="1">
      <c r="A71" s="18">
        <v>79.0</v>
      </c>
      <c r="B71" s="36">
        <v>28.0</v>
      </c>
      <c r="C71" s="36" t="s">
        <v>5456</v>
      </c>
      <c r="D71" s="47">
        <v>2.5261032E8</v>
      </c>
      <c r="E71" s="36" t="s">
        <v>5457</v>
      </c>
      <c r="F71" s="36" t="s">
        <v>220</v>
      </c>
      <c r="G71" s="12">
        <v>33.0</v>
      </c>
      <c r="H71" s="48" t="str">
        <f t="shared" si="1"/>
        <v>X-2</v>
      </c>
      <c r="I71" s="19" t="str">
        <f t="shared" si="2"/>
        <v>33 - XSUMEN BC</v>
      </c>
      <c r="J71" s="20" t="str">
        <f>VLOOKUP(I71,'Database Grup SCC'!$B$2:$C1382,2,false)</f>
        <v>Rekhsa</v>
      </c>
      <c r="K71" s="49" t="s">
        <v>5372</v>
      </c>
      <c r="L71" s="49"/>
      <c r="M71" s="50"/>
      <c r="N71" s="33" t="s">
        <v>371</v>
      </c>
      <c r="O71" s="34"/>
      <c r="P71" s="34"/>
      <c r="Q71" s="24" t="str">
        <f t="shared" si="3"/>
        <v>https://docs.google.com/forms/d/e/1FAIpQLSeZ-R1GrWlAPkfaThGqxeTj0QTtrARw4rroxIIepf2kipn1nw/formResponse?usp=pp_url&amp;entry.1313582257=0108384400&amp;entry.1578404635=Hadir</v>
      </c>
      <c r="R71" s="23" t="s">
        <v>5458</v>
      </c>
      <c r="S71" s="39"/>
      <c r="T71" s="39"/>
      <c r="U71" s="39"/>
      <c r="V71" s="39"/>
    </row>
    <row r="72" ht="22.5" customHeight="1">
      <c r="A72" s="10">
        <v>80.0</v>
      </c>
      <c r="B72" s="36">
        <v>29.0</v>
      </c>
      <c r="C72" s="36" t="s">
        <v>5459</v>
      </c>
      <c r="D72" s="47">
        <v>2.52610332E8</v>
      </c>
      <c r="E72" s="36" t="s">
        <v>5460</v>
      </c>
      <c r="F72" s="36" t="s">
        <v>220</v>
      </c>
      <c r="G72" s="12">
        <v>33.0</v>
      </c>
      <c r="H72" s="48" t="str">
        <f t="shared" si="1"/>
        <v>X-2</v>
      </c>
      <c r="I72" s="19" t="str">
        <f t="shared" si="2"/>
        <v>33 - BC X-2</v>
      </c>
      <c r="J72" s="20" t="str">
        <f>VLOOKUP(I72,'Database Grup SCC'!$B$2:$C1382,2,false)</f>
        <v>Joko</v>
      </c>
      <c r="K72" s="49" t="s">
        <v>5372</v>
      </c>
      <c r="L72" s="49"/>
      <c r="M72" s="50"/>
      <c r="N72" s="33" t="s">
        <v>5393</v>
      </c>
      <c r="O72" s="34"/>
      <c r="P72" s="34"/>
      <c r="Q72" s="24" t="str">
        <f t="shared" si="3"/>
        <v>https://docs.google.com/forms/d/e/1FAIpQLSeZ-R1GrWlAPkfaThGqxeTj0QTtrARw4rroxIIepf2kipn1nw/formResponse?usp=pp_url&amp;entry.1313582257=0098087445&amp;entry.1578404635=Hadir</v>
      </c>
      <c r="R72" s="23" t="s">
        <v>5461</v>
      </c>
      <c r="S72" s="39"/>
      <c r="T72" s="39"/>
      <c r="U72" s="39"/>
      <c r="V72" s="39"/>
    </row>
    <row r="73" ht="22.5" customHeight="1">
      <c r="A73" s="18">
        <v>81.0</v>
      </c>
      <c r="B73" s="36">
        <v>30.0</v>
      </c>
      <c r="C73" s="36" t="s">
        <v>5462</v>
      </c>
      <c r="D73" s="47">
        <v>2.52610336E8</v>
      </c>
      <c r="E73" s="36" t="s">
        <v>5463</v>
      </c>
      <c r="F73" s="36" t="s">
        <v>220</v>
      </c>
      <c r="G73" s="12">
        <v>33.0</v>
      </c>
      <c r="H73" s="48" t="str">
        <f t="shared" si="1"/>
        <v>X-2</v>
      </c>
      <c r="I73" s="19" t="str">
        <f t="shared" si="2"/>
        <v>33 - BC X-2</v>
      </c>
      <c r="J73" s="20" t="str">
        <f>VLOOKUP(I73,'Database Grup SCC'!$B$2:$C1382,2,false)</f>
        <v>Joko</v>
      </c>
      <c r="K73" s="49" t="s">
        <v>5372</v>
      </c>
      <c r="L73" s="49"/>
      <c r="M73" s="50"/>
      <c r="N73" s="33" t="s">
        <v>5393</v>
      </c>
      <c r="O73" s="34"/>
      <c r="P73" s="34"/>
      <c r="Q73" s="24" t="str">
        <f t="shared" si="3"/>
        <v>https://docs.google.com/forms/d/e/1FAIpQLSeZ-R1GrWlAPkfaThGqxeTj0QTtrARw4rroxIIepf2kipn1nw/formResponse?usp=pp_url&amp;entry.1313582257=0108518402&amp;entry.1578404635=Hadir</v>
      </c>
      <c r="R73" s="23" t="s">
        <v>5464</v>
      </c>
      <c r="S73" s="39"/>
      <c r="T73" s="39"/>
      <c r="U73" s="39"/>
      <c r="V73" s="39"/>
    </row>
    <row r="74" ht="22.5" customHeight="1">
      <c r="A74" s="10">
        <v>82.0</v>
      </c>
      <c r="B74" s="36">
        <v>31.0</v>
      </c>
      <c r="C74" s="36" t="s">
        <v>5465</v>
      </c>
      <c r="D74" s="47">
        <v>2.52610338E8</v>
      </c>
      <c r="E74" s="36" t="s">
        <v>5466</v>
      </c>
      <c r="F74" s="36" t="s">
        <v>220</v>
      </c>
      <c r="G74" s="12">
        <v>33.0</v>
      </c>
      <c r="H74" s="48" t="str">
        <f t="shared" si="1"/>
        <v>X-2</v>
      </c>
      <c r="I74" s="19" t="str">
        <f t="shared" si="2"/>
        <v>33 - XSUMEN BC</v>
      </c>
      <c r="J74" s="20" t="str">
        <f>VLOOKUP(I74,'Database Grup SCC'!$B$2:$C1382,2,false)</f>
        <v>Rekhsa</v>
      </c>
      <c r="K74" s="49" t="s">
        <v>5372</v>
      </c>
      <c r="L74" s="49"/>
      <c r="M74" s="50"/>
      <c r="N74" s="33" t="s">
        <v>371</v>
      </c>
      <c r="O74" s="34"/>
      <c r="P74" s="34"/>
      <c r="Q74" s="24" t="str">
        <f t="shared" si="3"/>
        <v>https://docs.google.com/forms/d/e/1FAIpQLSeZ-R1GrWlAPkfaThGqxeTj0QTtrARw4rroxIIepf2kipn1nw/formResponse?usp=pp_url&amp;entry.1313582257=0098345742&amp;entry.1578404635=Hadir</v>
      </c>
      <c r="R74" s="23" t="s">
        <v>5467</v>
      </c>
      <c r="S74" s="39"/>
      <c r="T74" s="39"/>
      <c r="U74" s="39"/>
      <c r="V74" s="39"/>
    </row>
    <row r="75" ht="22.5" customHeight="1">
      <c r="A75" s="18">
        <v>83.0</v>
      </c>
      <c r="B75" s="36">
        <v>32.0</v>
      </c>
      <c r="C75" s="36" t="s">
        <v>5468</v>
      </c>
      <c r="D75" s="47">
        <v>2.52610362E8</v>
      </c>
      <c r="E75" s="36" t="s">
        <v>5469</v>
      </c>
      <c r="F75" s="36" t="s">
        <v>220</v>
      </c>
      <c r="G75" s="12">
        <v>33.0</v>
      </c>
      <c r="H75" s="48" t="str">
        <f t="shared" si="1"/>
        <v>X-2</v>
      </c>
      <c r="I75" s="19" t="str">
        <f t="shared" si="2"/>
        <v>33 - BC X-2</v>
      </c>
      <c r="J75" s="20" t="str">
        <f>VLOOKUP(I75,'Database Grup SCC'!$B$2:$C1382,2,false)</f>
        <v>Joko</v>
      </c>
      <c r="K75" s="49" t="s">
        <v>5372</v>
      </c>
      <c r="L75" s="49"/>
      <c r="M75" s="50"/>
      <c r="N75" s="33" t="s">
        <v>5393</v>
      </c>
      <c r="O75" s="34"/>
      <c r="P75" s="34"/>
      <c r="Q75" s="24" t="str">
        <f t="shared" si="3"/>
        <v>https://docs.google.com/forms/d/e/1FAIpQLSeZ-R1GrWlAPkfaThGqxeTj0QTtrARw4rroxIIepf2kipn1nw/formResponse?usp=pp_url&amp;entry.1313582257=0104535464&amp;entry.1578404635=Hadir</v>
      </c>
      <c r="R75" s="23" t="s">
        <v>5470</v>
      </c>
      <c r="S75" s="39"/>
      <c r="T75" s="39"/>
      <c r="U75" s="39"/>
      <c r="V75" s="39"/>
    </row>
    <row r="76" ht="22.5" customHeight="1">
      <c r="A76" s="10">
        <v>84.0</v>
      </c>
      <c r="B76" s="36">
        <v>33.0</v>
      </c>
      <c r="C76" s="36" t="s">
        <v>5471</v>
      </c>
      <c r="D76" s="47">
        <v>2.52610365E8</v>
      </c>
      <c r="E76" s="36" t="s">
        <v>5472</v>
      </c>
      <c r="F76" s="36" t="s">
        <v>220</v>
      </c>
      <c r="G76" s="12">
        <v>33.0</v>
      </c>
      <c r="H76" s="48" t="str">
        <f t="shared" si="1"/>
        <v>X-2</v>
      </c>
      <c r="I76" s="19" t="str">
        <f t="shared" si="2"/>
        <v>33 - BC X-2</v>
      </c>
      <c r="J76" s="20" t="str">
        <f>VLOOKUP(I76,'Database Grup SCC'!$B$2:$C1382,2,false)</f>
        <v>Joko</v>
      </c>
      <c r="K76" s="49" t="s">
        <v>5372</v>
      </c>
      <c r="L76" s="49"/>
      <c r="M76" s="50"/>
      <c r="N76" s="33" t="s">
        <v>5393</v>
      </c>
      <c r="O76" s="34"/>
      <c r="P76" s="34"/>
      <c r="Q76" s="24" t="str">
        <f t="shared" si="3"/>
        <v>https://docs.google.com/forms/d/e/1FAIpQLSeZ-R1GrWlAPkfaThGqxeTj0QTtrARw4rroxIIepf2kipn1nw/formResponse?usp=pp_url&amp;entry.1313582257=3107410887&amp;entry.1578404635=Hadir</v>
      </c>
      <c r="R76" s="23" t="s">
        <v>5473</v>
      </c>
      <c r="S76" s="39"/>
      <c r="T76" s="39"/>
      <c r="U76" s="39"/>
      <c r="V76" s="39"/>
    </row>
    <row r="77" ht="22.5" customHeight="1">
      <c r="A77" s="18">
        <v>85.0</v>
      </c>
      <c r="B77" s="36">
        <v>34.0</v>
      </c>
      <c r="C77" s="36" t="s">
        <v>5474</v>
      </c>
      <c r="D77" s="47">
        <v>2.52610416E8</v>
      </c>
      <c r="E77" s="36" t="s">
        <v>5475</v>
      </c>
      <c r="F77" s="36" t="s">
        <v>227</v>
      </c>
      <c r="G77" s="12">
        <v>33.0</v>
      </c>
      <c r="H77" s="48" t="str">
        <f t="shared" si="1"/>
        <v>X-2</v>
      </c>
      <c r="I77" s="19" t="str">
        <f t="shared" si="2"/>
        <v>33 - GC2 X-2</v>
      </c>
      <c r="J77" s="20" t="str">
        <f>VLOOKUP(I77,'Database Grup SCC'!$B$2:$C1382,2,false)</f>
        <v>Nadine (XI)</v>
      </c>
      <c r="K77" s="49" t="s">
        <v>5372</v>
      </c>
      <c r="L77" s="49"/>
      <c r="M77" s="50"/>
      <c r="N77" s="33" t="s">
        <v>5433</v>
      </c>
      <c r="O77" s="34"/>
      <c r="P77" s="34"/>
      <c r="Q77" s="24" t="str">
        <f t="shared" si="3"/>
        <v>https://docs.google.com/forms/d/e/1FAIpQLSeZ-R1GrWlAPkfaThGqxeTj0QTtrARw4rroxIIepf2kipn1nw/formResponse?usp=pp_url&amp;entry.1313582257=0093768427&amp;entry.1578404635=Hadir</v>
      </c>
      <c r="R77" s="23" t="s">
        <v>5476</v>
      </c>
      <c r="S77" s="39"/>
      <c r="T77" s="39"/>
      <c r="U77" s="39"/>
      <c r="V77" s="39"/>
    </row>
    <row r="78" ht="22.5" customHeight="1">
      <c r="A78" s="10">
        <v>86.0</v>
      </c>
      <c r="B78" s="36">
        <v>35.0</v>
      </c>
      <c r="C78" s="36" t="s">
        <v>5477</v>
      </c>
      <c r="D78" s="47">
        <v>2.52610419E8</v>
      </c>
      <c r="E78" s="36" t="s">
        <v>5478</v>
      </c>
      <c r="F78" s="36" t="s">
        <v>227</v>
      </c>
      <c r="G78" s="12">
        <v>33.0</v>
      </c>
      <c r="H78" s="48" t="str">
        <f t="shared" si="1"/>
        <v>X-2</v>
      </c>
      <c r="I78" s="19" t="str">
        <f t="shared" si="2"/>
        <v>33 - GC2 X-2</v>
      </c>
      <c r="J78" s="20" t="str">
        <f>VLOOKUP(I78,'Database Grup SCC'!$B$2:$C1382,2,false)</f>
        <v>Nadine (XI)</v>
      </c>
      <c r="K78" s="49" t="s">
        <v>5372</v>
      </c>
      <c r="L78" s="49"/>
      <c r="M78" s="50"/>
      <c r="N78" s="33" t="s">
        <v>5433</v>
      </c>
      <c r="O78" s="34"/>
      <c r="P78" s="34"/>
      <c r="Q78" s="24" t="str">
        <f t="shared" si="3"/>
        <v>https://docs.google.com/forms/d/e/1FAIpQLSeZ-R1GrWlAPkfaThGqxeTj0QTtrARw4rroxIIepf2kipn1nw/formResponse?usp=pp_url&amp;entry.1313582257=0103404970&amp;entry.1578404635=Hadir</v>
      </c>
      <c r="R78" s="23" t="s">
        <v>5479</v>
      </c>
      <c r="S78" s="39"/>
      <c r="T78" s="39"/>
      <c r="U78" s="39"/>
      <c r="V78" s="39"/>
    </row>
    <row r="79" ht="22.5" customHeight="1">
      <c r="A79" s="18">
        <v>87.0</v>
      </c>
      <c r="B79" s="36">
        <v>36.0</v>
      </c>
      <c r="C79" s="36" t="s">
        <v>5480</v>
      </c>
      <c r="D79" s="47">
        <v>2.52610434E8</v>
      </c>
      <c r="E79" s="36" t="s">
        <v>5481</v>
      </c>
      <c r="F79" s="36" t="s">
        <v>227</v>
      </c>
      <c r="G79" s="12">
        <v>33.0</v>
      </c>
      <c r="H79" s="48" t="str">
        <f t="shared" si="1"/>
        <v>X-2</v>
      </c>
      <c r="I79" s="19" t="str">
        <f t="shared" si="2"/>
        <v>33 - XSUMEN1 GC</v>
      </c>
      <c r="J79" s="20" t="str">
        <f>VLOOKUP(I79,'Database Grup SCC'!$B$2:$C1382,2,false)</f>
        <v>Ayun</v>
      </c>
      <c r="K79" s="49" t="s">
        <v>5372</v>
      </c>
      <c r="L79" s="49"/>
      <c r="M79" s="50"/>
      <c r="N79" s="33" t="s">
        <v>5277</v>
      </c>
      <c r="O79" s="34"/>
      <c r="P79" s="34"/>
      <c r="Q79" s="24" t="str">
        <f t="shared" si="3"/>
        <v>https://docs.google.com/forms/d/e/1FAIpQLSeZ-R1GrWlAPkfaThGqxeTj0QTtrARw4rroxIIepf2kipn1nw/formResponse?usp=pp_url&amp;entry.1313582257=0106276801&amp;entry.1578404635=Hadir</v>
      </c>
      <c r="R79" s="23" t="s">
        <v>5482</v>
      </c>
      <c r="S79" s="39"/>
      <c r="T79" s="39"/>
      <c r="U79" s="39"/>
      <c r="V79" s="39"/>
    </row>
    <row r="80" ht="22.5" customHeight="1">
      <c r="A80" s="10">
        <v>88.0</v>
      </c>
      <c r="B80" s="36">
        <v>37.0</v>
      </c>
      <c r="C80" s="36" t="s">
        <v>5483</v>
      </c>
      <c r="D80" s="47">
        <v>2.5261044E8</v>
      </c>
      <c r="E80" s="36" t="s">
        <v>5484</v>
      </c>
      <c r="F80" s="36" t="s">
        <v>227</v>
      </c>
      <c r="G80" s="12">
        <v>33.0</v>
      </c>
      <c r="H80" s="48" t="str">
        <f t="shared" si="1"/>
        <v>X-2</v>
      </c>
      <c r="I80" s="19" t="str">
        <f t="shared" si="2"/>
        <v>33 - GC2 X-2</v>
      </c>
      <c r="J80" s="20" t="str">
        <f>VLOOKUP(I80,'Database Grup SCC'!$B$2:$C1382,2,false)</f>
        <v>Nadine (XI)</v>
      </c>
      <c r="K80" s="49" t="s">
        <v>5372</v>
      </c>
      <c r="L80" s="49"/>
      <c r="M80" s="50"/>
      <c r="N80" s="33" t="s">
        <v>5433</v>
      </c>
      <c r="O80" s="34"/>
      <c r="P80" s="34"/>
      <c r="Q80" s="24" t="str">
        <f t="shared" si="3"/>
        <v>https://docs.google.com/forms/d/e/1FAIpQLSeZ-R1GrWlAPkfaThGqxeTj0QTtrARw4rroxIIepf2kipn1nw/formResponse?usp=pp_url&amp;entry.1313582257=0098833541&amp;entry.1578404635=Hadir</v>
      </c>
      <c r="R80" s="23" t="s">
        <v>5485</v>
      </c>
      <c r="S80" s="39"/>
      <c r="T80" s="39"/>
      <c r="U80" s="39"/>
      <c r="V80" s="39"/>
    </row>
    <row r="81" ht="22.5" customHeight="1">
      <c r="A81" s="18">
        <v>89.0</v>
      </c>
      <c r="B81" s="36">
        <v>38.0</v>
      </c>
      <c r="C81" s="36" t="s">
        <v>5486</v>
      </c>
      <c r="D81" s="47">
        <v>2.52610467E8</v>
      </c>
      <c r="E81" s="36" t="s">
        <v>5487</v>
      </c>
      <c r="F81" s="36" t="s">
        <v>227</v>
      </c>
      <c r="G81" s="12">
        <v>33.0</v>
      </c>
      <c r="H81" s="48" t="str">
        <f t="shared" si="1"/>
        <v>X-2</v>
      </c>
      <c r="I81" s="19" t="str">
        <f t="shared" si="2"/>
        <v>33 - GC2 X-2</v>
      </c>
      <c r="J81" s="20" t="str">
        <f>VLOOKUP(I81,'Database Grup SCC'!$B$2:$C1382,2,false)</f>
        <v>Nadine (XI)</v>
      </c>
      <c r="K81" s="49" t="s">
        <v>5372</v>
      </c>
      <c r="L81" s="49"/>
      <c r="M81" s="50"/>
      <c r="N81" s="33" t="s">
        <v>5433</v>
      </c>
      <c r="O81" s="34"/>
      <c r="P81" s="34"/>
      <c r="Q81" s="24" t="str">
        <f t="shared" si="3"/>
        <v>https://docs.google.com/forms/d/e/1FAIpQLSeZ-R1GrWlAPkfaThGqxeTj0QTtrARw4rroxIIepf2kipn1nw/formResponse?usp=pp_url&amp;entry.1313582257=0095492963&amp;entry.1578404635=Hadir</v>
      </c>
      <c r="R81" s="23" t="s">
        <v>5488</v>
      </c>
      <c r="S81" s="39"/>
      <c r="T81" s="39"/>
      <c r="U81" s="39"/>
      <c r="V81" s="39"/>
    </row>
    <row r="82" ht="22.5" customHeight="1">
      <c r="A82" s="10">
        <v>90.0</v>
      </c>
      <c r="B82" s="36">
        <v>39.0</v>
      </c>
      <c r="C82" s="36" t="s">
        <v>5489</v>
      </c>
      <c r="D82" s="47">
        <v>2.52610474E8</v>
      </c>
      <c r="E82" s="36" t="s">
        <v>5490</v>
      </c>
      <c r="F82" s="36" t="s">
        <v>227</v>
      </c>
      <c r="G82" s="12">
        <v>33.0</v>
      </c>
      <c r="H82" s="48" t="str">
        <f t="shared" si="1"/>
        <v>X-2</v>
      </c>
      <c r="I82" s="19" t="str">
        <f t="shared" si="2"/>
        <v>33 - GC2 X-2</v>
      </c>
      <c r="J82" s="20" t="str">
        <f>VLOOKUP(I82,'Database Grup SCC'!$B$2:$C1382,2,false)</f>
        <v>Nadine (XI)</v>
      </c>
      <c r="K82" s="49" t="s">
        <v>5372</v>
      </c>
      <c r="L82" s="49"/>
      <c r="M82" s="50"/>
      <c r="N82" s="33" t="s">
        <v>5433</v>
      </c>
      <c r="O82" s="34"/>
      <c r="P82" s="34"/>
      <c r="Q82" s="24" t="str">
        <f t="shared" si="3"/>
        <v>https://docs.google.com/forms/d/e/1FAIpQLSeZ-R1GrWlAPkfaThGqxeTj0QTtrARw4rroxIIepf2kipn1nw/formResponse?usp=pp_url&amp;entry.1313582257=0091964566&amp;entry.1578404635=Hadir</v>
      </c>
      <c r="R82" s="23" t="s">
        <v>5491</v>
      </c>
      <c r="S82" s="39"/>
      <c r="T82" s="39"/>
      <c r="U82" s="39"/>
      <c r="V82" s="39"/>
    </row>
    <row r="83" ht="22.5" customHeight="1">
      <c r="A83" s="18">
        <v>91.0</v>
      </c>
      <c r="B83" s="36">
        <v>40.0</v>
      </c>
      <c r="C83" s="36" t="s">
        <v>5492</v>
      </c>
      <c r="D83" s="47">
        <v>2.52610497E8</v>
      </c>
      <c r="E83" s="36" t="s">
        <v>5493</v>
      </c>
      <c r="F83" s="36" t="s">
        <v>227</v>
      </c>
      <c r="G83" s="12">
        <v>33.0</v>
      </c>
      <c r="H83" s="48" t="str">
        <f t="shared" si="1"/>
        <v>X-2</v>
      </c>
      <c r="I83" s="19" t="str">
        <f t="shared" si="2"/>
        <v>33 - GC2 X-2</v>
      </c>
      <c r="J83" s="20" t="str">
        <f>VLOOKUP(I83,'Database Grup SCC'!$B$2:$C1382,2,false)</f>
        <v>Nadine (XI)</v>
      </c>
      <c r="K83" s="49" t="s">
        <v>5372</v>
      </c>
      <c r="L83" s="49"/>
      <c r="M83" s="50"/>
      <c r="N83" s="33" t="s">
        <v>5433</v>
      </c>
      <c r="O83" s="34"/>
      <c r="P83" s="34"/>
      <c r="Q83" s="24" t="str">
        <f t="shared" si="3"/>
        <v>https://docs.google.com/forms/d/e/1FAIpQLSeZ-R1GrWlAPkfaThGqxeTj0QTtrARw4rroxIIepf2kipn1nw/formResponse?usp=pp_url&amp;entry.1313582257=0092731928&amp;entry.1578404635=Hadir</v>
      </c>
      <c r="R83" s="23" t="s">
        <v>5494</v>
      </c>
      <c r="S83" s="39"/>
      <c r="T83" s="39"/>
      <c r="U83" s="39"/>
      <c r="V83" s="39"/>
    </row>
    <row r="84" ht="22.5" customHeight="1">
      <c r="A84" s="10">
        <v>92.0</v>
      </c>
      <c r="B84" s="36">
        <v>41.0</v>
      </c>
      <c r="C84" s="36" t="s">
        <v>5495</v>
      </c>
      <c r="D84" s="47">
        <v>2.52610546E8</v>
      </c>
      <c r="E84" s="36" t="s">
        <v>5496</v>
      </c>
      <c r="F84" s="36" t="s">
        <v>227</v>
      </c>
      <c r="G84" s="12">
        <v>33.0</v>
      </c>
      <c r="H84" s="48" t="str">
        <f t="shared" si="1"/>
        <v>X-2</v>
      </c>
      <c r="I84" s="19" t="str">
        <f t="shared" si="2"/>
        <v>33 - GC2 X-2</v>
      </c>
      <c r="J84" s="20" t="str">
        <f>VLOOKUP(I84,'Database Grup SCC'!$B$2:$C1382,2,false)</f>
        <v>Nadine (XI)</v>
      </c>
      <c r="K84" s="49" t="s">
        <v>5372</v>
      </c>
      <c r="L84" s="49"/>
      <c r="M84" s="50"/>
      <c r="N84" s="33" t="s">
        <v>5433</v>
      </c>
      <c r="O84" s="34"/>
      <c r="P84" s="34"/>
      <c r="Q84" s="24" t="str">
        <f t="shared" si="3"/>
        <v>https://docs.google.com/forms/d/e/1FAIpQLSeZ-R1GrWlAPkfaThGqxeTj0QTtrARw4rroxIIepf2kipn1nw/formResponse?usp=pp_url&amp;entry.1313582257=0102751293&amp;entry.1578404635=Hadir</v>
      </c>
      <c r="R84" s="23" t="s">
        <v>5497</v>
      </c>
      <c r="S84" s="39"/>
      <c r="T84" s="39"/>
      <c r="U84" s="39"/>
      <c r="V84" s="39"/>
    </row>
    <row r="85" ht="22.5" customHeight="1">
      <c r="A85" s="18">
        <v>93.0</v>
      </c>
      <c r="B85" s="36">
        <v>42.0</v>
      </c>
      <c r="C85" s="36" t="s">
        <v>5498</v>
      </c>
      <c r="D85" s="47">
        <v>2.5261056E8</v>
      </c>
      <c r="E85" s="36" t="s">
        <v>5499</v>
      </c>
      <c r="F85" s="36" t="s">
        <v>220</v>
      </c>
      <c r="G85" s="12">
        <v>33.0</v>
      </c>
      <c r="H85" s="48" t="str">
        <f t="shared" si="1"/>
        <v>X-2</v>
      </c>
      <c r="I85" s="19" t="str">
        <f t="shared" si="2"/>
        <v>33 - BC X-2</v>
      </c>
      <c r="J85" s="20" t="str">
        <f>VLOOKUP(I85,'Database Grup SCC'!$B$2:$C1382,2,false)</f>
        <v>Joko</v>
      </c>
      <c r="K85" s="49" t="s">
        <v>5372</v>
      </c>
      <c r="L85" s="49"/>
      <c r="M85" s="50"/>
      <c r="N85" s="33" t="s">
        <v>5393</v>
      </c>
      <c r="O85" s="34"/>
      <c r="P85" s="34"/>
      <c r="Q85" s="24" t="str">
        <f t="shared" si="3"/>
        <v>https://docs.google.com/forms/d/e/1FAIpQLSeZ-R1GrWlAPkfaThGqxeTj0QTtrARw4rroxIIepf2kipn1nw/formResponse?usp=pp_url&amp;entry.1313582257=0104292767&amp;entry.1578404635=Hadir</v>
      </c>
      <c r="R85" s="23" t="s">
        <v>5500</v>
      </c>
      <c r="S85" s="39"/>
      <c r="T85" s="39"/>
      <c r="U85" s="39"/>
      <c r="V85" s="39"/>
    </row>
    <row r="86" ht="22.5" customHeight="1">
      <c r="A86" s="10">
        <v>94.0</v>
      </c>
      <c r="B86" s="36">
        <v>43.0</v>
      </c>
      <c r="C86" s="36" t="s">
        <v>5501</v>
      </c>
      <c r="D86" s="47">
        <v>2.52610563E8</v>
      </c>
      <c r="E86" s="36" t="s">
        <v>5502</v>
      </c>
      <c r="F86" s="36" t="s">
        <v>227</v>
      </c>
      <c r="G86" s="12">
        <v>33.0</v>
      </c>
      <c r="H86" s="48" t="str">
        <f t="shared" si="1"/>
        <v>X-2</v>
      </c>
      <c r="I86" s="19" t="str">
        <f t="shared" si="2"/>
        <v>33 - GC2 X-2</v>
      </c>
      <c r="J86" s="20" t="str">
        <f>VLOOKUP(I86,'Database Grup SCC'!$B$2:$C1382,2,false)</f>
        <v>Nadine (XI)</v>
      </c>
      <c r="K86" s="49" t="s">
        <v>5372</v>
      </c>
      <c r="L86" s="49"/>
      <c r="M86" s="50"/>
      <c r="N86" s="33" t="s">
        <v>5433</v>
      </c>
      <c r="O86" s="34"/>
      <c r="P86" s="34"/>
      <c r="Q86" s="24" t="str">
        <f t="shared" si="3"/>
        <v>https://docs.google.com/forms/d/e/1FAIpQLSeZ-R1GrWlAPkfaThGqxeTj0QTtrARw4rroxIIepf2kipn1nw/formResponse?usp=pp_url&amp;entry.1313582257=0096087965&amp;entry.1578404635=Hadir</v>
      </c>
      <c r="R86" s="23" t="s">
        <v>5503</v>
      </c>
      <c r="S86" s="39"/>
      <c r="T86" s="39"/>
      <c r="U86" s="39"/>
      <c r="V86" s="39"/>
    </row>
    <row r="87" ht="22.5" customHeight="1">
      <c r="A87" s="10">
        <v>102.0</v>
      </c>
      <c r="B87" s="36">
        <v>1.0</v>
      </c>
      <c r="C87" s="36" t="s">
        <v>5504</v>
      </c>
      <c r="D87" s="47">
        <v>2.52610002E8</v>
      </c>
      <c r="E87" s="36" t="s">
        <v>5505</v>
      </c>
      <c r="F87" s="36" t="s">
        <v>220</v>
      </c>
      <c r="G87" s="12">
        <v>33.0</v>
      </c>
      <c r="H87" s="48" t="str">
        <f t="shared" si="1"/>
        <v>X-3</v>
      </c>
      <c r="I87" s="19" t="str">
        <f t="shared" si="2"/>
        <v>33 - BC X-3</v>
      </c>
      <c r="J87" s="20" t="str">
        <f>VLOOKUP(I87,'Database Grup SCC'!$B$2:$C1382,2,false)</f>
        <v>Angga</v>
      </c>
      <c r="K87" s="49" t="s">
        <v>5506</v>
      </c>
      <c r="L87" s="49"/>
      <c r="M87" s="50"/>
      <c r="N87" s="33" t="s">
        <v>5507</v>
      </c>
      <c r="O87" s="34"/>
      <c r="P87" s="34"/>
      <c r="Q87" s="24" t="str">
        <f t="shared" si="3"/>
        <v>https://docs.google.com/forms/d/e/1FAIpQLSeZ-R1GrWlAPkfaThGqxeTj0QTtrARw4rroxIIepf2kipn1nw/formResponse?usp=pp_url&amp;entry.1313582257=0094703204&amp;entry.1578404635=Hadir</v>
      </c>
      <c r="R87" s="23" t="s">
        <v>5508</v>
      </c>
      <c r="S87" s="39"/>
      <c r="T87" s="39"/>
      <c r="U87" s="39"/>
      <c r="V87" s="39"/>
    </row>
    <row r="88" ht="22.5" customHeight="1">
      <c r="A88" s="18">
        <v>103.0</v>
      </c>
      <c r="B88" s="36">
        <v>2.0</v>
      </c>
      <c r="C88" s="36" t="s">
        <v>5509</v>
      </c>
      <c r="D88" s="47">
        <v>2.52610063E8</v>
      </c>
      <c r="E88" s="36" t="s">
        <v>5510</v>
      </c>
      <c r="F88" s="36" t="s">
        <v>220</v>
      </c>
      <c r="G88" s="12">
        <v>33.0</v>
      </c>
      <c r="H88" s="48" t="str">
        <f t="shared" si="1"/>
        <v>X-3</v>
      </c>
      <c r="I88" s="19" t="str">
        <f t="shared" si="2"/>
        <v>33 - BC X-3</v>
      </c>
      <c r="J88" s="20" t="str">
        <f>VLOOKUP(I88,'Database Grup SCC'!$B$2:$C1382,2,false)</f>
        <v>Angga</v>
      </c>
      <c r="K88" s="49" t="s">
        <v>5506</v>
      </c>
      <c r="L88" s="49"/>
      <c r="M88" s="50"/>
      <c r="N88" s="33" t="s">
        <v>5507</v>
      </c>
      <c r="O88" s="34"/>
      <c r="P88" s="34"/>
      <c r="Q88" s="24" t="str">
        <f t="shared" si="3"/>
        <v>https://docs.google.com/forms/d/e/1FAIpQLSeZ-R1GrWlAPkfaThGqxeTj0QTtrARw4rroxIIepf2kipn1nw/formResponse?usp=pp_url&amp;entry.1313582257=0106941990&amp;entry.1578404635=Hadir</v>
      </c>
      <c r="R88" s="23" t="s">
        <v>5511</v>
      </c>
      <c r="S88" s="39"/>
      <c r="T88" s="39"/>
      <c r="U88" s="39"/>
      <c r="V88" s="39"/>
    </row>
    <row r="89" ht="22.5" customHeight="1">
      <c r="A89" s="10">
        <v>104.0</v>
      </c>
      <c r="B89" s="36">
        <v>3.0</v>
      </c>
      <c r="C89" s="36" t="s">
        <v>5512</v>
      </c>
      <c r="D89" s="47">
        <v>2.52610065E8</v>
      </c>
      <c r="E89" s="36" t="s">
        <v>5513</v>
      </c>
      <c r="F89" s="36" t="s">
        <v>227</v>
      </c>
      <c r="G89" s="12">
        <v>33.0</v>
      </c>
      <c r="H89" s="48" t="str">
        <f t="shared" si="1"/>
        <v>X-3</v>
      </c>
      <c r="I89" s="19" t="str">
        <f t="shared" si="2"/>
        <v>33 - GC1 X-3</v>
      </c>
      <c r="J89" s="20" t="str">
        <f>VLOOKUP(I89,'Database Grup SCC'!$B$2:$C1382,2,false)</f>
        <v>Hanin</v>
      </c>
      <c r="K89" s="49" t="s">
        <v>5506</v>
      </c>
      <c r="L89" s="49"/>
      <c r="M89" s="50"/>
      <c r="N89" s="33" t="s">
        <v>5514</v>
      </c>
      <c r="O89" s="34"/>
      <c r="P89" s="34"/>
      <c r="Q89" s="24" t="str">
        <f t="shared" si="3"/>
        <v>https://docs.google.com/forms/d/e/1FAIpQLSeZ-R1GrWlAPkfaThGqxeTj0QTtrARw4rroxIIepf2kipn1nw/formResponse?usp=pp_url&amp;entry.1313582257=0109964803&amp;entry.1578404635=Hadir</v>
      </c>
      <c r="R89" s="23" t="s">
        <v>5515</v>
      </c>
      <c r="S89" s="39"/>
      <c r="T89" s="39"/>
      <c r="U89" s="39"/>
      <c r="V89" s="39"/>
    </row>
    <row r="90" ht="22.5" customHeight="1">
      <c r="A90" s="18">
        <v>105.0</v>
      </c>
      <c r="B90" s="36">
        <v>4.0</v>
      </c>
      <c r="C90" s="36" t="s">
        <v>5516</v>
      </c>
      <c r="D90" s="47">
        <v>2.52610076E8</v>
      </c>
      <c r="E90" s="36" t="s">
        <v>5517</v>
      </c>
      <c r="F90" s="36" t="s">
        <v>220</v>
      </c>
      <c r="G90" s="12">
        <v>33.0</v>
      </c>
      <c r="H90" s="48" t="str">
        <f t="shared" si="1"/>
        <v>X-3</v>
      </c>
      <c r="I90" s="19" t="str">
        <f t="shared" si="2"/>
        <v>33 - BC X-3</v>
      </c>
      <c r="J90" s="20" t="str">
        <f>VLOOKUP(I90,'Database Grup SCC'!$B$2:$C1382,2,false)</f>
        <v>Angga</v>
      </c>
      <c r="K90" s="49" t="s">
        <v>5506</v>
      </c>
      <c r="L90" s="49"/>
      <c r="M90" s="50"/>
      <c r="N90" s="33" t="s">
        <v>5507</v>
      </c>
      <c r="O90" s="34"/>
      <c r="P90" s="34"/>
      <c r="Q90" s="24" t="str">
        <f t="shared" si="3"/>
        <v>https://docs.google.com/forms/d/e/1FAIpQLSeZ-R1GrWlAPkfaThGqxeTj0QTtrARw4rroxIIepf2kipn1nw/formResponse?usp=pp_url&amp;entry.1313582257=0104084075&amp;entry.1578404635=Hadir</v>
      </c>
      <c r="R90" s="23" t="s">
        <v>5518</v>
      </c>
      <c r="S90" s="39"/>
      <c r="T90" s="39"/>
      <c r="U90" s="39"/>
      <c r="V90" s="39"/>
    </row>
    <row r="91" ht="22.5" customHeight="1">
      <c r="A91" s="10">
        <v>106.0</v>
      </c>
      <c r="B91" s="36">
        <v>5.0</v>
      </c>
      <c r="C91" s="36" t="s">
        <v>5519</v>
      </c>
      <c r="D91" s="47">
        <v>2.52610079E8</v>
      </c>
      <c r="E91" s="36" t="s">
        <v>5520</v>
      </c>
      <c r="F91" s="36" t="s">
        <v>220</v>
      </c>
      <c r="G91" s="12">
        <v>33.0</v>
      </c>
      <c r="H91" s="48" t="str">
        <f t="shared" si="1"/>
        <v>X-3</v>
      </c>
      <c r="I91" s="19" t="str">
        <f t="shared" si="2"/>
        <v>33 - BC X-3</v>
      </c>
      <c r="J91" s="20" t="str">
        <f>VLOOKUP(I91,'Database Grup SCC'!$B$2:$C1382,2,false)</f>
        <v>Angga</v>
      </c>
      <c r="K91" s="49" t="s">
        <v>5506</v>
      </c>
      <c r="L91" s="49"/>
      <c r="M91" s="50"/>
      <c r="N91" s="33" t="s">
        <v>5507</v>
      </c>
      <c r="O91" s="34"/>
      <c r="P91" s="34"/>
      <c r="Q91" s="24" t="str">
        <f t="shared" si="3"/>
        <v>https://docs.google.com/forms/d/e/1FAIpQLSeZ-R1GrWlAPkfaThGqxeTj0QTtrARw4rroxIIepf2kipn1nw/formResponse?usp=pp_url&amp;entry.1313582257=0098221239&amp;entry.1578404635=Hadir</v>
      </c>
      <c r="R91" s="23" t="s">
        <v>5521</v>
      </c>
      <c r="S91" s="39"/>
      <c r="T91" s="39"/>
      <c r="U91" s="39"/>
      <c r="V91" s="39"/>
    </row>
    <row r="92" ht="22.5" customHeight="1">
      <c r="A92" s="18">
        <v>107.0</v>
      </c>
      <c r="B92" s="36">
        <v>6.0</v>
      </c>
      <c r="C92" s="36" t="s">
        <v>5522</v>
      </c>
      <c r="D92" s="47">
        <v>2.52610093E8</v>
      </c>
      <c r="E92" s="36" t="s">
        <v>5523</v>
      </c>
      <c r="F92" s="36" t="s">
        <v>227</v>
      </c>
      <c r="G92" s="12">
        <v>33.0</v>
      </c>
      <c r="H92" s="48" t="str">
        <f t="shared" si="1"/>
        <v>X-3</v>
      </c>
      <c r="I92" s="19" t="str">
        <f t="shared" si="2"/>
        <v>33 - GC1 X-3</v>
      </c>
      <c r="J92" s="20" t="str">
        <f>VLOOKUP(I92,'Database Grup SCC'!$B$2:$C1382,2,false)</f>
        <v>Hanin</v>
      </c>
      <c r="K92" s="49" t="s">
        <v>5506</v>
      </c>
      <c r="L92" s="49"/>
      <c r="M92" s="50"/>
      <c r="N92" s="33" t="s">
        <v>5514</v>
      </c>
      <c r="O92" s="34"/>
      <c r="P92" s="34"/>
      <c r="Q92" s="24" t="str">
        <f t="shared" si="3"/>
        <v>https://docs.google.com/forms/d/e/1FAIpQLSeZ-R1GrWlAPkfaThGqxeTj0QTtrARw4rroxIIepf2kipn1nw/formResponse?usp=pp_url&amp;entry.1313582257=0104751597&amp;entry.1578404635=Hadir</v>
      </c>
      <c r="R92" s="23" t="s">
        <v>5524</v>
      </c>
      <c r="S92" s="39"/>
      <c r="T92" s="39"/>
      <c r="U92" s="39"/>
      <c r="V92" s="39"/>
    </row>
    <row r="93" ht="22.5" customHeight="1">
      <c r="A93" s="10">
        <v>108.0</v>
      </c>
      <c r="B93" s="36">
        <v>7.0</v>
      </c>
      <c r="C93" s="36" t="s">
        <v>5525</v>
      </c>
      <c r="D93" s="47">
        <v>2.52610094E8</v>
      </c>
      <c r="E93" s="36" t="s">
        <v>5526</v>
      </c>
      <c r="F93" s="36" t="s">
        <v>227</v>
      </c>
      <c r="G93" s="12">
        <v>33.0</v>
      </c>
      <c r="H93" s="48" t="str">
        <f t="shared" si="1"/>
        <v>X-3</v>
      </c>
      <c r="I93" s="19" t="str">
        <f t="shared" si="2"/>
        <v>33 - GC1 X-3</v>
      </c>
      <c r="J93" s="20" t="str">
        <f>VLOOKUP(I93,'Database Grup SCC'!$B$2:$C1382,2,false)</f>
        <v>Hanin</v>
      </c>
      <c r="K93" s="49" t="s">
        <v>5506</v>
      </c>
      <c r="L93" s="49"/>
      <c r="M93" s="50"/>
      <c r="N93" s="33" t="s">
        <v>5514</v>
      </c>
      <c r="O93" s="34"/>
      <c r="P93" s="34"/>
      <c r="Q93" s="24" t="str">
        <f t="shared" si="3"/>
        <v>https://docs.google.com/forms/d/e/1FAIpQLSeZ-R1GrWlAPkfaThGqxeTj0QTtrARw4rroxIIepf2kipn1nw/formResponse?usp=pp_url&amp;entry.1313582257=0104406841&amp;entry.1578404635=Hadir</v>
      </c>
      <c r="R93" s="23" t="s">
        <v>5527</v>
      </c>
      <c r="S93" s="39"/>
      <c r="T93" s="39"/>
      <c r="U93" s="39"/>
      <c r="V93" s="39"/>
    </row>
    <row r="94" ht="22.5" customHeight="1">
      <c r="A94" s="18">
        <v>109.0</v>
      </c>
      <c r="B94" s="36">
        <v>8.0</v>
      </c>
      <c r="C94" s="36" t="s">
        <v>5528</v>
      </c>
      <c r="D94" s="47">
        <v>2.52610096E8</v>
      </c>
      <c r="E94" s="36" t="s">
        <v>5529</v>
      </c>
      <c r="F94" s="36" t="s">
        <v>227</v>
      </c>
      <c r="G94" s="12">
        <v>33.0</v>
      </c>
      <c r="H94" s="48" t="str">
        <f t="shared" si="1"/>
        <v>X-3</v>
      </c>
      <c r="I94" s="19" t="str">
        <f t="shared" si="2"/>
        <v>33 - GC1 X-3</v>
      </c>
      <c r="J94" s="20" t="str">
        <f>VLOOKUP(I94,'Database Grup SCC'!$B$2:$C1382,2,false)</f>
        <v>Hanin</v>
      </c>
      <c r="K94" s="49" t="s">
        <v>5506</v>
      </c>
      <c r="L94" s="49"/>
      <c r="M94" s="50"/>
      <c r="N94" s="33" t="s">
        <v>5514</v>
      </c>
      <c r="O94" s="34"/>
      <c r="P94" s="34"/>
      <c r="Q94" s="24" t="str">
        <f t="shared" si="3"/>
        <v>https://docs.google.com/forms/d/e/1FAIpQLSeZ-R1GrWlAPkfaThGqxeTj0QTtrARw4rroxIIepf2kipn1nw/formResponse?usp=pp_url&amp;entry.1313582257=0102122161&amp;entry.1578404635=Hadir</v>
      </c>
      <c r="R94" s="23" t="s">
        <v>5530</v>
      </c>
      <c r="S94" s="39"/>
      <c r="T94" s="39"/>
      <c r="U94" s="39"/>
      <c r="V94" s="39"/>
    </row>
    <row r="95" ht="22.5" customHeight="1">
      <c r="A95" s="10">
        <v>110.0</v>
      </c>
      <c r="B95" s="36">
        <v>9.0</v>
      </c>
      <c r="C95" s="36" t="s">
        <v>5531</v>
      </c>
      <c r="D95" s="47">
        <v>2.52610121E8</v>
      </c>
      <c r="E95" s="36" t="s">
        <v>5532</v>
      </c>
      <c r="F95" s="36" t="s">
        <v>227</v>
      </c>
      <c r="G95" s="12">
        <v>33.0</v>
      </c>
      <c r="H95" s="48" t="str">
        <f t="shared" si="1"/>
        <v>X-3</v>
      </c>
      <c r="I95" s="19" t="str">
        <f t="shared" si="2"/>
        <v>33 - GC1 X-3</v>
      </c>
      <c r="J95" s="20" t="str">
        <f>VLOOKUP(I95,'Database Grup SCC'!$B$2:$C1382,2,false)</f>
        <v>Hanin</v>
      </c>
      <c r="K95" s="49" t="s">
        <v>5506</v>
      </c>
      <c r="L95" s="49"/>
      <c r="M95" s="50"/>
      <c r="N95" s="33" t="s">
        <v>5514</v>
      </c>
      <c r="O95" s="34"/>
      <c r="P95" s="34"/>
      <c r="Q95" s="24" t="str">
        <f t="shared" si="3"/>
        <v>https://docs.google.com/forms/d/e/1FAIpQLSeZ-R1GrWlAPkfaThGqxeTj0QTtrARw4rroxIIepf2kipn1nw/formResponse?usp=pp_url&amp;entry.1313582257=0108329102&amp;entry.1578404635=Hadir</v>
      </c>
      <c r="R95" s="23" t="s">
        <v>5533</v>
      </c>
      <c r="S95" s="39"/>
      <c r="T95" s="39"/>
      <c r="U95" s="39"/>
      <c r="V95" s="39"/>
    </row>
    <row r="96" ht="22.5" customHeight="1">
      <c r="A96" s="18">
        <v>111.0</v>
      </c>
      <c r="B96" s="36">
        <v>10.0</v>
      </c>
      <c r="C96" s="36" t="s">
        <v>5534</v>
      </c>
      <c r="D96" s="47">
        <v>2.52610129E8</v>
      </c>
      <c r="E96" s="36" t="s">
        <v>5535</v>
      </c>
      <c r="F96" s="36" t="s">
        <v>220</v>
      </c>
      <c r="G96" s="12">
        <v>33.0</v>
      </c>
      <c r="H96" s="48" t="str">
        <f t="shared" si="1"/>
        <v>X-3</v>
      </c>
      <c r="I96" s="19" t="str">
        <f t="shared" si="2"/>
        <v>33 - BC X-3</v>
      </c>
      <c r="J96" s="20" t="str">
        <f>VLOOKUP(I96,'Database Grup SCC'!$B$2:$C1382,2,false)</f>
        <v>Angga</v>
      </c>
      <c r="K96" s="49" t="s">
        <v>5506</v>
      </c>
      <c r="L96" s="49"/>
      <c r="M96" s="50"/>
      <c r="N96" s="33" t="s">
        <v>5507</v>
      </c>
      <c r="O96" s="34"/>
      <c r="P96" s="34"/>
      <c r="Q96" s="24" t="str">
        <f t="shared" si="3"/>
        <v>https://docs.google.com/forms/d/e/1FAIpQLSeZ-R1GrWlAPkfaThGqxeTj0QTtrARw4rroxIIepf2kipn1nw/formResponse?usp=pp_url&amp;entry.1313582257=0103047499&amp;entry.1578404635=Hadir</v>
      </c>
      <c r="R96" s="23" t="s">
        <v>5536</v>
      </c>
      <c r="S96" s="39"/>
      <c r="T96" s="39"/>
      <c r="U96" s="39"/>
      <c r="V96" s="39"/>
    </row>
    <row r="97" ht="22.5" customHeight="1">
      <c r="A97" s="10">
        <v>112.0</v>
      </c>
      <c r="B97" s="36">
        <v>11.0</v>
      </c>
      <c r="C97" s="36" t="s">
        <v>5537</v>
      </c>
      <c r="D97" s="47">
        <v>2.52610136E8</v>
      </c>
      <c r="E97" s="36" t="s">
        <v>5538</v>
      </c>
      <c r="F97" s="36" t="s">
        <v>227</v>
      </c>
      <c r="G97" s="12">
        <v>33.0</v>
      </c>
      <c r="H97" s="48" t="str">
        <f t="shared" si="1"/>
        <v>X-3</v>
      </c>
      <c r="I97" s="19" t="str">
        <f t="shared" si="2"/>
        <v>33 - GC1 X-3</v>
      </c>
      <c r="J97" s="20" t="str">
        <f>VLOOKUP(I97,'Database Grup SCC'!$B$2:$C1382,2,false)</f>
        <v>Hanin</v>
      </c>
      <c r="K97" s="49" t="s">
        <v>5506</v>
      </c>
      <c r="L97" s="49"/>
      <c r="M97" s="50"/>
      <c r="N97" s="33" t="s">
        <v>5514</v>
      </c>
      <c r="O97" s="34"/>
      <c r="P97" s="34"/>
      <c r="Q97" s="24" t="str">
        <f t="shared" si="3"/>
        <v>https://docs.google.com/forms/d/e/1FAIpQLSeZ-R1GrWlAPkfaThGqxeTj0QTtrARw4rroxIIepf2kipn1nw/formResponse?usp=pp_url&amp;entry.1313582257=0102794623&amp;entry.1578404635=Hadir</v>
      </c>
      <c r="R97" s="23" t="s">
        <v>5539</v>
      </c>
      <c r="S97" s="39"/>
      <c r="T97" s="39"/>
      <c r="U97" s="39"/>
      <c r="V97" s="39"/>
    </row>
    <row r="98" ht="22.5" customHeight="1">
      <c r="A98" s="18">
        <v>113.0</v>
      </c>
      <c r="B98" s="36">
        <v>12.0</v>
      </c>
      <c r="C98" s="36" t="s">
        <v>5540</v>
      </c>
      <c r="D98" s="47">
        <v>2.52610138E8</v>
      </c>
      <c r="E98" s="36" t="s">
        <v>5541</v>
      </c>
      <c r="F98" s="36" t="s">
        <v>227</v>
      </c>
      <c r="G98" s="12">
        <v>33.0</v>
      </c>
      <c r="H98" s="48" t="str">
        <f t="shared" si="1"/>
        <v>X-3</v>
      </c>
      <c r="I98" s="19" t="str">
        <f t="shared" si="2"/>
        <v>33 - GC1 X-3</v>
      </c>
      <c r="J98" s="20" t="str">
        <f>VLOOKUP(I98,'Database Grup SCC'!$B$2:$C1382,2,false)</f>
        <v>Hanin</v>
      </c>
      <c r="K98" s="49" t="s">
        <v>5506</v>
      </c>
      <c r="L98" s="49"/>
      <c r="M98" s="50"/>
      <c r="N98" s="33" t="s">
        <v>5514</v>
      </c>
      <c r="O98" s="34"/>
      <c r="P98" s="34"/>
      <c r="Q98" s="24" t="str">
        <f t="shared" si="3"/>
        <v>https://docs.google.com/forms/d/e/1FAIpQLSeZ-R1GrWlAPkfaThGqxeTj0QTtrARw4rroxIIepf2kipn1nw/formResponse?usp=pp_url&amp;entry.1313582257=0096103714&amp;entry.1578404635=Hadir</v>
      </c>
      <c r="R98" s="23" t="s">
        <v>5542</v>
      </c>
      <c r="S98" s="39"/>
      <c r="T98" s="39"/>
      <c r="U98" s="39"/>
      <c r="V98" s="39"/>
    </row>
    <row r="99" ht="22.5" customHeight="1">
      <c r="A99" s="10">
        <v>114.0</v>
      </c>
      <c r="B99" s="36">
        <v>13.0</v>
      </c>
      <c r="C99" s="36" t="s">
        <v>5543</v>
      </c>
      <c r="D99" s="47">
        <v>2.52610148E8</v>
      </c>
      <c r="E99" s="36" t="s">
        <v>5544</v>
      </c>
      <c r="F99" s="18" t="s">
        <v>220</v>
      </c>
      <c r="G99" s="12">
        <v>33.0</v>
      </c>
      <c r="H99" s="48" t="str">
        <f t="shared" si="1"/>
        <v>X-3</v>
      </c>
      <c r="I99" s="19" t="str">
        <f t="shared" si="2"/>
        <v>33 - BC X-3</v>
      </c>
      <c r="J99" s="20" t="str">
        <f>VLOOKUP(I99,'Database Grup SCC'!$B$2:$C1382,2,false)</f>
        <v>Angga</v>
      </c>
      <c r="K99" s="49" t="s">
        <v>5506</v>
      </c>
      <c r="L99" s="49"/>
      <c r="M99" s="50"/>
      <c r="N99" s="33" t="s">
        <v>5507</v>
      </c>
      <c r="O99" s="34"/>
      <c r="P99" s="34"/>
      <c r="Q99" s="24" t="str">
        <f t="shared" si="3"/>
        <v>https://docs.google.com/forms/d/e/1FAIpQLSeZ-R1GrWlAPkfaThGqxeTj0QTtrARw4rroxIIepf2kipn1nw/formResponse?usp=pp_url&amp;entry.1313582257=0103966590&amp;entry.1578404635=Hadir</v>
      </c>
      <c r="R99" s="23" t="s">
        <v>5545</v>
      </c>
      <c r="S99" s="39"/>
      <c r="T99" s="39"/>
      <c r="U99" s="39"/>
      <c r="V99" s="39"/>
    </row>
    <row r="100" ht="22.5" customHeight="1">
      <c r="A100" s="18">
        <v>115.0</v>
      </c>
      <c r="B100" s="36">
        <v>14.0</v>
      </c>
      <c r="C100" s="36" t="s">
        <v>5546</v>
      </c>
      <c r="D100" s="47">
        <v>2.52610158E8</v>
      </c>
      <c r="E100" s="36" t="s">
        <v>5547</v>
      </c>
      <c r="F100" s="18" t="s">
        <v>220</v>
      </c>
      <c r="G100" s="12">
        <v>33.0</v>
      </c>
      <c r="H100" s="48" t="str">
        <f t="shared" si="1"/>
        <v>X-3</v>
      </c>
      <c r="I100" s="19" t="str">
        <f t="shared" si="2"/>
        <v>33 - BC X-3</v>
      </c>
      <c r="J100" s="20" t="str">
        <f>VLOOKUP(I100,'Database Grup SCC'!$B$2:$C1382,2,false)</f>
        <v>Angga</v>
      </c>
      <c r="K100" s="49" t="s">
        <v>5506</v>
      </c>
      <c r="L100" s="49"/>
      <c r="M100" s="50"/>
      <c r="N100" s="33" t="s">
        <v>5507</v>
      </c>
      <c r="O100" s="34"/>
      <c r="P100" s="34"/>
      <c r="Q100" s="24" t="str">
        <f t="shared" si="3"/>
        <v>https://docs.google.com/forms/d/e/1FAIpQLSeZ-R1GrWlAPkfaThGqxeTj0QTtrARw4rroxIIepf2kipn1nw/formResponse?usp=pp_url&amp;entry.1313582257=0097493642&amp;entry.1578404635=Hadir</v>
      </c>
      <c r="R100" s="23" t="s">
        <v>5548</v>
      </c>
      <c r="S100" s="39"/>
      <c r="T100" s="39"/>
      <c r="U100" s="39"/>
      <c r="V100" s="39"/>
    </row>
    <row r="101" ht="22.5" customHeight="1">
      <c r="A101" s="10">
        <v>116.0</v>
      </c>
      <c r="B101" s="36">
        <v>15.0</v>
      </c>
      <c r="C101" s="36" t="s">
        <v>5549</v>
      </c>
      <c r="D101" s="47">
        <v>2.52610187E8</v>
      </c>
      <c r="E101" s="36" t="s">
        <v>5550</v>
      </c>
      <c r="F101" s="36" t="s">
        <v>227</v>
      </c>
      <c r="G101" s="12">
        <v>33.0</v>
      </c>
      <c r="H101" s="48" t="str">
        <f t="shared" si="1"/>
        <v>X-3</v>
      </c>
      <c r="I101" s="19" t="str">
        <f t="shared" si="2"/>
        <v>33 - GC1 X-3</v>
      </c>
      <c r="J101" s="20" t="str">
        <f>VLOOKUP(I101,'Database Grup SCC'!$B$2:$C1382,2,false)</f>
        <v>Hanin</v>
      </c>
      <c r="K101" s="49" t="s">
        <v>5506</v>
      </c>
      <c r="L101" s="49"/>
      <c r="M101" s="50"/>
      <c r="N101" s="33" t="s">
        <v>5514</v>
      </c>
      <c r="O101" s="34"/>
      <c r="P101" s="34"/>
      <c r="Q101" s="24" t="str">
        <f t="shared" si="3"/>
        <v>https://docs.google.com/forms/d/e/1FAIpQLSeZ-R1GrWlAPkfaThGqxeTj0QTtrARw4rroxIIepf2kipn1nw/formResponse?usp=pp_url&amp;entry.1313582257=0096662016&amp;entry.1578404635=Hadir</v>
      </c>
      <c r="R101" s="23" t="s">
        <v>5551</v>
      </c>
      <c r="S101" s="39"/>
      <c r="T101" s="39"/>
      <c r="U101" s="39"/>
      <c r="V101" s="39"/>
    </row>
    <row r="102" ht="22.5" customHeight="1">
      <c r="A102" s="18">
        <v>117.0</v>
      </c>
      <c r="B102" s="36">
        <v>16.0</v>
      </c>
      <c r="C102" s="36" t="s">
        <v>5552</v>
      </c>
      <c r="D102" s="47">
        <v>2.5261019E8</v>
      </c>
      <c r="E102" s="36" t="s">
        <v>5553</v>
      </c>
      <c r="F102" s="36" t="s">
        <v>220</v>
      </c>
      <c r="G102" s="12">
        <v>33.0</v>
      </c>
      <c r="H102" s="48" t="str">
        <f t="shared" si="1"/>
        <v>X-3</v>
      </c>
      <c r="I102" s="19" t="str">
        <f t="shared" si="2"/>
        <v>33 - BC X-3</v>
      </c>
      <c r="J102" s="20" t="str">
        <f>VLOOKUP(I102,'Database Grup SCC'!$B$2:$C1382,2,false)</f>
        <v>Angga</v>
      </c>
      <c r="K102" s="49" t="s">
        <v>5506</v>
      </c>
      <c r="L102" s="49"/>
      <c r="M102" s="50"/>
      <c r="N102" s="33" t="s">
        <v>5507</v>
      </c>
      <c r="O102" s="34"/>
      <c r="P102" s="34"/>
      <c r="Q102" s="24" t="str">
        <f t="shared" si="3"/>
        <v>https://docs.google.com/forms/d/e/1FAIpQLSeZ-R1GrWlAPkfaThGqxeTj0QTtrARw4rroxIIepf2kipn1nw/formResponse?usp=pp_url&amp;entry.1313582257=0096892367&amp;entry.1578404635=Hadir</v>
      </c>
      <c r="R102" s="23" t="s">
        <v>5554</v>
      </c>
      <c r="S102" s="39"/>
      <c r="T102" s="39"/>
      <c r="U102" s="39"/>
      <c r="V102" s="39"/>
    </row>
    <row r="103" ht="22.5" customHeight="1">
      <c r="A103" s="10">
        <v>118.0</v>
      </c>
      <c r="B103" s="36">
        <v>17.0</v>
      </c>
      <c r="C103" s="36" t="s">
        <v>5555</v>
      </c>
      <c r="D103" s="47">
        <v>2.52610201E8</v>
      </c>
      <c r="E103" s="36" t="s">
        <v>5556</v>
      </c>
      <c r="F103" s="36" t="s">
        <v>220</v>
      </c>
      <c r="G103" s="12">
        <v>33.0</v>
      </c>
      <c r="H103" s="48" t="str">
        <f t="shared" si="1"/>
        <v>X-3</v>
      </c>
      <c r="I103" s="19" t="str">
        <f t="shared" si="2"/>
        <v>33 - BC X-3</v>
      </c>
      <c r="J103" s="20" t="str">
        <f>VLOOKUP(I103,'Database Grup SCC'!$B$2:$C1382,2,false)</f>
        <v>Angga</v>
      </c>
      <c r="K103" s="49" t="s">
        <v>5506</v>
      </c>
      <c r="L103" s="49"/>
      <c r="M103" s="50"/>
      <c r="N103" s="33" t="s">
        <v>5507</v>
      </c>
      <c r="O103" s="34"/>
      <c r="P103" s="34"/>
      <c r="Q103" s="24" t="str">
        <f t="shared" si="3"/>
        <v>https://docs.google.com/forms/d/e/1FAIpQLSeZ-R1GrWlAPkfaThGqxeTj0QTtrARw4rroxIIepf2kipn1nw/formResponse?usp=pp_url&amp;entry.1313582257=0094686377&amp;entry.1578404635=Hadir</v>
      </c>
      <c r="R103" s="23" t="s">
        <v>5557</v>
      </c>
      <c r="S103" s="39"/>
      <c r="T103" s="39"/>
      <c r="U103" s="39"/>
      <c r="V103" s="39"/>
    </row>
    <row r="104" ht="22.5" customHeight="1">
      <c r="A104" s="18">
        <v>119.0</v>
      </c>
      <c r="B104" s="36">
        <v>18.0</v>
      </c>
      <c r="C104" s="36" t="s">
        <v>5558</v>
      </c>
      <c r="D104" s="47">
        <v>2.52610204E8</v>
      </c>
      <c r="E104" s="36" t="s">
        <v>5559</v>
      </c>
      <c r="F104" s="36" t="s">
        <v>227</v>
      </c>
      <c r="G104" s="12">
        <v>33.0</v>
      </c>
      <c r="H104" s="48" t="str">
        <f t="shared" si="1"/>
        <v>X-3</v>
      </c>
      <c r="I104" s="19" t="str">
        <f t="shared" si="2"/>
        <v>33 - GC1 X-3</v>
      </c>
      <c r="J104" s="20" t="str">
        <f>VLOOKUP(I104,'Database Grup SCC'!$B$2:$C1382,2,false)</f>
        <v>Hanin</v>
      </c>
      <c r="K104" s="49" t="s">
        <v>5506</v>
      </c>
      <c r="L104" s="49"/>
      <c r="M104" s="50"/>
      <c r="N104" s="33" t="s">
        <v>5514</v>
      </c>
      <c r="O104" s="34"/>
      <c r="P104" s="34"/>
      <c r="Q104" s="24" t="str">
        <f t="shared" si="3"/>
        <v>https://docs.google.com/forms/d/e/1FAIpQLSeZ-R1GrWlAPkfaThGqxeTj0QTtrARw4rroxIIepf2kipn1nw/formResponse?usp=pp_url&amp;entry.1313582257=0109768822&amp;entry.1578404635=Hadir</v>
      </c>
      <c r="R104" s="23" t="s">
        <v>5560</v>
      </c>
      <c r="S104" s="39"/>
      <c r="T104" s="39"/>
      <c r="U104" s="39"/>
      <c r="V104" s="39"/>
    </row>
    <row r="105" ht="22.5" customHeight="1">
      <c r="A105" s="10">
        <v>120.0</v>
      </c>
      <c r="B105" s="36">
        <v>22.0</v>
      </c>
      <c r="C105" s="36" t="s">
        <v>5561</v>
      </c>
      <c r="D105" s="47">
        <v>2.52610237E8</v>
      </c>
      <c r="E105" s="36" t="s">
        <v>5562</v>
      </c>
      <c r="F105" s="36" t="s">
        <v>220</v>
      </c>
      <c r="G105" s="12">
        <v>33.0</v>
      </c>
      <c r="H105" s="48" t="str">
        <f t="shared" si="1"/>
        <v>X-3</v>
      </c>
      <c r="I105" s="19" t="str">
        <f t="shared" si="2"/>
        <v>33 - BC X-3</v>
      </c>
      <c r="J105" s="20" t="str">
        <f>VLOOKUP(I105,'Database Grup SCC'!$B$2:$C1382,2,false)</f>
        <v>Angga</v>
      </c>
      <c r="K105" s="49" t="s">
        <v>5506</v>
      </c>
      <c r="L105" s="49"/>
      <c r="M105" s="50"/>
      <c r="N105" s="33" t="s">
        <v>5507</v>
      </c>
      <c r="O105" s="34"/>
      <c r="P105" s="34"/>
      <c r="Q105" s="24" t="str">
        <f t="shared" si="3"/>
        <v>https://docs.google.com/forms/d/e/1FAIpQLSeZ-R1GrWlAPkfaThGqxeTj0QTtrARw4rroxIIepf2kipn1nw/formResponse?usp=pp_url&amp;entry.1313582257=0104767807&amp;entry.1578404635=Hadir</v>
      </c>
      <c r="R105" s="23" t="s">
        <v>5563</v>
      </c>
      <c r="S105" s="39"/>
      <c r="T105" s="39"/>
      <c r="U105" s="39"/>
      <c r="V105" s="39"/>
    </row>
    <row r="106" ht="22.5" customHeight="1">
      <c r="A106" s="18">
        <v>121.0</v>
      </c>
      <c r="B106" s="36">
        <v>23.0</v>
      </c>
      <c r="C106" s="36" t="s">
        <v>5564</v>
      </c>
      <c r="D106" s="47">
        <v>2.52610259E8</v>
      </c>
      <c r="E106" s="36" t="s">
        <v>5565</v>
      </c>
      <c r="F106" s="36" t="s">
        <v>227</v>
      </c>
      <c r="G106" s="12">
        <v>33.0</v>
      </c>
      <c r="H106" s="48" t="str">
        <f t="shared" si="1"/>
        <v>X-3</v>
      </c>
      <c r="I106" s="19" t="str">
        <f t="shared" si="2"/>
        <v>33 - GC1 X-3</v>
      </c>
      <c r="J106" s="20" t="str">
        <f>VLOOKUP(I106,'Database Grup SCC'!$B$2:$C1382,2,false)</f>
        <v>Hanin</v>
      </c>
      <c r="K106" s="49" t="s">
        <v>5506</v>
      </c>
      <c r="L106" s="49"/>
      <c r="M106" s="50"/>
      <c r="N106" s="33" t="s">
        <v>5514</v>
      </c>
      <c r="O106" s="34"/>
      <c r="P106" s="34"/>
      <c r="Q106" s="24" t="str">
        <f t="shared" si="3"/>
        <v>https://docs.google.com/forms/d/e/1FAIpQLSeZ-R1GrWlAPkfaThGqxeTj0QTtrARw4rroxIIepf2kipn1nw/formResponse?usp=pp_url&amp;entry.1313582257=0104211640&amp;entry.1578404635=Hadir</v>
      </c>
      <c r="R106" s="23" t="s">
        <v>5566</v>
      </c>
      <c r="S106" s="39"/>
      <c r="T106" s="39"/>
      <c r="U106" s="39"/>
      <c r="V106" s="39"/>
    </row>
    <row r="107" ht="22.5" customHeight="1">
      <c r="A107" s="10">
        <v>122.0</v>
      </c>
      <c r="B107" s="36">
        <v>25.0</v>
      </c>
      <c r="C107" s="36" t="s">
        <v>5567</v>
      </c>
      <c r="D107" s="47">
        <v>2.52610276E8</v>
      </c>
      <c r="E107" s="36" t="s">
        <v>5568</v>
      </c>
      <c r="F107" s="36" t="s">
        <v>227</v>
      </c>
      <c r="G107" s="12">
        <v>33.0</v>
      </c>
      <c r="H107" s="48" t="str">
        <f t="shared" si="1"/>
        <v>X-3</v>
      </c>
      <c r="I107" s="19" t="str">
        <f t="shared" si="2"/>
        <v>33 - GC1 X-3</v>
      </c>
      <c r="J107" s="20" t="str">
        <f>VLOOKUP(I107,'Database Grup SCC'!$B$2:$C1382,2,false)</f>
        <v>Hanin</v>
      </c>
      <c r="K107" s="49" t="s">
        <v>5506</v>
      </c>
      <c r="L107" s="49"/>
      <c r="M107" s="50"/>
      <c r="N107" s="33" t="s">
        <v>5514</v>
      </c>
      <c r="O107" s="34"/>
      <c r="P107" s="34"/>
      <c r="Q107" s="24" t="str">
        <f t="shared" si="3"/>
        <v>https://docs.google.com/forms/d/e/1FAIpQLSeZ-R1GrWlAPkfaThGqxeTj0QTtrARw4rroxIIepf2kipn1nw/formResponse?usp=pp_url&amp;entry.1313582257=0107095977&amp;entry.1578404635=Hadir</v>
      </c>
      <c r="R107" s="23" t="s">
        <v>5569</v>
      </c>
      <c r="S107" s="39"/>
      <c r="T107" s="39"/>
      <c r="U107" s="39"/>
      <c r="V107" s="39"/>
    </row>
    <row r="108" ht="22.5" customHeight="1">
      <c r="A108" s="18">
        <v>123.0</v>
      </c>
      <c r="B108" s="36">
        <v>26.0</v>
      </c>
      <c r="C108" s="36" t="s">
        <v>5570</v>
      </c>
      <c r="D108" s="47">
        <v>2.52610278E8</v>
      </c>
      <c r="E108" s="36" t="s">
        <v>5571</v>
      </c>
      <c r="F108" s="36" t="s">
        <v>220</v>
      </c>
      <c r="G108" s="12">
        <v>33.0</v>
      </c>
      <c r="H108" s="48" t="str">
        <f t="shared" si="1"/>
        <v>X-3</v>
      </c>
      <c r="I108" s="19" t="str">
        <f t="shared" si="2"/>
        <v>33 - BC X-3</v>
      </c>
      <c r="J108" s="20" t="str">
        <f>VLOOKUP(I108,'Database Grup SCC'!$B$2:$C1382,2,false)</f>
        <v>Angga</v>
      </c>
      <c r="K108" s="49" t="s">
        <v>5506</v>
      </c>
      <c r="L108" s="49"/>
      <c r="M108" s="50"/>
      <c r="N108" s="33" t="s">
        <v>5507</v>
      </c>
      <c r="O108" s="34"/>
      <c r="P108" s="34"/>
      <c r="Q108" s="24" t="str">
        <f t="shared" si="3"/>
        <v>https://docs.google.com/forms/d/e/1FAIpQLSeZ-R1GrWlAPkfaThGqxeTj0QTtrARw4rroxIIepf2kipn1nw/formResponse?usp=pp_url&amp;entry.1313582257=0092150853&amp;entry.1578404635=Hadir</v>
      </c>
      <c r="R108" s="23" t="s">
        <v>5572</v>
      </c>
      <c r="S108" s="39"/>
      <c r="T108" s="39"/>
      <c r="U108" s="39"/>
      <c r="V108" s="39"/>
    </row>
    <row r="109" ht="22.5" customHeight="1">
      <c r="A109" s="10">
        <v>124.0</v>
      </c>
      <c r="B109" s="36">
        <v>27.0</v>
      </c>
      <c r="C109" s="36" t="s">
        <v>5573</v>
      </c>
      <c r="D109" s="47">
        <v>2.52610287E8</v>
      </c>
      <c r="E109" s="36" t="s">
        <v>5574</v>
      </c>
      <c r="F109" s="36" t="s">
        <v>227</v>
      </c>
      <c r="G109" s="12">
        <v>33.0</v>
      </c>
      <c r="H109" s="48" t="str">
        <f t="shared" si="1"/>
        <v>X-3</v>
      </c>
      <c r="I109" s="19" t="str">
        <f t="shared" si="2"/>
        <v>33 - GC2 X-3</v>
      </c>
      <c r="J109" s="20" t="str">
        <f>VLOOKUP(I109,'Database Grup SCC'!$B$2:$C1382,2,false)</f>
        <v>Zhafira (XI)</v>
      </c>
      <c r="K109" s="49" t="s">
        <v>5506</v>
      </c>
      <c r="L109" s="49"/>
      <c r="M109" s="50"/>
      <c r="N109" s="33" t="s">
        <v>5575</v>
      </c>
      <c r="O109" s="34"/>
      <c r="P109" s="34"/>
      <c r="Q109" s="24" t="str">
        <f t="shared" si="3"/>
        <v>https://docs.google.com/forms/d/e/1FAIpQLSeZ-R1GrWlAPkfaThGqxeTj0QTtrARw4rroxIIepf2kipn1nw/formResponse?usp=pp_url&amp;entry.1313582257=0091769169&amp;entry.1578404635=Hadir</v>
      </c>
      <c r="R109" s="23" t="s">
        <v>5576</v>
      </c>
      <c r="S109" s="39"/>
      <c r="T109" s="39"/>
      <c r="U109" s="39"/>
      <c r="V109" s="39"/>
    </row>
    <row r="110" ht="22.5" customHeight="1">
      <c r="A110" s="18">
        <v>125.0</v>
      </c>
      <c r="B110" s="36">
        <v>29.0</v>
      </c>
      <c r="C110" s="36" t="s">
        <v>5577</v>
      </c>
      <c r="D110" s="47">
        <v>2.52610301E8</v>
      </c>
      <c r="E110" s="36" t="s">
        <v>5578</v>
      </c>
      <c r="F110" s="36" t="s">
        <v>227</v>
      </c>
      <c r="G110" s="12">
        <v>33.0</v>
      </c>
      <c r="H110" s="48" t="str">
        <f t="shared" si="1"/>
        <v>X-3</v>
      </c>
      <c r="I110" s="19" t="str">
        <f t="shared" si="2"/>
        <v>33 - GC2 X-3</v>
      </c>
      <c r="J110" s="20" t="str">
        <f>VLOOKUP(I110,'Database Grup SCC'!$B$2:$C1382,2,false)</f>
        <v>Zhafira (XI)</v>
      </c>
      <c r="K110" s="49" t="s">
        <v>5506</v>
      </c>
      <c r="L110" s="49"/>
      <c r="M110" s="50"/>
      <c r="N110" s="33" t="s">
        <v>5575</v>
      </c>
      <c r="O110" s="34"/>
      <c r="P110" s="34"/>
      <c r="Q110" s="24" t="str">
        <f t="shared" si="3"/>
        <v>https://docs.google.com/forms/d/e/1FAIpQLSeZ-R1GrWlAPkfaThGqxeTj0QTtrARw4rroxIIepf2kipn1nw/formResponse?usp=pp_url&amp;entry.1313582257=0103190164&amp;entry.1578404635=Hadir</v>
      </c>
      <c r="R110" s="23" t="s">
        <v>5579</v>
      </c>
      <c r="S110" s="39"/>
      <c r="T110" s="39"/>
      <c r="U110" s="39"/>
      <c r="V110" s="39"/>
    </row>
    <row r="111" ht="22.5" customHeight="1">
      <c r="A111" s="10">
        <v>126.0</v>
      </c>
      <c r="B111" s="36">
        <v>32.0</v>
      </c>
      <c r="C111" s="36" t="s">
        <v>5580</v>
      </c>
      <c r="D111" s="47">
        <v>2.52610381E8</v>
      </c>
      <c r="E111" s="36" t="s">
        <v>5581</v>
      </c>
      <c r="F111" s="36" t="s">
        <v>220</v>
      </c>
      <c r="G111" s="12">
        <v>33.0</v>
      </c>
      <c r="H111" s="48" t="str">
        <f t="shared" si="1"/>
        <v>X-3</v>
      </c>
      <c r="I111" s="19" t="str">
        <f t="shared" si="2"/>
        <v>33 - BC X-3</v>
      </c>
      <c r="J111" s="20" t="str">
        <f>VLOOKUP(I111,'Database Grup SCC'!$B$2:$C1382,2,false)</f>
        <v>Angga</v>
      </c>
      <c r="K111" s="49" t="s">
        <v>5506</v>
      </c>
      <c r="L111" s="49"/>
      <c r="M111" s="50"/>
      <c r="N111" s="33" t="s">
        <v>5507</v>
      </c>
      <c r="O111" s="34"/>
      <c r="P111" s="34"/>
      <c r="Q111" s="24" t="str">
        <f t="shared" si="3"/>
        <v>https://docs.google.com/forms/d/e/1FAIpQLSeZ-R1GrWlAPkfaThGqxeTj0QTtrARw4rroxIIepf2kipn1nw/formResponse?usp=pp_url&amp;entry.1313582257=3096846304&amp;entry.1578404635=Hadir</v>
      </c>
      <c r="R111" s="23" t="s">
        <v>5582</v>
      </c>
      <c r="S111" s="39"/>
      <c r="T111" s="39"/>
      <c r="U111" s="39"/>
      <c r="V111" s="39"/>
    </row>
    <row r="112" ht="22.5" customHeight="1">
      <c r="A112" s="18">
        <v>127.0</v>
      </c>
      <c r="B112" s="36">
        <v>33.0</v>
      </c>
      <c r="C112" s="36" t="s">
        <v>5583</v>
      </c>
      <c r="D112" s="47">
        <v>2.52610386E8</v>
      </c>
      <c r="E112" s="36" t="s">
        <v>5584</v>
      </c>
      <c r="F112" s="36" t="s">
        <v>227</v>
      </c>
      <c r="G112" s="12">
        <v>33.0</v>
      </c>
      <c r="H112" s="48" t="str">
        <f t="shared" si="1"/>
        <v>X-3</v>
      </c>
      <c r="I112" s="19" t="str">
        <f t="shared" si="2"/>
        <v>33 - GC2 X-3</v>
      </c>
      <c r="J112" s="20" t="str">
        <f>VLOOKUP(I112,'Database Grup SCC'!$B$2:$C1382,2,false)</f>
        <v>Zhafira (XI)</v>
      </c>
      <c r="K112" s="49" t="s">
        <v>5506</v>
      </c>
      <c r="L112" s="49"/>
      <c r="M112" s="50"/>
      <c r="N112" s="33" t="s">
        <v>5575</v>
      </c>
      <c r="O112" s="34"/>
      <c r="P112" s="34"/>
      <c r="Q112" s="24" t="str">
        <f t="shared" si="3"/>
        <v>https://docs.google.com/forms/d/e/1FAIpQLSeZ-R1GrWlAPkfaThGqxeTj0QTtrARw4rroxIIepf2kipn1nw/formResponse?usp=pp_url&amp;entry.1313582257=0104716348&amp;entry.1578404635=Hadir</v>
      </c>
      <c r="R112" s="23" t="s">
        <v>5585</v>
      </c>
      <c r="S112" s="39"/>
      <c r="T112" s="39"/>
      <c r="U112" s="39"/>
      <c r="V112" s="39"/>
    </row>
    <row r="113" ht="22.5" customHeight="1">
      <c r="A113" s="10">
        <v>128.0</v>
      </c>
      <c r="B113" s="36">
        <v>34.0</v>
      </c>
      <c r="C113" s="36" t="s">
        <v>5586</v>
      </c>
      <c r="D113" s="47">
        <v>2.52610415E8</v>
      </c>
      <c r="E113" s="36" t="s">
        <v>5587</v>
      </c>
      <c r="F113" s="36" t="s">
        <v>227</v>
      </c>
      <c r="G113" s="12">
        <v>33.0</v>
      </c>
      <c r="H113" s="48" t="str">
        <f t="shared" si="1"/>
        <v>X-3</v>
      </c>
      <c r="I113" s="19" t="str">
        <f t="shared" si="2"/>
        <v>33 - GC2 X-3</v>
      </c>
      <c r="J113" s="20" t="str">
        <f>VLOOKUP(I113,'Database Grup SCC'!$B$2:$C1382,2,false)</f>
        <v>Zhafira (XI)</v>
      </c>
      <c r="K113" s="49" t="s">
        <v>5506</v>
      </c>
      <c r="L113" s="49"/>
      <c r="M113" s="50"/>
      <c r="N113" s="33" t="s">
        <v>5575</v>
      </c>
      <c r="O113" s="34"/>
      <c r="P113" s="34"/>
      <c r="Q113" s="24" t="str">
        <f t="shared" si="3"/>
        <v>https://docs.google.com/forms/d/e/1FAIpQLSeZ-R1GrWlAPkfaThGqxeTj0QTtrARw4rroxIIepf2kipn1nw/formResponse?usp=pp_url&amp;entry.1313582257=0102174126&amp;entry.1578404635=Hadir</v>
      </c>
      <c r="R113" s="23" t="s">
        <v>5588</v>
      </c>
      <c r="S113" s="39"/>
      <c r="T113" s="39"/>
      <c r="U113" s="39"/>
      <c r="V113" s="39"/>
    </row>
    <row r="114" ht="22.5" customHeight="1">
      <c r="A114" s="18">
        <v>129.0</v>
      </c>
      <c r="B114" s="36">
        <v>35.0</v>
      </c>
      <c r="C114" s="36" t="s">
        <v>5589</v>
      </c>
      <c r="D114" s="47">
        <v>2.52610422E8</v>
      </c>
      <c r="E114" s="36" t="s">
        <v>5590</v>
      </c>
      <c r="F114" s="36" t="s">
        <v>220</v>
      </c>
      <c r="G114" s="12">
        <v>33.0</v>
      </c>
      <c r="H114" s="48" t="str">
        <f t="shared" si="1"/>
        <v>X-3</v>
      </c>
      <c r="I114" s="19" t="str">
        <f t="shared" si="2"/>
        <v>33 - BC X-3</v>
      </c>
      <c r="J114" s="20" t="str">
        <f>VLOOKUP(I114,'Database Grup SCC'!$B$2:$C1382,2,false)</f>
        <v>Angga</v>
      </c>
      <c r="K114" s="49" t="s">
        <v>5506</v>
      </c>
      <c r="L114" s="49"/>
      <c r="M114" s="50"/>
      <c r="N114" s="33" t="s">
        <v>5507</v>
      </c>
      <c r="O114" s="34"/>
      <c r="P114" s="34"/>
      <c r="Q114" s="24" t="str">
        <f t="shared" si="3"/>
        <v>https://docs.google.com/forms/d/e/1FAIpQLSeZ-R1GrWlAPkfaThGqxeTj0QTtrARw4rroxIIepf2kipn1nw/formResponse?usp=pp_url&amp;entry.1313582257=0097540821&amp;entry.1578404635=Hadir</v>
      </c>
      <c r="R114" s="23" t="s">
        <v>5591</v>
      </c>
      <c r="S114" s="39"/>
      <c r="T114" s="39"/>
      <c r="U114" s="39"/>
      <c r="V114" s="39"/>
    </row>
    <row r="115" ht="22.5" customHeight="1">
      <c r="A115" s="10">
        <v>130.0</v>
      </c>
      <c r="B115" s="36">
        <v>36.0</v>
      </c>
      <c r="C115" s="36" t="s">
        <v>5592</v>
      </c>
      <c r="D115" s="47">
        <v>2.52610426E8</v>
      </c>
      <c r="E115" s="36" t="s">
        <v>5593</v>
      </c>
      <c r="F115" s="36" t="s">
        <v>227</v>
      </c>
      <c r="G115" s="12">
        <v>33.0</v>
      </c>
      <c r="H115" s="48" t="str">
        <f t="shared" si="1"/>
        <v>X-3</v>
      </c>
      <c r="I115" s="19" t="str">
        <f t="shared" si="2"/>
        <v>33 - GC2 X-3</v>
      </c>
      <c r="J115" s="20" t="str">
        <f>VLOOKUP(I115,'Database Grup SCC'!$B$2:$C1382,2,false)</f>
        <v>Zhafira (XI)</v>
      </c>
      <c r="K115" s="49" t="s">
        <v>5506</v>
      </c>
      <c r="L115" s="49"/>
      <c r="M115" s="50"/>
      <c r="N115" s="33" t="s">
        <v>5575</v>
      </c>
      <c r="O115" s="34"/>
      <c r="P115" s="34"/>
      <c r="Q115" s="24" t="str">
        <f t="shared" si="3"/>
        <v>https://docs.google.com/forms/d/e/1FAIpQLSeZ-R1GrWlAPkfaThGqxeTj0QTtrARw4rroxIIepf2kipn1nw/formResponse?usp=pp_url&amp;entry.1313582257=0102114748&amp;entry.1578404635=Hadir</v>
      </c>
      <c r="R115" s="23" t="s">
        <v>5594</v>
      </c>
      <c r="S115" s="39"/>
      <c r="T115" s="39"/>
      <c r="U115" s="39"/>
      <c r="V115" s="39"/>
    </row>
    <row r="116" ht="22.5" customHeight="1">
      <c r="A116" s="18">
        <v>131.0</v>
      </c>
      <c r="B116" s="36">
        <v>37.0</v>
      </c>
      <c r="C116" s="36" t="s">
        <v>5595</v>
      </c>
      <c r="D116" s="47">
        <v>2.52610432E8</v>
      </c>
      <c r="E116" s="36" t="s">
        <v>5596</v>
      </c>
      <c r="F116" s="36" t="s">
        <v>220</v>
      </c>
      <c r="G116" s="12">
        <v>33.0</v>
      </c>
      <c r="H116" s="48" t="str">
        <f t="shared" si="1"/>
        <v>X-3</v>
      </c>
      <c r="I116" s="19" t="str">
        <f t="shared" si="2"/>
        <v>33 - BC X-3</v>
      </c>
      <c r="J116" s="20" t="str">
        <f>VLOOKUP(I116,'Database Grup SCC'!$B$2:$C1382,2,false)</f>
        <v>Angga</v>
      </c>
      <c r="K116" s="49" t="s">
        <v>5506</v>
      </c>
      <c r="L116" s="49"/>
      <c r="M116" s="50"/>
      <c r="N116" s="33" t="s">
        <v>5507</v>
      </c>
      <c r="O116" s="34"/>
      <c r="P116" s="34"/>
      <c r="Q116" s="24" t="str">
        <f t="shared" si="3"/>
        <v>https://docs.google.com/forms/d/e/1FAIpQLSeZ-R1GrWlAPkfaThGqxeTj0QTtrARw4rroxIIepf2kipn1nw/formResponse?usp=pp_url&amp;entry.1313582257=0097603092&amp;entry.1578404635=Hadir</v>
      </c>
      <c r="R116" s="23" t="s">
        <v>5597</v>
      </c>
      <c r="S116" s="39"/>
      <c r="T116" s="39"/>
      <c r="U116" s="39"/>
      <c r="V116" s="39"/>
    </row>
    <row r="117" ht="22.5" customHeight="1">
      <c r="A117" s="10">
        <v>132.0</v>
      </c>
      <c r="B117" s="36">
        <v>38.0</v>
      </c>
      <c r="C117" s="36" t="s">
        <v>5598</v>
      </c>
      <c r="D117" s="47">
        <v>2.52610438E8</v>
      </c>
      <c r="E117" s="36" t="s">
        <v>5599</v>
      </c>
      <c r="F117" s="36" t="s">
        <v>227</v>
      </c>
      <c r="G117" s="12">
        <v>33.0</v>
      </c>
      <c r="H117" s="48" t="str">
        <f t="shared" si="1"/>
        <v>X-3</v>
      </c>
      <c r="I117" s="19" t="str">
        <f t="shared" si="2"/>
        <v>33 - GC2 X-3</v>
      </c>
      <c r="J117" s="20" t="str">
        <f>VLOOKUP(I117,'Database Grup SCC'!$B$2:$C1382,2,false)</f>
        <v>Zhafira (XI)</v>
      </c>
      <c r="K117" s="49" t="s">
        <v>5506</v>
      </c>
      <c r="L117" s="49"/>
      <c r="M117" s="50"/>
      <c r="N117" s="33" t="s">
        <v>5575</v>
      </c>
      <c r="O117" s="34"/>
      <c r="P117" s="34"/>
      <c r="Q117" s="24" t="str">
        <f t="shared" si="3"/>
        <v>https://docs.google.com/forms/d/e/1FAIpQLSeZ-R1GrWlAPkfaThGqxeTj0QTtrARw4rroxIIepf2kipn1nw/formResponse?usp=pp_url&amp;entry.1313582257=0106292164&amp;entry.1578404635=Hadir</v>
      </c>
      <c r="R117" s="23" t="s">
        <v>5600</v>
      </c>
      <c r="S117" s="39"/>
      <c r="T117" s="39"/>
      <c r="U117" s="39"/>
      <c r="V117" s="39"/>
    </row>
    <row r="118" ht="22.5" customHeight="1">
      <c r="A118" s="18">
        <v>133.0</v>
      </c>
      <c r="B118" s="36">
        <v>39.0</v>
      </c>
      <c r="C118" s="36" t="s">
        <v>5601</v>
      </c>
      <c r="D118" s="47">
        <v>2.52610439E8</v>
      </c>
      <c r="E118" s="36" t="s">
        <v>5602</v>
      </c>
      <c r="F118" s="36" t="s">
        <v>227</v>
      </c>
      <c r="G118" s="12">
        <v>33.0</v>
      </c>
      <c r="H118" s="48" t="str">
        <f t="shared" si="1"/>
        <v>X-3</v>
      </c>
      <c r="I118" s="19" t="str">
        <f t="shared" si="2"/>
        <v>33 - GC2 X-3</v>
      </c>
      <c r="J118" s="20" t="str">
        <f>VLOOKUP(I118,'Database Grup SCC'!$B$2:$C1382,2,false)</f>
        <v>Zhafira (XI)</v>
      </c>
      <c r="K118" s="49" t="s">
        <v>5506</v>
      </c>
      <c r="L118" s="49"/>
      <c r="M118" s="50"/>
      <c r="N118" s="33" t="s">
        <v>5575</v>
      </c>
      <c r="O118" s="34"/>
      <c r="P118" s="34"/>
      <c r="Q118" s="24" t="str">
        <f t="shared" si="3"/>
        <v>https://docs.google.com/forms/d/e/1FAIpQLSeZ-R1GrWlAPkfaThGqxeTj0QTtrARw4rroxIIepf2kipn1nw/formResponse?usp=pp_url&amp;entry.1313582257=3104085681&amp;entry.1578404635=Hadir</v>
      </c>
      <c r="R118" s="23" t="s">
        <v>5603</v>
      </c>
      <c r="S118" s="39"/>
      <c r="T118" s="39"/>
      <c r="U118" s="39"/>
      <c r="V118" s="39"/>
    </row>
    <row r="119" ht="22.5" customHeight="1">
      <c r="A119" s="10">
        <v>134.0</v>
      </c>
      <c r="B119" s="36">
        <v>40.0</v>
      </c>
      <c r="C119" s="36" t="s">
        <v>5604</v>
      </c>
      <c r="D119" s="47">
        <v>2.52610461E8</v>
      </c>
      <c r="E119" s="36" t="s">
        <v>5605</v>
      </c>
      <c r="F119" s="36" t="s">
        <v>227</v>
      </c>
      <c r="G119" s="12">
        <v>33.0</v>
      </c>
      <c r="H119" s="48" t="str">
        <f t="shared" si="1"/>
        <v>X-3</v>
      </c>
      <c r="I119" s="19" t="str">
        <f t="shared" si="2"/>
        <v>33 - GC2 X-3</v>
      </c>
      <c r="J119" s="20" t="str">
        <f>VLOOKUP(I119,'Database Grup SCC'!$B$2:$C1382,2,false)</f>
        <v>Zhafira (XI)</v>
      </c>
      <c r="K119" s="49" t="s">
        <v>5506</v>
      </c>
      <c r="L119" s="49"/>
      <c r="M119" s="50"/>
      <c r="N119" s="33" t="s">
        <v>5575</v>
      </c>
      <c r="O119" s="34"/>
      <c r="P119" s="34"/>
      <c r="Q119" s="24" t="str">
        <f t="shared" si="3"/>
        <v>https://docs.google.com/forms/d/e/1FAIpQLSeZ-R1GrWlAPkfaThGqxeTj0QTtrARw4rroxIIepf2kipn1nw/formResponse?usp=pp_url&amp;entry.1313582257=0105055522&amp;entry.1578404635=Hadir</v>
      </c>
      <c r="R119" s="23" t="s">
        <v>5606</v>
      </c>
      <c r="S119" s="39"/>
      <c r="T119" s="39"/>
      <c r="U119" s="39"/>
      <c r="V119" s="39"/>
    </row>
    <row r="120" ht="22.5" customHeight="1">
      <c r="A120" s="18">
        <v>135.0</v>
      </c>
      <c r="B120" s="36">
        <v>41.0</v>
      </c>
      <c r="C120" s="36" t="s">
        <v>5607</v>
      </c>
      <c r="D120" s="47">
        <v>2.52610485E8</v>
      </c>
      <c r="E120" s="36" t="s">
        <v>5608</v>
      </c>
      <c r="F120" s="36" t="s">
        <v>220</v>
      </c>
      <c r="G120" s="12">
        <v>33.0</v>
      </c>
      <c r="H120" s="48" t="str">
        <f t="shared" si="1"/>
        <v>X-3</v>
      </c>
      <c r="I120" s="19" t="str">
        <f t="shared" si="2"/>
        <v>33 - BC X-3</v>
      </c>
      <c r="J120" s="20" t="str">
        <f>VLOOKUP(I120,'Database Grup SCC'!$B$2:$C1382,2,false)</f>
        <v>Angga</v>
      </c>
      <c r="K120" s="49" t="s">
        <v>5506</v>
      </c>
      <c r="L120" s="49"/>
      <c r="M120" s="50"/>
      <c r="N120" s="33" t="s">
        <v>5507</v>
      </c>
      <c r="O120" s="34"/>
      <c r="P120" s="34"/>
      <c r="Q120" s="24" t="str">
        <f t="shared" si="3"/>
        <v>https://docs.google.com/forms/d/e/1FAIpQLSeZ-R1GrWlAPkfaThGqxeTj0QTtrARw4rroxIIepf2kipn1nw/formResponse?usp=pp_url&amp;entry.1313582257=0092263541&amp;entry.1578404635=Hadir</v>
      </c>
      <c r="R120" s="23" t="s">
        <v>5609</v>
      </c>
      <c r="S120" s="39"/>
      <c r="T120" s="39"/>
      <c r="U120" s="39"/>
      <c r="V120" s="39"/>
    </row>
    <row r="121" ht="22.5" customHeight="1">
      <c r="A121" s="10">
        <v>136.0</v>
      </c>
      <c r="B121" s="36">
        <v>42.0</v>
      </c>
      <c r="C121" s="36" t="s">
        <v>5610</v>
      </c>
      <c r="D121" s="47">
        <v>2.52610501E8</v>
      </c>
      <c r="E121" s="36" t="s">
        <v>5611</v>
      </c>
      <c r="F121" s="36" t="s">
        <v>227</v>
      </c>
      <c r="G121" s="12">
        <v>33.0</v>
      </c>
      <c r="H121" s="48" t="str">
        <f t="shared" si="1"/>
        <v>X-3</v>
      </c>
      <c r="I121" s="19" t="str">
        <f t="shared" si="2"/>
        <v>33 - GC2 X-3</v>
      </c>
      <c r="J121" s="20" t="str">
        <f>VLOOKUP(I121,'Database Grup SCC'!$B$2:$C1382,2,false)</f>
        <v>Zhafira (XI)</v>
      </c>
      <c r="K121" s="49" t="s">
        <v>5506</v>
      </c>
      <c r="L121" s="49"/>
      <c r="M121" s="50"/>
      <c r="N121" s="33" t="s">
        <v>5575</v>
      </c>
      <c r="O121" s="34"/>
      <c r="P121" s="34"/>
      <c r="Q121" s="24" t="str">
        <f t="shared" si="3"/>
        <v>https://docs.google.com/forms/d/e/1FAIpQLSeZ-R1GrWlAPkfaThGqxeTj0QTtrARw4rroxIIepf2kipn1nw/formResponse?usp=pp_url&amp;entry.1313582257=0091178036&amp;entry.1578404635=Hadir</v>
      </c>
      <c r="R121" s="23" t="s">
        <v>5612</v>
      </c>
      <c r="S121" s="39"/>
      <c r="T121" s="39"/>
      <c r="U121" s="39"/>
      <c r="V121" s="39"/>
    </row>
    <row r="122" ht="22.5" customHeight="1">
      <c r="A122" s="18">
        <v>137.0</v>
      </c>
      <c r="B122" s="36">
        <v>43.0</v>
      </c>
      <c r="C122" s="36" t="s">
        <v>5613</v>
      </c>
      <c r="D122" s="47">
        <v>2.5261052E8</v>
      </c>
      <c r="E122" s="36" t="s">
        <v>5614</v>
      </c>
      <c r="F122" s="36" t="s">
        <v>227</v>
      </c>
      <c r="G122" s="12">
        <v>33.0</v>
      </c>
      <c r="H122" s="48" t="str">
        <f t="shared" si="1"/>
        <v>X-3</v>
      </c>
      <c r="I122" s="19" t="str">
        <f t="shared" si="2"/>
        <v>33 - GC2 X-3</v>
      </c>
      <c r="J122" s="20" t="str">
        <f>VLOOKUP(I122,'Database Grup SCC'!$B$2:$C1382,2,false)</f>
        <v>Zhafira (XI)</v>
      </c>
      <c r="K122" s="49" t="s">
        <v>5506</v>
      </c>
      <c r="L122" s="49"/>
      <c r="M122" s="50"/>
      <c r="N122" s="33" t="s">
        <v>5575</v>
      </c>
      <c r="O122" s="34"/>
      <c r="P122" s="34"/>
      <c r="Q122" s="24" t="str">
        <f t="shared" si="3"/>
        <v>https://docs.google.com/forms/d/e/1FAIpQLSeZ-R1GrWlAPkfaThGqxeTj0QTtrARw4rroxIIepf2kipn1nw/formResponse?usp=pp_url&amp;entry.1313582257=0106930882&amp;entry.1578404635=Hadir</v>
      </c>
      <c r="R122" s="23" t="s">
        <v>5615</v>
      </c>
      <c r="S122" s="39"/>
      <c r="T122" s="39"/>
      <c r="U122" s="39"/>
      <c r="V122" s="39"/>
    </row>
    <row r="123" ht="22.5" customHeight="1">
      <c r="A123" s="10">
        <v>138.0</v>
      </c>
      <c r="B123" s="36">
        <v>44.0</v>
      </c>
      <c r="C123" s="36" t="s">
        <v>5616</v>
      </c>
      <c r="D123" s="47">
        <v>2.52610555E8</v>
      </c>
      <c r="E123" s="36" t="s">
        <v>5617</v>
      </c>
      <c r="F123" s="36" t="s">
        <v>227</v>
      </c>
      <c r="G123" s="12">
        <v>33.0</v>
      </c>
      <c r="H123" s="48" t="str">
        <f t="shared" si="1"/>
        <v>X-3</v>
      </c>
      <c r="I123" s="19" t="str">
        <f t="shared" si="2"/>
        <v>33 - GC2 X-3</v>
      </c>
      <c r="J123" s="20" t="str">
        <f>VLOOKUP(I123,'Database Grup SCC'!$B$2:$C1382,2,false)</f>
        <v>Zhafira (XI)</v>
      </c>
      <c r="K123" s="49" t="s">
        <v>5506</v>
      </c>
      <c r="L123" s="49"/>
      <c r="M123" s="50"/>
      <c r="N123" s="33" t="s">
        <v>5575</v>
      </c>
      <c r="O123" s="34"/>
      <c r="P123" s="34"/>
      <c r="Q123" s="24" t="str">
        <f t="shared" si="3"/>
        <v>https://docs.google.com/forms/d/e/1FAIpQLSeZ-R1GrWlAPkfaThGqxeTj0QTtrARw4rroxIIepf2kipn1nw/formResponse?usp=pp_url&amp;entry.1313582257=0109721617&amp;entry.1578404635=Hadir</v>
      </c>
      <c r="R123" s="23" t="s">
        <v>5618</v>
      </c>
      <c r="S123" s="39"/>
      <c r="T123" s="39"/>
      <c r="U123" s="39"/>
      <c r="V123" s="39"/>
    </row>
    <row r="124" ht="22.5" customHeight="1">
      <c r="A124" s="18">
        <v>139.0</v>
      </c>
      <c r="B124" s="36">
        <v>45.0</v>
      </c>
      <c r="C124" s="36" t="s">
        <v>5619</v>
      </c>
      <c r="D124" s="47">
        <v>2.52610556E8</v>
      </c>
      <c r="E124" s="36" t="s">
        <v>5620</v>
      </c>
      <c r="F124" s="36" t="s">
        <v>227</v>
      </c>
      <c r="G124" s="12">
        <v>33.0</v>
      </c>
      <c r="H124" s="48" t="str">
        <f t="shared" si="1"/>
        <v>X-3</v>
      </c>
      <c r="I124" s="19" t="str">
        <f t="shared" si="2"/>
        <v>33 - GC2 X-3</v>
      </c>
      <c r="J124" s="20" t="str">
        <f>VLOOKUP(I124,'Database Grup SCC'!$B$2:$C1382,2,false)</f>
        <v>Zhafira (XI)</v>
      </c>
      <c r="K124" s="49" t="s">
        <v>5506</v>
      </c>
      <c r="L124" s="49"/>
      <c r="M124" s="50"/>
      <c r="N124" s="33" t="s">
        <v>5575</v>
      </c>
      <c r="O124" s="34"/>
      <c r="P124" s="34"/>
      <c r="Q124" s="24" t="str">
        <f t="shared" si="3"/>
        <v>https://docs.google.com/forms/d/e/1FAIpQLSeZ-R1GrWlAPkfaThGqxeTj0QTtrARw4rroxIIepf2kipn1nw/formResponse?usp=pp_url&amp;entry.1313582257=0101188685&amp;entry.1578404635=Hadir</v>
      </c>
      <c r="R124" s="23" t="s">
        <v>5621</v>
      </c>
      <c r="S124" s="39"/>
      <c r="T124" s="39"/>
      <c r="U124" s="39"/>
      <c r="V124" s="39"/>
    </row>
    <row r="125" ht="22.5" customHeight="1">
      <c r="A125" s="10">
        <v>140.0</v>
      </c>
      <c r="B125" s="36">
        <v>46.0</v>
      </c>
      <c r="C125" s="36" t="s">
        <v>5622</v>
      </c>
      <c r="D125" s="47">
        <v>2.52610247E8</v>
      </c>
      <c r="E125" s="36" t="s">
        <v>5623</v>
      </c>
      <c r="F125" s="36" t="s">
        <v>227</v>
      </c>
      <c r="G125" s="12">
        <v>33.0</v>
      </c>
      <c r="H125" s="48" t="str">
        <f t="shared" si="1"/>
        <v>X-3</v>
      </c>
      <c r="I125" s="19" t="str">
        <f t="shared" si="2"/>
        <v>33 - GC2 X-3</v>
      </c>
      <c r="J125" s="20" t="str">
        <f>VLOOKUP(I125,'Database Grup SCC'!$B$2:$C1382,2,false)</f>
        <v>Zhafira (XI)</v>
      </c>
      <c r="K125" s="49" t="s">
        <v>5506</v>
      </c>
      <c r="L125" s="49"/>
      <c r="M125" s="50"/>
      <c r="N125" s="33" t="s">
        <v>5575</v>
      </c>
      <c r="O125" s="34"/>
      <c r="P125" s="34"/>
      <c r="Q125" s="24" t="str">
        <f t="shared" si="3"/>
        <v>https://docs.google.com/forms/d/e/1FAIpQLSeZ-R1GrWlAPkfaThGqxeTj0QTtrARw4rroxIIepf2kipn1nw/formResponse?usp=pp_url&amp;entry.1313582257=0106443881&amp;entry.1578404635=Hadir</v>
      </c>
      <c r="R125" s="23" t="s">
        <v>5624</v>
      </c>
      <c r="S125" s="39"/>
      <c r="T125" s="39"/>
      <c r="U125" s="39"/>
      <c r="V125" s="39"/>
    </row>
    <row r="126" ht="22.5" customHeight="1">
      <c r="A126" s="10">
        <v>148.0</v>
      </c>
      <c r="B126" s="36">
        <v>1.0</v>
      </c>
      <c r="C126" s="36" t="s">
        <v>5625</v>
      </c>
      <c r="D126" s="47">
        <v>2.52610016E8</v>
      </c>
      <c r="E126" s="36" t="s">
        <v>5626</v>
      </c>
      <c r="F126" s="36" t="s">
        <v>220</v>
      </c>
      <c r="G126" s="12">
        <v>33.0</v>
      </c>
      <c r="H126" s="48" t="str">
        <f t="shared" si="1"/>
        <v>X-4</v>
      </c>
      <c r="I126" s="19" t="str">
        <f t="shared" si="2"/>
        <v>33 - BC X-4</v>
      </c>
      <c r="J126" s="20" t="str">
        <f>VLOOKUP(I126,'Database Grup SCC'!$B$2:$C1382,2,false)</f>
        <v>Arumbinang</v>
      </c>
      <c r="K126" s="49" t="s">
        <v>5627</v>
      </c>
      <c r="L126" s="49"/>
      <c r="M126" s="50"/>
      <c r="N126" s="33" t="s">
        <v>5628</v>
      </c>
      <c r="O126" s="34"/>
      <c r="P126" s="34"/>
      <c r="Q126" s="24" t="str">
        <f t="shared" si="3"/>
        <v>https://docs.google.com/forms/d/e/1FAIpQLSeZ-R1GrWlAPkfaThGqxeTj0QTtrARw4rroxIIepf2kipn1nw/formResponse?usp=pp_url&amp;entry.1313582257=0106136353&amp;entry.1578404635=Hadir</v>
      </c>
      <c r="R126" s="23" t="s">
        <v>5629</v>
      </c>
      <c r="S126" s="39"/>
      <c r="T126" s="39"/>
      <c r="U126" s="39"/>
      <c r="V126" s="39"/>
    </row>
    <row r="127" ht="22.5" customHeight="1">
      <c r="A127" s="18">
        <v>149.0</v>
      </c>
      <c r="B127" s="36">
        <v>2.0</v>
      </c>
      <c r="C127" s="36" t="s">
        <v>5630</v>
      </c>
      <c r="D127" s="47">
        <v>2.52610018E8</v>
      </c>
      <c r="E127" s="36" t="s">
        <v>5631</v>
      </c>
      <c r="F127" s="36" t="s">
        <v>220</v>
      </c>
      <c r="G127" s="12">
        <v>33.0</v>
      </c>
      <c r="H127" s="48" t="str">
        <f t="shared" si="1"/>
        <v>X-4</v>
      </c>
      <c r="I127" s="19" t="str">
        <f t="shared" si="2"/>
        <v>33 - BC X-4</v>
      </c>
      <c r="J127" s="20" t="str">
        <f>VLOOKUP(I127,'Database Grup SCC'!$B$2:$C1382,2,false)</f>
        <v>Arumbinang</v>
      </c>
      <c r="K127" s="49" t="s">
        <v>5627</v>
      </c>
      <c r="L127" s="49"/>
      <c r="M127" s="50"/>
      <c r="N127" s="33" t="s">
        <v>5628</v>
      </c>
      <c r="O127" s="34"/>
      <c r="P127" s="34"/>
      <c r="Q127" s="24" t="str">
        <f t="shared" si="3"/>
        <v>https://docs.google.com/forms/d/e/1FAIpQLSeZ-R1GrWlAPkfaThGqxeTj0QTtrARw4rroxIIepf2kipn1nw/formResponse?usp=pp_url&amp;entry.1313582257=0095491750&amp;entry.1578404635=Hadir</v>
      </c>
      <c r="R127" s="23" t="s">
        <v>5632</v>
      </c>
      <c r="S127" s="39"/>
      <c r="T127" s="39"/>
      <c r="U127" s="39"/>
      <c r="V127" s="39"/>
    </row>
    <row r="128" ht="22.5" customHeight="1">
      <c r="A128" s="10">
        <v>150.0</v>
      </c>
      <c r="B128" s="36">
        <v>3.0</v>
      </c>
      <c r="C128" s="36" t="s">
        <v>5633</v>
      </c>
      <c r="D128" s="47">
        <v>2.52610038E8</v>
      </c>
      <c r="E128" s="36" t="s">
        <v>5634</v>
      </c>
      <c r="F128" s="36" t="s">
        <v>220</v>
      </c>
      <c r="G128" s="12">
        <v>33.0</v>
      </c>
      <c r="H128" s="48" t="str">
        <f t="shared" si="1"/>
        <v>X-4</v>
      </c>
      <c r="I128" s="19" t="str">
        <f t="shared" si="2"/>
        <v>33 - BC X-4</v>
      </c>
      <c r="J128" s="20" t="str">
        <f>VLOOKUP(I128,'Database Grup SCC'!$B$2:$C1382,2,false)</f>
        <v>Arumbinang</v>
      </c>
      <c r="K128" s="49" t="s">
        <v>5627</v>
      </c>
      <c r="L128" s="49"/>
      <c r="M128" s="50"/>
      <c r="N128" s="33" t="s">
        <v>5628</v>
      </c>
      <c r="O128" s="34"/>
      <c r="P128" s="34"/>
      <c r="Q128" s="24" t="str">
        <f t="shared" si="3"/>
        <v>https://docs.google.com/forms/d/e/1FAIpQLSeZ-R1GrWlAPkfaThGqxeTj0QTtrARw4rroxIIepf2kipn1nw/formResponse?usp=pp_url&amp;entry.1313582257=0087811342&amp;entry.1578404635=Hadir</v>
      </c>
      <c r="R128" s="23" t="s">
        <v>5635</v>
      </c>
      <c r="S128" s="39"/>
      <c r="T128" s="39"/>
      <c r="U128" s="39"/>
      <c r="V128" s="39"/>
    </row>
    <row r="129" ht="22.5" customHeight="1">
      <c r="A129" s="18">
        <v>151.0</v>
      </c>
      <c r="B129" s="36">
        <v>4.0</v>
      </c>
      <c r="C129" s="36" t="s">
        <v>5636</v>
      </c>
      <c r="D129" s="47">
        <v>2.52610045E8</v>
      </c>
      <c r="E129" s="36" t="s">
        <v>5637</v>
      </c>
      <c r="F129" s="36" t="s">
        <v>227</v>
      </c>
      <c r="G129" s="12">
        <v>33.0</v>
      </c>
      <c r="H129" s="48" t="str">
        <f t="shared" si="1"/>
        <v>X-4</v>
      </c>
      <c r="I129" s="19" t="str">
        <f t="shared" si="2"/>
        <v>33 - GC1 X-4</v>
      </c>
      <c r="J129" s="20" t="str">
        <f>VLOOKUP(I129,'Database Grup SCC'!$B$2:$C1382,2,false)</f>
        <v>Najla</v>
      </c>
      <c r="K129" s="49" t="s">
        <v>5627</v>
      </c>
      <c r="L129" s="49"/>
      <c r="M129" s="50"/>
      <c r="N129" s="33" t="s">
        <v>5638</v>
      </c>
      <c r="O129" s="34"/>
      <c r="P129" s="34"/>
      <c r="Q129" s="24" t="str">
        <f t="shared" si="3"/>
        <v>https://docs.google.com/forms/d/e/1FAIpQLSeZ-R1GrWlAPkfaThGqxeTj0QTtrARw4rroxIIepf2kipn1nw/formResponse?usp=pp_url&amp;entry.1313582257=0094160993&amp;entry.1578404635=Hadir</v>
      </c>
      <c r="R129" s="23" t="s">
        <v>5639</v>
      </c>
      <c r="S129" s="39"/>
      <c r="T129" s="39"/>
      <c r="U129" s="39"/>
      <c r="V129" s="39"/>
    </row>
    <row r="130" ht="22.5" customHeight="1">
      <c r="A130" s="10">
        <v>152.0</v>
      </c>
      <c r="B130" s="36">
        <v>5.0</v>
      </c>
      <c r="C130" s="36" t="s">
        <v>5640</v>
      </c>
      <c r="D130" s="47">
        <v>2.52610049E8</v>
      </c>
      <c r="E130" s="36" t="s">
        <v>5641</v>
      </c>
      <c r="F130" s="36" t="s">
        <v>227</v>
      </c>
      <c r="G130" s="12">
        <v>33.0</v>
      </c>
      <c r="H130" s="48" t="str">
        <f t="shared" si="1"/>
        <v>X-4</v>
      </c>
      <c r="I130" s="19" t="str">
        <f t="shared" si="2"/>
        <v>33 - GC1 X-4</v>
      </c>
      <c r="J130" s="20" t="str">
        <f>VLOOKUP(I130,'Database Grup SCC'!$B$2:$C1382,2,false)</f>
        <v>Najla</v>
      </c>
      <c r="K130" s="49" t="s">
        <v>5627</v>
      </c>
      <c r="L130" s="49"/>
      <c r="M130" s="50"/>
      <c r="N130" s="33" t="s">
        <v>5638</v>
      </c>
      <c r="O130" s="34"/>
      <c r="P130" s="34"/>
      <c r="Q130" s="24" t="str">
        <f t="shared" si="3"/>
        <v>https://docs.google.com/forms/d/e/1FAIpQLSeZ-R1GrWlAPkfaThGqxeTj0QTtrARw4rroxIIepf2kipn1nw/formResponse?usp=pp_url&amp;entry.1313582257=0103659705&amp;entry.1578404635=Hadir</v>
      </c>
      <c r="R130" s="23" t="s">
        <v>5642</v>
      </c>
      <c r="S130" s="39"/>
      <c r="T130" s="39"/>
      <c r="U130" s="39"/>
      <c r="V130" s="39"/>
    </row>
    <row r="131" ht="22.5" customHeight="1">
      <c r="A131" s="18">
        <v>153.0</v>
      </c>
      <c r="B131" s="36">
        <v>6.0</v>
      </c>
      <c r="C131" s="36" t="s">
        <v>5643</v>
      </c>
      <c r="D131" s="47">
        <v>2.52610056E8</v>
      </c>
      <c r="E131" s="36" t="s">
        <v>5644</v>
      </c>
      <c r="F131" s="36" t="s">
        <v>227</v>
      </c>
      <c r="G131" s="12">
        <v>33.0</v>
      </c>
      <c r="H131" s="48" t="str">
        <f t="shared" si="1"/>
        <v>X-4</v>
      </c>
      <c r="I131" s="19" t="str">
        <f t="shared" si="2"/>
        <v>33 - XSUMEN2 GC</v>
      </c>
      <c r="J131" s="20" t="str">
        <f>VLOOKUP(I131,'Database Grup SCC'!$B$2:$C1382,2,false)</f>
        <v>Iqlima</v>
      </c>
      <c r="K131" s="49" t="s">
        <v>5627</v>
      </c>
      <c r="L131" s="49"/>
      <c r="M131" s="50"/>
      <c r="N131" s="33" t="s">
        <v>5377</v>
      </c>
      <c r="O131" s="34"/>
      <c r="P131" s="34"/>
      <c r="Q131" s="24" t="str">
        <f t="shared" si="3"/>
        <v>https://docs.google.com/forms/d/e/1FAIpQLSeZ-R1GrWlAPkfaThGqxeTj0QTtrARw4rroxIIepf2kipn1nw/formResponse?usp=pp_url&amp;entry.1313582257=0107838813&amp;entry.1578404635=Hadir</v>
      </c>
      <c r="R131" s="23" t="s">
        <v>5645</v>
      </c>
      <c r="S131" s="39"/>
      <c r="T131" s="39"/>
      <c r="U131" s="39"/>
      <c r="V131" s="39"/>
    </row>
    <row r="132" ht="22.5" customHeight="1">
      <c r="A132" s="10">
        <v>154.0</v>
      </c>
      <c r="B132" s="36">
        <v>7.0</v>
      </c>
      <c r="C132" s="36" t="s">
        <v>5646</v>
      </c>
      <c r="D132" s="47">
        <v>2.52610069E8</v>
      </c>
      <c r="E132" s="36" t="s">
        <v>5647</v>
      </c>
      <c r="F132" s="36" t="s">
        <v>227</v>
      </c>
      <c r="G132" s="12">
        <v>33.0</v>
      </c>
      <c r="H132" s="48" t="str">
        <f t="shared" si="1"/>
        <v>X-4</v>
      </c>
      <c r="I132" s="19" t="str">
        <f t="shared" si="2"/>
        <v>33 - GC1 X-4</v>
      </c>
      <c r="J132" s="20" t="str">
        <f>VLOOKUP(I132,'Database Grup SCC'!$B$2:$C1382,2,false)</f>
        <v>Najla</v>
      </c>
      <c r="K132" s="49" t="s">
        <v>5627</v>
      </c>
      <c r="L132" s="49"/>
      <c r="M132" s="50"/>
      <c r="N132" s="33" t="s">
        <v>5638</v>
      </c>
      <c r="O132" s="34"/>
      <c r="P132" s="34"/>
      <c r="Q132" s="24" t="str">
        <f t="shared" si="3"/>
        <v>https://docs.google.com/forms/d/e/1FAIpQLSeZ-R1GrWlAPkfaThGqxeTj0QTtrARw4rroxIIepf2kipn1nw/formResponse?usp=pp_url&amp;entry.1313582257=0108144208&amp;entry.1578404635=Hadir</v>
      </c>
      <c r="R132" s="23" t="s">
        <v>5648</v>
      </c>
      <c r="S132" s="39"/>
      <c r="T132" s="39"/>
      <c r="U132" s="39"/>
      <c r="V132" s="39"/>
    </row>
    <row r="133" ht="22.5" customHeight="1">
      <c r="A133" s="18">
        <v>155.0</v>
      </c>
      <c r="B133" s="36">
        <v>8.0</v>
      </c>
      <c r="C133" s="36" t="s">
        <v>5649</v>
      </c>
      <c r="D133" s="47">
        <v>2.52610074E8</v>
      </c>
      <c r="E133" s="36" t="s">
        <v>5650</v>
      </c>
      <c r="F133" s="36" t="s">
        <v>227</v>
      </c>
      <c r="G133" s="12">
        <v>33.0</v>
      </c>
      <c r="H133" s="48" t="str">
        <f t="shared" si="1"/>
        <v>X-4</v>
      </c>
      <c r="I133" s="19" t="str">
        <f t="shared" si="2"/>
        <v>33 - GC1 X-4</v>
      </c>
      <c r="J133" s="20" t="str">
        <f>VLOOKUP(I133,'Database Grup SCC'!$B$2:$C1382,2,false)</f>
        <v>Najla</v>
      </c>
      <c r="K133" s="49" t="s">
        <v>5627</v>
      </c>
      <c r="L133" s="49"/>
      <c r="M133" s="50"/>
      <c r="N133" s="33" t="s">
        <v>5638</v>
      </c>
      <c r="O133" s="34"/>
      <c r="P133" s="34"/>
      <c r="Q133" s="24" t="str">
        <f t="shared" si="3"/>
        <v>https://docs.google.com/forms/d/e/1FAIpQLSeZ-R1GrWlAPkfaThGqxeTj0QTtrARw4rroxIIepf2kipn1nw/formResponse?usp=pp_url&amp;entry.1313582257=0096853688&amp;entry.1578404635=Hadir</v>
      </c>
      <c r="R133" s="23" t="s">
        <v>5651</v>
      </c>
      <c r="S133" s="39"/>
      <c r="T133" s="39"/>
      <c r="U133" s="39"/>
      <c r="V133" s="39"/>
    </row>
    <row r="134" ht="22.5" customHeight="1">
      <c r="A134" s="10">
        <v>156.0</v>
      </c>
      <c r="B134" s="36">
        <v>9.0</v>
      </c>
      <c r="C134" s="36" t="s">
        <v>5652</v>
      </c>
      <c r="D134" s="47">
        <v>2.52610132E8</v>
      </c>
      <c r="E134" s="36" t="s">
        <v>5653</v>
      </c>
      <c r="F134" s="36" t="s">
        <v>227</v>
      </c>
      <c r="G134" s="12">
        <v>33.0</v>
      </c>
      <c r="H134" s="48" t="str">
        <f t="shared" si="1"/>
        <v>X-4</v>
      </c>
      <c r="I134" s="19" t="str">
        <f t="shared" si="2"/>
        <v>33 - GC1 X-4</v>
      </c>
      <c r="J134" s="20" t="str">
        <f>VLOOKUP(I134,'Database Grup SCC'!$B$2:$C1382,2,false)</f>
        <v>Najla</v>
      </c>
      <c r="K134" s="49" t="s">
        <v>5627</v>
      </c>
      <c r="L134" s="49"/>
      <c r="M134" s="50"/>
      <c r="N134" s="33" t="s">
        <v>5638</v>
      </c>
      <c r="O134" s="34"/>
      <c r="P134" s="34"/>
      <c r="Q134" s="24" t="str">
        <f t="shared" si="3"/>
        <v>https://docs.google.com/forms/d/e/1FAIpQLSeZ-R1GrWlAPkfaThGqxeTj0QTtrARw4rroxIIepf2kipn1nw/formResponse?usp=pp_url&amp;entry.1313582257=0092637367&amp;entry.1578404635=Hadir</v>
      </c>
      <c r="R134" s="23" t="s">
        <v>5654</v>
      </c>
      <c r="S134" s="39"/>
      <c r="T134" s="39"/>
      <c r="U134" s="39"/>
      <c r="V134" s="39"/>
    </row>
    <row r="135" ht="22.5" customHeight="1">
      <c r="A135" s="18">
        <v>157.0</v>
      </c>
      <c r="B135" s="36">
        <v>10.0</v>
      </c>
      <c r="C135" s="36" t="s">
        <v>5655</v>
      </c>
      <c r="D135" s="47">
        <v>2.52610155E8</v>
      </c>
      <c r="E135" s="36" t="s">
        <v>5656</v>
      </c>
      <c r="F135" s="36" t="s">
        <v>227</v>
      </c>
      <c r="G135" s="12">
        <v>33.0</v>
      </c>
      <c r="H135" s="48" t="str">
        <f t="shared" si="1"/>
        <v>X-4</v>
      </c>
      <c r="I135" s="19" t="str">
        <f t="shared" si="2"/>
        <v>33 - GC1 X-4</v>
      </c>
      <c r="J135" s="20" t="str">
        <f>VLOOKUP(I135,'Database Grup SCC'!$B$2:$C1382,2,false)</f>
        <v>Najla</v>
      </c>
      <c r="K135" s="49" t="s">
        <v>5627</v>
      </c>
      <c r="L135" s="49"/>
      <c r="M135" s="50"/>
      <c r="N135" s="33" t="s">
        <v>5638</v>
      </c>
      <c r="O135" s="34"/>
      <c r="P135" s="34"/>
      <c r="Q135" s="24" t="str">
        <f t="shared" si="3"/>
        <v>https://docs.google.com/forms/d/e/1FAIpQLSeZ-R1GrWlAPkfaThGqxeTj0QTtrARw4rroxIIepf2kipn1nw/formResponse?usp=pp_url&amp;entry.1313582257=0095522157&amp;entry.1578404635=Hadir</v>
      </c>
      <c r="R135" s="23" t="s">
        <v>5657</v>
      </c>
      <c r="S135" s="39"/>
      <c r="T135" s="39"/>
      <c r="U135" s="39"/>
      <c r="V135" s="39"/>
    </row>
    <row r="136" ht="22.5" customHeight="1">
      <c r="A136" s="10">
        <v>158.0</v>
      </c>
      <c r="B136" s="36">
        <v>11.0</v>
      </c>
      <c r="C136" s="36" t="s">
        <v>5658</v>
      </c>
      <c r="D136" s="47">
        <v>2.52610162E8</v>
      </c>
      <c r="E136" s="36" t="s">
        <v>5659</v>
      </c>
      <c r="F136" s="36" t="s">
        <v>220</v>
      </c>
      <c r="G136" s="12">
        <v>33.0</v>
      </c>
      <c r="H136" s="48" t="str">
        <f t="shared" si="1"/>
        <v>X-4</v>
      </c>
      <c r="I136" s="19" t="str">
        <f t="shared" si="2"/>
        <v>33 - BC X-4</v>
      </c>
      <c r="J136" s="20" t="str">
        <f>VLOOKUP(I136,'Database Grup SCC'!$B$2:$C1382,2,false)</f>
        <v>Arumbinang</v>
      </c>
      <c r="K136" s="49" t="s">
        <v>5627</v>
      </c>
      <c r="L136" s="49"/>
      <c r="M136" s="50"/>
      <c r="N136" s="33" t="s">
        <v>5628</v>
      </c>
      <c r="O136" s="34"/>
      <c r="P136" s="34"/>
      <c r="Q136" s="24" t="str">
        <f t="shared" si="3"/>
        <v>https://docs.google.com/forms/d/e/1FAIpQLSeZ-R1GrWlAPkfaThGqxeTj0QTtrARw4rroxIIepf2kipn1nw/formResponse?usp=pp_url&amp;entry.1313582257=0098223677&amp;entry.1578404635=Hadir</v>
      </c>
      <c r="R136" s="23" t="s">
        <v>5660</v>
      </c>
      <c r="S136" s="39"/>
      <c r="T136" s="39"/>
      <c r="U136" s="39"/>
      <c r="V136" s="39"/>
    </row>
    <row r="137" ht="22.5" customHeight="1">
      <c r="A137" s="18">
        <v>159.0</v>
      </c>
      <c r="B137" s="36">
        <v>12.0</v>
      </c>
      <c r="C137" s="36" t="s">
        <v>5661</v>
      </c>
      <c r="D137" s="47">
        <v>2.52610173E8</v>
      </c>
      <c r="E137" s="36" t="s">
        <v>5662</v>
      </c>
      <c r="F137" s="36" t="s">
        <v>227</v>
      </c>
      <c r="G137" s="12">
        <v>33.0</v>
      </c>
      <c r="H137" s="48" t="str">
        <f t="shared" si="1"/>
        <v>X-4</v>
      </c>
      <c r="I137" s="19" t="str">
        <f t="shared" si="2"/>
        <v>33 - GC1 X-4</v>
      </c>
      <c r="J137" s="20" t="str">
        <f>VLOOKUP(I137,'Database Grup SCC'!$B$2:$C1382,2,false)</f>
        <v>Najla</v>
      </c>
      <c r="K137" s="49" t="s">
        <v>5627</v>
      </c>
      <c r="L137" s="49"/>
      <c r="M137" s="50"/>
      <c r="N137" s="33" t="s">
        <v>5638</v>
      </c>
      <c r="O137" s="34"/>
      <c r="P137" s="34"/>
      <c r="Q137" s="24" t="str">
        <f t="shared" si="3"/>
        <v>https://docs.google.com/forms/d/e/1FAIpQLSeZ-R1GrWlAPkfaThGqxeTj0QTtrARw4rroxIIepf2kipn1nw/formResponse?usp=pp_url&amp;entry.1313582257=0106545857&amp;entry.1578404635=Hadir</v>
      </c>
      <c r="R137" s="23" t="s">
        <v>5663</v>
      </c>
      <c r="S137" s="39"/>
      <c r="T137" s="39"/>
      <c r="U137" s="39"/>
      <c r="V137" s="39"/>
    </row>
    <row r="138" ht="22.5" customHeight="1">
      <c r="A138" s="10">
        <v>160.0</v>
      </c>
      <c r="B138" s="36">
        <v>13.0</v>
      </c>
      <c r="C138" s="36" t="s">
        <v>5664</v>
      </c>
      <c r="D138" s="47">
        <v>2.52610183E8</v>
      </c>
      <c r="E138" s="36" t="s">
        <v>5665</v>
      </c>
      <c r="F138" s="36" t="s">
        <v>220</v>
      </c>
      <c r="G138" s="12">
        <v>33.0</v>
      </c>
      <c r="H138" s="48" t="str">
        <f t="shared" si="1"/>
        <v>X-4</v>
      </c>
      <c r="I138" s="19" t="str">
        <f t="shared" si="2"/>
        <v>33 - BC X-4</v>
      </c>
      <c r="J138" s="20" t="str">
        <f>VLOOKUP(I138,'Database Grup SCC'!$B$2:$C1382,2,false)</f>
        <v>Arumbinang</v>
      </c>
      <c r="K138" s="49" t="s">
        <v>5627</v>
      </c>
      <c r="L138" s="49"/>
      <c r="M138" s="50"/>
      <c r="N138" s="33" t="s">
        <v>5628</v>
      </c>
      <c r="O138" s="34"/>
      <c r="P138" s="34"/>
      <c r="Q138" s="24" t="str">
        <f t="shared" si="3"/>
        <v>https://docs.google.com/forms/d/e/1FAIpQLSeZ-R1GrWlAPkfaThGqxeTj0QTtrARw4rroxIIepf2kipn1nw/formResponse?usp=pp_url&amp;entry.1313582257=0108696681&amp;entry.1578404635=Hadir</v>
      </c>
      <c r="R138" s="23" t="s">
        <v>5666</v>
      </c>
      <c r="S138" s="39"/>
      <c r="T138" s="39"/>
      <c r="U138" s="39"/>
      <c r="V138" s="39"/>
    </row>
    <row r="139" ht="22.5" customHeight="1">
      <c r="A139" s="18">
        <v>161.0</v>
      </c>
      <c r="B139" s="36">
        <v>14.0</v>
      </c>
      <c r="C139" s="36" t="s">
        <v>5667</v>
      </c>
      <c r="D139" s="47">
        <v>2.52610188E8</v>
      </c>
      <c r="E139" s="36" t="s">
        <v>5668</v>
      </c>
      <c r="F139" s="36" t="s">
        <v>220</v>
      </c>
      <c r="G139" s="12">
        <v>33.0</v>
      </c>
      <c r="H139" s="48" t="str">
        <f t="shared" si="1"/>
        <v>X-4</v>
      </c>
      <c r="I139" s="19" t="str">
        <f t="shared" si="2"/>
        <v>33 - BC X-4</v>
      </c>
      <c r="J139" s="20" t="str">
        <f>VLOOKUP(I139,'Database Grup SCC'!$B$2:$C1382,2,false)</f>
        <v>Arumbinang</v>
      </c>
      <c r="K139" s="49" t="s">
        <v>5627</v>
      </c>
      <c r="L139" s="49"/>
      <c r="M139" s="50"/>
      <c r="N139" s="33" t="s">
        <v>5628</v>
      </c>
      <c r="O139" s="34"/>
      <c r="P139" s="34"/>
      <c r="Q139" s="24" t="str">
        <f t="shared" si="3"/>
        <v>https://docs.google.com/forms/d/e/1FAIpQLSeZ-R1GrWlAPkfaThGqxeTj0QTtrARw4rroxIIepf2kipn1nw/formResponse?usp=pp_url&amp;entry.1313582257=0102866245&amp;entry.1578404635=Hadir</v>
      </c>
      <c r="R139" s="23" t="s">
        <v>5669</v>
      </c>
      <c r="S139" s="39"/>
      <c r="T139" s="39"/>
      <c r="U139" s="39"/>
      <c r="V139" s="39"/>
    </row>
    <row r="140" ht="22.5" customHeight="1">
      <c r="A140" s="10">
        <v>162.0</v>
      </c>
      <c r="B140" s="36">
        <v>15.0</v>
      </c>
      <c r="C140" s="36" t="s">
        <v>5670</v>
      </c>
      <c r="D140" s="47">
        <v>2.52610191E8</v>
      </c>
      <c r="E140" s="36" t="s">
        <v>5671</v>
      </c>
      <c r="F140" s="36" t="s">
        <v>220</v>
      </c>
      <c r="G140" s="12">
        <v>33.0</v>
      </c>
      <c r="H140" s="48" t="str">
        <f t="shared" si="1"/>
        <v>X-4</v>
      </c>
      <c r="I140" s="19" t="str">
        <f t="shared" si="2"/>
        <v>33 - BC X-4</v>
      </c>
      <c r="J140" s="20" t="str">
        <f>VLOOKUP(I140,'Database Grup SCC'!$B$2:$C1382,2,false)</f>
        <v>Arumbinang</v>
      </c>
      <c r="K140" s="49" t="s">
        <v>5627</v>
      </c>
      <c r="L140" s="49"/>
      <c r="M140" s="50"/>
      <c r="N140" s="33" t="s">
        <v>5628</v>
      </c>
      <c r="O140" s="34"/>
      <c r="P140" s="34"/>
      <c r="Q140" s="24" t="str">
        <f t="shared" si="3"/>
        <v>https://docs.google.com/forms/d/e/1FAIpQLSeZ-R1GrWlAPkfaThGqxeTj0QTtrARw4rroxIIepf2kipn1nw/formResponse?usp=pp_url&amp;entry.1313582257=0107425878&amp;entry.1578404635=Hadir</v>
      </c>
      <c r="R140" s="23" t="s">
        <v>5672</v>
      </c>
      <c r="S140" s="39"/>
      <c r="T140" s="39"/>
      <c r="U140" s="39"/>
      <c r="V140" s="39"/>
    </row>
    <row r="141" ht="22.5" customHeight="1">
      <c r="A141" s="18">
        <v>163.0</v>
      </c>
      <c r="B141" s="36">
        <v>16.0</v>
      </c>
      <c r="C141" s="36" t="s">
        <v>5673</v>
      </c>
      <c r="D141" s="47">
        <v>2.52610216E8</v>
      </c>
      <c r="E141" s="36" t="s">
        <v>5674</v>
      </c>
      <c r="F141" s="36" t="s">
        <v>227</v>
      </c>
      <c r="G141" s="12">
        <v>33.0</v>
      </c>
      <c r="H141" s="48" t="str">
        <f t="shared" si="1"/>
        <v>X-4</v>
      </c>
      <c r="I141" s="19" t="str">
        <f t="shared" si="2"/>
        <v>33 - GC1 X-4</v>
      </c>
      <c r="J141" s="20" t="str">
        <f>VLOOKUP(I141,'Database Grup SCC'!$B$2:$C1382,2,false)</f>
        <v>Najla</v>
      </c>
      <c r="K141" s="49" t="s">
        <v>5627</v>
      </c>
      <c r="L141" s="49"/>
      <c r="M141" s="50"/>
      <c r="N141" s="33" t="s">
        <v>5638</v>
      </c>
      <c r="O141" s="34"/>
      <c r="P141" s="34"/>
      <c r="Q141" s="24" t="str">
        <f t="shared" si="3"/>
        <v>https://docs.google.com/forms/d/e/1FAIpQLSeZ-R1GrWlAPkfaThGqxeTj0QTtrARw4rroxIIepf2kipn1nw/formResponse?usp=pp_url&amp;entry.1313582257=0104987304&amp;entry.1578404635=Hadir</v>
      </c>
      <c r="R141" s="23" t="s">
        <v>5675</v>
      </c>
      <c r="S141" s="39"/>
      <c r="T141" s="39"/>
      <c r="U141" s="39"/>
      <c r="V141" s="39"/>
    </row>
    <row r="142" ht="22.5" customHeight="1">
      <c r="A142" s="10">
        <v>164.0</v>
      </c>
      <c r="B142" s="36">
        <v>17.0</v>
      </c>
      <c r="C142" s="36" t="s">
        <v>5676</v>
      </c>
      <c r="D142" s="47">
        <v>2.52610233E8</v>
      </c>
      <c r="E142" s="36" t="s">
        <v>5677</v>
      </c>
      <c r="F142" s="36" t="s">
        <v>227</v>
      </c>
      <c r="G142" s="12">
        <v>33.0</v>
      </c>
      <c r="H142" s="48" t="str">
        <f t="shared" si="1"/>
        <v>X-4</v>
      </c>
      <c r="I142" s="19" t="str">
        <f t="shared" si="2"/>
        <v>33 - GC1 X-4</v>
      </c>
      <c r="J142" s="20" t="str">
        <f>VLOOKUP(I142,'Database Grup SCC'!$B$2:$C1382,2,false)</f>
        <v>Najla</v>
      </c>
      <c r="K142" s="49" t="s">
        <v>5627</v>
      </c>
      <c r="L142" s="49"/>
      <c r="M142" s="50"/>
      <c r="N142" s="33" t="s">
        <v>5638</v>
      </c>
      <c r="O142" s="34"/>
      <c r="P142" s="34"/>
      <c r="Q142" s="24" t="str">
        <f t="shared" si="3"/>
        <v>https://docs.google.com/forms/d/e/1FAIpQLSeZ-R1GrWlAPkfaThGqxeTj0QTtrARw4rroxIIepf2kipn1nw/formResponse?usp=pp_url&amp;entry.1313582257=0104595564&amp;entry.1578404635=Hadir</v>
      </c>
      <c r="R142" s="23" t="s">
        <v>5678</v>
      </c>
      <c r="S142" s="39"/>
      <c r="T142" s="39"/>
      <c r="U142" s="39"/>
      <c r="V142" s="39"/>
    </row>
    <row r="143" ht="22.5" customHeight="1">
      <c r="A143" s="18">
        <v>165.0</v>
      </c>
      <c r="B143" s="36">
        <v>18.0</v>
      </c>
      <c r="C143" s="36" t="s">
        <v>5679</v>
      </c>
      <c r="D143" s="47">
        <v>2.52610258E8</v>
      </c>
      <c r="E143" s="36" t="s">
        <v>5680</v>
      </c>
      <c r="F143" s="36" t="s">
        <v>227</v>
      </c>
      <c r="G143" s="12">
        <v>33.0</v>
      </c>
      <c r="H143" s="48" t="str">
        <f t="shared" si="1"/>
        <v>X-4</v>
      </c>
      <c r="I143" s="19" t="str">
        <f t="shared" si="2"/>
        <v>33 - GC1 X-4</v>
      </c>
      <c r="J143" s="20" t="str">
        <f>VLOOKUP(I143,'Database Grup SCC'!$B$2:$C1382,2,false)</f>
        <v>Najla</v>
      </c>
      <c r="K143" s="49" t="s">
        <v>5627</v>
      </c>
      <c r="L143" s="49"/>
      <c r="M143" s="50"/>
      <c r="N143" s="33" t="s">
        <v>5638</v>
      </c>
      <c r="O143" s="34"/>
      <c r="P143" s="34"/>
      <c r="Q143" s="24" t="str">
        <f t="shared" si="3"/>
        <v>https://docs.google.com/forms/d/e/1FAIpQLSeZ-R1GrWlAPkfaThGqxeTj0QTtrARw4rroxIIepf2kipn1nw/formResponse?usp=pp_url&amp;entry.1313582257=0107286739&amp;entry.1578404635=Hadir</v>
      </c>
      <c r="R143" s="23" t="s">
        <v>5681</v>
      </c>
      <c r="S143" s="39"/>
      <c r="T143" s="39"/>
      <c r="U143" s="39"/>
      <c r="V143" s="39"/>
    </row>
    <row r="144" ht="22.5" customHeight="1">
      <c r="A144" s="10">
        <v>166.0</v>
      </c>
      <c r="B144" s="36">
        <v>19.0</v>
      </c>
      <c r="C144" s="36" t="s">
        <v>5682</v>
      </c>
      <c r="D144" s="47">
        <v>2.5261026E8</v>
      </c>
      <c r="E144" s="36" t="s">
        <v>5683</v>
      </c>
      <c r="F144" s="36" t="s">
        <v>227</v>
      </c>
      <c r="G144" s="12">
        <v>33.0</v>
      </c>
      <c r="H144" s="48" t="str">
        <f t="shared" si="1"/>
        <v>X-4</v>
      </c>
      <c r="I144" s="19" t="str">
        <f t="shared" si="2"/>
        <v>33 - GC1 X-4</v>
      </c>
      <c r="J144" s="20" t="str">
        <f>VLOOKUP(I144,'Database Grup SCC'!$B$2:$C1382,2,false)</f>
        <v>Najla</v>
      </c>
      <c r="K144" s="49" t="s">
        <v>5627</v>
      </c>
      <c r="L144" s="49"/>
      <c r="M144" s="50"/>
      <c r="N144" s="33" t="s">
        <v>5638</v>
      </c>
      <c r="O144" s="34"/>
      <c r="P144" s="34"/>
      <c r="Q144" s="24" t="str">
        <f t="shared" si="3"/>
        <v>https://docs.google.com/forms/d/e/1FAIpQLSeZ-R1GrWlAPkfaThGqxeTj0QTtrARw4rroxIIepf2kipn1nw/formResponse?usp=pp_url&amp;entry.1313582257=0109267722&amp;entry.1578404635=Hadir</v>
      </c>
      <c r="R144" s="23" t="s">
        <v>5684</v>
      </c>
      <c r="S144" s="39"/>
      <c r="T144" s="39"/>
      <c r="U144" s="39"/>
      <c r="V144" s="39"/>
    </row>
    <row r="145" ht="22.5" customHeight="1">
      <c r="A145" s="18">
        <v>167.0</v>
      </c>
      <c r="B145" s="36">
        <v>20.0</v>
      </c>
      <c r="C145" s="36" t="s">
        <v>5685</v>
      </c>
      <c r="D145" s="47">
        <v>2.52610266E8</v>
      </c>
      <c r="E145" s="36" t="s">
        <v>5686</v>
      </c>
      <c r="F145" s="36" t="s">
        <v>227</v>
      </c>
      <c r="G145" s="12">
        <v>33.0</v>
      </c>
      <c r="H145" s="48" t="str">
        <f t="shared" si="1"/>
        <v>X-4</v>
      </c>
      <c r="I145" s="19" t="str">
        <f t="shared" si="2"/>
        <v>33 - GC1 X-4</v>
      </c>
      <c r="J145" s="20" t="str">
        <f>VLOOKUP(I145,'Database Grup SCC'!$B$2:$C1382,2,false)</f>
        <v>Najla</v>
      </c>
      <c r="K145" s="49" t="s">
        <v>5627</v>
      </c>
      <c r="L145" s="49"/>
      <c r="M145" s="50"/>
      <c r="N145" s="33" t="s">
        <v>5638</v>
      </c>
      <c r="O145" s="34"/>
      <c r="P145" s="34"/>
      <c r="Q145" s="24" t="str">
        <f t="shared" si="3"/>
        <v>https://docs.google.com/forms/d/e/1FAIpQLSeZ-R1GrWlAPkfaThGqxeTj0QTtrARw4rroxIIepf2kipn1nw/formResponse?usp=pp_url&amp;entry.1313582257=0093634061&amp;entry.1578404635=Hadir</v>
      </c>
      <c r="R145" s="23" t="s">
        <v>5687</v>
      </c>
      <c r="S145" s="39"/>
      <c r="T145" s="39"/>
      <c r="U145" s="39"/>
      <c r="V145" s="39"/>
    </row>
    <row r="146" ht="22.5" customHeight="1">
      <c r="A146" s="10">
        <v>168.0</v>
      </c>
      <c r="B146" s="36">
        <v>21.0</v>
      </c>
      <c r="C146" s="36" t="s">
        <v>5688</v>
      </c>
      <c r="D146" s="47">
        <v>2.52610275E8</v>
      </c>
      <c r="E146" s="36" t="s">
        <v>5689</v>
      </c>
      <c r="F146" s="36" t="s">
        <v>220</v>
      </c>
      <c r="G146" s="12">
        <v>33.0</v>
      </c>
      <c r="H146" s="48" t="str">
        <f t="shared" si="1"/>
        <v>X-4</v>
      </c>
      <c r="I146" s="19" t="str">
        <f t="shared" si="2"/>
        <v>33 - XSUMEN BC</v>
      </c>
      <c r="J146" s="20" t="str">
        <f>VLOOKUP(I146,'Database Grup SCC'!$B$2:$C1382,2,false)</f>
        <v>Rekhsa</v>
      </c>
      <c r="K146" s="49" t="s">
        <v>5627</v>
      </c>
      <c r="L146" s="49"/>
      <c r="M146" s="50"/>
      <c r="N146" s="33" t="s">
        <v>371</v>
      </c>
      <c r="O146" s="34"/>
      <c r="P146" s="34"/>
      <c r="Q146" s="24" t="str">
        <f t="shared" si="3"/>
        <v>https://docs.google.com/forms/d/e/1FAIpQLSeZ-R1GrWlAPkfaThGqxeTj0QTtrARw4rroxIIepf2kipn1nw/formResponse?usp=pp_url&amp;entry.1313582257=3091547533&amp;entry.1578404635=Hadir</v>
      </c>
      <c r="R146" s="23" t="s">
        <v>5690</v>
      </c>
      <c r="S146" s="39"/>
      <c r="T146" s="39"/>
      <c r="U146" s="39"/>
      <c r="V146" s="39"/>
    </row>
    <row r="147" ht="22.5" customHeight="1">
      <c r="A147" s="18">
        <v>169.0</v>
      </c>
      <c r="B147" s="36">
        <v>22.0</v>
      </c>
      <c r="C147" s="36" t="s">
        <v>5691</v>
      </c>
      <c r="D147" s="47">
        <v>2.52610282E8</v>
      </c>
      <c r="E147" s="36" t="s">
        <v>5692</v>
      </c>
      <c r="F147" s="36" t="s">
        <v>227</v>
      </c>
      <c r="G147" s="12">
        <v>33.0</v>
      </c>
      <c r="H147" s="48" t="str">
        <f t="shared" si="1"/>
        <v>X-4</v>
      </c>
      <c r="I147" s="19" t="str">
        <f t="shared" si="2"/>
        <v>33 - GC2 X-4</v>
      </c>
      <c r="J147" s="20" t="str">
        <f>VLOOKUP(I147,'Database Grup SCC'!$B$2:$C1382,2,false)</f>
        <v>Faliqa (XI)</v>
      </c>
      <c r="K147" s="49" t="s">
        <v>5627</v>
      </c>
      <c r="L147" s="49"/>
      <c r="M147" s="50"/>
      <c r="N147" s="33" t="s">
        <v>5693</v>
      </c>
      <c r="O147" s="34"/>
      <c r="P147" s="34"/>
      <c r="Q147" s="24" t="str">
        <f t="shared" si="3"/>
        <v>https://docs.google.com/forms/d/e/1FAIpQLSeZ-R1GrWlAPkfaThGqxeTj0QTtrARw4rroxIIepf2kipn1nw/formResponse?usp=pp_url&amp;entry.1313582257=0097951249&amp;entry.1578404635=Hadir</v>
      </c>
      <c r="R147" s="23" t="s">
        <v>5694</v>
      </c>
      <c r="S147" s="39"/>
      <c r="T147" s="39"/>
      <c r="U147" s="39"/>
      <c r="V147" s="39"/>
    </row>
    <row r="148" ht="22.5" customHeight="1">
      <c r="A148" s="10">
        <v>170.0</v>
      </c>
      <c r="B148" s="36">
        <v>23.0</v>
      </c>
      <c r="C148" s="36" t="s">
        <v>5695</v>
      </c>
      <c r="D148" s="47">
        <v>2.52610294E8</v>
      </c>
      <c r="E148" s="36" t="s">
        <v>5696</v>
      </c>
      <c r="F148" s="36" t="s">
        <v>227</v>
      </c>
      <c r="G148" s="12">
        <v>33.0</v>
      </c>
      <c r="H148" s="48" t="str">
        <f t="shared" si="1"/>
        <v>X-4</v>
      </c>
      <c r="I148" s="19" t="str">
        <f t="shared" si="2"/>
        <v>33 - GC2 X-4</v>
      </c>
      <c r="J148" s="20" t="str">
        <f>VLOOKUP(I148,'Database Grup SCC'!$B$2:$C1382,2,false)</f>
        <v>Faliqa (XI)</v>
      </c>
      <c r="K148" s="49" t="s">
        <v>5627</v>
      </c>
      <c r="L148" s="49"/>
      <c r="M148" s="50"/>
      <c r="N148" s="33" t="s">
        <v>5693</v>
      </c>
      <c r="O148" s="34"/>
      <c r="P148" s="34"/>
      <c r="Q148" s="24" t="str">
        <f t="shared" si="3"/>
        <v>https://docs.google.com/forms/d/e/1FAIpQLSeZ-R1GrWlAPkfaThGqxeTj0QTtrARw4rroxIIepf2kipn1nw/formResponse?usp=pp_url&amp;entry.1313582257=0102015407&amp;entry.1578404635=Hadir</v>
      </c>
      <c r="R148" s="23" t="s">
        <v>5697</v>
      </c>
      <c r="S148" s="39"/>
      <c r="T148" s="39"/>
      <c r="U148" s="39"/>
      <c r="V148" s="39"/>
    </row>
    <row r="149" ht="22.5" customHeight="1">
      <c r="A149" s="18">
        <v>171.0</v>
      </c>
      <c r="B149" s="36">
        <v>24.0</v>
      </c>
      <c r="C149" s="36" t="s">
        <v>5698</v>
      </c>
      <c r="D149" s="47">
        <v>2.52610306E8</v>
      </c>
      <c r="E149" s="36" t="s">
        <v>5699</v>
      </c>
      <c r="F149" s="36" t="s">
        <v>227</v>
      </c>
      <c r="G149" s="12">
        <v>33.0</v>
      </c>
      <c r="H149" s="48" t="str">
        <f t="shared" si="1"/>
        <v>X-4</v>
      </c>
      <c r="I149" s="19" t="str">
        <f t="shared" si="2"/>
        <v>33 - GC2 X-4</v>
      </c>
      <c r="J149" s="20" t="str">
        <f>VLOOKUP(I149,'Database Grup SCC'!$B$2:$C1382,2,false)</f>
        <v>Faliqa (XI)</v>
      </c>
      <c r="K149" s="49" t="s">
        <v>5627</v>
      </c>
      <c r="L149" s="49"/>
      <c r="M149" s="50"/>
      <c r="N149" s="33" t="s">
        <v>5693</v>
      </c>
      <c r="O149" s="34"/>
      <c r="P149" s="34"/>
      <c r="Q149" s="24" t="str">
        <f t="shared" si="3"/>
        <v>https://docs.google.com/forms/d/e/1FAIpQLSeZ-R1GrWlAPkfaThGqxeTj0QTtrARw4rroxIIepf2kipn1nw/formResponse?usp=pp_url&amp;entry.1313582257=0106908655&amp;entry.1578404635=Hadir</v>
      </c>
      <c r="R149" s="23" t="s">
        <v>5700</v>
      </c>
      <c r="S149" s="39"/>
      <c r="T149" s="39"/>
      <c r="U149" s="39"/>
      <c r="V149" s="39"/>
    </row>
    <row r="150" ht="22.5" customHeight="1">
      <c r="A150" s="10">
        <v>172.0</v>
      </c>
      <c r="B150" s="36">
        <v>25.0</v>
      </c>
      <c r="C150" s="36" t="s">
        <v>5701</v>
      </c>
      <c r="D150" s="47">
        <v>2.52610309E8</v>
      </c>
      <c r="E150" s="36" t="s">
        <v>5702</v>
      </c>
      <c r="F150" s="36" t="s">
        <v>227</v>
      </c>
      <c r="G150" s="12">
        <v>33.0</v>
      </c>
      <c r="H150" s="48" t="str">
        <f t="shared" si="1"/>
        <v>X-4</v>
      </c>
      <c r="I150" s="19" t="str">
        <f t="shared" si="2"/>
        <v>33 - GC2 X-4</v>
      </c>
      <c r="J150" s="20" t="str">
        <f>VLOOKUP(I150,'Database Grup SCC'!$B$2:$C1382,2,false)</f>
        <v>Faliqa (XI)</v>
      </c>
      <c r="K150" s="49" t="s">
        <v>5627</v>
      </c>
      <c r="L150" s="49"/>
      <c r="M150" s="50"/>
      <c r="N150" s="33" t="s">
        <v>5693</v>
      </c>
      <c r="O150" s="34"/>
      <c r="P150" s="34"/>
      <c r="Q150" s="24" t="str">
        <f t="shared" si="3"/>
        <v>https://docs.google.com/forms/d/e/1FAIpQLSeZ-R1GrWlAPkfaThGqxeTj0QTtrARw4rroxIIepf2kipn1nw/formResponse?usp=pp_url&amp;entry.1313582257=0092608342&amp;entry.1578404635=Hadir</v>
      </c>
      <c r="R150" s="23" t="s">
        <v>5703</v>
      </c>
      <c r="S150" s="39"/>
      <c r="T150" s="39"/>
      <c r="U150" s="39"/>
      <c r="V150" s="39"/>
    </row>
    <row r="151" ht="22.5" customHeight="1">
      <c r="A151" s="18">
        <v>173.0</v>
      </c>
      <c r="B151" s="36">
        <v>26.0</v>
      </c>
      <c r="C151" s="36" t="s">
        <v>5704</v>
      </c>
      <c r="D151" s="47">
        <v>2.52610329E8</v>
      </c>
      <c r="E151" s="36" t="s">
        <v>5705</v>
      </c>
      <c r="F151" s="36" t="s">
        <v>220</v>
      </c>
      <c r="G151" s="12">
        <v>33.0</v>
      </c>
      <c r="H151" s="48" t="str">
        <f t="shared" si="1"/>
        <v>X-4</v>
      </c>
      <c r="I151" s="19" t="str">
        <f t="shared" si="2"/>
        <v>33 - BC X-4</v>
      </c>
      <c r="J151" s="20" t="str">
        <f>VLOOKUP(I151,'Database Grup SCC'!$B$2:$C1382,2,false)</f>
        <v>Arumbinang</v>
      </c>
      <c r="K151" s="49" t="s">
        <v>5627</v>
      </c>
      <c r="L151" s="49"/>
      <c r="M151" s="50"/>
      <c r="N151" s="33" t="s">
        <v>5628</v>
      </c>
      <c r="O151" s="34"/>
      <c r="P151" s="34"/>
      <c r="Q151" s="24" t="str">
        <f t="shared" si="3"/>
        <v>https://docs.google.com/forms/d/e/1FAIpQLSeZ-R1GrWlAPkfaThGqxeTj0QTtrARw4rroxIIepf2kipn1nw/formResponse?usp=pp_url&amp;entry.1313582257=0098979111&amp;entry.1578404635=Hadir</v>
      </c>
      <c r="R151" s="23" t="s">
        <v>5706</v>
      </c>
      <c r="S151" s="39"/>
      <c r="T151" s="39"/>
      <c r="U151" s="39"/>
      <c r="V151" s="39"/>
    </row>
    <row r="152" ht="22.5" customHeight="1">
      <c r="A152" s="10">
        <v>174.0</v>
      </c>
      <c r="B152" s="36">
        <v>27.0</v>
      </c>
      <c r="C152" s="36" t="s">
        <v>5707</v>
      </c>
      <c r="D152" s="47">
        <v>2.52610357E8</v>
      </c>
      <c r="E152" s="36" t="s">
        <v>5708</v>
      </c>
      <c r="F152" s="36" t="s">
        <v>220</v>
      </c>
      <c r="G152" s="12">
        <v>33.0</v>
      </c>
      <c r="H152" s="48" t="str">
        <f t="shared" si="1"/>
        <v>X-4</v>
      </c>
      <c r="I152" s="19" t="str">
        <f t="shared" si="2"/>
        <v>33 - BC X-4</v>
      </c>
      <c r="J152" s="20" t="str">
        <f>VLOOKUP(I152,'Database Grup SCC'!$B$2:$C1382,2,false)</f>
        <v>Arumbinang</v>
      </c>
      <c r="K152" s="49" t="s">
        <v>5627</v>
      </c>
      <c r="L152" s="49"/>
      <c r="M152" s="50"/>
      <c r="N152" s="33" t="s">
        <v>5628</v>
      </c>
      <c r="O152" s="34"/>
      <c r="P152" s="34"/>
      <c r="Q152" s="24" t="str">
        <f t="shared" si="3"/>
        <v>https://docs.google.com/forms/d/e/1FAIpQLSeZ-R1GrWlAPkfaThGqxeTj0QTtrARw4rroxIIepf2kipn1nw/formResponse?usp=pp_url&amp;entry.1313582257=0105497173&amp;entry.1578404635=Hadir</v>
      </c>
      <c r="R152" s="23" t="s">
        <v>5709</v>
      </c>
      <c r="S152" s="39"/>
      <c r="T152" s="39"/>
      <c r="U152" s="39"/>
      <c r="V152" s="39"/>
    </row>
    <row r="153" ht="22.5" customHeight="1">
      <c r="A153" s="18">
        <v>175.0</v>
      </c>
      <c r="B153" s="36">
        <v>28.0</v>
      </c>
      <c r="C153" s="36" t="s">
        <v>5710</v>
      </c>
      <c r="D153" s="47">
        <v>2.52610363E8</v>
      </c>
      <c r="E153" s="36" t="s">
        <v>5711</v>
      </c>
      <c r="F153" s="36" t="s">
        <v>220</v>
      </c>
      <c r="G153" s="12">
        <v>33.0</v>
      </c>
      <c r="H153" s="48" t="str">
        <f t="shared" si="1"/>
        <v>X-4</v>
      </c>
      <c r="I153" s="19" t="str">
        <f t="shared" si="2"/>
        <v>33 - BC X-4</v>
      </c>
      <c r="J153" s="20" t="str">
        <f>VLOOKUP(I153,'Database Grup SCC'!$B$2:$C1382,2,false)</f>
        <v>Arumbinang</v>
      </c>
      <c r="K153" s="49" t="s">
        <v>5627</v>
      </c>
      <c r="L153" s="49"/>
      <c r="M153" s="50"/>
      <c r="N153" s="33" t="s">
        <v>5628</v>
      </c>
      <c r="O153" s="34"/>
      <c r="P153" s="34"/>
      <c r="Q153" s="24" t="str">
        <f t="shared" si="3"/>
        <v>https://docs.google.com/forms/d/e/1FAIpQLSeZ-R1GrWlAPkfaThGqxeTj0QTtrARw4rroxIIepf2kipn1nw/formResponse?usp=pp_url&amp;entry.1313582257=0092028941&amp;entry.1578404635=Hadir</v>
      </c>
      <c r="R153" s="23" t="s">
        <v>5712</v>
      </c>
      <c r="S153" s="39"/>
      <c r="T153" s="39"/>
      <c r="U153" s="39"/>
      <c r="V153" s="39"/>
    </row>
    <row r="154" ht="22.5" customHeight="1">
      <c r="A154" s="10">
        <v>176.0</v>
      </c>
      <c r="B154" s="36">
        <v>29.0</v>
      </c>
      <c r="C154" s="36" t="s">
        <v>5713</v>
      </c>
      <c r="D154" s="47">
        <v>2.52610373E8</v>
      </c>
      <c r="E154" s="36" t="s">
        <v>5714</v>
      </c>
      <c r="F154" s="36" t="s">
        <v>220</v>
      </c>
      <c r="G154" s="12">
        <v>33.0</v>
      </c>
      <c r="H154" s="48" t="str">
        <f t="shared" si="1"/>
        <v>X-4</v>
      </c>
      <c r="I154" s="19" t="str">
        <f t="shared" si="2"/>
        <v>33 - BC X-4</v>
      </c>
      <c r="J154" s="20" t="str">
        <f>VLOOKUP(I154,'Database Grup SCC'!$B$2:$C1382,2,false)</f>
        <v>Arumbinang</v>
      </c>
      <c r="K154" s="49" t="s">
        <v>5627</v>
      </c>
      <c r="L154" s="49"/>
      <c r="M154" s="50"/>
      <c r="N154" s="33" t="s">
        <v>5628</v>
      </c>
      <c r="O154" s="34"/>
      <c r="P154" s="34"/>
      <c r="Q154" s="24" t="str">
        <f t="shared" si="3"/>
        <v>https://docs.google.com/forms/d/e/1FAIpQLSeZ-R1GrWlAPkfaThGqxeTj0QTtrARw4rroxIIepf2kipn1nw/formResponse?usp=pp_url&amp;entry.1313582257=0097410697&amp;entry.1578404635=Hadir</v>
      </c>
      <c r="R154" s="23" t="s">
        <v>5715</v>
      </c>
      <c r="S154" s="39"/>
      <c r="T154" s="39"/>
      <c r="U154" s="39"/>
      <c r="V154" s="39"/>
    </row>
    <row r="155" ht="22.5" customHeight="1">
      <c r="A155" s="18">
        <v>177.0</v>
      </c>
      <c r="B155" s="36">
        <v>30.0</v>
      </c>
      <c r="C155" s="36" t="s">
        <v>5716</v>
      </c>
      <c r="D155" s="47">
        <v>2.52610378E8</v>
      </c>
      <c r="E155" s="36" t="s">
        <v>5717</v>
      </c>
      <c r="F155" s="36" t="s">
        <v>220</v>
      </c>
      <c r="G155" s="12">
        <v>33.0</v>
      </c>
      <c r="H155" s="48" t="str">
        <f t="shared" si="1"/>
        <v>X-4</v>
      </c>
      <c r="I155" s="19" t="str">
        <f t="shared" si="2"/>
        <v>33 - XSUMEN BC</v>
      </c>
      <c r="J155" s="20" t="str">
        <f>VLOOKUP(I155,'Database Grup SCC'!$B$2:$C1382,2,false)</f>
        <v>Rekhsa</v>
      </c>
      <c r="K155" s="49" t="s">
        <v>5627</v>
      </c>
      <c r="L155" s="49"/>
      <c r="M155" s="50"/>
      <c r="N155" s="33" t="s">
        <v>371</v>
      </c>
      <c r="O155" s="34"/>
      <c r="P155" s="34"/>
      <c r="Q155" s="24" t="str">
        <f t="shared" si="3"/>
        <v>https://docs.google.com/forms/d/e/1FAIpQLSeZ-R1GrWlAPkfaThGqxeTj0QTtrARw4rroxIIepf2kipn1nw/formResponse?usp=pp_url&amp;entry.1313582257=3105173369&amp;entry.1578404635=Hadir</v>
      </c>
      <c r="R155" s="23" t="s">
        <v>5718</v>
      </c>
      <c r="S155" s="39"/>
      <c r="T155" s="39"/>
      <c r="U155" s="39"/>
      <c r="V155" s="39"/>
    </row>
    <row r="156" ht="22.5" customHeight="1">
      <c r="A156" s="10">
        <v>178.0</v>
      </c>
      <c r="B156" s="36">
        <v>31.0</v>
      </c>
      <c r="C156" s="36" t="s">
        <v>5719</v>
      </c>
      <c r="D156" s="47">
        <v>2.52610382E8</v>
      </c>
      <c r="E156" s="36" t="s">
        <v>5720</v>
      </c>
      <c r="F156" s="36" t="s">
        <v>227</v>
      </c>
      <c r="G156" s="12">
        <v>33.0</v>
      </c>
      <c r="H156" s="48" t="str">
        <f t="shared" si="1"/>
        <v>X-4</v>
      </c>
      <c r="I156" s="19" t="str">
        <f t="shared" si="2"/>
        <v>33 - GC2 X-4</v>
      </c>
      <c r="J156" s="20" t="str">
        <f>VLOOKUP(I156,'Database Grup SCC'!$B$2:$C1382,2,false)</f>
        <v>Faliqa (XI)</v>
      </c>
      <c r="K156" s="49" t="s">
        <v>5627</v>
      </c>
      <c r="L156" s="49"/>
      <c r="M156" s="50"/>
      <c r="N156" s="33" t="s">
        <v>5693</v>
      </c>
      <c r="O156" s="34"/>
      <c r="P156" s="34"/>
      <c r="Q156" s="24" t="str">
        <f t="shared" si="3"/>
        <v>https://docs.google.com/forms/d/e/1FAIpQLSeZ-R1GrWlAPkfaThGqxeTj0QTtrARw4rroxIIepf2kipn1nw/formResponse?usp=pp_url&amp;entry.1313582257=3107700954&amp;entry.1578404635=Hadir</v>
      </c>
      <c r="R156" s="23" t="s">
        <v>5721</v>
      </c>
      <c r="S156" s="39"/>
      <c r="T156" s="39"/>
      <c r="U156" s="39"/>
      <c r="V156" s="39"/>
    </row>
    <row r="157" ht="22.5" customHeight="1">
      <c r="A157" s="18">
        <v>179.0</v>
      </c>
      <c r="B157" s="36">
        <v>33.0</v>
      </c>
      <c r="C157" s="36" t="s">
        <v>5722</v>
      </c>
      <c r="D157" s="47">
        <v>2.52610435E8</v>
      </c>
      <c r="E157" s="36" t="s">
        <v>5723</v>
      </c>
      <c r="F157" s="36" t="s">
        <v>220</v>
      </c>
      <c r="G157" s="12">
        <v>33.0</v>
      </c>
      <c r="H157" s="48" t="str">
        <f t="shared" si="1"/>
        <v>X-4</v>
      </c>
      <c r="I157" s="19" t="str">
        <f t="shared" si="2"/>
        <v>33 - BC X-4</v>
      </c>
      <c r="J157" s="20" t="str">
        <f>VLOOKUP(I157,'Database Grup SCC'!$B$2:$C1382,2,false)</f>
        <v>Arumbinang</v>
      </c>
      <c r="K157" s="49" t="s">
        <v>5627</v>
      </c>
      <c r="L157" s="49"/>
      <c r="M157" s="50"/>
      <c r="N157" s="33" t="s">
        <v>5628</v>
      </c>
      <c r="O157" s="34"/>
      <c r="P157" s="34"/>
      <c r="Q157" s="24" t="str">
        <f t="shared" si="3"/>
        <v>https://docs.google.com/forms/d/e/1FAIpQLSeZ-R1GrWlAPkfaThGqxeTj0QTtrARw4rroxIIepf2kipn1nw/formResponse?usp=pp_url&amp;entry.1313582257=0109782055&amp;entry.1578404635=Hadir</v>
      </c>
      <c r="R157" s="23" t="s">
        <v>5724</v>
      </c>
      <c r="S157" s="39"/>
      <c r="T157" s="39"/>
      <c r="U157" s="39"/>
      <c r="V157" s="39"/>
    </row>
    <row r="158" ht="22.5" customHeight="1">
      <c r="A158" s="10">
        <v>180.0</v>
      </c>
      <c r="B158" s="36">
        <v>34.0</v>
      </c>
      <c r="C158" s="36" t="s">
        <v>5725</v>
      </c>
      <c r="D158" s="47">
        <v>2.52610447E8</v>
      </c>
      <c r="E158" s="36" t="s">
        <v>5726</v>
      </c>
      <c r="F158" s="36" t="s">
        <v>220</v>
      </c>
      <c r="G158" s="12">
        <v>33.0</v>
      </c>
      <c r="H158" s="48" t="str">
        <f t="shared" si="1"/>
        <v>X-4</v>
      </c>
      <c r="I158" s="19" t="str">
        <f t="shared" si="2"/>
        <v>33 - BC X-4</v>
      </c>
      <c r="J158" s="20" t="str">
        <f>VLOOKUP(I158,'Database Grup SCC'!$B$2:$C1382,2,false)</f>
        <v>Arumbinang</v>
      </c>
      <c r="K158" s="49" t="s">
        <v>5627</v>
      </c>
      <c r="L158" s="49"/>
      <c r="M158" s="50"/>
      <c r="N158" s="33" t="s">
        <v>5628</v>
      </c>
      <c r="O158" s="34"/>
      <c r="P158" s="34"/>
      <c r="Q158" s="24" t="str">
        <f t="shared" si="3"/>
        <v>https://docs.google.com/forms/d/e/1FAIpQLSeZ-R1GrWlAPkfaThGqxeTj0QTtrARw4rroxIIepf2kipn1nw/formResponse?usp=pp_url&amp;entry.1313582257=0108699884&amp;entry.1578404635=Hadir</v>
      </c>
      <c r="R158" s="23" t="s">
        <v>5727</v>
      </c>
      <c r="S158" s="39"/>
      <c r="T158" s="39"/>
      <c r="U158" s="39"/>
      <c r="V158" s="39"/>
    </row>
    <row r="159" ht="22.5" customHeight="1">
      <c r="A159" s="18">
        <v>181.0</v>
      </c>
      <c r="B159" s="36">
        <v>35.0</v>
      </c>
      <c r="C159" s="36" t="s">
        <v>5728</v>
      </c>
      <c r="D159" s="47">
        <v>2.52610472E8</v>
      </c>
      <c r="E159" s="36" t="s">
        <v>5729</v>
      </c>
      <c r="F159" s="36" t="s">
        <v>220</v>
      </c>
      <c r="G159" s="12">
        <v>33.0</v>
      </c>
      <c r="H159" s="48" t="str">
        <f t="shared" si="1"/>
        <v>X-4</v>
      </c>
      <c r="I159" s="19" t="str">
        <f t="shared" si="2"/>
        <v>33 - BC X-4</v>
      </c>
      <c r="J159" s="20" t="str">
        <f>VLOOKUP(I159,'Database Grup SCC'!$B$2:$C1382,2,false)</f>
        <v>Arumbinang</v>
      </c>
      <c r="K159" s="49" t="s">
        <v>5627</v>
      </c>
      <c r="L159" s="49"/>
      <c r="M159" s="50"/>
      <c r="N159" s="33" t="s">
        <v>5628</v>
      </c>
      <c r="O159" s="34"/>
      <c r="P159" s="34"/>
      <c r="Q159" s="24" t="str">
        <f t="shared" si="3"/>
        <v>https://docs.google.com/forms/d/e/1FAIpQLSeZ-R1GrWlAPkfaThGqxeTj0QTtrARw4rroxIIepf2kipn1nw/formResponse?usp=pp_url&amp;entry.1313582257=0108390462&amp;entry.1578404635=Hadir</v>
      </c>
      <c r="R159" s="23" t="s">
        <v>5730</v>
      </c>
      <c r="S159" s="39"/>
      <c r="T159" s="39"/>
      <c r="U159" s="39"/>
      <c r="V159" s="39"/>
    </row>
    <row r="160" ht="22.5" customHeight="1">
      <c r="A160" s="10">
        <v>182.0</v>
      </c>
      <c r="B160" s="36">
        <v>36.0</v>
      </c>
      <c r="C160" s="36" t="s">
        <v>5731</v>
      </c>
      <c r="D160" s="47">
        <v>2.52610475E8</v>
      </c>
      <c r="E160" s="36" t="s">
        <v>5732</v>
      </c>
      <c r="F160" s="18" t="s">
        <v>220</v>
      </c>
      <c r="G160" s="12">
        <v>33.0</v>
      </c>
      <c r="H160" s="48" t="str">
        <f t="shared" si="1"/>
        <v>X-4</v>
      </c>
      <c r="I160" s="19" t="str">
        <f t="shared" si="2"/>
        <v>33 - BC X-4</v>
      </c>
      <c r="J160" s="20" t="str">
        <f>VLOOKUP(I160,'Database Grup SCC'!$B$2:$C1382,2,false)</f>
        <v>Arumbinang</v>
      </c>
      <c r="K160" s="49" t="s">
        <v>5627</v>
      </c>
      <c r="L160" s="49"/>
      <c r="M160" s="50"/>
      <c r="N160" s="33" t="s">
        <v>5628</v>
      </c>
      <c r="O160" s="34"/>
      <c r="P160" s="34"/>
      <c r="Q160" s="24" t="str">
        <f t="shared" si="3"/>
        <v>https://docs.google.com/forms/d/e/1FAIpQLSeZ-R1GrWlAPkfaThGqxeTj0QTtrARw4rroxIIepf2kipn1nw/formResponse?usp=pp_url&amp;entry.1313582257=0107960365&amp;entry.1578404635=Hadir</v>
      </c>
      <c r="R160" s="23" t="s">
        <v>5733</v>
      </c>
      <c r="S160" s="39"/>
      <c r="T160" s="39"/>
      <c r="U160" s="39"/>
      <c r="V160" s="39"/>
    </row>
    <row r="161" ht="22.5" customHeight="1">
      <c r="A161" s="18">
        <v>183.0</v>
      </c>
      <c r="B161" s="36">
        <v>37.0</v>
      </c>
      <c r="C161" s="36" t="s">
        <v>5734</v>
      </c>
      <c r="D161" s="47">
        <v>2.5261048E8</v>
      </c>
      <c r="E161" s="36" t="s">
        <v>5735</v>
      </c>
      <c r="F161" s="36" t="s">
        <v>220</v>
      </c>
      <c r="G161" s="12">
        <v>33.0</v>
      </c>
      <c r="H161" s="48" t="str">
        <f t="shared" si="1"/>
        <v>X-4</v>
      </c>
      <c r="I161" s="19" t="str">
        <f t="shared" si="2"/>
        <v>33 - BC X-4</v>
      </c>
      <c r="J161" s="20" t="str">
        <f>VLOOKUP(I161,'Database Grup SCC'!$B$2:$C1382,2,false)</f>
        <v>Arumbinang</v>
      </c>
      <c r="K161" s="49" t="s">
        <v>5627</v>
      </c>
      <c r="L161" s="49"/>
      <c r="M161" s="50"/>
      <c r="N161" s="33" t="s">
        <v>5628</v>
      </c>
      <c r="O161" s="34"/>
      <c r="P161" s="34"/>
      <c r="Q161" s="24" t="str">
        <f t="shared" si="3"/>
        <v>https://docs.google.com/forms/d/e/1FAIpQLSeZ-R1GrWlAPkfaThGqxeTj0QTtrARw4rroxIIepf2kipn1nw/formResponse?usp=pp_url&amp;entry.1313582257=0104838010&amp;entry.1578404635=Hadir</v>
      </c>
      <c r="R161" s="23" t="s">
        <v>5736</v>
      </c>
      <c r="S161" s="39"/>
      <c r="T161" s="39"/>
      <c r="U161" s="39"/>
      <c r="V161" s="39"/>
    </row>
    <row r="162" ht="22.5" customHeight="1">
      <c r="A162" s="10">
        <v>184.0</v>
      </c>
      <c r="B162" s="36">
        <v>38.0</v>
      </c>
      <c r="C162" s="36" t="s">
        <v>5737</v>
      </c>
      <c r="D162" s="47">
        <v>2.52610483E8</v>
      </c>
      <c r="E162" s="36" t="s">
        <v>5738</v>
      </c>
      <c r="F162" s="36" t="s">
        <v>227</v>
      </c>
      <c r="G162" s="12">
        <v>33.0</v>
      </c>
      <c r="H162" s="48" t="str">
        <f t="shared" si="1"/>
        <v>X-4</v>
      </c>
      <c r="I162" s="19" t="str">
        <f t="shared" si="2"/>
        <v>33 - GC2 X-4</v>
      </c>
      <c r="J162" s="20" t="str">
        <f>VLOOKUP(I162,'Database Grup SCC'!$B$2:$C1382,2,false)</f>
        <v>Faliqa (XI)</v>
      </c>
      <c r="K162" s="49" t="s">
        <v>5627</v>
      </c>
      <c r="L162" s="49"/>
      <c r="M162" s="50"/>
      <c r="N162" s="33" t="s">
        <v>5693</v>
      </c>
      <c r="O162" s="34"/>
      <c r="P162" s="34"/>
      <c r="Q162" s="24" t="str">
        <f t="shared" si="3"/>
        <v>https://docs.google.com/forms/d/e/1FAIpQLSeZ-R1GrWlAPkfaThGqxeTj0QTtrARw4rroxIIepf2kipn1nw/formResponse?usp=pp_url&amp;entry.1313582257=0108451246&amp;entry.1578404635=Hadir</v>
      </c>
      <c r="R162" s="23" t="s">
        <v>5739</v>
      </c>
      <c r="S162" s="39"/>
      <c r="T162" s="39"/>
      <c r="U162" s="39"/>
      <c r="V162" s="39"/>
    </row>
    <row r="163" ht="22.5" customHeight="1">
      <c r="A163" s="18">
        <v>185.0</v>
      </c>
      <c r="B163" s="36">
        <v>39.0</v>
      </c>
      <c r="C163" s="36" t="s">
        <v>5740</v>
      </c>
      <c r="D163" s="47">
        <v>2.52610492E8</v>
      </c>
      <c r="E163" s="36" t="s">
        <v>5741</v>
      </c>
      <c r="F163" s="36" t="s">
        <v>220</v>
      </c>
      <c r="G163" s="12">
        <v>33.0</v>
      </c>
      <c r="H163" s="48" t="str">
        <f t="shared" si="1"/>
        <v>X-4</v>
      </c>
      <c r="I163" s="19" t="str">
        <f t="shared" si="2"/>
        <v>33 - BC X-4</v>
      </c>
      <c r="J163" s="20" t="str">
        <f>VLOOKUP(I163,'Database Grup SCC'!$B$2:$C1382,2,false)</f>
        <v>Arumbinang</v>
      </c>
      <c r="K163" s="49" t="s">
        <v>5627</v>
      </c>
      <c r="L163" s="49"/>
      <c r="M163" s="50"/>
      <c r="N163" s="33" t="s">
        <v>5628</v>
      </c>
      <c r="O163" s="34"/>
      <c r="P163" s="34"/>
      <c r="Q163" s="24" t="str">
        <f t="shared" si="3"/>
        <v>https://docs.google.com/forms/d/e/1FAIpQLSeZ-R1GrWlAPkfaThGqxeTj0QTtrARw4rroxIIepf2kipn1nw/formResponse?usp=pp_url&amp;entry.1313582257=3104089400&amp;entry.1578404635=Hadir</v>
      </c>
      <c r="R163" s="23" t="s">
        <v>5742</v>
      </c>
      <c r="S163" s="39"/>
      <c r="T163" s="39"/>
      <c r="U163" s="39"/>
      <c r="V163" s="39"/>
    </row>
    <row r="164" ht="22.5" customHeight="1">
      <c r="A164" s="10">
        <v>186.0</v>
      </c>
      <c r="B164" s="36">
        <v>40.0</v>
      </c>
      <c r="C164" s="36" t="s">
        <v>5743</v>
      </c>
      <c r="D164" s="47">
        <v>2.52610512E8</v>
      </c>
      <c r="E164" s="36" t="s">
        <v>5744</v>
      </c>
      <c r="F164" s="36" t="s">
        <v>227</v>
      </c>
      <c r="G164" s="12">
        <v>33.0</v>
      </c>
      <c r="H164" s="48" t="str">
        <f t="shared" si="1"/>
        <v>X-4</v>
      </c>
      <c r="I164" s="19" t="str">
        <f t="shared" si="2"/>
        <v>33 - GC2 X-4</v>
      </c>
      <c r="J164" s="20" t="str">
        <f>VLOOKUP(I164,'Database Grup SCC'!$B$2:$C1382,2,false)</f>
        <v>Faliqa (XI)</v>
      </c>
      <c r="K164" s="49" t="s">
        <v>5627</v>
      </c>
      <c r="L164" s="49"/>
      <c r="M164" s="50"/>
      <c r="N164" s="33" t="s">
        <v>5693</v>
      </c>
      <c r="O164" s="34"/>
      <c r="P164" s="34"/>
      <c r="Q164" s="24" t="str">
        <f t="shared" si="3"/>
        <v>https://docs.google.com/forms/d/e/1FAIpQLSeZ-R1GrWlAPkfaThGqxeTj0QTtrARw4rroxIIepf2kipn1nw/formResponse?usp=pp_url&amp;entry.1313582257=0107731505&amp;entry.1578404635=Hadir</v>
      </c>
      <c r="R164" s="23" t="s">
        <v>5745</v>
      </c>
      <c r="S164" s="39"/>
      <c r="T164" s="39"/>
      <c r="U164" s="39"/>
      <c r="V164" s="39"/>
    </row>
    <row r="165" ht="22.5" customHeight="1">
      <c r="A165" s="18">
        <v>187.0</v>
      </c>
      <c r="B165" s="36">
        <v>41.0</v>
      </c>
      <c r="C165" s="36" t="s">
        <v>5746</v>
      </c>
      <c r="D165" s="47">
        <v>2.52610514E8</v>
      </c>
      <c r="E165" s="36" t="s">
        <v>5747</v>
      </c>
      <c r="F165" s="36" t="s">
        <v>227</v>
      </c>
      <c r="G165" s="12">
        <v>33.0</v>
      </c>
      <c r="H165" s="48" t="str">
        <f t="shared" si="1"/>
        <v>X-4</v>
      </c>
      <c r="I165" s="19" t="str">
        <f t="shared" si="2"/>
        <v>33 - XSUMEN1 GC</v>
      </c>
      <c r="J165" s="20" t="str">
        <f>VLOOKUP(I165,'Database Grup SCC'!$B$2:$C1382,2,false)</f>
        <v>Ayun</v>
      </c>
      <c r="K165" s="49" t="s">
        <v>5627</v>
      </c>
      <c r="L165" s="49"/>
      <c r="M165" s="50"/>
      <c r="N165" s="33" t="s">
        <v>5277</v>
      </c>
      <c r="O165" s="34"/>
      <c r="P165" s="34"/>
      <c r="Q165" s="24" t="str">
        <f t="shared" si="3"/>
        <v>https://docs.google.com/forms/d/e/1FAIpQLSeZ-R1GrWlAPkfaThGqxeTj0QTtrARw4rroxIIepf2kipn1nw/formResponse?usp=pp_url&amp;entry.1313582257=0105775007&amp;entry.1578404635=Hadir</v>
      </c>
      <c r="R165" s="23" t="s">
        <v>5748</v>
      </c>
      <c r="S165" s="39"/>
      <c r="T165" s="39"/>
      <c r="U165" s="39"/>
      <c r="V165" s="39"/>
    </row>
    <row r="166" ht="22.5" customHeight="1">
      <c r="A166" s="10">
        <v>188.0</v>
      </c>
      <c r="B166" s="36">
        <v>42.0</v>
      </c>
      <c r="C166" s="36" t="s">
        <v>5749</v>
      </c>
      <c r="D166" s="47">
        <v>2.52610515E8</v>
      </c>
      <c r="E166" s="36" t="s">
        <v>5750</v>
      </c>
      <c r="F166" s="36" t="s">
        <v>227</v>
      </c>
      <c r="G166" s="12">
        <v>33.0</v>
      </c>
      <c r="H166" s="48" t="str">
        <f t="shared" si="1"/>
        <v>X-4</v>
      </c>
      <c r="I166" s="19" t="str">
        <f t="shared" si="2"/>
        <v>33 - GC2 X-4</v>
      </c>
      <c r="J166" s="20" t="str">
        <f>VLOOKUP(I166,'Database Grup SCC'!$B$2:$C1382,2,false)</f>
        <v>Faliqa (XI)</v>
      </c>
      <c r="K166" s="49" t="s">
        <v>5627</v>
      </c>
      <c r="L166" s="49"/>
      <c r="M166" s="50"/>
      <c r="N166" s="33" t="s">
        <v>5693</v>
      </c>
      <c r="O166" s="34"/>
      <c r="P166" s="34"/>
      <c r="Q166" s="24" t="str">
        <f t="shared" si="3"/>
        <v>https://docs.google.com/forms/d/e/1FAIpQLSeZ-R1GrWlAPkfaThGqxeTj0QTtrARw4rroxIIepf2kipn1nw/formResponse?usp=pp_url&amp;entry.1313582257=0106588309&amp;entry.1578404635=Hadir</v>
      </c>
      <c r="R166" s="23" t="s">
        <v>5751</v>
      </c>
      <c r="S166" s="39"/>
      <c r="T166" s="39"/>
      <c r="U166" s="39"/>
      <c r="V166" s="39"/>
    </row>
    <row r="167" ht="22.5" customHeight="1">
      <c r="A167" s="18">
        <v>189.0</v>
      </c>
      <c r="B167" s="36">
        <v>43.0</v>
      </c>
      <c r="C167" s="36" t="s">
        <v>5752</v>
      </c>
      <c r="D167" s="47">
        <v>2.52610519E8</v>
      </c>
      <c r="E167" s="36" t="s">
        <v>5753</v>
      </c>
      <c r="F167" s="36" t="s">
        <v>227</v>
      </c>
      <c r="G167" s="12">
        <v>33.0</v>
      </c>
      <c r="H167" s="48" t="str">
        <f t="shared" si="1"/>
        <v>X-4</v>
      </c>
      <c r="I167" s="19" t="str">
        <f t="shared" si="2"/>
        <v>33 - GC2 X-4</v>
      </c>
      <c r="J167" s="20" t="str">
        <f>VLOOKUP(I167,'Database Grup SCC'!$B$2:$C1382,2,false)</f>
        <v>Faliqa (XI)</v>
      </c>
      <c r="K167" s="49" t="s">
        <v>5627</v>
      </c>
      <c r="L167" s="49"/>
      <c r="M167" s="50"/>
      <c r="N167" s="33" t="s">
        <v>5693</v>
      </c>
      <c r="O167" s="34"/>
      <c r="P167" s="34"/>
      <c r="Q167" s="24" t="str">
        <f t="shared" si="3"/>
        <v>https://docs.google.com/forms/d/e/1FAIpQLSeZ-R1GrWlAPkfaThGqxeTj0QTtrARw4rroxIIepf2kipn1nw/formResponse?usp=pp_url&amp;entry.1313582257=0106219079&amp;entry.1578404635=Hadir</v>
      </c>
      <c r="R167" s="23" t="s">
        <v>5754</v>
      </c>
      <c r="S167" s="39"/>
      <c r="T167" s="39"/>
      <c r="U167" s="39"/>
      <c r="V167" s="39"/>
    </row>
    <row r="168" ht="22.5" customHeight="1">
      <c r="A168" s="10">
        <v>190.0</v>
      </c>
      <c r="B168" s="36">
        <v>44.0</v>
      </c>
      <c r="C168" s="36" t="s">
        <v>5755</v>
      </c>
      <c r="D168" s="47">
        <v>2.52610533E8</v>
      </c>
      <c r="E168" s="36" t="s">
        <v>5756</v>
      </c>
      <c r="F168" s="36" t="s">
        <v>227</v>
      </c>
      <c r="G168" s="12">
        <v>33.0</v>
      </c>
      <c r="H168" s="48" t="str">
        <f t="shared" si="1"/>
        <v>X-4</v>
      </c>
      <c r="I168" s="19" t="str">
        <f t="shared" si="2"/>
        <v>33 - GC2 X-4</v>
      </c>
      <c r="J168" s="20" t="str">
        <f>VLOOKUP(I168,'Database Grup SCC'!$B$2:$C1382,2,false)</f>
        <v>Faliqa (XI)</v>
      </c>
      <c r="K168" s="49" t="s">
        <v>5627</v>
      </c>
      <c r="L168" s="49"/>
      <c r="M168" s="50"/>
      <c r="N168" s="33" t="s">
        <v>5693</v>
      </c>
      <c r="O168" s="34"/>
      <c r="P168" s="34"/>
      <c r="Q168" s="24" t="str">
        <f t="shared" si="3"/>
        <v>https://docs.google.com/forms/d/e/1FAIpQLSeZ-R1GrWlAPkfaThGqxeTj0QTtrARw4rroxIIepf2kipn1nw/formResponse?usp=pp_url&amp;entry.1313582257=0094714082&amp;entry.1578404635=Hadir</v>
      </c>
      <c r="R168" s="23" t="s">
        <v>5757</v>
      </c>
      <c r="S168" s="39"/>
      <c r="T168" s="39"/>
      <c r="U168" s="39"/>
      <c r="V168" s="39"/>
    </row>
    <row r="169" ht="22.5" customHeight="1">
      <c r="A169" s="18">
        <v>191.0</v>
      </c>
      <c r="B169" s="36">
        <v>45.0</v>
      </c>
      <c r="C169" s="36" t="s">
        <v>5758</v>
      </c>
      <c r="D169" s="47">
        <v>2.52610534E8</v>
      </c>
      <c r="E169" s="36" t="s">
        <v>5759</v>
      </c>
      <c r="F169" s="36" t="s">
        <v>227</v>
      </c>
      <c r="G169" s="12">
        <v>33.0</v>
      </c>
      <c r="H169" s="48" t="str">
        <f t="shared" si="1"/>
        <v>X-4</v>
      </c>
      <c r="I169" s="19" t="str">
        <f t="shared" si="2"/>
        <v>33 - GC2 X-4</v>
      </c>
      <c r="J169" s="20" t="str">
        <f>VLOOKUP(I169,'Database Grup SCC'!$B$2:$C1382,2,false)</f>
        <v>Faliqa (XI)</v>
      </c>
      <c r="K169" s="49" t="s">
        <v>5627</v>
      </c>
      <c r="L169" s="49"/>
      <c r="M169" s="50"/>
      <c r="N169" s="33" t="s">
        <v>5693</v>
      </c>
      <c r="O169" s="34"/>
      <c r="P169" s="34"/>
      <c r="Q169" s="24" t="str">
        <f t="shared" si="3"/>
        <v>https://docs.google.com/forms/d/e/1FAIpQLSeZ-R1GrWlAPkfaThGqxeTj0QTtrARw4rroxIIepf2kipn1nw/formResponse?usp=pp_url&amp;entry.1313582257=0102630183&amp;entry.1578404635=Hadir</v>
      </c>
      <c r="R169" s="23" t="s">
        <v>5760</v>
      </c>
      <c r="S169" s="39"/>
      <c r="T169" s="39"/>
      <c r="U169" s="39"/>
      <c r="V169" s="39"/>
    </row>
    <row r="170" ht="22.5" customHeight="1">
      <c r="A170" s="10">
        <v>192.0</v>
      </c>
      <c r="B170" s="36">
        <v>46.0</v>
      </c>
      <c r="C170" s="36" t="s">
        <v>5761</v>
      </c>
      <c r="D170" s="47">
        <v>2.52610544E8</v>
      </c>
      <c r="E170" s="36" t="s">
        <v>5762</v>
      </c>
      <c r="F170" s="36" t="s">
        <v>227</v>
      </c>
      <c r="G170" s="12">
        <v>33.0</v>
      </c>
      <c r="H170" s="48" t="str">
        <f t="shared" si="1"/>
        <v>X-4</v>
      </c>
      <c r="I170" s="19" t="str">
        <f t="shared" si="2"/>
        <v>33 - GC2 X-4</v>
      </c>
      <c r="J170" s="20" t="str">
        <f>VLOOKUP(I170,'Database Grup SCC'!$B$2:$C1382,2,false)</f>
        <v>Faliqa (XI)</v>
      </c>
      <c r="K170" s="49" t="s">
        <v>5627</v>
      </c>
      <c r="L170" s="49"/>
      <c r="M170" s="50"/>
      <c r="N170" s="33" t="s">
        <v>5693</v>
      </c>
      <c r="O170" s="34"/>
      <c r="P170" s="34"/>
      <c r="Q170" s="24" t="str">
        <f t="shared" si="3"/>
        <v>https://docs.google.com/forms/d/e/1FAIpQLSeZ-R1GrWlAPkfaThGqxeTj0QTtrARw4rroxIIepf2kipn1nw/formResponse?usp=pp_url&amp;entry.1313582257=0106490661&amp;entry.1578404635=Hadir</v>
      </c>
      <c r="R170" s="23" t="s">
        <v>5763</v>
      </c>
      <c r="S170" s="39"/>
      <c r="T170" s="39"/>
      <c r="U170" s="39"/>
      <c r="V170" s="39"/>
    </row>
    <row r="171" ht="22.5" customHeight="1">
      <c r="A171" s="18">
        <v>201.0</v>
      </c>
      <c r="B171" s="36">
        <v>1.0</v>
      </c>
      <c r="C171" s="36" t="s">
        <v>5764</v>
      </c>
      <c r="D171" s="47">
        <v>2.52610004E8</v>
      </c>
      <c r="E171" s="36" t="s">
        <v>5765</v>
      </c>
      <c r="F171" s="36" t="s">
        <v>220</v>
      </c>
      <c r="G171" s="12">
        <v>33.0</v>
      </c>
      <c r="H171" s="48" t="str">
        <f t="shared" si="1"/>
        <v>X-5</v>
      </c>
      <c r="I171" s="19" t="str">
        <f t="shared" si="2"/>
        <v>33 - XSUMEN BC</v>
      </c>
      <c r="J171" s="20" t="str">
        <f>VLOOKUP(I171,'Database Grup SCC'!$B$2:$C1382,2,false)</f>
        <v>Rekhsa</v>
      </c>
      <c r="K171" s="49" t="s">
        <v>5766</v>
      </c>
      <c r="L171" s="49"/>
      <c r="M171" s="50"/>
      <c r="N171" s="33" t="s">
        <v>371</v>
      </c>
      <c r="O171" s="34"/>
      <c r="P171" s="34"/>
      <c r="Q171" s="24" t="str">
        <f t="shared" si="3"/>
        <v>https://docs.google.com/forms/d/e/1FAIpQLSeZ-R1GrWlAPkfaThGqxeTj0QTtrARw4rroxIIepf2kipn1nw/formResponse?usp=pp_url&amp;entry.1313582257=0092194625&amp;entry.1578404635=Hadir</v>
      </c>
      <c r="R171" s="23" t="s">
        <v>5767</v>
      </c>
      <c r="S171" s="39"/>
      <c r="T171" s="39"/>
      <c r="U171" s="39"/>
      <c r="V171" s="39"/>
    </row>
    <row r="172" ht="22.5" customHeight="1">
      <c r="A172" s="10">
        <v>202.0</v>
      </c>
      <c r="B172" s="36">
        <v>2.0</v>
      </c>
      <c r="C172" s="36" t="s">
        <v>5768</v>
      </c>
      <c r="D172" s="47">
        <v>2.52610013E8</v>
      </c>
      <c r="E172" s="36" t="s">
        <v>5769</v>
      </c>
      <c r="F172" s="36" t="s">
        <v>220</v>
      </c>
      <c r="G172" s="12">
        <v>33.0</v>
      </c>
      <c r="H172" s="48" t="str">
        <f t="shared" si="1"/>
        <v>X-5</v>
      </c>
      <c r="I172" s="19" t="str">
        <f t="shared" si="2"/>
        <v>33 - BC X-5</v>
      </c>
      <c r="J172" s="20" t="str">
        <f>VLOOKUP(I172,'Database Grup SCC'!$B$2:$C1382,2,false)</f>
        <v>Topik &amp; Adrian</v>
      </c>
      <c r="K172" s="49" t="s">
        <v>5766</v>
      </c>
      <c r="L172" s="49"/>
      <c r="M172" s="50"/>
      <c r="N172" s="33" t="s">
        <v>5770</v>
      </c>
      <c r="O172" s="34"/>
      <c r="P172" s="34"/>
      <c r="Q172" s="24" t="str">
        <f t="shared" si="3"/>
        <v>https://docs.google.com/forms/d/e/1FAIpQLSeZ-R1GrWlAPkfaThGqxeTj0QTtrARw4rroxIIepf2kipn1nw/formResponse?usp=pp_url&amp;entry.1313582257=3108509756&amp;entry.1578404635=Hadir</v>
      </c>
      <c r="R172" s="23" t="s">
        <v>5771</v>
      </c>
      <c r="S172" s="39"/>
      <c r="T172" s="39"/>
      <c r="U172" s="39"/>
      <c r="V172" s="39"/>
    </row>
    <row r="173" ht="22.5" customHeight="1">
      <c r="A173" s="18">
        <v>203.0</v>
      </c>
      <c r="B173" s="36">
        <v>3.0</v>
      </c>
      <c r="C173" s="36" t="s">
        <v>5772</v>
      </c>
      <c r="D173" s="47">
        <v>2.52610022E8</v>
      </c>
      <c r="E173" s="36" t="s">
        <v>5773</v>
      </c>
      <c r="F173" s="36" t="s">
        <v>227</v>
      </c>
      <c r="G173" s="12">
        <v>33.0</v>
      </c>
      <c r="H173" s="48" t="str">
        <f t="shared" si="1"/>
        <v>X-5</v>
      </c>
      <c r="I173" s="19" t="str">
        <f t="shared" si="2"/>
        <v>33 - XSUMEN1 GC</v>
      </c>
      <c r="J173" s="20" t="str">
        <f>VLOOKUP(I173,'Database Grup SCC'!$B$2:$C1382,2,false)</f>
        <v>Ayun</v>
      </c>
      <c r="K173" s="49" t="s">
        <v>5766</v>
      </c>
      <c r="L173" s="49"/>
      <c r="M173" s="50"/>
      <c r="N173" s="33" t="s">
        <v>5277</v>
      </c>
      <c r="O173" s="34"/>
      <c r="P173" s="34"/>
      <c r="Q173" s="24" t="str">
        <f t="shared" si="3"/>
        <v>https://docs.google.com/forms/d/e/1FAIpQLSeZ-R1GrWlAPkfaThGqxeTj0QTtrARw4rroxIIepf2kipn1nw/formResponse?usp=pp_url&amp;entry.1313582257=0099540724&amp;entry.1578404635=Hadir</v>
      </c>
      <c r="R173" s="23" t="s">
        <v>5774</v>
      </c>
      <c r="S173" s="39"/>
      <c r="T173" s="39"/>
      <c r="U173" s="39"/>
      <c r="V173" s="39"/>
    </row>
    <row r="174" ht="22.5" customHeight="1">
      <c r="A174" s="10">
        <v>204.0</v>
      </c>
      <c r="B174" s="36">
        <v>4.0</v>
      </c>
      <c r="C174" s="36" t="s">
        <v>5775</v>
      </c>
      <c r="D174" s="47">
        <v>2.52610024E8</v>
      </c>
      <c r="E174" s="36" t="s">
        <v>5776</v>
      </c>
      <c r="F174" s="36" t="s">
        <v>227</v>
      </c>
      <c r="G174" s="12">
        <v>33.0</v>
      </c>
      <c r="H174" s="48" t="str">
        <f t="shared" si="1"/>
        <v>X-5</v>
      </c>
      <c r="I174" s="19" t="str">
        <f t="shared" si="2"/>
        <v>33 - GC1 X-5</v>
      </c>
      <c r="J174" s="20" t="str">
        <f>VLOOKUP(I174,'Database Grup SCC'!$B$2:$C1382,2,false)</f>
        <v>Hana</v>
      </c>
      <c r="K174" s="49" t="s">
        <v>5766</v>
      </c>
      <c r="L174" s="49"/>
      <c r="M174" s="50"/>
      <c r="N174" s="33" t="s">
        <v>5777</v>
      </c>
      <c r="O174" s="34"/>
      <c r="P174" s="34"/>
      <c r="Q174" s="24" t="str">
        <f t="shared" si="3"/>
        <v>https://docs.google.com/forms/d/e/1FAIpQLSeZ-R1GrWlAPkfaThGqxeTj0QTtrARw4rroxIIepf2kipn1nw/formResponse?usp=pp_url&amp;entry.1313582257=0107934430&amp;entry.1578404635=Hadir</v>
      </c>
      <c r="R174" s="23" t="s">
        <v>5778</v>
      </c>
      <c r="S174" s="39"/>
      <c r="T174" s="39"/>
      <c r="U174" s="39"/>
      <c r="V174" s="39"/>
    </row>
    <row r="175" ht="22.5" customHeight="1">
      <c r="A175" s="18">
        <v>205.0</v>
      </c>
      <c r="B175" s="36">
        <v>5.0</v>
      </c>
      <c r="C175" s="36" t="s">
        <v>5779</v>
      </c>
      <c r="D175" s="47">
        <v>2.52610034E8</v>
      </c>
      <c r="E175" s="36" t="s">
        <v>5780</v>
      </c>
      <c r="F175" s="36" t="s">
        <v>220</v>
      </c>
      <c r="G175" s="12">
        <v>33.0</v>
      </c>
      <c r="H175" s="48" t="str">
        <f t="shared" si="1"/>
        <v>X-5</v>
      </c>
      <c r="I175" s="19" t="str">
        <f t="shared" si="2"/>
        <v>33 - BC X-5</v>
      </c>
      <c r="J175" s="20" t="str">
        <f>VLOOKUP(I175,'Database Grup SCC'!$B$2:$C1382,2,false)</f>
        <v>Topik &amp; Adrian</v>
      </c>
      <c r="K175" s="49" t="s">
        <v>5766</v>
      </c>
      <c r="L175" s="49"/>
      <c r="M175" s="50"/>
      <c r="N175" s="33" t="s">
        <v>5770</v>
      </c>
      <c r="O175" s="34"/>
      <c r="P175" s="34"/>
      <c r="Q175" s="24" t="str">
        <f t="shared" si="3"/>
        <v>https://docs.google.com/forms/d/e/1FAIpQLSeZ-R1GrWlAPkfaThGqxeTj0QTtrARw4rroxIIepf2kipn1nw/formResponse?usp=pp_url&amp;entry.1313582257=0099668827&amp;entry.1578404635=Hadir</v>
      </c>
      <c r="R175" s="23" t="s">
        <v>5781</v>
      </c>
      <c r="S175" s="39"/>
      <c r="T175" s="39"/>
      <c r="U175" s="39"/>
      <c r="V175" s="39"/>
    </row>
    <row r="176" ht="22.5" customHeight="1">
      <c r="A176" s="10">
        <v>206.0</v>
      </c>
      <c r="B176" s="36">
        <v>6.0</v>
      </c>
      <c r="C176" s="36" t="s">
        <v>5782</v>
      </c>
      <c r="D176" s="47">
        <v>2.52610043E8</v>
      </c>
      <c r="E176" s="36" t="s">
        <v>5783</v>
      </c>
      <c r="F176" s="36" t="s">
        <v>227</v>
      </c>
      <c r="G176" s="12">
        <v>33.0</v>
      </c>
      <c r="H176" s="48" t="str">
        <f t="shared" si="1"/>
        <v>X-5</v>
      </c>
      <c r="I176" s="19" t="str">
        <f t="shared" si="2"/>
        <v>33 - XSUMEN2 GC</v>
      </c>
      <c r="J176" s="20" t="str">
        <f>VLOOKUP(I176,'Database Grup SCC'!$B$2:$C1382,2,false)</f>
        <v>Iqlima</v>
      </c>
      <c r="K176" s="49" t="s">
        <v>5766</v>
      </c>
      <c r="L176" s="49"/>
      <c r="M176" s="50"/>
      <c r="N176" s="33" t="s">
        <v>5377</v>
      </c>
      <c r="O176" s="34"/>
      <c r="P176" s="34"/>
      <c r="Q176" s="24" t="str">
        <f t="shared" si="3"/>
        <v>https://docs.google.com/forms/d/e/1FAIpQLSeZ-R1GrWlAPkfaThGqxeTj0QTtrARw4rroxIIepf2kipn1nw/formResponse?usp=pp_url&amp;entry.1313582257=0102993208&amp;entry.1578404635=Hadir</v>
      </c>
      <c r="R176" s="23" t="s">
        <v>5784</v>
      </c>
      <c r="S176" s="39"/>
      <c r="T176" s="39"/>
      <c r="U176" s="39"/>
      <c r="V176" s="39"/>
    </row>
    <row r="177" ht="22.5" customHeight="1">
      <c r="A177" s="18">
        <v>207.0</v>
      </c>
      <c r="B177" s="36">
        <v>7.0</v>
      </c>
      <c r="C177" s="36" t="s">
        <v>5785</v>
      </c>
      <c r="D177" s="47">
        <v>2.52610055E8</v>
      </c>
      <c r="E177" s="36" t="s">
        <v>5786</v>
      </c>
      <c r="F177" s="36" t="s">
        <v>227</v>
      </c>
      <c r="G177" s="12">
        <v>33.0</v>
      </c>
      <c r="H177" s="48" t="str">
        <f t="shared" si="1"/>
        <v>X-5</v>
      </c>
      <c r="I177" s="19" t="str">
        <f t="shared" si="2"/>
        <v>33 - GC1 X-5</v>
      </c>
      <c r="J177" s="20" t="str">
        <f>VLOOKUP(I177,'Database Grup SCC'!$B$2:$C1382,2,false)</f>
        <v>Hana</v>
      </c>
      <c r="K177" s="49" t="s">
        <v>5766</v>
      </c>
      <c r="L177" s="49"/>
      <c r="M177" s="50"/>
      <c r="N177" s="33" t="s">
        <v>5777</v>
      </c>
      <c r="O177" s="34"/>
      <c r="P177" s="34"/>
      <c r="Q177" s="24" t="str">
        <f t="shared" si="3"/>
        <v>https://docs.google.com/forms/d/e/1FAIpQLSeZ-R1GrWlAPkfaThGqxeTj0QTtrARw4rroxIIepf2kipn1nw/formResponse?usp=pp_url&amp;entry.1313582257=0104459637&amp;entry.1578404635=Hadir</v>
      </c>
      <c r="R177" s="23" t="s">
        <v>5787</v>
      </c>
      <c r="S177" s="39"/>
      <c r="T177" s="39"/>
      <c r="U177" s="39"/>
      <c r="V177" s="39"/>
    </row>
    <row r="178" ht="22.5" customHeight="1">
      <c r="A178" s="10">
        <v>208.0</v>
      </c>
      <c r="B178" s="36">
        <v>8.0</v>
      </c>
      <c r="C178" s="36" t="s">
        <v>5788</v>
      </c>
      <c r="D178" s="47">
        <v>2.52610057E8</v>
      </c>
      <c r="E178" s="36" t="s">
        <v>5789</v>
      </c>
      <c r="F178" s="36" t="s">
        <v>227</v>
      </c>
      <c r="G178" s="12">
        <v>33.0</v>
      </c>
      <c r="H178" s="48" t="str">
        <f t="shared" si="1"/>
        <v>X-5</v>
      </c>
      <c r="I178" s="19" t="str">
        <f t="shared" si="2"/>
        <v>33 - GC1 X-5</v>
      </c>
      <c r="J178" s="20" t="str">
        <f>VLOOKUP(I178,'Database Grup SCC'!$B$2:$C1382,2,false)</f>
        <v>Hana</v>
      </c>
      <c r="K178" s="49" t="s">
        <v>5766</v>
      </c>
      <c r="L178" s="49"/>
      <c r="M178" s="50"/>
      <c r="N178" s="33" t="s">
        <v>5777</v>
      </c>
      <c r="O178" s="34"/>
      <c r="P178" s="34"/>
      <c r="Q178" s="24" t="str">
        <f t="shared" si="3"/>
        <v>https://docs.google.com/forms/d/e/1FAIpQLSeZ-R1GrWlAPkfaThGqxeTj0QTtrARw4rroxIIepf2kipn1nw/formResponse?usp=pp_url&amp;entry.1313582257=0104825356&amp;entry.1578404635=Hadir</v>
      </c>
      <c r="R178" s="23" t="s">
        <v>5790</v>
      </c>
      <c r="S178" s="39"/>
      <c r="T178" s="39"/>
      <c r="U178" s="39"/>
      <c r="V178" s="39"/>
    </row>
    <row r="179" ht="22.5" customHeight="1">
      <c r="A179" s="18">
        <v>209.0</v>
      </c>
      <c r="B179" s="36">
        <v>9.0</v>
      </c>
      <c r="C179" s="36" t="s">
        <v>48</v>
      </c>
      <c r="D179" s="47">
        <v>2.5261006E8</v>
      </c>
      <c r="E179" s="36" t="s">
        <v>5791</v>
      </c>
      <c r="F179" s="36" t="s">
        <v>220</v>
      </c>
      <c r="G179" s="12">
        <v>33.0</v>
      </c>
      <c r="H179" s="48" t="str">
        <f t="shared" si="1"/>
        <v>X-5</v>
      </c>
      <c r="I179" s="19" t="str">
        <f t="shared" si="2"/>
        <v>33 - BC X-5</v>
      </c>
      <c r="J179" s="20" t="str">
        <f>VLOOKUP(I179,'Database Grup SCC'!$B$2:$C1382,2,false)</f>
        <v>Topik &amp; Adrian</v>
      </c>
      <c r="K179" s="49" t="s">
        <v>5766</v>
      </c>
      <c r="L179" s="49"/>
      <c r="M179" s="50"/>
      <c r="N179" s="33" t="s">
        <v>5770</v>
      </c>
      <c r="O179" s="34"/>
      <c r="P179" s="34"/>
      <c r="Q179" s="24" t="str">
        <f t="shared" si="3"/>
        <v>https://docs.google.com/forms/d/e/1FAIpQLSeZ-R1GrWlAPkfaThGqxeTj0QTtrARw4rroxIIepf2kipn1nw/formResponse?usp=pp_url&amp;entry.1313582257=0099339799&amp;entry.1578404635=Hadir</v>
      </c>
      <c r="R179" s="23" t="s">
        <v>5792</v>
      </c>
      <c r="S179" s="39"/>
      <c r="T179" s="39"/>
      <c r="U179" s="39"/>
      <c r="V179" s="39"/>
    </row>
    <row r="180" ht="22.5" customHeight="1">
      <c r="A180" s="10">
        <v>210.0</v>
      </c>
      <c r="B180" s="36">
        <v>10.0</v>
      </c>
      <c r="C180" s="36" t="s">
        <v>5793</v>
      </c>
      <c r="D180" s="47">
        <v>2.52610067E8</v>
      </c>
      <c r="E180" s="36" t="s">
        <v>5794</v>
      </c>
      <c r="F180" s="36" t="s">
        <v>227</v>
      </c>
      <c r="G180" s="12">
        <v>33.0</v>
      </c>
      <c r="H180" s="48" t="str">
        <f t="shared" si="1"/>
        <v>X-5</v>
      </c>
      <c r="I180" s="19" t="str">
        <f t="shared" si="2"/>
        <v>33 - GC1 X-5</v>
      </c>
      <c r="J180" s="20" t="str">
        <f>VLOOKUP(I180,'Database Grup SCC'!$B$2:$C1382,2,false)</f>
        <v>Hana</v>
      </c>
      <c r="K180" s="49" t="s">
        <v>5766</v>
      </c>
      <c r="L180" s="49"/>
      <c r="M180" s="50"/>
      <c r="N180" s="33" t="s">
        <v>5777</v>
      </c>
      <c r="O180" s="34"/>
      <c r="P180" s="34"/>
      <c r="Q180" s="24" t="str">
        <f t="shared" si="3"/>
        <v>https://docs.google.com/forms/d/e/1FAIpQLSeZ-R1GrWlAPkfaThGqxeTj0QTtrARw4rroxIIepf2kipn1nw/formResponse?usp=pp_url&amp;entry.1313582257=0098197227&amp;entry.1578404635=Hadir</v>
      </c>
      <c r="R180" s="23" t="s">
        <v>5795</v>
      </c>
      <c r="S180" s="39"/>
      <c r="T180" s="39"/>
      <c r="U180" s="39"/>
      <c r="V180" s="39"/>
    </row>
    <row r="181" ht="22.5" customHeight="1">
      <c r="A181" s="18">
        <v>211.0</v>
      </c>
      <c r="B181" s="36">
        <v>11.0</v>
      </c>
      <c r="C181" s="36" t="s">
        <v>5796</v>
      </c>
      <c r="D181" s="47">
        <v>2.52610115E8</v>
      </c>
      <c r="E181" s="36" t="s">
        <v>5797</v>
      </c>
      <c r="F181" s="36" t="s">
        <v>220</v>
      </c>
      <c r="G181" s="12">
        <v>33.0</v>
      </c>
      <c r="H181" s="48" t="str">
        <f t="shared" si="1"/>
        <v>X-5</v>
      </c>
      <c r="I181" s="19" t="str">
        <f t="shared" si="2"/>
        <v>33 - BC X-5</v>
      </c>
      <c r="J181" s="20" t="str">
        <f>VLOOKUP(I181,'Database Grup SCC'!$B$2:$C1382,2,false)</f>
        <v>Topik &amp; Adrian</v>
      </c>
      <c r="K181" s="49" t="s">
        <v>5766</v>
      </c>
      <c r="L181" s="49"/>
      <c r="M181" s="50"/>
      <c r="N181" s="33" t="s">
        <v>5770</v>
      </c>
      <c r="O181" s="34"/>
      <c r="P181" s="34"/>
      <c r="Q181" s="24" t="str">
        <f t="shared" si="3"/>
        <v>https://docs.google.com/forms/d/e/1FAIpQLSeZ-R1GrWlAPkfaThGqxeTj0QTtrARw4rroxIIepf2kipn1nw/formResponse?usp=pp_url&amp;entry.1313582257=0093274791&amp;entry.1578404635=Hadir</v>
      </c>
      <c r="R181" s="23" t="s">
        <v>5798</v>
      </c>
      <c r="S181" s="39"/>
      <c r="T181" s="39"/>
      <c r="U181" s="39"/>
      <c r="V181" s="39"/>
    </row>
    <row r="182" ht="22.5" customHeight="1">
      <c r="A182" s="10">
        <v>212.0</v>
      </c>
      <c r="B182" s="36">
        <v>12.0</v>
      </c>
      <c r="C182" s="36" t="s">
        <v>5799</v>
      </c>
      <c r="D182" s="47">
        <v>2.52610123E8</v>
      </c>
      <c r="E182" s="36" t="s">
        <v>5800</v>
      </c>
      <c r="F182" s="36" t="s">
        <v>227</v>
      </c>
      <c r="G182" s="12">
        <v>33.0</v>
      </c>
      <c r="H182" s="48" t="str">
        <f t="shared" si="1"/>
        <v>X-5</v>
      </c>
      <c r="I182" s="19" t="str">
        <f t="shared" si="2"/>
        <v>33 - GC1 X-5</v>
      </c>
      <c r="J182" s="20" t="str">
        <f>VLOOKUP(I182,'Database Grup SCC'!$B$2:$C1382,2,false)</f>
        <v>Hana</v>
      </c>
      <c r="K182" s="49" t="s">
        <v>5766</v>
      </c>
      <c r="L182" s="49"/>
      <c r="M182" s="50"/>
      <c r="N182" s="33" t="s">
        <v>5777</v>
      </c>
      <c r="O182" s="34"/>
      <c r="P182" s="34"/>
      <c r="Q182" s="24" t="str">
        <f t="shared" si="3"/>
        <v>https://docs.google.com/forms/d/e/1FAIpQLSeZ-R1GrWlAPkfaThGqxeTj0QTtrARw4rroxIIepf2kipn1nw/formResponse?usp=pp_url&amp;entry.1313582257=0099900563&amp;entry.1578404635=Hadir</v>
      </c>
      <c r="R182" s="23" t="s">
        <v>5801</v>
      </c>
      <c r="S182" s="39"/>
      <c r="T182" s="39"/>
      <c r="U182" s="39"/>
      <c r="V182" s="39"/>
    </row>
    <row r="183" ht="22.5" customHeight="1">
      <c r="A183" s="18">
        <v>213.0</v>
      </c>
      <c r="B183" s="36">
        <v>13.0</v>
      </c>
      <c r="C183" s="36" t="s">
        <v>5802</v>
      </c>
      <c r="D183" s="47">
        <v>2.52610163E8</v>
      </c>
      <c r="E183" s="36" t="s">
        <v>5803</v>
      </c>
      <c r="F183" s="36" t="s">
        <v>227</v>
      </c>
      <c r="G183" s="12">
        <v>33.0</v>
      </c>
      <c r="H183" s="48" t="str">
        <f t="shared" si="1"/>
        <v>X-5</v>
      </c>
      <c r="I183" s="19" t="str">
        <f t="shared" si="2"/>
        <v>33 - GC1 X-5</v>
      </c>
      <c r="J183" s="20" t="str">
        <f>VLOOKUP(I183,'Database Grup SCC'!$B$2:$C1382,2,false)</f>
        <v>Hana</v>
      </c>
      <c r="K183" s="49" t="s">
        <v>5766</v>
      </c>
      <c r="L183" s="49"/>
      <c r="M183" s="50"/>
      <c r="N183" s="33" t="s">
        <v>5777</v>
      </c>
      <c r="O183" s="34"/>
      <c r="P183" s="34"/>
      <c r="Q183" s="24" t="str">
        <f t="shared" si="3"/>
        <v>https://docs.google.com/forms/d/e/1FAIpQLSeZ-R1GrWlAPkfaThGqxeTj0QTtrARw4rroxIIepf2kipn1nw/formResponse?usp=pp_url&amp;entry.1313582257=0092597384&amp;entry.1578404635=Hadir</v>
      </c>
      <c r="R183" s="23" t="s">
        <v>5804</v>
      </c>
      <c r="S183" s="39"/>
      <c r="T183" s="39"/>
      <c r="U183" s="39"/>
      <c r="V183" s="39"/>
    </row>
    <row r="184" ht="22.5" customHeight="1">
      <c r="A184" s="10">
        <v>214.0</v>
      </c>
      <c r="B184" s="36">
        <v>14.0</v>
      </c>
      <c r="C184" s="36" t="s">
        <v>5805</v>
      </c>
      <c r="D184" s="47">
        <v>2.52610166E8</v>
      </c>
      <c r="E184" s="36" t="s">
        <v>5806</v>
      </c>
      <c r="F184" s="36" t="s">
        <v>227</v>
      </c>
      <c r="G184" s="12">
        <v>33.0</v>
      </c>
      <c r="H184" s="48" t="str">
        <f t="shared" si="1"/>
        <v>X-5</v>
      </c>
      <c r="I184" s="19" t="str">
        <f t="shared" si="2"/>
        <v>33 - GC1 X-5</v>
      </c>
      <c r="J184" s="20" t="str">
        <f>VLOOKUP(I184,'Database Grup SCC'!$B$2:$C1382,2,false)</f>
        <v>Hana</v>
      </c>
      <c r="K184" s="49" t="s">
        <v>5766</v>
      </c>
      <c r="L184" s="49"/>
      <c r="M184" s="50"/>
      <c r="N184" s="33" t="s">
        <v>5777</v>
      </c>
      <c r="O184" s="34"/>
      <c r="P184" s="34"/>
      <c r="Q184" s="24" t="str">
        <f t="shared" si="3"/>
        <v>https://docs.google.com/forms/d/e/1FAIpQLSeZ-R1GrWlAPkfaThGqxeTj0QTtrARw4rroxIIepf2kipn1nw/formResponse?usp=pp_url&amp;entry.1313582257=3105062394&amp;entry.1578404635=Hadir</v>
      </c>
      <c r="R184" s="23" t="s">
        <v>5807</v>
      </c>
      <c r="S184" s="39"/>
      <c r="T184" s="39"/>
      <c r="U184" s="39"/>
      <c r="V184" s="39"/>
    </row>
    <row r="185" ht="22.5" customHeight="1">
      <c r="A185" s="18">
        <v>215.0</v>
      </c>
      <c r="B185" s="36">
        <v>17.0</v>
      </c>
      <c r="C185" s="36" t="s">
        <v>5808</v>
      </c>
      <c r="D185" s="47">
        <v>2.52610205E8</v>
      </c>
      <c r="E185" s="36" t="s">
        <v>5809</v>
      </c>
      <c r="F185" s="36" t="s">
        <v>227</v>
      </c>
      <c r="G185" s="12">
        <v>33.0</v>
      </c>
      <c r="H185" s="48" t="str">
        <f t="shared" si="1"/>
        <v>X-5</v>
      </c>
      <c r="I185" s="19" t="str">
        <f t="shared" si="2"/>
        <v>33 - XSUMEN2 GC</v>
      </c>
      <c r="J185" s="20" t="str">
        <f>VLOOKUP(I185,'Database Grup SCC'!$B$2:$C1382,2,false)</f>
        <v>Iqlima</v>
      </c>
      <c r="K185" s="49" t="s">
        <v>5766</v>
      </c>
      <c r="L185" s="49"/>
      <c r="M185" s="50"/>
      <c r="N185" s="33" t="s">
        <v>5377</v>
      </c>
      <c r="O185" s="34"/>
      <c r="P185" s="34"/>
      <c r="Q185" s="24" t="str">
        <f t="shared" si="3"/>
        <v>https://docs.google.com/forms/d/e/1FAIpQLSeZ-R1GrWlAPkfaThGqxeTj0QTtrARw4rroxIIepf2kipn1nw/formResponse?usp=pp_url&amp;entry.1313582257=0103139137&amp;entry.1578404635=Hadir</v>
      </c>
      <c r="R185" s="23" t="s">
        <v>5810</v>
      </c>
      <c r="S185" s="39"/>
      <c r="T185" s="39"/>
      <c r="U185" s="39"/>
      <c r="V185" s="39"/>
    </row>
    <row r="186" ht="22.5" customHeight="1">
      <c r="A186" s="10">
        <v>216.0</v>
      </c>
      <c r="B186" s="36">
        <v>18.0</v>
      </c>
      <c r="C186" s="36" t="s">
        <v>5811</v>
      </c>
      <c r="D186" s="47">
        <v>2.52610229E8</v>
      </c>
      <c r="E186" s="36" t="s">
        <v>5812</v>
      </c>
      <c r="F186" s="36" t="s">
        <v>227</v>
      </c>
      <c r="G186" s="12">
        <v>33.0</v>
      </c>
      <c r="H186" s="48" t="str">
        <f t="shared" si="1"/>
        <v>X-5</v>
      </c>
      <c r="I186" s="19" t="str">
        <f t="shared" si="2"/>
        <v>33 - GC1 X-5</v>
      </c>
      <c r="J186" s="20" t="str">
        <f>VLOOKUP(I186,'Database Grup SCC'!$B$2:$C1382,2,false)</f>
        <v>Hana</v>
      </c>
      <c r="K186" s="49" t="s">
        <v>5766</v>
      </c>
      <c r="L186" s="49"/>
      <c r="M186" s="50"/>
      <c r="N186" s="33" t="s">
        <v>5777</v>
      </c>
      <c r="O186" s="34"/>
      <c r="P186" s="34"/>
      <c r="Q186" s="24" t="str">
        <f t="shared" si="3"/>
        <v>https://docs.google.com/forms/d/e/1FAIpQLSeZ-R1GrWlAPkfaThGqxeTj0QTtrARw4rroxIIepf2kipn1nw/formResponse?usp=pp_url&amp;entry.1313582257=0091763745&amp;entry.1578404635=Hadir</v>
      </c>
      <c r="R186" s="23" t="s">
        <v>5813</v>
      </c>
      <c r="S186" s="39"/>
      <c r="T186" s="39"/>
      <c r="U186" s="39"/>
      <c r="V186" s="39"/>
    </row>
    <row r="187" ht="22.5" customHeight="1">
      <c r="A187" s="18">
        <v>217.0</v>
      </c>
      <c r="B187" s="36">
        <v>19.0</v>
      </c>
      <c r="C187" s="36" t="s">
        <v>5814</v>
      </c>
      <c r="D187" s="47">
        <v>2.5261023E8</v>
      </c>
      <c r="E187" s="36" t="s">
        <v>5815</v>
      </c>
      <c r="F187" s="36" t="s">
        <v>220</v>
      </c>
      <c r="G187" s="12">
        <v>33.0</v>
      </c>
      <c r="H187" s="48" t="str">
        <f t="shared" si="1"/>
        <v>X-5</v>
      </c>
      <c r="I187" s="19" t="str">
        <f t="shared" si="2"/>
        <v>33 - BC X-5</v>
      </c>
      <c r="J187" s="20" t="str">
        <f>VLOOKUP(I187,'Database Grup SCC'!$B$2:$C1382,2,false)</f>
        <v>Topik &amp; Adrian</v>
      </c>
      <c r="K187" s="49" t="s">
        <v>5766</v>
      </c>
      <c r="L187" s="49"/>
      <c r="M187" s="50"/>
      <c r="N187" s="33" t="s">
        <v>5770</v>
      </c>
      <c r="O187" s="34"/>
      <c r="P187" s="34"/>
      <c r="Q187" s="24" t="str">
        <f t="shared" si="3"/>
        <v>https://docs.google.com/forms/d/e/1FAIpQLSeZ-R1GrWlAPkfaThGqxeTj0QTtrARw4rroxIIepf2kipn1nw/formResponse?usp=pp_url&amp;entry.1313582257=0095064549&amp;entry.1578404635=Hadir</v>
      </c>
      <c r="R187" s="23" t="s">
        <v>5816</v>
      </c>
      <c r="S187" s="39"/>
      <c r="T187" s="39"/>
      <c r="U187" s="39"/>
      <c r="V187" s="39"/>
    </row>
    <row r="188" ht="22.5" customHeight="1">
      <c r="A188" s="10">
        <v>218.0</v>
      </c>
      <c r="B188" s="36">
        <v>20.0</v>
      </c>
      <c r="C188" s="36" t="s">
        <v>5817</v>
      </c>
      <c r="D188" s="47">
        <v>2.52610245E8</v>
      </c>
      <c r="E188" s="36" t="s">
        <v>5818</v>
      </c>
      <c r="F188" s="36" t="s">
        <v>227</v>
      </c>
      <c r="G188" s="12">
        <v>33.0</v>
      </c>
      <c r="H188" s="48" t="str">
        <f t="shared" si="1"/>
        <v>X-5</v>
      </c>
      <c r="I188" s="19" t="str">
        <f t="shared" si="2"/>
        <v>33 - GC1 X-5</v>
      </c>
      <c r="J188" s="20" t="str">
        <f>VLOOKUP(I188,'Database Grup SCC'!$B$2:$C1382,2,false)</f>
        <v>Hana</v>
      </c>
      <c r="K188" s="49" t="s">
        <v>5766</v>
      </c>
      <c r="L188" s="49"/>
      <c r="M188" s="50"/>
      <c r="N188" s="33" t="s">
        <v>5777</v>
      </c>
      <c r="O188" s="34"/>
      <c r="P188" s="34"/>
      <c r="Q188" s="24" t="str">
        <f t="shared" si="3"/>
        <v>https://docs.google.com/forms/d/e/1FAIpQLSeZ-R1GrWlAPkfaThGqxeTj0QTtrARw4rroxIIepf2kipn1nw/formResponse?usp=pp_url&amp;entry.1313582257=3098845163&amp;entry.1578404635=Hadir</v>
      </c>
      <c r="R188" s="23" t="s">
        <v>5819</v>
      </c>
      <c r="S188" s="39"/>
      <c r="T188" s="39"/>
      <c r="U188" s="39"/>
      <c r="V188" s="39"/>
    </row>
    <row r="189" ht="22.5" customHeight="1">
      <c r="A189" s="18">
        <v>219.0</v>
      </c>
      <c r="B189" s="36">
        <v>21.0</v>
      </c>
      <c r="C189" s="36" t="s">
        <v>5820</v>
      </c>
      <c r="D189" s="47">
        <v>2.52610281E8</v>
      </c>
      <c r="E189" s="36" t="s">
        <v>5821</v>
      </c>
      <c r="F189" s="36" t="s">
        <v>227</v>
      </c>
      <c r="G189" s="12">
        <v>33.0</v>
      </c>
      <c r="H189" s="48" t="str">
        <f t="shared" si="1"/>
        <v>X-5</v>
      </c>
      <c r="I189" s="19" t="str">
        <f t="shared" si="2"/>
        <v>33 - GC1 X-5</v>
      </c>
      <c r="J189" s="20" t="str">
        <f>VLOOKUP(I189,'Database Grup SCC'!$B$2:$C1382,2,false)</f>
        <v>Hana</v>
      </c>
      <c r="K189" s="49" t="s">
        <v>5766</v>
      </c>
      <c r="L189" s="49"/>
      <c r="M189" s="50"/>
      <c r="N189" s="33" t="s">
        <v>5777</v>
      </c>
      <c r="O189" s="34"/>
      <c r="P189" s="34"/>
      <c r="Q189" s="24" t="str">
        <f t="shared" si="3"/>
        <v>https://docs.google.com/forms/d/e/1FAIpQLSeZ-R1GrWlAPkfaThGqxeTj0QTtrARw4rroxIIepf2kipn1nw/formResponse?usp=pp_url&amp;entry.1313582257=0104630358&amp;entry.1578404635=Hadir</v>
      </c>
      <c r="R189" s="23" t="s">
        <v>5822</v>
      </c>
      <c r="S189" s="39"/>
      <c r="T189" s="39"/>
      <c r="U189" s="39"/>
      <c r="V189" s="39"/>
    </row>
    <row r="190" ht="22.5" customHeight="1">
      <c r="A190" s="10">
        <v>220.0</v>
      </c>
      <c r="B190" s="36">
        <v>22.0</v>
      </c>
      <c r="C190" s="36" t="s">
        <v>5823</v>
      </c>
      <c r="D190" s="47">
        <v>2.52610286E8</v>
      </c>
      <c r="E190" s="36" t="s">
        <v>5824</v>
      </c>
      <c r="F190" s="36" t="s">
        <v>227</v>
      </c>
      <c r="G190" s="12">
        <v>33.0</v>
      </c>
      <c r="H190" s="48" t="str">
        <f t="shared" si="1"/>
        <v>X-5</v>
      </c>
      <c r="I190" s="19" t="str">
        <f t="shared" si="2"/>
        <v>33 - GC1 X-5</v>
      </c>
      <c r="J190" s="20" t="str">
        <f>VLOOKUP(I190,'Database Grup SCC'!$B$2:$C1382,2,false)</f>
        <v>Hana</v>
      </c>
      <c r="K190" s="49" t="s">
        <v>5766</v>
      </c>
      <c r="L190" s="49"/>
      <c r="M190" s="50"/>
      <c r="N190" s="33" t="s">
        <v>5777</v>
      </c>
      <c r="O190" s="34"/>
      <c r="P190" s="34"/>
      <c r="Q190" s="24" t="str">
        <f t="shared" si="3"/>
        <v>https://docs.google.com/forms/d/e/1FAIpQLSeZ-R1GrWlAPkfaThGqxeTj0QTtrARw4rroxIIepf2kipn1nw/formResponse?usp=pp_url&amp;entry.1313582257=0097535113&amp;entry.1578404635=Hadir</v>
      </c>
      <c r="R190" s="23" t="s">
        <v>5825</v>
      </c>
      <c r="S190" s="39"/>
      <c r="T190" s="39"/>
      <c r="U190" s="39"/>
      <c r="V190" s="39"/>
    </row>
    <row r="191" ht="22.5" customHeight="1">
      <c r="A191" s="18">
        <v>221.0</v>
      </c>
      <c r="B191" s="36">
        <v>23.0</v>
      </c>
      <c r="C191" s="36" t="s">
        <v>5826</v>
      </c>
      <c r="D191" s="47">
        <v>2.52610299E8</v>
      </c>
      <c r="E191" s="36" t="s">
        <v>5827</v>
      </c>
      <c r="F191" s="36" t="s">
        <v>227</v>
      </c>
      <c r="G191" s="12">
        <v>33.0</v>
      </c>
      <c r="H191" s="48" t="str">
        <f t="shared" si="1"/>
        <v>X-5</v>
      </c>
      <c r="I191" s="19" t="str">
        <f t="shared" si="2"/>
        <v>33 - GC1 X-5</v>
      </c>
      <c r="J191" s="20" t="str">
        <f>VLOOKUP(I191,'Database Grup SCC'!$B$2:$C1382,2,false)</f>
        <v>Hana</v>
      </c>
      <c r="K191" s="49" t="s">
        <v>5766</v>
      </c>
      <c r="L191" s="49"/>
      <c r="M191" s="50"/>
      <c r="N191" s="33" t="s">
        <v>5777</v>
      </c>
      <c r="O191" s="34"/>
      <c r="P191" s="34"/>
      <c r="Q191" s="24" t="str">
        <f t="shared" si="3"/>
        <v>https://docs.google.com/forms/d/e/1FAIpQLSeZ-R1GrWlAPkfaThGqxeTj0QTtrARw4rroxIIepf2kipn1nw/formResponse?usp=pp_url&amp;entry.1313582257=0094686372&amp;entry.1578404635=Hadir</v>
      </c>
      <c r="R191" s="23" t="s">
        <v>5828</v>
      </c>
      <c r="S191" s="39"/>
      <c r="T191" s="39"/>
      <c r="U191" s="39"/>
      <c r="V191" s="39"/>
    </row>
    <row r="192" ht="22.5" customHeight="1">
      <c r="A192" s="10">
        <v>222.0</v>
      </c>
      <c r="B192" s="36">
        <v>24.0</v>
      </c>
      <c r="C192" s="36" t="s">
        <v>5829</v>
      </c>
      <c r="D192" s="47">
        <v>2.52610322E8</v>
      </c>
      <c r="E192" s="36" t="s">
        <v>5830</v>
      </c>
      <c r="F192" s="36" t="s">
        <v>220</v>
      </c>
      <c r="G192" s="12">
        <v>33.0</v>
      </c>
      <c r="H192" s="48" t="str">
        <f t="shared" si="1"/>
        <v>X-5</v>
      </c>
      <c r="I192" s="19" t="str">
        <f t="shared" si="2"/>
        <v>33 - BC X-5</v>
      </c>
      <c r="J192" s="20" t="str">
        <f>VLOOKUP(I192,'Database Grup SCC'!$B$2:$C1382,2,false)</f>
        <v>Topik &amp; Adrian</v>
      </c>
      <c r="K192" s="49" t="s">
        <v>5766</v>
      </c>
      <c r="L192" s="49"/>
      <c r="M192" s="50"/>
      <c r="N192" s="33" t="s">
        <v>5770</v>
      </c>
      <c r="O192" s="34"/>
      <c r="P192" s="34"/>
      <c r="Q192" s="24" t="str">
        <f t="shared" si="3"/>
        <v>https://docs.google.com/forms/d/e/1FAIpQLSeZ-R1GrWlAPkfaThGqxeTj0QTtrARw4rroxIIepf2kipn1nw/formResponse?usp=pp_url&amp;entry.1313582257=0108578906&amp;entry.1578404635=Hadir</v>
      </c>
      <c r="R192" s="23" t="s">
        <v>5831</v>
      </c>
      <c r="S192" s="39"/>
      <c r="T192" s="39"/>
      <c r="U192" s="39"/>
      <c r="V192" s="39"/>
    </row>
    <row r="193" ht="22.5" customHeight="1">
      <c r="A193" s="18">
        <v>223.0</v>
      </c>
      <c r="B193" s="36">
        <v>25.0</v>
      </c>
      <c r="C193" s="36" t="s">
        <v>5832</v>
      </c>
      <c r="D193" s="47">
        <v>2.52610323E8</v>
      </c>
      <c r="E193" s="36" t="s">
        <v>5833</v>
      </c>
      <c r="F193" s="36" t="s">
        <v>220</v>
      </c>
      <c r="G193" s="12">
        <v>33.0</v>
      </c>
      <c r="H193" s="48" t="str">
        <f t="shared" si="1"/>
        <v>X-5</v>
      </c>
      <c r="I193" s="19" t="str">
        <f t="shared" si="2"/>
        <v>33 - BC X-5</v>
      </c>
      <c r="J193" s="20" t="str">
        <f>VLOOKUP(I193,'Database Grup SCC'!$B$2:$C1382,2,false)</f>
        <v>Topik &amp; Adrian</v>
      </c>
      <c r="K193" s="49" t="s">
        <v>5766</v>
      </c>
      <c r="L193" s="49"/>
      <c r="M193" s="50"/>
      <c r="N193" s="33" t="s">
        <v>5770</v>
      </c>
      <c r="O193" s="34"/>
      <c r="P193" s="34"/>
      <c r="Q193" s="24" t="str">
        <f t="shared" si="3"/>
        <v>https://docs.google.com/forms/d/e/1FAIpQLSeZ-R1GrWlAPkfaThGqxeTj0QTtrARw4rroxIIepf2kipn1nw/formResponse?usp=pp_url&amp;entry.1313582257=3107979922&amp;entry.1578404635=Hadir</v>
      </c>
      <c r="R193" s="23" t="s">
        <v>5834</v>
      </c>
      <c r="S193" s="39"/>
      <c r="T193" s="39"/>
      <c r="U193" s="39"/>
      <c r="V193" s="39"/>
    </row>
    <row r="194" ht="22.5" customHeight="1">
      <c r="A194" s="10">
        <v>224.0</v>
      </c>
      <c r="B194" s="36">
        <v>26.0</v>
      </c>
      <c r="C194" s="36" t="s">
        <v>5835</v>
      </c>
      <c r="D194" s="47">
        <v>2.52610361E8</v>
      </c>
      <c r="E194" s="36" t="s">
        <v>5836</v>
      </c>
      <c r="F194" s="36" t="s">
        <v>220</v>
      </c>
      <c r="G194" s="12">
        <v>33.0</v>
      </c>
      <c r="H194" s="48" t="str">
        <f t="shared" si="1"/>
        <v>X-5</v>
      </c>
      <c r="I194" s="19" t="str">
        <f t="shared" si="2"/>
        <v>33 - XSUMEN BC</v>
      </c>
      <c r="J194" s="20" t="str">
        <f>VLOOKUP(I194,'Database Grup SCC'!$B$2:$C1382,2,false)</f>
        <v>Rekhsa</v>
      </c>
      <c r="K194" s="49" t="s">
        <v>5766</v>
      </c>
      <c r="L194" s="49"/>
      <c r="M194" s="50"/>
      <c r="N194" s="33" t="s">
        <v>371</v>
      </c>
      <c r="O194" s="34"/>
      <c r="P194" s="34"/>
      <c r="Q194" s="24" t="str">
        <f t="shared" si="3"/>
        <v>https://docs.google.com/forms/d/e/1FAIpQLSeZ-R1GrWlAPkfaThGqxeTj0QTtrARw4rroxIIepf2kipn1nw/formResponse?usp=pp_url&amp;entry.1313582257=0105902624&amp;entry.1578404635=Hadir</v>
      </c>
      <c r="R194" s="23" t="s">
        <v>5837</v>
      </c>
      <c r="S194" s="39"/>
      <c r="T194" s="39"/>
      <c r="U194" s="39"/>
      <c r="V194" s="39"/>
    </row>
    <row r="195" ht="22.5" customHeight="1">
      <c r="A195" s="18">
        <v>225.0</v>
      </c>
      <c r="B195" s="36">
        <v>27.0</v>
      </c>
      <c r="C195" s="36" t="s">
        <v>5838</v>
      </c>
      <c r="D195" s="47">
        <v>2.52610366E8</v>
      </c>
      <c r="E195" s="36" t="s">
        <v>5839</v>
      </c>
      <c r="F195" s="36" t="s">
        <v>220</v>
      </c>
      <c r="G195" s="12">
        <v>33.0</v>
      </c>
      <c r="H195" s="48" t="str">
        <f t="shared" si="1"/>
        <v>X-5</v>
      </c>
      <c r="I195" s="19" t="str">
        <f t="shared" si="2"/>
        <v>33 - BC X-5</v>
      </c>
      <c r="J195" s="20" t="str">
        <f>VLOOKUP(I195,'Database Grup SCC'!$B$2:$C1382,2,false)</f>
        <v>Topik &amp; Adrian</v>
      </c>
      <c r="K195" s="49" t="s">
        <v>5766</v>
      </c>
      <c r="L195" s="49"/>
      <c r="M195" s="50"/>
      <c r="N195" s="33" t="s">
        <v>5770</v>
      </c>
      <c r="O195" s="34"/>
      <c r="P195" s="34"/>
      <c r="Q195" s="24" t="str">
        <f t="shared" si="3"/>
        <v>https://docs.google.com/forms/d/e/1FAIpQLSeZ-R1GrWlAPkfaThGqxeTj0QTtrARw4rroxIIepf2kipn1nw/formResponse?usp=pp_url&amp;entry.1313582257=0095937017&amp;entry.1578404635=Hadir</v>
      </c>
      <c r="R195" s="23" t="s">
        <v>5840</v>
      </c>
      <c r="S195" s="39"/>
      <c r="T195" s="39"/>
      <c r="U195" s="39"/>
      <c r="V195" s="39"/>
    </row>
    <row r="196" ht="22.5" customHeight="1">
      <c r="A196" s="10">
        <v>226.0</v>
      </c>
      <c r="B196" s="36">
        <v>28.0</v>
      </c>
      <c r="C196" s="36" t="s">
        <v>5841</v>
      </c>
      <c r="D196" s="47">
        <v>2.52610374E8</v>
      </c>
      <c r="E196" s="36" t="s">
        <v>5842</v>
      </c>
      <c r="F196" s="36" t="s">
        <v>220</v>
      </c>
      <c r="G196" s="12">
        <v>33.0</v>
      </c>
      <c r="H196" s="48" t="str">
        <f t="shared" si="1"/>
        <v>X-5</v>
      </c>
      <c r="I196" s="19" t="str">
        <f t="shared" si="2"/>
        <v>33 - BC X-5</v>
      </c>
      <c r="J196" s="20" t="str">
        <f>VLOOKUP(I196,'Database Grup SCC'!$B$2:$C1382,2,false)</f>
        <v>Topik &amp; Adrian</v>
      </c>
      <c r="K196" s="49" t="s">
        <v>5766</v>
      </c>
      <c r="L196" s="49"/>
      <c r="M196" s="50"/>
      <c r="N196" s="33" t="s">
        <v>5770</v>
      </c>
      <c r="O196" s="34"/>
      <c r="P196" s="34"/>
      <c r="Q196" s="24" t="str">
        <f t="shared" si="3"/>
        <v>https://docs.google.com/forms/d/e/1FAIpQLSeZ-R1GrWlAPkfaThGqxeTj0QTtrARw4rroxIIepf2kipn1nw/formResponse?usp=pp_url&amp;entry.1313582257=3094594523&amp;entry.1578404635=Hadir</v>
      </c>
      <c r="R196" s="23" t="s">
        <v>5843</v>
      </c>
      <c r="S196" s="39"/>
      <c r="T196" s="39"/>
      <c r="U196" s="39"/>
      <c r="V196" s="39"/>
    </row>
    <row r="197" ht="22.5" customHeight="1">
      <c r="A197" s="18">
        <v>227.0</v>
      </c>
      <c r="B197" s="36">
        <v>29.0</v>
      </c>
      <c r="C197" s="36" t="s">
        <v>5844</v>
      </c>
      <c r="D197" s="47">
        <v>2.52610379E8</v>
      </c>
      <c r="E197" s="36" t="s">
        <v>5845</v>
      </c>
      <c r="F197" s="36" t="s">
        <v>220</v>
      </c>
      <c r="G197" s="12">
        <v>33.0</v>
      </c>
      <c r="H197" s="48" t="str">
        <f t="shared" si="1"/>
        <v>X-5</v>
      </c>
      <c r="I197" s="19" t="str">
        <f t="shared" si="2"/>
        <v>33 - BC X-5</v>
      </c>
      <c r="J197" s="20" t="str">
        <f>VLOOKUP(I197,'Database Grup SCC'!$B$2:$C1382,2,false)</f>
        <v>Topik &amp; Adrian</v>
      </c>
      <c r="K197" s="49" t="s">
        <v>5766</v>
      </c>
      <c r="L197" s="49"/>
      <c r="M197" s="50"/>
      <c r="N197" s="33" t="s">
        <v>5770</v>
      </c>
      <c r="O197" s="34"/>
      <c r="P197" s="34"/>
      <c r="Q197" s="24" t="str">
        <f t="shared" si="3"/>
        <v>https://docs.google.com/forms/d/e/1FAIpQLSeZ-R1GrWlAPkfaThGqxeTj0QTtrARw4rroxIIepf2kipn1nw/formResponse?usp=pp_url&amp;entry.1313582257=0092479207&amp;entry.1578404635=Hadir</v>
      </c>
      <c r="R197" s="23" t="s">
        <v>5846</v>
      </c>
      <c r="S197" s="39"/>
      <c r="T197" s="39"/>
      <c r="U197" s="39"/>
      <c r="V197" s="39"/>
    </row>
    <row r="198" ht="22.5" customHeight="1">
      <c r="A198" s="10">
        <v>228.0</v>
      </c>
      <c r="B198" s="36">
        <v>30.0</v>
      </c>
      <c r="C198" s="36" t="s">
        <v>5847</v>
      </c>
      <c r="D198" s="47">
        <v>2.52610384E8</v>
      </c>
      <c r="E198" s="36" t="s">
        <v>5848</v>
      </c>
      <c r="F198" s="36" t="s">
        <v>227</v>
      </c>
      <c r="G198" s="12">
        <v>33.0</v>
      </c>
      <c r="H198" s="48" t="str">
        <f t="shared" si="1"/>
        <v>X-5</v>
      </c>
      <c r="I198" s="19" t="str">
        <f t="shared" si="2"/>
        <v>33 - GC2 X-5</v>
      </c>
      <c r="J198" s="20" t="str">
        <f>VLOOKUP(I198,'Database Grup SCC'!$B$2:$C1382,2,false)</f>
        <v>Sabika (XI)</v>
      </c>
      <c r="K198" s="49" t="s">
        <v>5766</v>
      </c>
      <c r="L198" s="49"/>
      <c r="M198" s="50"/>
      <c r="N198" s="33" t="s">
        <v>5849</v>
      </c>
      <c r="O198" s="34"/>
      <c r="P198" s="34"/>
      <c r="Q198" s="24" t="str">
        <f t="shared" si="3"/>
        <v>https://docs.google.com/forms/d/e/1FAIpQLSeZ-R1GrWlAPkfaThGqxeTj0QTtrARw4rroxIIepf2kipn1nw/formResponse?usp=pp_url&amp;entry.1313582257=0092223990&amp;entry.1578404635=Hadir</v>
      </c>
      <c r="R198" s="23" t="s">
        <v>5850</v>
      </c>
      <c r="S198" s="39"/>
      <c r="T198" s="39"/>
      <c r="U198" s="39"/>
      <c r="V198" s="39"/>
    </row>
    <row r="199" ht="22.5" customHeight="1">
      <c r="A199" s="18">
        <v>229.0</v>
      </c>
      <c r="B199" s="36">
        <v>31.0</v>
      </c>
      <c r="C199" s="36" t="s">
        <v>5851</v>
      </c>
      <c r="D199" s="47">
        <v>2.52610401E8</v>
      </c>
      <c r="E199" s="36" t="s">
        <v>5852</v>
      </c>
      <c r="F199" s="36" t="s">
        <v>220</v>
      </c>
      <c r="G199" s="12">
        <v>33.0</v>
      </c>
      <c r="H199" s="48" t="str">
        <f t="shared" si="1"/>
        <v>X-5</v>
      </c>
      <c r="I199" s="19" t="str">
        <f t="shared" si="2"/>
        <v>33 - BC X-5</v>
      </c>
      <c r="J199" s="20" t="str">
        <f>VLOOKUP(I199,'Database Grup SCC'!$B$2:$C1382,2,false)</f>
        <v>Topik &amp; Adrian</v>
      </c>
      <c r="K199" s="49" t="s">
        <v>5766</v>
      </c>
      <c r="L199" s="49"/>
      <c r="M199" s="50"/>
      <c r="N199" s="33" t="s">
        <v>5770</v>
      </c>
      <c r="O199" s="34"/>
      <c r="P199" s="34"/>
      <c r="Q199" s="24" t="str">
        <f t="shared" si="3"/>
        <v>https://docs.google.com/forms/d/e/1FAIpQLSeZ-R1GrWlAPkfaThGqxeTj0QTtrARw4rroxIIepf2kipn1nw/formResponse?usp=pp_url&amp;entry.1313582257=0104434944&amp;entry.1578404635=Hadir</v>
      </c>
      <c r="R199" s="23" t="s">
        <v>5853</v>
      </c>
      <c r="S199" s="39"/>
      <c r="T199" s="39"/>
      <c r="U199" s="39"/>
      <c r="V199" s="39"/>
    </row>
    <row r="200" ht="22.5" customHeight="1">
      <c r="A200" s="10">
        <v>230.0</v>
      </c>
      <c r="B200" s="36">
        <v>32.0</v>
      </c>
      <c r="C200" s="36" t="s">
        <v>5854</v>
      </c>
      <c r="D200" s="47">
        <v>2.52610412E8</v>
      </c>
      <c r="E200" s="36" t="s">
        <v>5855</v>
      </c>
      <c r="F200" s="36" t="s">
        <v>227</v>
      </c>
      <c r="G200" s="12">
        <v>33.0</v>
      </c>
      <c r="H200" s="48" t="str">
        <f t="shared" si="1"/>
        <v>X-5</v>
      </c>
      <c r="I200" s="19" t="str">
        <f t="shared" si="2"/>
        <v>33 - XSUMEN2 GC</v>
      </c>
      <c r="J200" s="20" t="str">
        <f>VLOOKUP(I200,'Database Grup SCC'!$B$2:$C1382,2,false)</f>
        <v>Iqlima</v>
      </c>
      <c r="K200" s="49" t="s">
        <v>5766</v>
      </c>
      <c r="L200" s="49"/>
      <c r="M200" s="50"/>
      <c r="N200" s="33" t="s">
        <v>5377</v>
      </c>
      <c r="O200" s="34"/>
      <c r="P200" s="34"/>
      <c r="Q200" s="24" t="str">
        <f t="shared" si="3"/>
        <v>https://docs.google.com/forms/d/e/1FAIpQLSeZ-R1GrWlAPkfaThGqxeTj0QTtrARw4rroxIIepf2kipn1nw/formResponse?usp=pp_url&amp;entry.1313582257=0108770789&amp;entry.1578404635=Hadir</v>
      </c>
      <c r="R200" s="23" t="s">
        <v>5856</v>
      </c>
      <c r="S200" s="39"/>
      <c r="T200" s="39"/>
      <c r="U200" s="39"/>
      <c r="V200" s="39"/>
    </row>
    <row r="201" ht="22.5" customHeight="1">
      <c r="A201" s="18">
        <v>231.0</v>
      </c>
      <c r="B201" s="36">
        <v>33.0</v>
      </c>
      <c r="C201" s="36" t="s">
        <v>5857</v>
      </c>
      <c r="D201" s="47">
        <v>2.52610414E8</v>
      </c>
      <c r="E201" s="36" t="s">
        <v>5858</v>
      </c>
      <c r="F201" s="36" t="s">
        <v>227</v>
      </c>
      <c r="G201" s="12">
        <v>33.0</v>
      </c>
      <c r="H201" s="48" t="str">
        <f t="shared" si="1"/>
        <v>X-5</v>
      </c>
      <c r="I201" s="19" t="str">
        <f t="shared" si="2"/>
        <v>33 - GC2 X-5</v>
      </c>
      <c r="J201" s="20" t="str">
        <f>VLOOKUP(I201,'Database Grup SCC'!$B$2:$C1382,2,false)</f>
        <v>Sabika (XI)</v>
      </c>
      <c r="K201" s="49" t="s">
        <v>5766</v>
      </c>
      <c r="L201" s="49"/>
      <c r="M201" s="50"/>
      <c r="N201" s="33" t="s">
        <v>5849</v>
      </c>
      <c r="O201" s="34"/>
      <c r="P201" s="34"/>
      <c r="Q201" s="24" t="str">
        <f t="shared" si="3"/>
        <v>https://docs.google.com/forms/d/e/1FAIpQLSeZ-R1GrWlAPkfaThGqxeTj0QTtrARw4rroxIIepf2kipn1nw/formResponse?usp=pp_url&amp;entry.1313582257=0101523916&amp;entry.1578404635=Hadir</v>
      </c>
      <c r="R201" s="23" t="s">
        <v>5859</v>
      </c>
      <c r="S201" s="39"/>
      <c r="T201" s="39"/>
      <c r="U201" s="39"/>
      <c r="V201" s="39"/>
    </row>
    <row r="202" ht="22.5" customHeight="1">
      <c r="A202" s="10">
        <v>232.0</v>
      </c>
      <c r="B202" s="36">
        <v>34.0</v>
      </c>
      <c r="C202" s="36" t="s">
        <v>5860</v>
      </c>
      <c r="D202" s="47">
        <v>2.52610427E8</v>
      </c>
      <c r="E202" s="36" t="s">
        <v>5861</v>
      </c>
      <c r="F202" s="36" t="s">
        <v>227</v>
      </c>
      <c r="G202" s="12">
        <v>33.0</v>
      </c>
      <c r="H202" s="48" t="str">
        <f t="shared" si="1"/>
        <v>X-5</v>
      </c>
      <c r="I202" s="19" t="str">
        <f t="shared" si="2"/>
        <v>33 - XSUMEN2 GC</v>
      </c>
      <c r="J202" s="20" t="str">
        <f>VLOOKUP(I202,'Database Grup SCC'!$B$2:$C1382,2,false)</f>
        <v>Iqlima</v>
      </c>
      <c r="K202" s="49" t="s">
        <v>5766</v>
      </c>
      <c r="L202" s="49"/>
      <c r="M202" s="50"/>
      <c r="N202" s="33" t="s">
        <v>5377</v>
      </c>
      <c r="O202" s="34"/>
      <c r="P202" s="34"/>
      <c r="Q202" s="24" t="str">
        <f t="shared" si="3"/>
        <v>https://docs.google.com/forms/d/e/1FAIpQLSeZ-R1GrWlAPkfaThGqxeTj0QTtrARw4rroxIIepf2kipn1nw/formResponse?usp=pp_url&amp;entry.1313582257=3099045754&amp;entry.1578404635=Hadir</v>
      </c>
      <c r="R202" s="23" t="s">
        <v>5862</v>
      </c>
      <c r="S202" s="39"/>
      <c r="T202" s="39"/>
      <c r="U202" s="39"/>
      <c r="V202" s="39"/>
    </row>
    <row r="203" ht="22.5" customHeight="1">
      <c r="A203" s="18">
        <v>233.0</v>
      </c>
      <c r="B203" s="36">
        <v>35.0</v>
      </c>
      <c r="C203" s="36" t="s">
        <v>5863</v>
      </c>
      <c r="D203" s="47">
        <v>2.52610429E8</v>
      </c>
      <c r="E203" s="36" t="s">
        <v>5864</v>
      </c>
      <c r="F203" s="36" t="s">
        <v>220</v>
      </c>
      <c r="G203" s="12">
        <v>33.0</v>
      </c>
      <c r="H203" s="48" t="str">
        <f t="shared" si="1"/>
        <v>X-5</v>
      </c>
      <c r="I203" s="19" t="str">
        <f t="shared" si="2"/>
        <v>33 - BC X-5</v>
      </c>
      <c r="J203" s="20" t="str">
        <f>VLOOKUP(I203,'Database Grup SCC'!$B$2:$C1382,2,false)</f>
        <v>Topik &amp; Adrian</v>
      </c>
      <c r="K203" s="49" t="s">
        <v>5766</v>
      </c>
      <c r="L203" s="49"/>
      <c r="M203" s="50"/>
      <c r="N203" s="33" t="s">
        <v>5770</v>
      </c>
      <c r="O203" s="34"/>
      <c r="P203" s="34"/>
      <c r="Q203" s="24" t="str">
        <f t="shared" si="3"/>
        <v>https://docs.google.com/forms/d/e/1FAIpQLSeZ-R1GrWlAPkfaThGqxeTj0QTtrARw4rroxIIepf2kipn1nw/formResponse?usp=pp_url&amp;entry.1313582257=0104883711&amp;entry.1578404635=Hadir</v>
      </c>
      <c r="R203" s="23" t="s">
        <v>5865</v>
      </c>
      <c r="S203" s="39"/>
      <c r="T203" s="39"/>
      <c r="U203" s="39"/>
      <c r="V203" s="39"/>
    </row>
    <row r="204" ht="22.5" customHeight="1">
      <c r="A204" s="10">
        <v>234.0</v>
      </c>
      <c r="B204" s="36">
        <v>36.0</v>
      </c>
      <c r="C204" s="36" t="s">
        <v>5866</v>
      </c>
      <c r="D204" s="47">
        <v>2.52610437E8</v>
      </c>
      <c r="E204" s="36" t="s">
        <v>5867</v>
      </c>
      <c r="F204" s="36" t="s">
        <v>227</v>
      </c>
      <c r="G204" s="12">
        <v>33.0</v>
      </c>
      <c r="H204" s="48" t="str">
        <f t="shared" si="1"/>
        <v>X-5</v>
      </c>
      <c r="I204" s="19" t="str">
        <f t="shared" si="2"/>
        <v>33 - GC2 X-5</v>
      </c>
      <c r="J204" s="20" t="str">
        <f>VLOOKUP(I204,'Database Grup SCC'!$B$2:$C1382,2,false)</f>
        <v>Sabika (XI)</v>
      </c>
      <c r="K204" s="49" t="s">
        <v>5766</v>
      </c>
      <c r="L204" s="49"/>
      <c r="M204" s="50"/>
      <c r="N204" s="33" t="s">
        <v>5849</v>
      </c>
      <c r="O204" s="34"/>
      <c r="P204" s="34"/>
      <c r="Q204" s="24" t="str">
        <f t="shared" si="3"/>
        <v>https://docs.google.com/forms/d/e/1FAIpQLSeZ-R1GrWlAPkfaThGqxeTj0QTtrARw4rroxIIepf2kipn1nw/formResponse?usp=pp_url&amp;entry.1313582257=3099055467&amp;entry.1578404635=Hadir</v>
      </c>
      <c r="R204" s="23" t="s">
        <v>5868</v>
      </c>
      <c r="S204" s="39"/>
      <c r="T204" s="39"/>
      <c r="U204" s="39"/>
      <c r="V204" s="39"/>
    </row>
    <row r="205" ht="22.5" customHeight="1">
      <c r="A205" s="18">
        <v>235.0</v>
      </c>
      <c r="B205" s="36">
        <v>37.0</v>
      </c>
      <c r="C205" s="36" t="s">
        <v>5869</v>
      </c>
      <c r="D205" s="47">
        <v>2.5261045E8</v>
      </c>
      <c r="E205" s="36" t="s">
        <v>5870</v>
      </c>
      <c r="F205" s="36" t="s">
        <v>227</v>
      </c>
      <c r="G205" s="12">
        <v>33.0</v>
      </c>
      <c r="H205" s="48" t="str">
        <f t="shared" si="1"/>
        <v>X-5</v>
      </c>
      <c r="I205" s="19" t="str">
        <f t="shared" si="2"/>
        <v>33 - GC2 X-5</v>
      </c>
      <c r="J205" s="20" t="str">
        <f>VLOOKUP(I205,'Database Grup SCC'!$B$2:$C1382,2,false)</f>
        <v>Sabika (XI)</v>
      </c>
      <c r="K205" s="49" t="s">
        <v>5766</v>
      </c>
      <c r="L205" s="49"/>
      <c r="M205" s="50"/>
      <c r="N205" s="33" t="s">
        <v>5849</v>
      </c>
      <c r="O205" s="34"/>
      <c r="P205" s="34"/>
      <c r="Q205" s="24" t="str">
        <f t="shared" si="3"/>
        <v>https://docs.google.com/forms/d/e/1FAIpQLSeZ-R1GrWlAPkfaThGqxeTj0QTtrARw4rroxIIepf2kipn1nw/formResponse?usp=pp_url&amp;entry.1313582257=0092103124&amp;entry.1578404635=Hadir</v>
      </c>
      <c r="R205" s="23" t="s">
        <v>5871</v>
      </c>
      <c r="S205" s="39"/>
      <c r="T205" s="39"/>
      <c r="U205" s="39"/>
      <c r="V205" s="39"/>
    </row>
    <row r="206" ht="22.5" customHeight="1">
      <c r="A206" s="10">
        <v>236.0</v>
      </c>
      <c r="B206" s="36">
        <v>38.0</v>
      </c>
      <c r="C206" s="36" t="s">
        <v>5872</v>
      </c>
      <c r="D206" s="47">
        <v>2.52610451E8</v>
      </c>
      <c r="E206" s="36" t="s">
        <v>5873</v>
      </c>
      <c r="F206" s="36" t="s">
        <v>227</v>
      </c>
      <c r="G206" s="12">
        <v>33.0</v>
      </c>
      <c r="H206" s="48" t="str">
        <f t="shared" si="1"/>
        <v>X-5</v>
      </c>
      <c r="I206" s="19" t="str">
        <f t="shared" si="2"/>
        <v>33 - GC2 X-5</v>
      </c>
      <c r="J206" s="20" t="str">
        <f>VLOOKUP(I206,'Database Grup SCC'!$B$2:$C1382,2,false)</f>
        <v>Sabika (XI)</v>
      </c>
      <c r="K206" s="49" t="s">
        <v>5766</v>
      </c>
      <c r="L206" s="49"/>
      <c r="M206" s="50"/>
      <c r="N206" s="33" t="s">
        <v>5849</v>
      </c>
      <c r="O206" s="34"/>
      <c r="P206" s="34"/>
      <c r="Q206" s="24" t="str">
        <f t="shared" si="3"/>
        <v>https://docs.google.com/forms/d/e/1FAIpQLSeZ-R1GrWlAPkfaThGqxeTj0QTtrARw4rroxIIepf2kipn1nw/formResponse?usp=pp_url&amp;entry.1313582257=0102081772&amp;entry.1578404635=Hadir</v>
      </c>
      <c r="R206" s="23" t="s">
        <v>5874</v>
      </c>
      <c r="S206" s="39"/>
      <c r="T206" s="39"/>
      <c r="U206" s="39"/>
      <c r="V206" s="39"/>
    </row>
    <row r="207" ht="22.5" customHeight="1">
      <c r="A207" s="18">
        <v>237.0</v>
      </c>
      <c r="B207" s="36">
        <v>39.0</v>
      </c>
      <c r="C207" s="36" t="s">
        <v>47</v>
      </c>
      <c r="D207" s="47">
        <v>2.52610471E8</v>
      </c>
      <c r="E207" s="36" t="s">
        <v>5875</v>
      </c>
      <c r="F207" s="36" t="s">
        <v>220</v>
      </c>
      <c r="G207" s="12">
        <v>33.0</v>
      </c>
      <c r="H207" s="48" t="str">
        <f t="shared" si="1"/>
        <v>X-5</v>
      </c>
      <c r="I207" s="19" t="str">
        <f t="shared" si="2"/>
        <v>33 - BC X-5</v>
      </c>
      <c r="J207" s="20" t="str">
        <f>VLOOKUP(I207,'Database Grup SCC'!$B$2:$C1382,2,false)</f>
        <v>Topik &amp; Adrian</v>
      </c>
      <c r="K207" s="49" t="s">
        <v>5766</v>
      </c>
      <c r="L207" s="49"/>
      <c r="M207" s="50"/>
      <c r="N207" s="33" t="s">
        <v>5770</v>
      </c>
      <c r="O207" s="34"/>
      <c r="P207" s="34"/>
      <c r="Q207" s="24" t="str">
        <f t="shared" si="3"/>
        <v>https://docs.google.com/forms/d/e/1FAIpQLSeZ-R1GrWlAPkfaThGqxeTj0QTtrARw4rroxIIepf2kipn1nw/formResponse?usp=pp_url&amp;entry.1313582257=0097864614&amp;entry.1578404635=Hadir</v>
      </c>
      <c r="R207" s="23" t="s">
        <v>5876</v>
      </c>
      <c r="S207" s="39"/>
      <c r="T207" s="39"/>
      <c r="U207" s="39"/>
      <c r="V207" s="39"/>
    </row>
    <row r="208" ht="22.5" customHeight="1">
      <c r="A208" s="10">
        <v>238.0</v>
      </c>
      <c r="B208" s="36">
        <v>40.0</v>
      </c>
      <c r="C208" s="36" t="s">
        <v>5877</v>
      </c>
      <c r="D208" s="47">
        <v>2.52610481E8</v>
      </c>
      <c r="E208" s="36" t="s">
        <v>5878</v>
      </c>
      <c r="F208" s="36" t="s">
        <v>227</v>
      </c>
      <c r="G208" s="12">
        <v>33.0</v>
      </c>
      <c r="H208" s="48" t="str">
        <f t="shared" si="1"/>
        <v>X-5</v>
      </c>
      <c r="I208" s="19" t="str">
        <f t="shared" si="2"/>
        <v>33 - GC2 X-5</v>
      </c>
      <c r="J208" s="20" t="str">
        <f>VLOOKUP(I208,'Database Grup SCC'!$B$2:$C1382,2,false)</f>
        <v>Sabika (XI)</v>
      </c>
      <c r="K208" s="49" t="s">
        <v>5766</v>
      </c>
      <c r="L208" s="49"/>
      <c r="M208" s="50"/>
      <c r="N208" s="33" t="s">
        <v>5849</v>
      </c>
      <c r="O208" s="34"/>
      <c r="P208" s="34"/>
      <c r="Q208" s="24" t="str">
        <f t="shared" si="3"/>
        <v>https://docs.google.com/forms/d/e/1FAIpQLSeZ-R1GrWlAPkfaThGqxeTj0QTtrARw4rroxIIepf2kipn1nw/formResponse?usp=pp_url&amp;entry.1313582257=0093090773&amp;entry.1578404635=Hadir</v>
      </c>
      <c r="R208" s="23" t="s">
        <v>5879</v>
      </c>
      <c r="S208" s="39"/>
      <c r="T208" s="39"/>
      <c r="U208" s="39"/>
      <c r="V208" s="39"/>
    </row>
    <row r="209" ht="22.5" customHeight="1">
      <c r="A209" s="18">
        <v>239.0</v>
      </c>
      <c r="B209" s="36">
        <v>41.0</v>
      </c>
      <c r="C209" s="36" t="s">
        <v>5880</v>
      </c>
      <c r="D209" s="47">
        <v>2.52610488E8</v>
      </c>
      <c r="E209" s="36" t="s">
        <v>5881</v>
      </c>
      <c r="F209" s="36" t="s">
        <v>227</v>
      </c>
      <c r="G209" s="12">
        <v>33.0</v>
      </c>
      <c r="H209" s="48" t="str">
        <f t="shared" si="1"/>
        <v>X-5</v>
      </c>
      <c r="I209" s="19" t="str">
        <f t="shared" si="2"/>
        <v>33 - GC2 X-5</v>
      </c>
      <c r="J209" s="20" t="str">
        <f>VLOOKUP(I209,'Database Grup SCC'!$B$2:$C1382,2,false)</f>
        <v>Sabika (XI)</v>
      </c>
      <c r="K209" s="49" t="s">
        <v>5766</v>
      </c>
      <c r="L209" s="49"/>
      <c r="M209" s="50"/>
      <c r="N209" s="33" t="s">
        <v>5849</v>
      </c>
      <c r="O209" s="34"/>
      <c r="P209" s="34"/>
      <c r="Q209" s="24" t="str">
        <f t="shared" si="3"/>
        <v>https://docs.google.com/forms/d/e/1FAIpQLSeZ-R1GrWlAPkfaThGqxeTj0QTtrARw4rroxIIepf2kipn1nw/formResponse?usp=pp_url&amp;entry.1313582257=0095160472&amp;entry.1578404635=Hadir</v>
      </c>
      <c r="R209" s="23" t="s">
        <v>5882</v>
      </c>
      <c r="S209" s="39"/>
      <c r="T209" s="39"/>
      <c r="U209" s="39"/>
      <c r="V209" s="39"/>
    </row>
    <row r="210" ht="22.5" customHeight="1">
      <c r="A210" s="10">
        <v>240.0</v>
      </c>
      <c r="B210" s="36">
        <v>42.0</v>
      </c>
      <c r="C210" s="36" t="s">
        <v>5883</v>
      </c>
      <c r="D210" s="47">
        <v>2.52610507E8</v>
      </c>
      <c r="E210" s="36" t="s">
        <v>5884</v>
      </c>
      <c r="F210" s="36" t="s">
        <v>227</v>
      </c>
      <c r="G210" s="12">
        <v>33.0</v>
      </c>
      <c r="H210" s="48" t="str">
        <f t="shared" si="1"/>
        <v>X-5</v>
      </c>
      <c r="I210" s="19" t="str">
        <f t="shared" si="2"/>
        <v>33 - GC2 X-5</v>
      </c>
      <c r="J210" s="20" t="str">
        <f>VLOOKUP(I210,'Database Grup SCC'!$B$2:$C1382,2,false)</f>
        <v>Sabika (XI)</v>
      </c>
      <c r="K210" s="49" t="s">
        <v>5766</v>
      </c>
      <c r="L210" s="49"/>
      <c r="M210" s="50"/>
      <c r="N210" s="33" t="s">
        <v>5849</v>
      </c>
      <c r="O210" s="34"/>
      <c r="P210" s="34"/>
      <c r="Q210" s="24" t="str">
        <f t="shared" si="3"/>
        <v>https://docs.google.com/forms/d/e/1FAIpQLSeZ-R1GrWlAPkfaThGqxeTj0QTtrARw4rroxIIepf2kipn1nw/formResponse?usp=pp_url&amp;entry.1313582257=0092402487&amp;entry.1578404635=Hadir</v>
      </c>
      <c r="R210" s="23" t="s">
        <v>5885</v>
      </c>
      <c r="S210" s="39"/>
      <c r="T210" s="39"/>
      <c r="U210" s="39"/>
      <c r="V210" s="39"/>
    </row>
    <row r="211" ht="22.5" customHeight="1">
      <c r="A211" s="18">
        <v>241.0</v>
      </c>
      <c r="B211" s="36">
        <v>43.0</v>
      </c>
      <c r="C211" s="36" t="s">
        <v>5886</v>
      </c>
      <c r="D211" s="47">
        <v>2.52610535E8</v>
      </c>
      <c r="E211" s="36" t="s">
        <v>5887</v>
      </c>
      <c r="F211" s="36" t="s">
        <v>227</v>
      </c>
      <c r="G211" s="12">
        <v>33.0</v>
      </c>
      <c r="H211" s="48" t="str">
        <f t="shared" si="1"/>
        <v>X-5</v>
      </c>
      <c r="I211" s="19" t="str">
        <f t="shared" si="2"/>
        <v>33 - GC2 X-5</v>
      </c>
      <c r="J211" s="20" t="str">
        <f>VLOOKUP(I211,'Database Grup SCC'!$B$2:$C1382,2,false)</f>
        <v>Sabika (XI)</v>
      </c>
      <c r="K211" s="49" t="s">
        <v>5766</v>
      </c>
      <c r="L211" s="49"/>
      <c r="M211" s="50"/>
      <c r="N211" s="33" t="s">
        <v>5849</v>
      </c>
      <c r="O211" s="34"/>
      <c r="P211" s="34"/>
      <c r="Q211" s="24" t="str">
        <f t="shared" si="3"/>
        <v>https://docs.google.com/forms/d/e/1FAIpQLSeZ-R1GrWlAPkfaThGqxeTj0QTtrARw4rroxIIepf2kipn1nw/formResponse?usp=pp_url&amp;entry.1313582257=0092706472&amp;entry.1578404635=Hadir</v>
      </c>
      <c r="R211" s="23" t="s">
        <v>5888</v>
      </c>
      <c r="S211" s="39"/>
      <c r="T211" s="39"/>
      <c r="U211" s="39"/>
      <c r="V211" s="39"/>
    </row>
    <row r="212" ht="22.5" customHeight="1">
      <c r="A212" s="10">
        <v>242.0</v>
      </c>
      <c r="B212" s="36">
        <v>44.0</v>
      </c>
      <c r="C212" s="36" t="s">
        <v>5889</v>
      </c>
      <c r="D212" s="47">
        <v>2.5261054E8</v>
      </c>
      <c r="E212" s="36" t="s">
        <v>5890</v>
      </c>
      <c r="F212" s="36" t="s">
        <v>227</v>
      </c>
      <c r="G212" s="12">
        <v>33.0</v>
      </c>
      <c r="H212" s="48" t="str">
        <f t="shared" si="1"/>
        <v>X-5</v>
      </c>
      <c r="I212" s="19" t="str">
        <f t="shared" si="2"/>
        <v>33 - GC2 X-5</v>
      </c>
      <c r="J212" s="20" t="str">
        <f>VLOOKUP(I212,'Database Grup SCC'!$B$2:$C1382,2,false)</f>
        <v>Sabika (XI)</v>
      </c>
      <c r="K212" s="49" t="s">
        <v>5766</v>
      </c>
      <c r="L212" s="49"/>
      <c r="M212" s="50"/>
      <c r="N212" s="33" t="s">
        <v>5849</v>
      </c>
      <c r="O212" s="34"/>
      <c r="P212" s="34"/>
      <c r="Q212" s="24" t="str">
        <f t="shared" si="3"/>
        <v>https://docs.google.com/forms/d/e/1FAIpQLSeZ-R1GrWlAPkfaThGqxeTj0QTtrARw4rroxIIepf2kipn1nw/formResponse?usp=pp_url&amp;entry.1313582257=0105183684&amp;entry.1578404635=Hadir</v>
      </c>
      <c r="R212" s="23" t="s">
        <v>5891</v>
      </c>
      <c r="S212" s="39"/>
      <c r="T212" s="39"/>
      <c r="U212" s="39"/>
      <c r="V212" s="39"/>
    </row>
    <row r="213" ht="22.5" customHeight="1">
      <c r="A213" s="18">
        <v>243.0</v>
      </c>
      <c r="B213" s="36">
        <v>45.0</v>
      </c>
      <c r="C213" s="36" t="s">
        <v>5892</v>
      </c>
      <c r="D213" s="47">
        <v>2.52610543E8</v>
      </c>
      <c r="E213" s="36" t="s">
        <v>5893</v>
      </c>
      <c r="F213" s="36" t="s">
        <v>227</v>
      </c>
      <c r="G213" s="12">
        <v>33.0</v>
      </c>
      <c r="H213" s="48" t="str">
        <f t="shared" si="1"/>
        <v>X-5</v>
      </c>
      <c r="I213" s="19" t="str">
        <f t="shared" si="2"/>
        <v>33 - GC2 X-5</v>
      </c>
      <c r="J213" s="20" t="str">
        <f>VLOOKUP(I213,'Database Grup SCC'!$B$2:$C1382,2,false)</f>
        <v>Sabika (XI)</v>
      </c>
      <c r="K213" s="49" t="s">
        <v>5766</v>
      </c>
      <c r="L213" s="49"/>
      <c r="M213" s="50"/>
      <c r="N213" s="33" t="s">
        <v>5849</v>
      </c>
      <c r="O213" s="34"/>
      <c r="P213" s="34"/>
      <c r="Q213" s="24" t="str">
        <f t="shared" si="3"/>
        <v>https://docs.google.com/forms/d/e/1FAIpQLSeZ-R1GrWlAPkfaThGqxeTj0QTtrARw4rroxIIepf2kipn1nw/formResponse?usp=pp_url&amp;entry.1313582257=0098052333&amp;entry.1578404635=Hadir</v>
      </c>
      <c r="R213" s="23" t="s">
        <v>5894</v>
      </c>
      <c r="S213" s="39"/>
      <c r="T213" s="39"/>
      <c r="U213" s="39"/>
      <c r="V213" s="39"/>
    </row>
    <row r="214" ht="22.5" customHeight="1">
      <c r="A214" s="10">
        <v>244.0</v>
      </c>
      <c r="B214" s="36">
        <v>46.0</v>
      </c>
      <c r="C214" s="36" t="s">
        <v>5895</v>
      </c>
      <c r="D214" s="47">
        <v>2.52610549E8</v>
      </c>
      <c r="E214" s="36" t="s">
        <v>5896</v>
      </c>
      <c r="F214" s="36" t="s">
        <v>220</v>
      </c>
      <c r="G214" s="12">
        <v>33.0</v>
      </c>
      <c r="H214" s="48" t="str">
        <f t="shared" si="1"/>
        <v>X-5</v>
      </c>
      <c r="I214" s="19" t="str">
        <f t="shared" si="2"/>
        <v>33 - BC X-5</v>
      </c>
      <c r="J214" s="20" t="str">
        <f>VLOOKUP(I214,'Database Grup SCC'!$B$2:$C1382,2,false)</f>
        <v>Topik &amp; Adrian</v>
      </c>
      <c r="K214" s="49" t="s">
        <v>5766</v>
      </c>
      <c r="L214" s="49"/>
      <c r="M214" s="50"/>
      <c r="N214" s="33" t="s">
        <v>5770</v>
      </c>
      <c r="O214" s="34"/>
      <c r="P214" s="34"/>
      <c r="Q214" s="24" t="str">
        <f t="shared" si="3"/>
        <v>https://docs.google.com/forms/d/e/1FAIpQLSeZ-R1GrWlAPkfaThGqxeTj0QTtrARw4rroxIIepf2kipn1nw/formResponse?usp=pp_url&amp;entry.1313582257=3094664028&amp;entry.1578404635=Hadir</v>
      </c>
      <c r="R214" s="23" t="s">
        <v>5897</v>
      </c>
      <c r="S214" s="39"/>
      <c r="T214" s="39"/>
      <c r="U214" s="39"/>
      <c r="V214" s="39"/>
    </row>
    <row r="215" ht="22.5" customHeight="1">
      <c r="A215" s="18">
        <v>245.0</v>
      </c>
      <c r="B215" s="36">
        <v>47.0</v>
      </c>
      <c r="C215" s="36" t="s">
        <v>5898</v>
      </c>
      <c r="D215" s="47">
        <v>2.52610554E8</v>
      </c>
      <c r="E215" s="36" t="s">
        <v>5899</v>
      </c>
      <c r="F215" s="36" t="s">
        <v>227</v>
      </c>
      <c r="G215" s="12">
        <v>33.0</v>
      </c>
      <c r="H215" s="48" t="str">
        <f t="shared" si="1"/>
        <v>X-5</v>
      </c>
      <c r="I215" s="19" t="str">
        <f t="shared" si="2"/>
        <v>33 - GC2 X-5</v>
      </c>
      <c r="J215" s="20" t="str">
        <f>VLOOKUP(I215,'Database Grup SCC'!$B$2:$C1382,2,false)</f>
        <v>Sabika (XI)</v>
      </c>
      <c r="K215" s="49" t="s">
        <v>5766</v>
      </c>
      <c r="L215" s="49"/>
      <c r="M215" s="50"/>
      <c r="N215" s="33" t="s">
        <v>5849</v>
      </c>
      <c r="O215" s="34"/>
      <c r="P215" s="34"/>
      <c r="Q215" s="24" t="str">
        <f t="shared" si="3"/>
        <v>https://docs.google.com/forms/d/e/1FAIpQLSeZ-R1GrWlAPkfaThGqxeTj0QTtrARw4rroxIIepf2kipn1nw/formResponse?usp=pp_url&amp;entry.1313582257=0099429653&amp;entry.1578404635=Hadir</v>
      </c>
      <c r="R215" s="23" t="s">
        <v>5900</v>
      </c>
      <c r="S215" s="39"/>
      <c r="T215" s="39"/>
      <c r="U215" s="39"/>
      <c r="V215" s="39"/>
    </row>
    <row r="216" ht="22.5" customHeight="1">
      <c r="A216" s="18">
        <v>253.0</v>
      </c>
      <c r="B216" s="36">
        <v>3.0</v>
      </c>
      <c r="C216" s="36" t="s">
        <v>5901</v>
      </c>
      <c r="D216" s="47">
        <v>2.52610036E8</v>
      </c>
      <c r="E216" s="36" t="s">
        <v>5902</v>
      </c>
      <c r="F216" s="36" t="s">
        <v>227</v>
      </c>
      <c r="G216" s="12">
        <v>33.0</v>
      </c>
      <c r="H216" s="48" t="str">
        <f t="shared" si="1"/>
        <v>X-6</v>
      </c>
      <c r="I216" s="19" t="str">
        <f t="shared" si="2"/>
        <v>33 - GC1 X-6</v>
      </c>
      <c r="J216" s="20" t="str">
        <f>VLOOKUP(I216,'Database Grup SCC'!$B$2:$C1382,2,false)</f>
        <v>Khairunnisa (XII)</v>
      </c>
      <c r="K216" s="49" t="s">
        <v>5903</v>
      </c>
      <c r="L216" s="49"/>
      <c r="M216" s="50"/>
      <c r="N216" s="33" t="s">
        <v>5904</v>
      </c>
      <c r="O216" s="34"/>
      <c r="P216" s="34"/>
      <c r="Q216" s="24" t="str">
        <f t="shared" si="3"/>
        <v>https://docs.google.com/forms/d/e/1FAIpQLSeZ-R1GrWlAPkfaThGqxeTj0QTtrARw4rroxIIepf2kipn1nw/formResponse?usp=pp_url&amp;entry.1313582257=0094216872&amp;entry.1578404635=Hadir</v>
      </c>
      <c r="R216" s="23" t="s">
        <v>5905</v>
      </c>
      <c r="S216" s="39"/>
      <c r="T216" s="39"/>
      <c r="U216" s="39"/>
      <c r="V216" s="39"/>
    </row>
    <row r="217" ht="22.5" customHeight="1">
      <c r="A217" s="10">
        <v>254.0</v>
      </c>
      <c r="B217" s="36">
        <v>4.0</v>
      </c>
      <c r="C217" s="36" t="s">
        <v>5906</v>
      </c>
      <c r="D217" s="47">
        <v>2.52610042E8</v>
      </c>
      <c r="E217" s="36" t="s">
        <v>5907</v>
      </c>
      <c r="F217" s="36" t="s">
        <v>227</v>
      </c>
      <c r="G217" s="12">
        <v>33.0</v>
      </c>
      <c r="H217" s="48" t="str">
        <f t="shared" si="1"/>
        <v>X-6</v>
      </c>
      <c r="I217" s="19" t="str">
        <f t="shared" si="2"/>
        <v>33 - GC1 X-6</v>
      </c>
      <c r="J217" s="20" t="str">
        <f>VLOOKUP(I217,'Database Grup SCC'!$B$2:$C1382,2,false)</f>
        <v>Khairunnisa (XII)</v>
      </c>
      <c r="K217" s="49" t="s">
        <v>5903</v>
      </c>
      <c r="L217" s="49"/>
      <c r="M217" s="50"/>
      <c r="N217" s="33" t="s">
        <v>5904</v>
      </c>
      <c r="O217" s="34"/>
      <c r="P217" s="34"/>
      <c r="Q217" s="24" t="str">
        <f t="shared" si="3"/>
        <v>https://docs.google.com/forms/d/e/1FAIpQLSeZ-R1GrWlAPkfaThGqxeTj0QTtrARw4rroxIIepf2kipn1nw/formResponse?usp=pp_url&amp;entry.1313582257=3093210071&amp;entry.1578404635=Hadir</v>
      </c>
      <c r="R217" s="23" t="s">
        <v>5908</v>
      </c>
      <c r="S217" s="39"/>
      <c r="T217" s="39"/>
      <c r="U217" s="39"/>
      <c r="V217" s="39"/>
    </row>
    <row r="218" ht="22.5" customHeight="1">
      <c r="A218" s="18">
        <v>255.0</v>
      </c>
      <c r="B218" s="36">
        <v>5.0</v>
      </c>
      <c r="C218" s="36" t="s">
        <v>5909</v>
      </c>
      <c r="D218" s="47">
        <v>2.52610072E8</v>
      </c>
      <c r="E218" s="36" t="s">
        <v>5910</v>
      </c>
      <c r="F218" s="36" t="s">
        <v>227</v>
      </c>
      <c r="G218" s="12">
        <v>33.0</v>
      </c>
      <c r="H218" s="48" t="str">
        <f t="shared" si="1"/>
        <v>X-6</v>
      </c>
      <c r="I218" s="19" t="str">
        <f t="shared" si="2"/>
        <v>33 - GC1 X-6</v>
      </c>
      <c r="J218" s="20" t="str">
        <f>VLOOKUP(I218,'Database Grup SCC'!$B$2:$C1382,2,false)</f>
        <v>Khairunnisa (XII)</v>
      </c>
      <c r="K218" s="49" t="s">
        <v>5903</v>
      </c>
      <c r="L218" s="49"/>
      <c r="M218" s="50"/>
      <c r="N218" s="33" t="s">
        <v>5904</v>
      </c>
      <c r="O218" s="34"/>
      <c r="P218" s="34"/>
      <c r="Q218" s="24" t="str">
        <f t="shared" si="3"/>
        <v>https://docs.google.com/forms/d/e/1FAIpQLSeZ-R1GrWlAPkfaThGqxeTj0QTtrARw4rroxIIepf2kipn1nw/formResponse?usp=pp_url&amp;entry.1313582257=0099344894&amp;entry.1578404635=Hadir</v>
      </c>
      <c r="R218" s="23" t="s">
        <v>5911</v>
      </c>
      <c r="S218" s="39"/>
      <c r="T218" s="39"/>
      <c r="U218" s="39"/>
      <c r="V218" s="39"/>
    </row>
    <row r="219" ht="22.5" customHeight="1">
      <c r="A219" s="10">
        <v>256.0</v>
      </c>
      <c r="B219" s="36">
        <v>7.0</v>
      </c>
      <c r="C219" s="36" t="s">
        <v>5912</v>
      </c>
      <c r="D219" s="47">
        <v>2.52610134E8</v>
      </c>
      <c r="E219" s="36" t="s">
        <v>5913</v>
      </c>
      <c r="F219" s="36" t="s">
        <v>227</v>
      </c>
      <c r="G219" s="12">
        <v>33.0</v>
      </c>
      <c r="H219" s="48" t="str">
        <f t="shared" si="1"/>
        <v>X-6</v>
      </c>
      <c r="I219" s="19" t="str">
        <f t="shared" si="2"/>
        <v>33 - GC1 X-6</v>
      </c>
      <c r="J219" s="20" t="str">
        <f>VLOOKUP(I219,'Database Grup SCC'!$B$2:$C1382,2,false)</f>
        <v>Khairunnisa (XII)</v>
      </c>
      <c r="K219" s="49" t="s">
        <v>5903</v>
      </c>
      <c r="L219" s="49"/>
      <c r="M219" s="50"/>
      <c r="N219" s="33" t="s">
        <v>5904</v>
      </c>
      <c r="O219" s="34"/>
      <c r="P219" s="34"/>
      <c r="Q219" s="24" t="str">
        <f t="shared" si="3"/>
        <v>https://docs.google.com/forms/d/e/1FAIpQLSeZ-R1GrWlAPkfaThGqxeTj0QTtrARw4rroxIIepf2kipn1nw/formResponse?usp=pp_url&amp;entry.1313582257=0104799326&amp;entry.1578404635=Hadir</v>
      </c>
      <c r="R219" s="23" t="s">
        <v>5914</v>
      </c>
      <c r="S219" s="39"/>
      <c r="T219" s="39"/>
      <c r="U219" s="39"/>
      <c r="V219" s="39"/>
    </row>
    <row r="220" ht="22.5" customHeight="1">
      <c r="A220" s="18">
        <v>257.0</v>
      </c>
      <c r="B220" s="36">
        <v>9.0</v>
      </c>
      <c r="C220" s="36" t="s">
        <v>5915</v>
      </c>
      <c r="D220" s="47">
        <v>2.52610157E8</v>
      </c>
      <c r="E220" s="36" t="s">
        <v>5916</v>
      </c>
      <c r="F220" s="36" t="s">
        <v>227</v>
      </c>
      <c r="G220" s="12">
        <v>33.0</v>
      </c>
      <c r="H220" s="48" t="str">
        <f t="shared" si="1"/>
        <v>X-6</v>
      </c>
      <c r="I220" s="19" t="str">
        <f t="shared" si="2"/>
        <v>33 - GC1 X-6</v>
      </c>
      <c r="J220" s="20" t="str">
        <f>VLOOKUP(I220,'Database Grup SCC'!$B$2:$C1382,2,false)</f>
        <v>Khairunnisa (XII)</v>
      </c>
      <c r="K220" s="49" t="s">
        <v>5903</v>
      </c>
      <c r="L220" s="49"/>
      <c r="M220" s="50"/>
      <c r="N220" s="33" t="s">
        <v>5904</v>
      </c>
      <c r="O220" s="34"/>
      <c r="P220" s="34"/>
      <c r="Q220" s="24" t="str">
        <f t="shared" si="3"/>
        <v>https://docs.google.com/forms/d/e/1FAIpQLSeZ-R1GrWlAPkfaThGqxeTj0QTtrARw4rroxIIepf2kipn1nw/formResponse?usp=pp_url&amp;entry.1313582257=0099286083&amp;entry.1578404635=Hadir</v>
      </c>
      <c r="R220" s="23" t="s">
        <v>5917</v>
      </c>
      <c r="S220" s="39"/>
      <c r="T220" s="39"/>
      <c r="U220" s="39"/>
      <c r="V220" s="39"/>
    </row>
    <row r="221" ht="22.5" customHeight="1">
      <c r="A221" s="10">
        <v>258.0</v>
      </c>
      <c r="B221" s="36">
        <v>10.0</v>
      </c>
      <c r="C221" s="36" t="s">
        <v>5918</v>
      </c>
      <c r="D221" s="47">
        <v>2.52610167E8</v>
      </c>
      <c r="E221" s="36" t="s">
        <v>5919</v>
      </c>
      <c r="F221" s="36" t="s">
        <v>227</v>
      </c>
      <c r="G221" s="12">
        <v>33.0</v>
      </c>
      <c r="H221" s="48" t="str">
        <f t="shared" si="1"/>
        <v>X-6</v>
      </c>
      <c r="I221" s="19" t="str">
        <f t="shared" si="2"/>
        <v>33 - GC1 X-6</v>
      </c>
      <c r="J221" s="20" t="str">
        <f>VLOOKUP(I221,'Database Grup SCC'!$B$2:$C1382,2,false)</f>
        <v>Khairunnisa (XII)</v>
      </c>
      <c r="K221" s="49" t="s">
        <v>5903</v>
      </c>
      <c r="L221" s="49"/>
      <c r="M221" s="50"/>
      <c r="N221" s="33" t="s">
        <v>5904</v>
      </c>
      <c r="O221" s="34"/>
      <c r="P221" s="34"/>
      <c r="Q221" s="24" t="str">
        <f t="shared" si="3"/>
        <v>https://docs.google.com/forms/d/e/1FAIpQLSeZ-R1GrWlAPkfaThGqxeTj0QTtrARw4rroxIIepf2kipn1nw/formResponse?usp=pp_url&amp;entry.1313582257=0093451857&amp;entry.1578404635=Hadir</v>
      </c>
      <c r="R221" s="23" t="s">
        <v>5920</v>
      </c>
      <c r="S221" s="39"/>
      <c r="T221" s="39"/>
      <c r="U221" s="39"/>
      <c r="V221" s="39"/>
    </row>
    <row r="222" ht="22.5" customHeight="1">
      <c r="A222" s="18">
        <v>259.0</v>
      </c>
      <c r="B222" s="36">
        <v>11.0</v>
      </c>
      <c r="C222" s="36" t="s">
        <v>5921</v>
      </c>
      <c r="D222" s="47">
        <v>2.52610172E8</v>
      </c>
      <c r="E222" s="36" t="s">
        <v>5922</v>
      </c>
      <c r="F222" s="18" t="s">
        <v>227</v>
      </c>
      <c r="G222" s="12">
        <v>33.0</v>
      </c>
      <c r="H222" s="48" t="str">
        <f t="shared" si="1"/>
        <v>X-6</v>
      </c>
      <c r="I222" s="19" t="str">
        <f t="shared" si="2"/>
        <v>33 - GC1 X-6</v>
      </c>
      <c r="J222" s="20" t="str">
        <f>VLOOKUP(I222,'Database Grup SCC'!$B$2:$C1382,2,false)</f>
        <v>Khairunnisa (XII)</v>
      </c>
      <c r="K222" s="49" t="s">
        <v>5903</v>
      </c>
      <c r="L222" s="49"/>
      <c r="M222" s="50"/>
      <c r="N222" s="33" t="s">
        <v>5904</v>
      </c>
      <c r="O222" s="34"/>
      <c r="P222" s="34"/>
      <c r="Q222" s="24" t="str">
        <f t="shared" si="3"/>
        <v>https://docs.google.com/forms/d/e/1FAIpQLSeZ-R1GrWlAPkfaThGqxeTj0QTtrARw4rroxIIepf2kipn1nw/formResponse?usp=pp_url&amp;entry.1313582257=0074430959&amp;entry.1578404635=Hadir</v>
      </c>
      <c r="R222" s="23" t="s">
        <v>5923</v>
      </c>
      <c r="S222" s="39"/>
      <c r="T222" s="39"/>
      <c r="U222" s="39"/>
      <c r="V222" s="39"/>
    </row>
    <row r="223" ht="22.5" customHeight="1">
      <c r="A223" s="10">
        <v>260.0</v>
      </c>
      <c r="B223" s="36">
        <v>12.0</v>
      </c>
      <c r="C223" s="36" t="s">
        <v>5924</v>
      </c>
      <c r="D223" s="47">
        <v>2.52610176E8</v>
      </c>
      <c r="E223" s="36" t="s">
        <v>5925</v>
      </c>
      <c r="F223" s="36" t="s">
        <v>220</v>
      </c>
      <c r="G223" s="12">
        <v>33.0</v>
      </c>
      <c r="H223" s="48" t="str">
        <f t="shared" si="1"/>
        <v>X-6</v>
      </c>
      <c r="I223" s="19" t="str">
        <f t="shared" si="2"/>
        <v>33 - BC X-6</v>
      </c>
      <c r="J223" s="20" t="str">
        <f>VLOOKUP(I223,'Database Grup SCC'!$B$2:$C1382,2,false)</f>
        <v>Rizki Putra</v>
      </c>
      <c r="K223" s="49" t="s">
        <v>5903</v>
      </c>
      <c r="L223" s="49"/>
      <c r="M223" s="50"/>
      <c r="N223" s="33" t="s">
        <v>5926</v>
      </c>
      <c r="O223" s="34"/>
      <c r="P223" s="34"/>
      <c r="Q223" s="24" t="str">
        <f t="shared" si="3"/>
        <v>https://docs.google.com/forms/d/e/1FAIpQLSeZ-R1GrWlAPkfaThGqxeTj0QTtrARw4rroxIIepf2kipn1nw/formResponse?usp=pp_url&amp;entry.1313582257=0096744611&amp;entry.1578404635=Hadir</v>
      </c>
      <c r="R223" s="23" t="s">
        <v>5927</v>
      </c>
      <c r="S223" s="39"/>
      <c r="T223" s="39"/>
      <c r="U223" s="39"/>
      <c r="V223" s="39"/>
    </row>
    <row r="224" ht="22.5" customHeight="1">
      <c r="A224" s="18">
        <v>261.0</v>
      </c>
      <c r="B224" s="36">
        <v>14.0</v>
      </c>
      <c r="C224" s="36" t="s">
        <v>5928</v>
      </c>
      <c r="D224" s="47">
        <v>2.52610194E8</v>
      </c>
      <c r="E224" s="36" t="s">
        <v>5929</v>
      </c>
      <c r="F224" s="36" t="s">
        <v>227</v>
      </c>
      <c r="G224" s="12">
        <v>33.0</v>
      </c>
      <c r="H224" s="48" t="str">
        <f t="shared" si="1"/>
        <v>X-6</v>
      </c>
      <c r="I224" s="19" t="str">
        <f t="shared" si="2"/>
        <v>33 - GC1 X-6</v>
      </c>
      <c r="J224" s="20" t="str">
        <f>VLOOKUP(I224,'Database Grup SCC'!$B$2:$C1382,2,false)</f>
        <v>Khairunnisa (XII)</v>
      </c>
      <c r="K224" s="49" t="s">
        <v>5903</v>
      </c>
      <c r="L224" s="49"/>
      <c r="M224" s="50"/>
      <c r="N224" s="33" t="s">
        <v>5904</v>
      </c>
      <c r="O224" s="34"/>
      <c r="P224" s="34"/>
      <c r="Q224" s="24" t="str">
        <f t="shared" si="3"/>
        <v>https://docs.google.com/forms/d/e/1FAIpQLSeZ-R1GrWlAPkfaThGqxeTj0QTtrARw4rroxIIepf2kipn1nw/formResponse?usp=pp_url&amp;entry.1313582257=0093286261&amp;entry.1578404635=Hadir</v>
      </c>
      <c r="R224" s="23" t="s">
        <v>5930</v>
      </c>
      <c r="S224" s="39"/>
      <c r="T224" s="39"/>
      <c r="U224" s="39"/>
      <c r="V224" s="39"/>
    </row>
    <row r="225" ht="22.5" customHeight="1">
      <c r="A225" s="10">
        <v>262.0</v>
      </c>
      <c r="B225" s="36">
        <v>15.0</v>
      </c>
      <c r="C225" s="36" t="s">
        <v>5931</v>
      </c>
      <c r="D225" s="47">
        <v>2.52610195E8</v>
      </c>
      <c r="E225" s="36" t="s">
        <v>5932</v>
      </c>
      <c r="F225" s="36" t="s">
        <v>227</v>
      </c>
      <c r="G225" s="12">
        <v>33.0</v>
      </c>
      <c r="H225" s="48" t="str">
        <f t="shared" si="1"/>
        <v>X-6</v>
      </c>
      <c r="I225" s="19" t="str">
        <f t="shared" si="2"/>
        <v>33 - XSUMEN1 GC</v>
      </c>
      <c r="J225" s="20" t="str">
        <f>VLOOKUP(I225,'Database Grup SCC'!$B$2:$C1382,2,false)</f>
        <v>Ayun</v>
      </c>
      <c r="K225" s="49" t="s">
        <v>5903</v>
      </c>
      <c r="L225" s="49"/>
      <c r="M225" s="50"/>
      <c r="N225" s="33" t="s">
        <v>5277</v>
      </c>
      <c r="O225" s="34"/>
      <c r="P225" s="34"/>
      <c r="Q225" s="24" t="str">
        <f t="shared" si="3"/>
        <v>https://docs.google.com/forms/d/e/1FAIpQLSeZ-R1GrWlAPkfaThGqxeTj0QTtrARw4rroxIIepf2kipn1nw/formResponse?usp=pp_url&amp;entry.1313582257=0092383688&amp;entry.1578404635=Hadir</v>
      </c>
      <c r="R225" s="23" t="s">
        <v>5933</v>
      </c>
      <c r="S225" s="39"/>
      <c r="T225" s="39"/>
      <c r="U225" s="39"/>
      <c r="V225" s="39"/>
    </row>
    <row r="226" ht="22.5" customHeight="1">
      <c r="A226" s="18">
        <v>263.0</v>
      </c>
      <c r="B226" s="36">
        <v>17.0</v>
      </c>
      <c r="C226" s="36" t="s">
        <v>5934</v>
      </c>
      <c r="D226" s="47">
        <v>2.52610209E8</v>
      </c>
      <c r="E226" s="36" t="s">
        <v>5935</v>
      </c>
      <c r="F226" s="36" t="s">
        <v>227</v>
      </c>
      <c r="G226" s="12">
        <v>33.0</v>
      </c>
      <c r="H226" s="48" t="str">
        <f t="shared" si="1"/>
        <v>X-6</v>
      </c>
      <c r="I226" s="19" t="str">
        <f t="shared" si="2"/>
        <v>33 - GC1 X-6</v>
      </c>
      <c r="J226" s="20" t="str">
        <f>VLOOKUP(I226,'Database Grup SCC'!$B$2:$C1382,2,false)</f>
        <v>Khairunnisa (XII)</v>
      </c>
      <c r="K226" s="49" t="s">
        <v>5903</v>
      </c>
      <c r="L226" s="49"/>
      <c r="M226" s="50"/>
      <c r="N226" s="33" t="s">
        <v>5904</v>
      </c>
      <c r="O226" s="34"/>
      <c r="P226" s="34"/>
      <c r="Q226" s="24" t="str">
        <f t="shared" si="3"/>
        <v>https://docs.google.com/forms/d/e/1FAIpQLSeZ-R1GrWlAPkfaThGqxeTj0QTtrARw4rroxIIepf2kipn1nw/formResponse?usp=pp_url&amp;entry.1313582257=0094160236&amp;entry.1578404635=Hadir</v>
      </c>
      <c r="R226" s="23" t="s">
        <v>5936</v>
      </c>
      <c r="S226" s="39"/>
      <c r="T226" s="39"/>
      <c r="U226" s="39"/>
      <c r="V226" s="39"/>
    </row>
    <row r="227" ht="22.5" customHeight="1">
      <c r="A227" s="10">
        <v>264.0</v>
      </c>
      <c r="B227" s="36">
        <v>18.0</v>
      </c>
      <c r="C227" s="36" t="s">
        <v>5937</v>
      </c>
      <c r="D227" s="47">
        <v>2.5261021E8</v>
      </c>
      <c r="E227" s="36" t="s">
        <v>5938</v>
      </c>
      <c r="F227" s="36" t="s">
        <v>227</v>
      </c>
      <c r="G227" s="12">
        <v>33.0</v>
      </c>
      <c r="H227" s="48" t="str">
        <f t="shared" si="1"/>
        <v>X-6</v>
      </c>
      <c r="I227" s="19" t="str">
        <f t="shared" si="2"/>
        <v>33 - GC1 X-6</v>
      </c>
      <c r="J227" s="20" t="str">
        <f>VLOOKUP(I227,'Database Grup SCC'!$B$2:$C1382,2,false)</f>
        <v>Khairunnisa (XII)</v>
      </c>
      <c r="K227" s="49" t="s">
        <v>5903</v>
      </c>
      <c r="L227" s="49"/>
      <c r="M227" s="50"/>
      <c r="N227" s="33" t="s">
        <v>5904</v>
      </c>
      <c r="O227" s="34"/>
      <c r="P227" s="34"/>
      <c r="Q227" s="24" t="str">
        <f t="shared" si="3"/>
        <v>https://docs.google.com/forms/d/e/1FAIpQLSeZ-R1GrWlAPkfaThGqxeTj0QTtrARw4rroxIIepf2kipn1nw/formResponse?usp=pp_url&amp;entry.1313582257=0101705316&amp;entry.1578404635=Hadir</v>
      </c>
      <c r="R227" s="23" t="s">
        <v>5939</v>
      </c>
      <c r="S227" s="39"/>
      <c r="T227" s="39"/>
      <c r="U227" s="39"/>
      <c r="V227" s="39"/>
    </row>
    <row r="228" ht="22.5" customHeight="1">
      <c r="A228" s="18">
        <v>265.0</v>
      </c>
      <c r="B228" s="36">
        <v>19.0</v>
      </c>
      <c r="C228" s="36" t="s">
        <v>5940</v>
      </c>
      <c r="D228" s="47">
        <v>2.52610214E8</v>
      </c>
      <c r="E228" s="36" t="s">
        <v>5941</v>
      </c>
      <c r="F228" s="36" t="s">
        <v>227</v>
      </c>
      <c r="G228" s="12">
        <v>33.0</v>
      </c>
      <c r="H228" s="48" t="str">
        <f t="shared" si="1"/>
        <v>X-6</v>
      </c>
      <c r="I228" s="19" t="str">
        <f t="shared" si="2"/>
        <v>33 - GC1 X-6</v>
      </c>
      <c r="J228" s="20" t="str">
        <f>VLOOKUP(I228,'Database Grup SCC'!$B$2:$C1382,2,false)</f>
        <v>Khairunnisa (XII)</v>
      </c>
      <c r="K228" s="49" t="s">
        <v>5903</v>
      </c>
      <c r="L228" s="49"/>
      <c r="M228" s="50"/>
      <c r="N228" s="33" t="s">
        <v>5904</v>
      </c>
      <c r="O228" s="34"/>
      <c r="P228" s="34"/>
      <c r="Q228" s="24" t="str">
        <f t="shared" si="3"/>
        <v>https://docs.google.com/forms/d/e/1FAIpQLSeZ-R1GrWlAPkfaThGqxeTj0QTtrARw4rroxIIepf2kipn1nw/formResponse?usp=pp_url&amp;entry.1313582257=3090346201&amp;entry.1578404635=Hadir</v>
      </c>
      <c r="R228" s="23" t="s">
        <v>5942</v>
      </c>
      <c r="S228" s="39"/>
      <c r="T228" s="39"/>
      <c r="U228" s="39"/>
      <c r="V228" s="39"/>
    </row>
    <row r="229" ht="22.5" customHeight="1">
      <c r="A229" s="10">
        <v>266.0</v>
      </c>
      <c r="B229" s="36">
        <v>20.0</v>
      </c>
      <c r="C229" s="36" t="s">
        <v>5943</v>
      </c>
      <c r="D229" s="47">
        <v>2.52610227E8</v>
      </c>
      <c r="E229" s="36" t="s">
        <v>5944</v>
      </c>
      <c r="F229" s="36" t="s">
        <v>227</v>
      </c>
      <c r="G229" s="12">
        <v>33.0</v>
      </c>
      <c r="H229" s="48" t="str">
        <f t="shared" si="1"/>
        <v>X-6</v>
      </c>
      <c r="I229" s="19" t="str">
        <f t="shared" si="2"/>
        <v>33 - GC1 X-6</v>
      </c>
      <c r="J229" s="20" t="str">
        <f>VLOOKUP(I229,'Database Grup SCC'!$B$2:$C1382,2,false)</f>
        <v>Khairunnisa (XII)</v>
      </c>
      <c r="K229" s="49" t="s">
        <v>5903</v>
      </c>
      <c r="L229" s="49"/>
      <c r="M229" s="50"/>
      <c r="N229" s="33" t="s">
        <v>5904</v>
      </c>
      <c r="O229" s="34"/>
      <c r="P229" s="34"/>
      <c r="Q229" s="24" t="str">
        <f t="shared" si="3"/>
        <v>https://docs.google.com/forms/d/e/1FAIpQLSeZ-R1GrWlAPkfaThGqxeTj0QTtrARw4rroxIIepf2kipn1nw/formResponse?usp=pp_url&amp;entry.1313582257=0107948623&amp;entry.1578404635=Hadir</v>
      </c>
      <c r="R229" s="23" t="s">
        <v>5945</v>
      </c>
      <c r="S229" s="39"/>
      <c r="T229" s="39"/>
      <c r="U229" s="39"/>
      <c r="V229" s="39"/>
    </row>
    <row r="230" ht="22.5" customHeight="1">
      <c r="A230" s="18">
        <v>267.0</v>
      </c>
      <c r="B230" s="36">
        <v>23.0</v>
      </c>
      <c r="C230" s="36" t="s">
        <v>5946</v>
      </c>
      <c r="D230" s="47">
        <v>2.52610273E8</v>
      </c>
      <c r="E230" s="36" t="s">
        <v>5947</v>
      </c>
      <c r="F230" s="36" t="s">
        <v>227</v>
      </c>
      <c r="G230" s="12">
        <v>33.0</v>
      </c>
      <c r="H230" s="48" t="str">
        <f t="shared" si="1"/>
        <v>X-6</v>
      </c>
      <c r="I230" s="19" t="str">
        <f t="shared" si="2"/>
        <v>33 - GC1 X-6</v>
      </c>
      <c r="J230" s="20" t="str">
        <f>VLOOKUP(I230,'Database Grup SCC'!$B$2:$C1382,2,false)</f>
        <v>Khairunnisa (XII)</v>
      </c>
      <c r="K230" s="49" t="s">
        <v>5903</v>
      </c>
      <c r="L230" s="49"/>
      <c r="M230" s="50"/>
      <c r="N230" s="33" t="s">
        <v>5904</v>
      </c>
      <c r="O230" s="34"/>
      <c r="P230" s="34"/>
      <c r="Q230" s="24" t="str">
        <f t="shared" si="3"/>
        <v>https://docs.google.com/forms/d/e/1FAIpQLSeZ-R1GrWlAPkfaThGqxeTj0QTtrARw4rroxIIepf2kipn1nw/formResponse?usp=pp_url&amp;entry.1313582257=0099375007&amp;entry.1578404635=Hadir</v>
      </c>
      <c r="R230" s="23" t="s">
        <v>5948</v>
      </c>
      <c r="S230" s="39"/>
      <c r="T230" s="39"/>
      <c r="U230" s="39"/>
      <c r="V230" s="39"/>
    </row>
    <row r="231" ht="22.5" customHeight="1">
      <c r="A231" s="10">
        <v>268.0</v>
      </c>
      <c r="B231" s="36">
        <v>24.0</v>
      </c>
      <c r="C231" s="36" t="s">
        <v>5949</v>
      </c>
      <c r="D231" s="47">
        <v>2.52610279E8</v>
      </c>
      <c r="E231" s="36" t="s">
        <v>5950</v>
      </c>
      <c r="F231" s="36" t="s">
        <v>227</v>
      </c>
      <c r="G231" s="12">
        <v>33.0</v>
      </c>
      <c r="H231" s="48" t="str">
        <f t="shared" si="1"/>
        <v>X-6</v>
      </c>
      <c r="I231" s="19" t="str">
        <f t="shared" si="2"/>
        <v>33 - GC2 X-6</v>
      </c>
      <c r="J231" s="20" t="str">
        <f>VLOOKUP(I231,'Database Grup SCC'!$B$2:$C1382,2,false)</f>
        <v>Bumi (XI)</v>
      </c>
      <c r="K231" s="49" t="s">
        <v>5903</v>
      </c>
      <c r="L231" s="49"/>
      <c r="M231" s="50"/>
      <c r="N231" s="33" t="s">
        <v>5951</v>
      </c>
      <c r="O231" s="34"/>
      <c r="P231" s="34"/>
      <c r="Q231" s="24" t="str">
        <f t="shared" si="3"/>
        <v>https://docs.google.com/forms/d/e/1FAIpQLSeZ-R1GrWlAPkfaThGqxeTj0QTtrARw4rroxIIepf2kipn1nw/formResponse?usp=pp_url&amp;entry.1313582257=0109221606&amp;entry.1578404635=Hadir</v>
      </c>
      <c r="R231" s="23" t="s">
        <v>5952</v>
      </c>
      <c r="S231" s="39"/>
      <c r="T231" s="39"/>
      <c r="U231" s="39"/>
      <c r="V231" s="39"/>
    </row>
    <row r="232" ht="22.5" customHeight="1">
      <c r="A232" s="18">
        <v>269.0</v>
      </c>
      <c r="B232" s="36">
        <v>26.0</v>
      </c>
      <c r="C232" s="36" t="s">
        <v>5953</v>
      </c>
      <c r="D232" s="47">
        <v>2.52610308E8</v>
      </c>
      <c r="E232" s="36" t="s">
        <v>5954</v>
      </c>
      <c r="F232" s="36" t="s">
        <v>227</v>
      </c>
      <c r="G232" s="12">
        <v>33.0</v>
      </c>
      <c r="H232" s="48" t="str">
        <f t="shared" si="1"/>
        <v>X-6</v>
      </c>
      <c r="I232" s="19" t="str">
        <f t="shared" si="2"/>
        <v>33 - GC2 X-6</v>
      </c>
      <c r="J232" s="20" t="str">
        <f>VLOOKUP(I232,'Database Grup SCC'!$B$2:$C1382,2,false)</f>
        <v>Bumi (XI)</v>
      </c>
      <c r="K232" s="49" t="s">
        <v>5903</v>
      </c>
      <c r="L232" s="49"/>
      <c r="M232" s="50"/>
      <c r="N232" s="33" t="s">
        <v>5951</v>
      </c>
      <c r="O232" s="34"/>
      <c r="P232" s="34"/>
      <c r="Q232" s="24" t="str">
        <f t="shared" si="3"/>
        <v>https://docs.google.com/forms/d/e/1FAIpQLSeZ-R1GrWlAPkfaThGqxeTj0QTtrARw4rroxIIepf2kipn1nw/formResponse?usp=pp_url&amp;entry.1313582257=0109522386&amp;entry.1578404635=Hadir</v>
      </c>
      <c r="R232" s="23" t="s">
        <v>5955</v>
      </c>
      <c r="S232" s="39"/>
      <c r="T232" s="39"/>
      <c r="U232" s="39"/>
      <c r="V232" s="39"/>
    </row>
    <row r="233" ht="22.5" customHeight="1">
      <c r="A233" s="10">
        <v>270.0</v>
      </c>
      <c r="B233" s="36">
        <v>28.0</v>
      </c>
      <c r="C233" s="36" t="s">
        <v>5956</v>
      </c>
      <c r="D233" s="47">
        <v>2.52610342E8</v>
      </c>
      <c r="E233" s="36" t="s">
        <v>5957</v>
      </c>
      <c r="F233" s="36" t="s">
        <v>220</v>
      </c>
      <c r="G233" s="12">
        <v>33.0</v>
      </c>
      <c r="H233" s="48" t="str">
        <f t="shared" si="1"/>
        <v>X-6</v>
      </c>
      <c r="I233" s="19" t="str">
        <f t="shared" si="2"/>
        <v>33 - BC X-6</v>
      </c>
      <c r="J233" s="20" t="str">
        <f>VLOOKUP(I233,'Database Grup SCC'!$B$2:$C1382,2,false)</f>
        <v>Rizki Putra</v>
      </c>
      <c r="K233" s="49" t="s">
        <v>5903</v>
      </c>
      <c r="L233" s="49"/>
      <c r="M233" s="50"/>
      <c r="N233" s="33" t="s">
        <v>5926</v>
      </c>
      <c r="O233" s="34"/>
      <c r="P233" s="34"/>
      <c r="Q233" s="24" t="str">
        <f t="shared" si="3"/>
        <v>https://docs.google.com/forms/d/e/1FAIpQLSeZ-R1GrWlAPkfaThGqxeTj0QTtrARw4rroxIIepf2kipn1nw/formResponse?usp=pp_url&amp;entry.1313582257=0098849299&amp;entry.1578404635=Hadir</v>
      </c>
      <c r="R233" s="23" t="s">
        <v>5958</v>
      </c>
      <c r="S233" s="39"/>
      <c r="T233" s="39"/>
      <c r="U233" s="39"/>
      <c r="V233" s="39"/>
    </row>
    <row r="234" ht="22.5" customHeight="1">
      <c r="A234" s="18">
        <v>271.0</v>
      </c>
      <c r="B234" s="36">
        <v>31.0</v>
      </c>
      <c r="C234" s="36" t="s">
        <v>5959</v>
      </c>
      <c r="D234" s="47">
        <v>2.52610394E8</v>
      </c>
      <c r="E234" s="36" t="s">
        <v>5960</v>
      </c>
      <c r="F234" s="36" t="s">
        <v>227</v>
      </c>
      <c r="G234" s="12">
        <v>33.0</v>
      </c>
      <c r="H234" s="48" t="str">
        <f t="shared" si="1"/>
        <v>X-6</v>
      </c>
      <c r="I234" s="19" t="str">
        <f t="shared" si="2"/>
        <v>33 - GC2 X-6</v>
      </c>
      <c r="J234" s="20" t="str">
        <f>VLOOKUP(I234,'Database Grup SCC'!$B$2:$C1382,2,false)</f>
        <v>Bumi (XI)</v>
      </c>
      <c r="K234" s="49" t="s">
        <v>5903</v>
      </c>
      <c r="L234" s="49"/>
      <c r="M234" s="50"/>
      <c r="N234" s="33" t="s">
        <v>5951</v>
      </c>
      <c r="O234" s="34"/>
      <c r="P234" s="34"/>
      <c r="Q234" s="24" t="str">
        <f t="shared" si="3"/>
        <v>https://docs.google.com/forms/d/e/1FAIpQLSeZ-R1GrWlAPkfaThGqxeTj0QTtrARw4rroxIIepf2kipn1nw/formResponse?usp=pp_url&amp;entry.1313582257=0095549480&amp;entry.1578404635=Hadir</v>
      </c>
      <c r="R234" s="23" t="s">
        <v>5961</v>
      </c>
      <c r="S234" s="39"/>
      <c r="T234" s="39"/>
      <c r="U234" s="39"/>
      <c r="V234" s="39"/>
    </row>
    <row r="235" ht="22.5" customHeight="1">
      <c r="A235" s="10">
        <v>272.0</v>
      </c>
      <c r="B235" s="36">
        <v>32.0</v>
      </c>
      <c r="C235" s="36" t="s">
        <v>5962</v>
      </c>
      <c r="D235" s="47">
        <v>2.5261041E8</v>
      </c>
      <c r="E235" s="36" t="s">
        <v>5963</v>
      </c>
      <c r="F235" s="36" t="s">
        <v>227</v>
      </c>
      <c r="G235" s="12">
        <v>33.0</v>
      </c>
      <c r="H235" s="48" t="str">
        <f t="shared" si="1"/>
        <v>X-6</v>
      </c>
      <c r="I235" s="19" t="str">
        <f t="shared" si="2"/>
        <v>33 - GC2 X-6</v>
      </c>
      <c r="J235" s="20" t="str">
        <f>VLOOKUP(I235,'Database Grup SCC'!$B$2:$C1382,2,false)</f>
        <v>Bumi (XI)</v>
      </c>
      <c r="K235" s="49" t="s">
        <v>5903</v>
      </c>
      <c r="L235" s="49"/>
      <c r="M235" s="50"/>
      <c r="N235" s="33" t="s">
        <v>5951</v>
      </c>
      <c r="O235" s="34"/>
      <c r="P235" s="34"/>
      <c r="Q235" s="24" t="str">
        <f t="shared" si="3"/>
        <v>https://docs.google.com/forms/d/e/1FAIpQLSeZ-R1GrWlAPkfaThGqxeTj0QTtrARw4rroxIIepf2kipn1nw/formResponse?usp=pp_url&amp;entry.1313582257=0108065698&amp;entry.1578404635=Hadir</v>
      </c>
      <c r="R235" s="23" t="s">
        <v>5964</v>
      </c>
      <c r="S235" s="39"/>
      <c r="T235" s="39"/>
      <c r="U235" s="39"/>
      <c r="V235" s="39"/>
    </row>
    <row r="236" ht="22.5" customHeight="1">
      <c r="A236" s="18">
        <v>273.0</v>
      </c>
      <c r="B236" s="36">
        <v>33.0</v>
      </c>
      <c r="C236" s="36" t="s">
        <v>5965</v>
      </c>
      <c r="D236" s="47">
        <v>2.52610442E8</v>
      </c>
      <c r="E236" s="36" t="s">
        <v>5966</v>
      </c>
      <c r="F236" s="36" t="s">
        <v>227</v>
      </c>
      <c r="G236" s="12">
        <v>33.0</v>
      </c>
      <c r="H236" s="48" t="str">
        <f t="shared" si="1"/>
        <v>X-6</v>
      </c>
      <c r="I236" s="19" t="str">
        <f t="shared" si="2"/>
        <v>33 - GC2 X-6</v>
      </c>
      <c r="J236" s="20" t="str">
        <f>VLOOKUP(I236,'Database Grup SCC'!$B$2:$C1382,2,false)</f>
        <v>Bumi (XI)</v>
      </c>
      <c r="K236" s="49" t="s">
        <v>5903</v>
      </c>
      <c r="L236" s="49"/>
      <c r="M236" s="50"/>
      <c r="N236" s="33" t="s">
        <v>5951</v>
      </c>
      <c r="O236" s="34"/>
      <c r="P236" s="34"/>
      <c r="Q236" s="24" t="str">
        <f t="shared" si="3"/>
        <v>https://docs.google.com/forms/d/e/1FAIpQLSeZ-R1GrWlAPkfaThGqxeTj0QTtrARw4rroxIIepf2kipn1nw/formResponse?usp=pp_url&amp;entry.1313582257=0106380486&amp;entry.1578404635=Hadir</v>
      </c>
      <c r="R236" s="23" t="s">
        <v>5967</v>
      </c>
      <c r="S236" s="39"/>
      <c r="T236" s="39"/>
      <c r="U236" s="39"/>
      <c r="V236" s="39"/>
    </row>
    <row r="237" ht="22.5" customHeight="1">
      <c r="A237" s="10">
        <v>274.0</v>
      </c>
      <c r="B237" s="36">
        <v>35.0</v>
      </c>
      <c r="C237" s="36" t="s">
        <v>5968</v>
      </c>
      <c r="D237" s="47">
        <v>2.52610449E8</v>
      </c>
      <c r="E237" s="36" t="s">
        <v>5969</v>
      </c>
      <c r="F237" s="36" t="s">
        <v>220</v>
      </c>
      <c r="G237" s="12">
        <v>33.0</v>
      </c>
      <c r="H237" s="48" t="str">
        <f t="shared" si="1"/>
        <v>X-6</v>
      </c>
      <c r="I237" s="19" t="str">
        <f t="shared" si="2"/>
        <v>33 - BC X-6</v>
      </c>
      <c r="J237" s="20" t="str">
        <f>VLOOKUP(I237,'Database Grup SCC'!$B$2:$C1382,2,false)</f>
        <v>Rizki Putra</v>
      </c>
      <c r="K237" s="49" t="s">
        <v>5903</v>
      </c>
      <c r="L237" s="49"/>
      <c r="M237" s="50"/>
      <c r="N237" s="33" t="s">
        <v>5926</v>
      </c>
      <c r="O237" s="34"/>
      <c r="P237" s="34"/>
      <c r="Q237" s="24" t="str">
        <f t="shared" si="3"/>
        <v>https://docs.google.com/forms/d/e/1FAIpQLSeZ-R1GrWlAPkfaThGqxeTj0QTtrARw4rroxIIepf2kipn1nw/formResponse?usp=pp_url&amp;entry.1313582257=0092020564&amp;entry.1578404635=Hadir</v>
      </c>
      <c r="R237" s="23" t="s">
        <v>5970</v>
      </c>
      <c r="S237" s="39"/>
      <c r="T237" s="39"/>
      <c r="U237" s="39"/>
      <c r="V237" s="39"/>
    </row>
    <row r="238" ht="22.5" customHeight="1">
      <c r="A238" s="18">
        <v>275.0</v>
      </c>
      <c r="B238" s="36">
        <v>36.0</v>
      </c>
      <c r="C238" s="36" t="s">
        <v>5971</v>
      </c>
      <c r="D238" s="47">
        <v>2.52610453E8</v>
      </c>
      <c r="E238" s="36" t="s">
        <v>5972</v>
      </c>
      <c r="F238" s="36" t="s">
        <v>220</v>
      </c>
      <c r="G238" s="12">
        <v>33.0</v>
      </c>
      <c r="H238" s="48" t="str">
        <f t="shared" si="1"/>
        <v>X-6</v>
      </c>
      <c r="I238" s="19" t="str">
        <f t="shared" si="2"/>
        <v>33 - BC X-6</v>
      </c>
      <c r="J238" s="20" t="str">
        <f>VLOOKUP(I238,'Database Grup SCC'!$B$2:$C1382,2,false)</f>
        <v>Rizki Putra</v>
      </c>
      <c r="K238" s="49" t="s">
        <v>5903</v>
      </c>
      <c r="L238" s="49"/>
      <c r="M238" s="50"/>
      <c r="N238" s="33" t="s">
        <v>5926</v>
      </c>
      <c r="O238" s="34"/>
      <c r="P238" s="34"/>
      <c r="Q238" s="24" t="str">
        <f t="shared" si="3"/>
        <v>https://docs.google.com/forms/d/e/1FAIpQLSeZ-R1GrWlAPkfaThGqxeTj0QTtrARw4rroxIIepf2kipn1nw/formResponse?usp=pp_url&amp;entry.1313582257=0105446689&amp;entry.1578404635=Hadir</v>
      </c>
      <c r="R238" s="23" t="s">
        <v>5973</v>
      </c>
      <c r="S238" s="39"/>
      <c r="T238" s="39"/>
      <c r="U238" s="39"/>
      <c r="V238" s="39"/>
    </row>
    <row r="239" ht="22.5" customHeight="1">
      <c r="A239" s="10">
        <v>276.0</v>
      </c>
      <c r="B239" s="36">
        <v>39.0</v>
      </c>
      <c r="C239" s="36" t="s">
        <v>5974</v>
      </c>
      <c r="D239" s="47">
        <v>2.52610479E8</v>
      </c>
      <c r="E239" s="36" t="s">
        <v>5975</v>
      </c>
      <c r="F239" s="36" t="s">
        <v>220</v>
      </c>
      <c r="G239" s="12">
        <v>33.0</v>
      </c>
      <c r="H239" s="48" t="str">
        <f t="shared" si="1"/>
        <v>X-6</v>
      </c>
      <c r="I239" s="19" t="str">
        <f t="shared" si="2"/>
        <v>33 - BC X-6</v>
      </c>
      <c r="J239" s="20" t="str">
        <f>VLOOKUP(I239,'Database Grup SCC'!$B$2:$C1382,2,false)</f>
        <v>Rizki Putra</v>
      </c>
      <c r="K239" s="49" t="s">
        <v>5903</v>
      </c>
      <c r="L239" s="49"/>
      <c r="M239" s="50"/>
      <c r="N239" s="33" t="s">
        <v>5926</v>
      </c>
      <c r="O239" s="34"/>
      <c r="P239" s="34"/>
      <c r="Q239" s="24" t="str">
        <f t="shared" si="3"/>
        <v>https://docs.google.com/forms/d/e/1FAIpQLSeZ-R1GrWlAPkfaThGqxeTj0QTtrARw4rroxIIepf2kipn1nw/formResponse?usp=pp_url&amp;entry.1313582257=0093623051&amp;entry.1578404635=Hadir</v>
      </c>
      <c r="R239" s="23" t="s">
        <v>5976</v>
      </c>
      <c r="S239" s="39"/>
      <c r="T239" s="39"/>
      <c r="U239" s="39"/>
      <c r="V239" s="39"/>
    </row>
    <row r="240" ht="22.5" customHeight="1">
      <c r="A240" s="18">
        <v>277.0</v>
      </c>
      <c r="B240" s="36">
        <v>40.0</v>
      </c>
      <c r="C240" s="36" t="s">
        <v>5977</v>
      </c>
      <c r="D240" s="47">
        <v>2.52610484E8</v>
      </c>
      <c r="E240" s="36" t="s">
        <v>5978</v>
      </c>
      <c r="F240" s="36" t="s">
        <v>227</v>
      </c>
      <c r="G240" s="12">
        <v>33.0</v>
      </c>
      <c r="H240" s="48" t="str">
        <f t="shared" si="1"/>
        <v>X-6</v>
      </c>
      <c r="I240" s="19" t="str">
        <f t="shared" si="2"/>
        <v>33 - GC2 X-6</v>
      </c>
      <c r="J240" s="20" t="str">
        <f>VLOOKUP(I240,'Database Grup SCC'!$B$2:$C1382,2,false)</f>
        <v>Bumi (XI)</v>
      </c>
      <c r="K240" s="49" t="s">
        <v>5903</v>
      </c>
      <c r="L240" s="49"/>
      <c r="M240" s="50"/>
      <c r="N240" s="33" t="s">
        <v>5951</v>
      </c>
      <c r="O240" s="34"/>
      <c r="P240" s="34"/>
      <c r="Q240" s="24" t="str">
        <f t="shared" si="3"/>
        <v>https://docs.google.com/forms/d/e/1FAIpQLSeZ-R1GrWlAPkfaThGqxeTj0QTtrARw4rroxIIepf2kipn1nw/formResponse?usp=pp_url&amp;entry.1313582257=0108406931&amp;entry.1578404635=Hadir</v>
      </c>
      <c r="R240" s="23" t="s">
        <v>5979</v>
      </c>
      <c r="S240" s="39"/>
      <c r="T240" s="39"/>
      <c r="U240" s="39"/>
      <c r="V240" s="39"/>
    </row>
    <row r="241" ht="22.5" customHeight="1">
      <c r="A241" s="10">
        <v>278.0</v>
      </c>
      <c r="B241" s="36">
        <v>41.0</v>
      </c>
      <c r="C241" s="36" t="s">
        <v>5980</v>
      </c>
      <c r="D241" s="47">
        <v>2.52610486E8</v>
      </c>
      <c r="E241" s="36" t="s">
        <v>5981</v>
      </c>
      <c r="F241" s="36" t="s">
        <v>227</v>
      </c>
      <c r="G241" s="12">
        <v>33.0</v>
      </c>
      <c r="H241" s="48" t="str">
        <f t="shared" si="1"/>
        <v>X-6</v>
      </c>
      <c r="I241" s="19" t="str">
        <f t="shared" si="2"/>
        <v>33 - GC2 X-6</v>
      </c>
      <c r="J241" s="20" t="str">
        <f>VLOOKUP(I241,'Database Grup SCC'!$B$2:$C1382,2,false)</f>
        <v>Bumi (XI)</v>
      </c>
      <c r="K241" s="49" t="s">
        <v>5903</v>
      </c>
      <c r="L241" s="49"/>
      <c r="M241" s="50"/>
      <c r="N241" s="33" t="s">
        <v>5951</v>
      </c>
      <c r="O241" s="34"/>
      <c r="P241" s="34"/>
      <c r="Q241" s="24" t="str">
        <f t="shared" si="3"/>
        <v>https://docs.google.com/forms/d/e/1FAIpQLSeZ-R1GrWlAPkfaThGqxeTj0QTtrARw4rroxIIepf2kipn1nw/formResponse?usp=pp_url&amp;entry.1313582257=0104171202&amp;entry.1578404635=Hadir</v>
      </c>
      <c r="R241" s="23" t="s">
        <v>5982</v>
      </c>
      <c r="S241" s="39"/>
      <c r="T241" s="39"/>
      <c r="U241" s="39"/>
      <c r="V241" s="39"/>
    </row>
    <row r="242" ht="22.5" customHeight="1">
      <c r="A242" s="18">
        <v>279.0</v>
      </c>
      <c r="B242" s="36">
        <v>42.0</v>
      </c>
      <c r="C242" s="36" t="s">
        <v>5983</v>
      </c>
      <c r="D242" s="47">
        <v>2.52610495E8</v>
      </c>
      <c r="E242" s="36" t="s">
        <v>5984</v>
      </c>
      <c r="F242" s="36" t="s">
        <v>227</v>
      </c>
      <c r="G242" s="12">
        <v>33.0</v>
      </c>
      <c r="H242" s="48" t="str">
        <f t="shared" si="1"/>
        <v>X-6</v>
      </c>
      <c r="I242" s="19" t="str">
        <f t="shared" si="2"/>
        <v>33 - GC2 X-6</v>
      </c>
      <c r="J242" s="20" t="str">
        <f>VLOOKUP(I242,'Database Grup SCC'!$B$2:$C1382,2,false)</f>
        <v>Bumi (XI)</v>
      </c>
      <c r="K242" s="49" t="s">
        <v>5903</v>
      </c>
      <c r="L242" s="49"/>
      <c r="M242" s="50"/>
      <c r="N242" s="33" t="s">
        <v>5951</v>
      </c>
      <c r="O242" s="34"/>
      <c r="P242" s="34"/>
      <c r="Q242" s="24" t="str">
        <f t="shared" si="3"/>
        <v>https://docs.google.com/forms/d/e/1FAIpQLSeZ-R1GrWlAPkfaThGqxeTj0QTtrARw4rroxIIepf2kipn1nw/formResponse?usp=pp_url&amp;entry.1313582257=3096816288&amp;entry.1578404635=Hadir</v>
      </c>
      <c r="R242" s="23" t="s">
        <v>5985</v>
      </c>
      <c r="S242" s="39"/>
      <c r="T242" s="39"/>
      <c r="U242" s="39"/>
      <c r="V242" s="39"/>
    </row>
    <row r="243" ht="22.5" customHeight="1">
      <c r="A243" s="10">
        <v>280.0</v>
      </c>
      <c r="B243" s="36">
        <v>43.0</v>
      </c>
      <c r="C243" s="36" t="s">
        <v>5986</v>
      </c>
      <c r="D243" s="47">
        <v>2.52610505E8</v>
      </c>
      <c r="E243" s="36" t="s">
        <v>5987</v>
      </c>
      <c r="F243" s="36" t="s">
        <v>227</v>
      </c>
      <c r="G243" s="12">
        <v>33.0</v>
      </c>
      <c r="H243" s="48" t="str">
        <f t="shared" si="1"/>
        <v>X-6</v>
      </c>
      <c r="I243" s="19" t="str">
        <f t="shared" si="2"/>
        <v>33 - GC2 X-6</v>
      </c>
      <c r="J243" s="20" t="str">
        <f>VLOOKUP(I243,'Database Grup SCC'!$B$2:$C1382,2,false)</f>
        <v>Bumi (XI)</v>
      </c>
      <c r="K243" s="49" t="s">
        <v>5903</v>
      </c>
      <c r="L243" s="49"/>
      <c r="M243" s="50"/>
      <c r="N243" s="33" t="s">
        <v>5951</v>
      </c>
      <c r="O243" s="34"/>
      <c r="P243" s="34"/>
      <c r="Q243" s="24" t="str">
        <f t="shared" si="3"/>
        <v>https://docs.google.com/forms/d/e/1FAIpQLSeZ-R1GrWlAPkfaThGqxeTj0QTtrARw4rroxIIepf2kipn1nw/formResponse?usp=pp_url&amp;entry.1313582257=0102698949&amp;entry.1578404635=Hadir</v>
      </c>
      <c r="R243" s="23" t="s">
        <v>5988</v>
      </c>
      <c r="S243" s="39"/>
      <c r="T243" s="39"/>
      <c r="U243" s="39"/>
      <c r="V243" s="39"/>
    </row>
    <row r="244" ht="22.5" customHeight="1">
      <c r="A244" s="18">
        <v>281.0</v>
      </c>
      <c r="B244" s="36">
        <v>44.0</v>
      </c>
      <c r="C244" s="36" t="s">
        <v>5989</v>
      </c>
      <c r="D244" s="47">
        <v>2.52610517E8</v>
      </c>
      <c r="E244" s="36" t="s">
        <v>5990</v>
      </c>
      <c r="F244" s="36" t="s">
        <v>227</v>
      </c>
      <c r="G244" s="12">
        <v>33.0</v>
      </c>
      <c r="H244" s="48" t="str">
        <f t="shared" si="1"/>
        <v>X-6</v>
      </c>
      <c r="I244" s="19" t="str">
        <f t="shared" si="2"/>
        <v>33 - GC2 X-6</v>
      </c>
      <c r="J244" s="20" t="str">
        <f>VLOOKUP(I244,'Database Grup SCC'!$B$2:$C1382,2,false)</f>
        <v>Bumi (XI)</v>
      </c>
      <c r="K244" s="49" t="s">
        <v>5903</v>
      </c>
      <c r="L244" s="49"/>
      <c r="M244" s="50"/>
      <c r="N244" s="33" t="s">
        <v>5951</v>
      </c>
      <c r="O244" s="34"/>
      <c r="P244" s="34"/>
      <c r="Q244" s="24" t="str">
        <f t="shared" si="3"/>
        <v>https://docs.google.com/forms/d/e/1FAIpQLSeZ-R1GrWlAPkfaThGqxeTj0QTtrARw4rroxIIepf2kipn1nw/formResponse?usp=pp_url&amp;entry.1313582257=3096600612&amp;entry.1578404635=Hadir</v>
      </c>
      <c r="R244" s="23" t="s">
        <v>5991</v>
      </c>
      <c r="S244" s="39"/>
      <c r="T244" s="39"/>
      <c r="U244" s="39"/>
      <c r="V244" s="39"/>
    </row>
    <row r="245" ht="22.5" customHeight="1">
      <c r="A245" s="10">
        <v>282.0</v>
      </c>
      <c r="B245" s="36">
        <v>45.0</v>
      </c>
      <c r="C245" s="36" t="s">
        <v>5992</v>
      </c>
      <c r="D245" s="47">
        <v>2.52610528E8</v>
      </c>
      <c r="E245" s="36" t="s">
        <v>5993</v>
      </c>
      <c r="F245" s="36" t="s">
        <v>220</v>
      </c>
      <c r="G245" s="12">
        <v>33.0</v>
      </c>
      <c r="H245" s="48" t="str">
        <f t="shared" si="1"/>
        <v>X-6</v>
      </c>
      <c r="I245" s="19" t="str">
        <f t="shared" si="2"/>
        <v>33 - BC X-6</v>
      </c>
      <c r="J245" s="20" t="str">
        <f>VLOOKUP(I245,'Database Grup SCC'!$B$2:$C1382,2,false)</f>
        <v>Rizki Putra</v>
      </c>
      <c r="K245" s="49" t="s">
        <v>5903</v>
      </c>
      <c r="L245" s="49"/>
      <c r="M245" s="50"/>
      <c r="N245" s="33" t="s">
        <v>5926</v>
      </c>
      <c r="O245" s="34"/>
      <c r="P245" s="34"/>
      <c r="Q245" s="24" t="str">
        <f t="shared" si="3"/>
        <v>https://docs.google.com/forms/d/e/1FAIpQLSeZ-R1GrWlAPkfaThGqxeTj0QTtrARw4rroxIIepf2kipn1nw/formResponse?usp=pp_url&amp;entry.1313582257=0106462308&amp;entry.1578404635=Hadir</v>
      </c>
      <c r="R245" s="23" t="s">
        <v>5994</v>
      </c>
      <c r="S245" s="39"/>
      <c r="T245" s="39"/>
      <c r="U245" s="39"/>
      <c r="V245" s="39"/>
    </row>
    <row r="246" ht="22.5" customHeight="1">
      <c r="A246" s="18">
        <v>283.0</v>
      </c>
      <c r="B246" s="36">
        <v>46.0</v>
      </c>
      <c r="C246" s="36" t="s">
        <v>5995</v>
      </c>
      <c r="D246" s="47">
        <v>2.52610529E8</v>
      </c>
      <c r="E246" s="36" t="s">
        <v>5996</v>
      </c>
      <c r="F246" s="36" t="s">
        <v>227</v>
      </c>
      <c r="G246" s="12">
        <v>33.0</v>
      </c>
      <c r="H246" s="48" t="str">
        <f t="shared" si="1"/>
        <v>X-6</v>
      </c>
      <c r="I246" s="19" t="str">
        <f t="shared" si="2"/>
        <v>33 - GC2 X-6</v>
      </c>
      <c r="J246" s="20" t="str">
        <f>VLOOKUP(I246,'Database Grup SCC'!$B$2:$C1382,2,false)</f>
        <v>Bumi (XI)</v>
      </c>
      <c r="K246" s="49" t="s">
        <v>5903</v>
      </c>
      <c r="L246" s="49"/>
      <c r="M246" s="50"/>
      <c r="N246" s="33" t="s">
        <v>5951</v>
      </c>
      <c r="O246" s="34"/>
      <c r="P246" s="34"/>
      <c r="Q246" s="24" t="str">
        <f t="shared" si="3"/>
        <v>https://docs.google.com/forms/d/e/1FAIpQLSeZ-R1GrWlAPkfaThGqxeTj0QTtrARw4rroxIIepf2kipn1nw/formResponse?usp=pp_url&amp;entry.1313582257=0101383149&amp;entry.1578404635=Hadir</v>
      </c>
      <c r="R246" s="23" t="s">
        <v>5997</v>
      </c>
      <c r="S246" s="39"/>
      <c r="T246" s="39"/>
      <c r="U246" s="39"/>
      <c r="V246" s="39"/>
    </row>
    <row r="247" ht="22.5" customHeight="1">
      <c r="A247" s="18">
        <v>291.0</v>
      </c>
      <c r="B247" s="36">
        <v>1.0</v>
      </c>
      <c r="C247" s="36" t="s">
        <v>5998</v>
      </c>
      <c r="D247" s="47">
        <v>2.52610006E8</v>
      </c>
      <c r="E247" s="36" t="s">
        <v>5999</v>
      </c>
      <c r="F247" s="36" t="s">
        <v>227</v>
      </c>
      <c r="G247" s="12">
        <v>33.0</v>
      </c>
      <c r="H247" s="48" t="str">
        <f t="shared" si="1"/>
        <v>X-7</v>
      </c>
      <c r="I247" s="19" t="str">
        <f t="shared" si="2"/>
        <v>33 - GC1 X-7</v>
      </c>
      <c r="J247" s="20" t="str">
        <f>VLOOKUP(I247,'Database Grup SCC'!$B$2:$C1382,2,false)</f>
        <v>Shafa</v>
      </c>
      <c r="K247" s="49" t="s">
        <v>6000</v>
      </c>
      <c r="L247" s="49"/>
      <c r="M247" s="50"/>
      <c r="N247" s="33" t="s">
        <v>6001</v>
      </c>
      <c r="O247" s="34"/>
      <c r="P247" s="34"/>
      <c r="Q247" s="24" t="str">
        <f t="shared" si="3"/>
        <v>https://docs.google.com/forms/d/e/1FAIpQLSeZ-R1GrWlAPkfaThGqxeTj0QTtrARw4rroxIIepf2kipn1nw/formResponse?usp=pp_url&amp;entry.1313582257=0101303057&amp;entry.1578404635=Hadir</v>
      </c>
      <c r="R247" s="23" t="s">
        <v>6002</v>
      </c>
      <c r="S247" s="39"/>
      <c r="T247" s="39"/>
      <c r="U247" s="39"/>
      <c r="V247" s="39"/>
    </row>
    <row r="248" ht="22.5" customHeight="1">
      <c r="A248" s="10">
        <v>292.0</v>
      </c>
      <c r="B248" s="36">
        <v>2.0</v>
      </c>
      <c r="C248" s="36" t="s">
        <v>6003</v>
      </c>
      <c r="D248" s="47">
        <v>2.52610017E8</v>
      </c>
      <c r="E248" s="36" t="s">
        <v>6004</v>
      </c>
      <c r="F248" s="36" t="s">
        <v>220</v>
      </c>
      <c r="G248" s="12">
        <v>33.0</v>
      </c>
      <c r="H248" s="48" t="str">
        <f t="shared" si="1"/>
        <v>X-7</v>
      </c>
      <c r="I248" s="19" t="str">
        <f t="shared" si="2"/>
        <v>33 - BC X-7</v>
      </c>
      <c r="J248" s="20" t="str">
        <f>VLOOKUP(I248,'Database Grup SCC'!$B$2:$C1382,2,false)</f>
        <v>Rizza Al-Farisi</v>
      </c>
      <c r="K248" s="49" t="s">
        <v>6000</v>
      </c>
      <c r="L248" s="49"/>
      <c r="M248" s="50"/>
      <c r="N248" s="33" t="s">
        <v>6005</v>
      </c>
      <c r="O248" s="34"/>
      <c r="P248" s="34"/>
      <c r="Q248" s="24" t="str">
        <f t="shared" si="3"/>
        <v>https://docs.google.com/forms/d/e/1FAIpQLSeZ-R1GrWlAPkfaThGqxeTj0QTtrARw4rroxIIepf2kipn1nw/formResponse?usp=pp_url&amp;entry.1313582257=0109597144&amp;entry.1578404635=Hadir</v>
      </c>
      <c r="R248" s="23" t="s">
        <v>6006</v>
      </c>
      <c r="S248" s="39"/>
      <c r="T248" s="39"/>
      <c r="U248" s="39"/>
      <c r="V248" s="39"/>
    </row>
    <row r="249" ht="22.5" customHeight="1">
      <c r="A249" s="18">
        <v>293.0</v>
      </c>
      <c r="B249" s="36">
        <v>3.0</v>
      </c>
      <c r="C249" s="36" t="s">
        <v>6007</v>
      </c>
      <c r="D249" s="47">
        <v>2.52610025E8</v>
      </c>
      <c r="E249" s="36" t="s">
        <v>6008</v>
      </c>
      <c r="F249" s="36" t="s">
        <v>227</v>
      </c>
      <c r="G249" s="12">
        <v>33.0</v>
      </c>
      <c r="H249" s="48" t="str">
        <f t="shared" si="1"/>
        <v>X-7</v>
      </c>
      <c r="I249" s="19" t="str">
        <f t="shared" si="2"/>
        <v>33 - GC1 X-7</v>
      </c>
      <c r="J249" s="20" t="str">
        <f>VLOOKUP(I249,'Database Grup SCC'!$B$2:$C1382,2,false)</f>
        <v>Shafa</v>
      </c>
      <c r="K249" s="49" t="s">
        <v>6000</v>
      </c>
      <c r="L249" s="49"/>
      <c r="M249" s="50"/>
      <c r="N249" s="33" t="s">
        <v>6001</v>
      </c>
      <c r="O249" s="34"/>
      <c r="P249" s="34"/>
      <c r="Q249" s="24" t="str">
        <f t="shared" si="3"/>
        <v>https://docs.google.com/forms/d/e/1FAIpQLSeZ-R1GrWlAPkfaThGqxeTj0QTtrARw4rroxIIepf2kipn1nw/formResponse?usp=pp_url&amp;entry.1313582257=3096764634&amp;entry.1578404635=Hadir</v>
      </c>
      <c r="R249" s="23" t="s">
        <v>6009</v>
      </c>
      <c r="S249" s="39"/>
      <c r="T249" s="39"/>
      <c r="U249" s="39"/>
      <c r="V249" s="39"/>
    </row>
    <row r="250" ht="22.5" customHeight="1">
      <c r="A250" s="10">
        <v>294.0</v>
      </c>
      <c r="B250" s="36">
        <v>4.0</v>
      </c>
      <c r="C250" s="36" t="s">
        <v>6010</v>
      </c>
      <c r="D250" s="47">
        <v>2.52610044E8</v>
      </c>
      <c r="E250" s="36" t="s">
        <v>6011</v>
      </c>
      <c r="F250" s="36" t="s">
        <v>227</v>
      </c>
      <c r="G250" s="12">
        <v>33.0</v>
      </c>
      <c r="H250" s="48" t="str">
        <f t="shared" si="1"/>
        <v>X-7</v>
      </c>
      <c r="I250" s="19" t="str">
        <f t="shared" si="2"/>
        <v>33 - GC1 X-7</v>
      </c>
      <c r="J250" s="20" t="str">
        <f>VLOOKUP(I250,'Database Grup SCC'!$B$2:$C1382,2,false)</f>
        <v>Shafa</v>
      </c>
      <c r="K250" s="49" t="s">
        <v>6000</v>
      </c>
      <c r="L250" s="49"/>
      <c r="M250" s="50"/>
      <c r="N250" s="33" t="s">
        <v>6001</v>
      </c>
      <c r="O250" s="34"/>
      <c r="P250" s="34"/>
      <c r="Q250" s="24" t="str">
        <f t="shared" si="3"/>
        <v>https://docs.google.com/forms/d/e/1FAIpQLSeZ-R1GrWlAPkfaThGqxeTj0QTtrARw4rroxIIepf2kipn1nw/formResponse?usp=pp_url&amp;entry.1313582257=0094347087&amp;entry.1578404635=Hadir</v>
      </c>
      <c r="R250" s="23" t="s">
        <v>6012</v>
      </c>
      <c r="S250" s="39"/>
      <c r="T250" s="39"/>
      <c r="U250" s="39"/>
      <c r="V250" s="39"/>
    </row>
    <row r="251" ht="22.5" customHeight="1">
      <c r="A251" s="18">
        <v>295.0</v>
      </c>
      <c r="B251" s="36">
        <v>5.0</v>
      </c>
      <c r="C251" s="36" t="s">
        <v>6013</v>
      </c>
      <c r="D251" s="47">
        <v>2.52610051E8</v>
      </c>
      <c r="E251" s="36" t="s">
        <v>6014</v>
      </c>
      <c r="F251" s="36" t="s">
        <v>227</v>
      </c>
      <c r="G251" s="12">
        <v>33.0</v>
      </c>
      <c r="H251" s="48" t="str">
        <f t="shared" si="1"/>
        <v>X-7</v>
      </c>
      <c r="I251" s="19" t="str">
        <f t="shared" si="2"/>
        <v>33 - GC1 X-7</v>
      </c>
      <c r="J251" s="20" t="str">
        <f>VLOOKUP(I251,'Database Grup SCC'!$B$2:$C1382,2,false)</f>
        <v>Shafa</v>
      </c>
      <c r="K251" s="49" t="s">
        <v>6000</v>
      </c>
      <c r="L251" s="49"/>
      <c r="M251" s="50"/>
      <c r="N251" s="33" t="s">
        <v>6001</v>
      </c>
      <c r="O251" s="34"/>
      <c r="P251" s="34"/>
      <c r="Q251" s="24" t="str">
        <f t="shared" si="3"/>
        <v>https://docs.google.com/forms/d/e/1FAIpQLSeZ-R1GrWlAPkfaThGqxeTj0QTtrARw4rroxIIepf2kipn1nw/formResponse?usp=pp_url&amp;entry.1313582257=0101401010&amp;entry.1578404635=Hadir</v>
      </c>
      <c r="R251" s="23" t="s">
        <v>6015</v>
      </c>
      <c r="S251" s="39"/>
      <c r="T251" s="39"/>
      <c r="U251" s="39"/>
      <c r="V251" s="39"/>
    </row>
    <row r="252" ht="22.5" customHeight="1">
      <c r="A252" s="10">
        <v>296.0</v>
      </c>
      <c r="B252" s="36">
        <v>6.0</v>
      </c>
      <c r="C252" s="36" t="s">
        <v>6016</v>
      </c>
      <c r="D252" s="47">
        <v>2.52610064E8</v>
      </c>
      <c r="E252" s="36" t="s">
        <v>6017</v>
      </c>
      <c r="F252" s="36" t="s">
        <v>227</v>
      </c>
      <c r="G252" s="12">
        <v>33.0</v>
      </c>
      <c r="H252" s="48" t="str">
        <f t="shared" si="1"/>
        <v>X-7</v>
      </c>
      <c r="I252" s="19" t="str">
        <f t="shared" si="2"/>
        <v>33 - GC1 X-7</v>
      </c>
      <c r="J252" s="20" t="str">
        <f>VLOOKUP(I252,'Database Grup SCC'!$B$2:$C1382,2,false)</f>
        <v>Shafa</v>
      </c>
      <c r="K252" s="49" t="s">
        <v>6000</v>
      </c>
      <c r="L252" s="49"/>
      <c r="M252" s="50"/>
      <c r="N252" s="33" t="s">
        <v>6001</v>
      </c>
      <c r="O252" s="34"/>
      <c r="P252" s="34"/>
      <c r="Q252" s="24" t="str">
        <f t="shared" si="3"/>
        <v>https://docs.google.com/forms/d/e/1FAIpQLSeZ-R1GrWlAPkfaThGqxeTj0QTtrARw4rroxIIepf2kipn1nw/formResponse?usp=pp_url&amp;entry.1313582257=0106758481&amp;entry.1578404635=Hadir</v>
      </c>
      <c r="R252" s="23" t="s">
        <v>6018</v>
      </c>
      <c r="S252" s="39"/>
      <c r="T252" s="39"/>
      <c r="U252" s="39"/>
      <c r="V252" s="39"/>
    </row>
    <row r="253" ht="22.5" customHeight="1">
      <c r="A253" s="18">
        <v>297.0</v>
      </c>
      <c r="B253" s="36">
        <v>7.0</v>
      </c>
      <c r="C253" s="36" t="s">
        <v>6019</v>
      </c>
      <c r="D253" s="47">
        <v>2.52610113E8</v>
      </c>
      <c r="E253" s="36" t="s">
        <v>6020</v>
      </c>
      <c r="F253" s="36" t="s">
        <v>220</v>
      </c>
      <c r="G253" s="12">
        <v>33.0</v>
      </c>
      <c r="H253" s="48" t="str">
        <f t="shared" si="1"/>
        <v>X-7</v>
      </c>
      <c r="I253" s="19" t="str">
        <f t="shared" si="2"/>
        <v>33 - BC X-7</v>
      </c>
      <c r="J253" s="20" t="str">
        <f>VLOOKUP(I253,'Database Grup SCC'!$B$2:$C1382,2,false)</f>
        <v>Rizza Al-Farisi</v>
      </c>
      <c r="K253" s="49" t="s">
        <v>6000</v>
      </c>
      <c r="L253" s="49"/>
      <c r="M253" s="50"/>
      <c r="N253" s="33" t="s">
        <v>6005</v>
      </c>
      <c r="O253" s="34"/>
      <c r="P253" s="34"/>
      <c r="Q253" s="24" t="str">
        <f t="shared" si="3"/>
        <v>https://docs.google.com/forms/d/e/1FAIpQLSeZ-R1GrWlAPkfaThGqxeTj0QTtrARw4rroxIIepf2kipn1nw/formResponse?usp=pp_url&amp;entry.1313582257=0092241333&amp;entry.1578404635=Hadir</v>
      </c>
      <c r="R253" s="23" t="s">
        <v>6021</v>
      </c>
      <c r="S253" s="39"/>
      <c r="T253" s="39"/>
      <c r="U253" s="39"/>
      <c r="V253" s="39"/>
    </row>
    <row r="254" ht="22.5" customHeight="1">
      <c r="A254" s="10">
        <v>298.0</v>
      </c>
      <c r="B254" s="36">
        <v>8.0</v>
      </c>
      <c r="C254" s="36" t="s">
        <v>6022</v>
      </c>
      <c r="D254" s="47">
        <v>2.5261014E8</v>
      </c>
      <c r="E254" s="36" t="s">
        <v>6023</v>
      </c>
      <c r="F254" s="36" t="s">
        <v>227</v>
      </c>
      <c r="G254" s="12">
        <v>33.0</v>
      </c>
      <c r="H254" s="48" t="str">
        <f t="shared" si="1"/>
        <v>X-7</v>
      </c>
      <c r="I254" s="19" t="str">
        <f t="shared" si="2"/>
        <v>33 - GC1 X-7</v>
      </c>
      <c r="J254" s="20" t="str">
        <f>VLOOKUP(I254,'Database Grup SCC'!$B$2:$C1382,2,false)</f>
        <v>Shafa</v>
      </c>
      <c r="K254" s="49" t="s">
        <v>6000</v>
      </c>
      <c r="L254" s="49"/>
      <c r="M254" s="50"/>
      <c r="N254" s="33" t="s">
        <v>6001</v>
      </c>
      <c r="O254" s="34"/>
      <c r="P254" s="34"/>
      <c r="Q254" s="24" t="str">
        <f t="shared" si="3"/>
        <v>https://docs.google.com/forms/d/e/1FAIpQLSeZ-R1GrWlAPkfaThGqxeTj0QTtrARw4rroxIIepf2kipn1nw/formResponse?usp=pp_url&amp;entry.1313582257=0102239764&amp;entry.1578404635=Hadir</v>
      </c>
      <c r="R254" s="23" t="s">
        <v>6024</v>
      </c>
      <c r="S254" s="39"/>
      <c r="T254" s="39"/>
      <c r="U254" s="39"/>
      <c r="V254" s="39"/>
    </row>
    <row r="255" ht="22.5" customHeight="1">
      <c r="A255" s="18">
        <v>299.0</v>
      </c>
      <c r="B255" s="36">
        <v>9.0</v>
      </c>
      <c r="C255" s="36" t="s">
        <v>6025</v>
      </c>
      <c r="D255" s="47">
        <v>2.52610141E8</v>
      </c>
      <c r="E255" s="36" t="s">
        <v>6026</v>
      </c>
      <c r="F255" s="36" t="s">
        <v>227</v>
      </c>
      <c r="G255" s="12">
        <v>33.0</v>
      </c>
      <c r="H255" s="48" t="str">
        <f t="shared" si="1"/>
        <v>X-7</v>
      </c>
      <c r="I255" s="19" t="str">
        <f t="shared" si="2"/>
        <v>33 - GC1 X-7</v>
      </c>
      <c r="J255" s="20" t="str">
        <f>VLOOKUP(I255,'Database Grup SCC'!$B$2:$C1382,2,false)</f>
        <v>Shafa</v>
      </c>
      <c r="K255" s="49" t="s">
        <v>6000</v>
      </c>
      <c r="L255" s="49"/>
      <c r="M255" s="50"/>
      <c r="N255" s="33" t="s">
        <v>6001</v>
      </c>
      <c r="O255" s="34"/>
      <c r="P255" s="34"/>
      <c r="Q255" s="24" t="str">
        <f t="shared" si="3"/>
        <v>https://docs.google.com/forms/d/e/1FAIpQLSeZ-R1GrWlAPkfaThGqxeTj0QTtrARw4rroxIIepf2kipn1nw/formResponse?usp=pp_url&amp;entry.1313582257=0108763766&amp;entry.1578404635=Hadir</v>
      </c>
      <c r="R255" s="23" t="s">
        <v>6027</v>
      </c>
      <c r="S255" s="39"/>
      <c r="T255" s="39"/>
      <c r="U255" s="39"/>
      <c r="V255" s="39"/>
    </row>
    <row r="256" ht="22.5" customHeight="1">
      <c r="A256" s="10">
        <v>300.0</v>
      </c>
      <c r="B256" s="36">
        <v>10.0</v>
      </c>
      <c r="C256" s="36" t="s">
        <v>6028</v>
      </c>
      <c r="D256" s="47">
        <v>2.52610144E8</v>
      </c>
      <c r="E256" s="36" t="s">
        <v>6029</v>
      </c>
      <c r="F256" s="36" t="s">
        <v>220</v>
      </c>
      <c r="G256" s="12">
        <v>33.0</v>
      </c>
      <c r="H256" s="48" t="str">
        <f t="shared" si="1"/>
        <v>X-7</v>
      </c>
      <c r="I256" s="19" t="str">
        <f t="shared" si="2"/>
        <v>33 - XSUMEN BC</v>
      </c>
      <c r="J256" s="20" t="str">
        <f>VLOOKUP(I256,'Database Grup SCC'!$B$2:$C1382,2,false)</f>
        <v>Rekhsa</v>
      </c>
      <c r="K256" s="49" t="s">
        <v>6000</v>
      </c>
      <c r="L256" s="49"/>
      <c r="M256" s="50"/>
      <c r="N256" s="33" t="s">
        <v>371</v>
      </c>
      <c r="O256" s="34"/>
      <c r="P256" s="34"/>
      <c r="Q256" s="24" t="str">
        <f t="shared" si="3"/>
        <v>https://docs.google.com/forms/d/e/1FAIpQLSeZ-R1GrWlAPkfaThGqxeTj0QTtrARw4rroxIIepf2kipn1nw/formResponse?usp=pp_url&amp;entry.1313582257=0103120702&amp;entry.1578404635=Hadir</v>
      </c>
      <c r="R256" s="23" t="s">
        <v>6030</v>
      </c>
      <c r="S256" s="39"/>
      <c r="T256" s="39"/>
      <c r="U256" s="39"/>
      <c r="V256" s="39"/>
    </row>
    <row r="257" ht="22.5" customHeight="1">
      <c r="A257" s="18">
        <v>301.0</v>
      </c>
      <c r="B257" s="36">
        <v>11.0</v>
      </c>
      <c r="C257" s="36" t="s">
        <v>6031</v>
      </c>
      <c r="D257" s="47">
        <v>2.52610156E8</v>
      </c>
      <c r="E257" s="36" t="s">
        <v>6032</v>
      </c>
      <c r="F257" s="36" t="s">
        <v>227</v>
      </c>
      <c r="G257" s="12">
        <v>33.0</v>
      </c>
      <c r="H257" s="48" t="str">
        <f t="shared" si="1"/>
        <v>X-7</v>
      </c>
      <c r="I257" s="19" t="str">
        <f t="shared" si="2"/>
        <v>33 - GC1 X-7</v>
      </c>
      <c r="J257" s="20" t="str">
        <f>VLOOKUP(I257,'Database Grup SCC'!$B$2:$C1382,2,false)</f>
        <v>Shafa</v>
      </c>
      <c r="K257" s="49" t="s">
        <v>6000</v>
      </c>
      <c r="L257" s="49"/>
      <c r="M257" s="50"/>
      <c r="N257" s="33" t="s">
        <v>6001</v>
      </c>
      <c r="O257" s="34"/>
      <c r="P257" s="34"/>
      <c r="Q257" s="24" t="str">
        <f t="shared" si="3"/>
        <v>https://docs.google.com/forms/d/e/1FAIpQLSeZ-R1GrWlAPkfaThGqxeTj0QTtrARw4rroxIIepf2kipn1nw/formResponse?usp=pp_url&amp;entry.1313582257=0099164493&amp;entry.1578404635=Hadir</v>
      </c>
      <c r="R257" s="23" t="s">
        <v>6033</v>
      </c>
      <c r="S257" s="39"/>
      <c r="T257" s="39"/>
      <c r="U257" s="39"/>
      <c r="V257" s="39"/>
    </row>
    <row r="258" ht="22.5" customHeight="1">
      <c r="A258" s="10">
        <v>302.0</v>
      </c>
      <c r="B258" s="36">
        <v>12.0</v>
      </c>
      <c r="C258" s="36" t="s">
        <v>6034</v>
      </c>
      <c r="D258" s="47">
        <v>2.52610159E8</v>
      </c>
      <c r="E258" s="36" t="s">
        <v>6035</v>
      </c>
      <c r="F258" s="36" t="s">
        <v>227</v>
      </c>
      <c r="G258" s="12">
        <v>33.0</v>
      </c>
      <c r="H258" s="48" t="str">
        <f t="shared" si="1"/>
        <v>X-7</v>
      </c>
      <c r="I258" s="19" t="str">
        <f t="shared" si="2"/>
        <v>33 - GC1 X-7</v>
      </c>
      <c r="J258" s="20" t="str">
        <f>VLOOKUP(I258,'Database Grup SCC'!$B$2:$C1382,2,false)</f>
        <v>Shafa</v>
      </c>
      <c r="K258" s="49" t="s">
        <v>6000</v>
      </c>
      <c r="L258" s="49"/>
      <c r="M258" s="50"/>
      <c r="N258" s="33" t="s">
        <v>6001</v>
      </c>
      <c r="O258" s="34"/>
      <c r="P258" s="34"/>
      <c r="Q258" s="24" t="str">
        <f t="shared" si="3"/>
        <v>https://docs.google.com/forms/d/e/1FAIpQLSeZ-R1GrWlAPkfaThGqxeTj0QTtrARw4rroxIIepf2kipn1nw/formResponse?usp=pp_url&amp;entry.1313582257=0093281671&amp;entry.1578404635=Hadir</v>
      </c>
      <c r="R258" s="23" t="s">
        <v>6036</v>
      </c>
      <c r="S258" s="39"/>
      <c r="T258" s="39"/>
      <c r="U258" s="39"/>
      <c r="V258" s="39"/>
    </row>
    <row r="259" ht="22.5" customHeight="1">
      <c r="A259" s="18">
        <v>303.0</v>
      </c>
      <c r="B259" s="36">
        <v>13.0</v>
      </c>
      <c r="C259" s="36" t="s">
        <v>6037</v>
      </c>
      <c r="D259" s="47">
        <v>2.52610179E8</v>
      </c>
      <c r="E259" s="36" t="s">
        <v>6038</v>
      </c>
      <c r="F259" s="36" t="s">
        <v>227</v>
      </c>
      <c r="G259" s="12">
        <v>33.0</v>
      </c>
      <c r="H259" s="48" t="str">
        <f t="shared" si="1"/>
        <v>X-7</v>
      </c>
      <c r="I259" s="19" t="str">
        <f t="shared" si="2"/>
        <v>33 - GC1 X-7</v>
      </c>
      <c r="J259" s="20" t="str">
        <f>VLOOKUP(I259,'Database Grup SCC'!$B$2:$C1382,2,false)</f>
        <v>Shafa</v>
      </c>
      <c r="K259" s="49" t="s">
        <v>6000</v>
      </c>
      <c r="L259" s="49"/>
      <c r="M259" s="50"/>
      <c r="N259" s="33" t="s">
        <v>6001</v>
      </c>
      <c r="O259" s="34"/>
      <c r="P259" s="34"/>
      <c r="Q259" s="24" t="str">
        <f t="shared" si="3"/>
        <v>https://docs.google.com/forms/d/e/1FAIpQLSeZ-R1GrWlAPkfaThGqxeTj0QTtrARw4rroxIIepf2kipn1nw/formResponse?usp=pp_url&amp;entry.1313582257=0091524155&amp;entry.1578404635=Hadir</v>
      </c>
      <c r="R259" s="23" t="s">
        <v>6039</v>
      </c>
      <c r="S259" s="39"/>
      <c r="T259" s="39"/>
      <c r="U259" s="39"/>
      <c r="V259" s="39"/>
    </row>
    <row r="260" ht="22.5" customHeight="1">
      <c r="A260" s="10">
        <v>304.0</v>
      </c>
      <c r="B260" s="36">
        <v>15.0</v>
      </c>
      <c r="C260" s="36" t="s">
        <v>6040</v>
      </c>
      <c r="D260" s="47">
        <v>2.52610197E8</v>
      </c>
      <c r="E260" s="36" t="s">
        <v>6041</v>
      </c>
      <c r="F260" s="36" t="s">
        <v>220</v>
      </c>
      <c r="G260" s="12">
        <v>33.0</v>
      </c>
      <c r="H260" s="48" t="str">
        <f t="shared" si="1"/>
        <v>X-7</v>
      </c>
      <c r="I260" s="19" t="str">
        <f t="shared" si="2"/>
        <v>33 - XSUMEN BC</v>
      </c>
      <c r="J260" s="20" t="str">
        <f>VLOOKUP(I260,'Database Grup SCC'!$B$2:$C1382,2,false)</f>
        <v>Rekhsa</v>
      </c>
      <c r="K260" s="49" t="s">
        <v>6000</v>
      </c>
      <c r="L260" s="49"/>
      <c r="M260" s="50"/>
      <c r="N260" s="33" t="s">
        <v>371</v>
      </c>
      <c r="O260" s="34"/>
      <c r="P260" s="34"/>
      <c r="Q260" s="24" t="str">
        <f t="shared" si="3"/>
        <v>https://docs.google.com/forms/d/e/1FAIpQLSeZ-R1GrWlAPkfaThGqxeTj0QTtrARw4rroxIIepf2kipn1nw/formResponse?usp=pp_url&amp;entry.1313582257=0107042804&amp;entry.1578404635=Hadir</v>
      </c>
      <c r="R260" s="23" t="s">
        <v>6042</v>
      </c>
      <c r="S260" s="39"/>
      <c r="T260" s="39"/>
      <c r="U260" s="39"/>
      <c r="V260" s="39"/>
    </row>
    <row r="261" ht="22.5" customHeight="1">
      <c r="A261" s="18">
        <v>305.0</v>
      </c>
      <c r="B261" s="36">
        <v>16.0</v>
      </c>
      <c r="C261" s="36" t="s">
        <v>26</v>
      </c>
      <c r="D261" s="47">
        <v>2.526102E8</v>
      </c>
      <c r="E261" s="36" t="s">
        <v>6043</v>
      </c>
      <c r="F261" s="36" t="s">
        <v>220</v>
      </c>
      <c r="G261" s="12">
        <v>33.0</v>
      </c>
      <c r="H261" s="48" t="str">
        <f t="shared" si="1"/>
        <v>X-7</v>
      </c>
      <c r="I261" s="19" t="str">
        <f t="shared" si="2"/>
        <v>33 - BC X-7</v>
      </c>
      <c r="J261" s="20" t="str">
        <f>VLOOKUP(I261,'Database Grup SCC'!$B$2:$C1382,2,false)</f>
        <v>Rizza Al-Farisi</v>
      </c>
      <c r="K261" s="49" t="s">
        <v>6000</v>
      </c>
      <c r="L261" s="49"/>
      <c r="M261" s="50"/>
      <c r="N261" s="33" t="s">
        <v>6005</v>
      </c>
      <c r="O261" s="34"/>
      <c r="P261" s="34"/>
      <c r="Q261" s="24" t="str">
        <f t="shared" si="3"/>
        <v>https://docs.google.com/forms/d/e/1FAIpQLSeZ-R1GrWlAPkfaThGqxeTj0QTtrARw4rroxIIepf2kipn1nw/formResponse?usp=pp_url&amp;entry.1313582257=0094782869&amp;entry.1578404635=Hadir</v>
      </c>
      <c r="R261" s="23" t="s">
        <v>6044</v>
      </c>
      <c r="S261" s="39"/>
      <c r="T261" s="39"/>
      <c r="U261" s="39"/>
      <c r="V261" s="39"/>
    </row>
    <row r="262" ht="22.5" customHeight="1">
      <c r="A262" s="10">
        <v>306.0</v>
      </c>
      <c r="B262" s="36">
        <v>17.0</v>
      </c>
      <c r="C262" s="36" t="s">
        <v>6045</v>
      </c>
      <c r="D262" s="47">
        <v>2.52610221E8</v>
      </c>
      <c r="E262" s="36" t="s">
        <v>6046</v>
      </c>
      <c r="F262" s="36" t="s">
        <v>227</v>
      </c>
      <c r="G262" s="12">
        <v>33.0</v>
      </c>
      <c r="H262" s="48" t="str">
        <f t="shared" si="1"/>
        <v>X-7</v>
      </c>
      <c r="I262" s="19" t="str">
        <f t="shared" si="2"/>
        <v>33 - GC1 X-7</v>
      </c>
      <c r="J262" s="20" t="str">
        <f>VLOOKUP(I262,'Database Grup SCC'!$B$2:$C1382,2,false)</f>
        <v>Shafa</v>
      </c>
      <c r="K262" s="49" t="s">
        <v>6000</v>
      </c>
      <c r="L262" s="49"/>
      <c r="M262" s="50"/>
      <c r="N262" s="33" t="s">
        <v>6001</v>
      </c>
      <c r="O262" s="34"/>
      <c r="P262" s="34"/>
      <c r="Q262" s="24" t="str">
        <f t="shared" si="3"/>
        <v>https://docs.google.com/forms/d/e/1FAIpQLSeZ-R1GrWlAPkfaThGqxeTj0QTtrARw4rroxIIepf2kipn1nw/formResponse?usp=pp_url&amp;entry.1313582257=0107335774&amp;entry.1578404635=Hadir</v>
      </c>
      <c r="R262" s="23" t="s">
        <v>6047</v>
      </c>
      <c r="S262" s="39"/>
      <c r="T262" s="39"/>
      <c r="U262" s="39"/>
      <c r="V262" s="39"/>
    </row>
    <row r="263" ht="22.5" customHeight="1">
      <c r="A263" s="18">
        <v>307.0</v>
      </c>
      <c r="B263" s="36">
        <v>18.0</v>
      </c>
      <c r="C263" s="36" t="s">
        <v>6048</v>
      </c>
      <c r="D263" s="47">
        <v>2.52610225E8</v>
      </c>
      <c r="E263" s="36" t="s">
        <v>6049</v>
      </c>
      <c r="F263" s="36" t="s">
        <v>220</v>
      </c>
      <c r="G263" s="12">
        <v>33.0</v>
      </c>
      <c r="H263" s="48" t="str">
        <f t="shared" si="1"/>
        <v>X-7</v>
      </c>
      <c r="I263" s="19" t="str">
        <f t="shared" si="2"/>
        <v>33 - BC X-7</v>
      </c>
      <c r="J263" s="20" t="str">
        <f>VLOOKUP(I263,'Database Grup SCC'!$B$2:$C1382,2,false)</f>
        <v>Rizza Al-Farisi</v>
      </c>
      <c r="K263" s="49" t="s">
        <v>6000</v>
      </c>
      <c r="L263" s="49"/>
      <c r="M263" s="50"/>
      <c r="N263" s="33" t="s">
        <v>6005</v>
      </c>
      <c r="O263" s="34"/>
      <c r="P263" s="34"/>
      <c r="Q263" s="24" t="str">
        <f t="shared" si="3"/>
        <v>https://docs.google.com/forms/d/e/1FAIpQLSeZ-R1GrWlAPkfaThGqxeTj0QTtrARw4rroxIIepf2kipn1nw/formResponse?usp=pp_url&amp;entry.1313582257=3103220251&amp;entry.1578404635=Hadir</v>
      </c>
      <c r="R263" s="23" t="s">
        <v>6050</v>
      </c>
      <c r="S263" s="39"/>
      <c r="T263" s="39"/>
      <c r="U263" s="39"/>
      <c r="V263" s="39"/>
    </row>
    <row r="264" ht="22.5" customHeight="1">
      <c r="A264" s="10">
        <v>308.0</v>
      </c>
      <c r="B264" s="36">
        <v>19.0</v>
      </c>
      <c r="C264" s="36" t="s">
        <v>30</v>
      </c>
      <c r="D264" s="47">
        <v>2.52610252E8</v>
      </c>
      <c r="E264" s="36" t="s">
        <v>6051</v>
      </c>
      <c r="F264" s="36" t="s">
        <v>220</v>
      </c>
      <c r="G264" s="12">
        <v>33.0</v>
      </c>
      <c r="H264" s="48" t="str">
        <f t="shared" si="1"/>
        <v>X-7</v>
      </c>
      <c r="I264" s="19" t="str">
        <f t="shared" si="2"/>
        <v>33 - BC X-7</v>
      </c>
      <c r="J264" s="20" t="str">
        <f>VLOOKUP(I264,'Database Grup SCC'!$B$2:$C1382,2,false)</f>
        <v>Rizza Al-Farisi</v>
      </c>
      <c r="K264" s="49" t="s">
        <v>6000</v>
      </c>
      <c r="L264" s="49"/>
      <c r="M264" s="50"/>
      <c r="N264" s="33" t="s">
        <v>6005</v>
      </c>
      <c r="O264" s="34"/>
      <c r="P264" s="34"/>
      <c r="Q264" s="24" t="str">
        <f t="shared" si="3"/>
        <v>https://docs.google.com/forms/d/e/1FAIpQLSeZ-R1GrWlAPkfaThGqxeTj0QTtrARw4rroxIIepf2kipn1nw/formResponse?usp=pp_url&amp;entry.1313582257=0093078917&amp;entry.1578404635=Hadir</v>
      </c>
      <c r="R264" s="23" t="s">
        <v>6052</v>
      </c>
      <c r="S264" s="39"/>
      <c r="T264" s="39"/>
      <c r="U264" s="39"/>
      <c r="V264" s="39"/>
    </row>
    <row r="265" ht="22.5" customHeight="1">
      <c r="A265" s="18">
        <v>309.0</v>
      </c>
      <c r="B265" s="36">
        <v>20.0</v>
      </c>
      <c r="C265" s="36" t="s">
        <v>6053</v>
      </c>
      <c r="D265" s="47">
        <v>2.52610254E8</v>
      </c>
      <c r="E265" s="36" t="s">
        <v>6054</v>
      </c>
      <c r="F265" s="36" t="s">
        <v>227</v>
      </c>
      <c r="G265" s="12">
        <v>33.0</v>
      </c>
      <c r="H265" s="48" t="str">
        <f t="shared" si="1"/>
        <v>X-7</v>
      </c>
      <c r="I265" s="19" t="str">
        <f t="shared" si="2"/>
        <v>33 - GC1 X-7</v>
      </c>
      <c r="J265" s="20" t="str">
        <f>VLOOKUP(I265,'Database Grup SCC'!$B$2:$C1382,2,false)</f>
        <v>Shafa</v>
      </c>
      <c r="K265" s="49" t="s">
        <v>6000</v>
      </c>
      <c r="L265" s="49"/>
      <c r="M265" s="50"/>
      <c r="N265" s="33" t="s">
        <v>6001</v>
      </c>
      <c r="O265" s="34"/>
      <c r="P265" s="34"/>
      <c r="Q265" s="24" t="str">
        <f t="shared" si="3"/>
        <v>https://docs.google.com/forms/d/e/1FAIpQLSeZ-R1GrWlAPkfaThGqxeTj0QTtrARw4rroxIIepf2kipn1nw/formResponse?usp=pp_url&amp;entry.1313582257=0106222604&amp;entry.1578404635=Hadir</v>
      </c>
      <c r="R265" s="23" t="s">
        <v>6055</v>
      </c>
      <c r="S265" s="39"/>
      <c r="T265" s="39"/>
      <c r="U265" s="39"/>
      <c r="V265" s="39"/>
    </row>
    <row r="266" ht="22.5" customHeight="1">
      <c r="A266" s="10">
        <v>310.0</v>
      </c>
      <c r="B266" s="36">
        <v>21.0</v>
      </c>
      <c r="C266" s="36" t="s">
        <v>6056</v>
      </c>
      <c r="D266" s="47">
        <v>2.52610264E8</v>
      </c>
      <c r="E266" s="36" t="s">
        <v>6057</v>
      </c>
      <c r="F266" s="36" t="s">
        <v>227</v>
      </c>
      <c r="G266" s="12">
        <v>33.0</v>
      </c>
      <c r="H266" s="48" t="str">
        <f t="shared" si="1"/>
        <v>X-7</v>
      </c>
      <c r="I266" s="19" t="str">
        <f t="shared" si="2"/>
        <v>33 - GC1 X-7</v>
      </c>
      <c r="J266" s="20" t="str">
        <f>VLOOKUP(I266,'Database Grup SCC'!$B$2:$C1382,2,false)</f>
        <v>Shafa</v>
      </c>
      <c r="K266" s="49" t="s">
        <v>6000</v>
      </c>
      <c r="L266" s="49"/>
      <c r="M266" s="50"/>
      <c r="N266" s="33" t="s">
        <v>6001</v>
      </c>
      <c r="O266" s="34"/>
      <c r="P266" s="34"/>
      <c r="Q266" s="24" t="str">
        <f t="shared" si="3"/>
        <v>https://docs.google.com/forms/d/e/1FAIpQLSeZ-R1GrWlAPkfaThGqxeTj0QTtrARw4rroxIIepf2kipn1nw/formResponse?usp=pp_url&amp;entry.1313582257=0105055119&amp;entry.1578404635=Hadir</v>
      </c>
      <c r="R266" s="23" t="s">
        <v>6058</v>
      </c>
      <c r="S266" s="39"/>
      <c r="T266" s="39"/>
      <c r="U266" s="39"/>
      <c r="V266" s="39"/>
    </row>
    <row r="267" ht="22.5" customHeight="1">
      <c r="A267" s="18">
        <v>311.0</v>
      </c>
      <c r="B267" s="36">
        <v>22.0</v>
      </c>
      <c r="C267" s="36" t="s">
        <v>6059</v>
      </c>
      <c r="D267" s="47">
        <v>2.52610268E8</v>
      </c>
      <c r="E267" s="36" t="s">
        <v>6060</v>
      </c>
      <c r="F267" s="36" t="s">
        <v>227</v>
      </c>
      <c r="G267" s="12">
        <v>33.0</v>
      </c>
      <c r="H267" s="48" t="str">
        <f t="shared" si="1"/>
        <v>X-7</v>
      </c>
      <c r="I267" s="19" t="str">
        <f t="shared" si="2"/>
        <v>33 - GC1 X-7</v>
      </c>
      <c r="J267" s="20" t="str">
        <f>VLOOKUP(I267,'Database Grup SCC'!$B$2:$C1382,2,false)</f>
        <v>Shafa</v>
      </c>
      <c r="K267" s="49" t="s">
        <v>6000</v>
      </c>
      <c r="L267" s="49"/>
      <c r="M267" s="50"/>
      <c r="N267" s="33" t="s">
        <v>6001</v>
      </c>
      <c r="O267" s="34"/>
      <c r="P267" s="34"/>
      <c r="Q267" s="24" t="str">
        <f t="shared" si="3"/>
        <v>https://docs.google.com/forms/d/e/1FAIpQLSeZ-R1GrWlAPkfaThGqxeTj0QTtrARw4rroxIIepf2kipn1nw/formResponse?usp=pp_url&amp;entry.1313582257=0096544983&amp;entry.1578404635=Hadir</v>
      </c>
      <c r="R267" s="23" t="s">
        <v>6061</v>
      </c>
      <c r="S267" s="39"/>
      <c r="T267" s="39"/>
      <c r="U267" s="39"/>
      <c r="V267" s="39"/>
    </row>
    <row r="268" ht="22.5" customHeight="1">
      <c r="A268" s="10">
        <v>312.0</v>
      </c>
      <c r="B268" s="36">
        <v>23.0</v>
      </c>
      <c r="C268" s="36" t="s">
        <v>6062</v>
      </c>
      <c r="D268" s="47">
        <v>2.52610284E8</v>
      </c>
      <c r="E268" s="36" t="s">
        <v>6063</v>
      </c>
      <c r="F268" s="36" t="s">
        <v>227</v>
      </c>
      <c r="G268" s="12">
        <v>33.0</v>
      </c>
      <c r="H268" s="48" t="str">
        <f t="shared" si="1"/>
        <v>X-7</v>
      </c>
      <c r="I268" s="19" t="str">
        <f t="shared" si="2"/>
        <v>33 - GC2 X-7</v>
      </c>
      <c r="J268" s="20" t="str">
        <f>VLOOKUP(I268,'Database Grup SCC'!$B$2:$C1382,2,false)</f>
        <v>Desya (XI)</v>
      </c>
      <c r="K268" s="49" t="s">
        <v>6000</v>
      </c>
      <c r="L268" s="49"/>
      <c r="M268" s="50"/>
      <c r="N268" s="33" t="s">
        <v>6064</v>
      </c>
      <c r="O268" s="34"/>
      <c r="P268" s="34"/>
      <c r="Q268" s="24" t="str">
        <f t="shared" si="3"/>
        <v>https://docs.google.com/forms/d/e/1FAIpQLSeZ-R1GrWlAPkfaThGqxeTj0QTtrARw4rroxIIepf2kipn1nw/formResponse?usp=pp_url&amp;entry.1313582257=0106562767&amp;entry.1578404635=Hadir</v>
      </c>
      <c r="R268" s="23" t="s">
        <v>6065</v>
      </c>
      <c r="S268" s="39"/>
      <c r="T268" s="39"/>
      <c r="U268" s="39"/>
      <c r="V268" s="39"/>
    </row>
    <row r="269" ht="22.5" customHeight="1">
      <c r="A269" s="18">
        <v>313.0</v>
      </c>
      <c r="B269" s="36">
        <v>24.0</v>
      </c>
      <c r="C269" s="36" t="s">
        <v>6066</v>
      </c>
      <c r="D269" s="47">
        <v>2.52610291E8</v>
      </c>
      <c r="E269" s="36" t="s">
        <v>6067</v>
      </c>
      <c r="F269" s="36" t="s">
        <v>227</v>
      </c>
      <c r="G269" s="12">
        <v>33.0</v>
      </c>
      <c r="H269" s="48" t="str">
        <f t="shared" si="1"/>
        <v>X-7</v>
      </c>
      <c r="I269" s="19" t="str">
        <f t="shared" si="2"/>
        <v>33 - GC2 X-7</v>
      </c>
      <c r="J269" s="20" t="str">
        <f>VLOOKUP(I269,'Database Grup SCC'!$B$2:$C1382,2,false)</f>
        <v>Desya (XI)</v>
      </c>
      <c r="K269" s="49" t="s">
        <v>6000</v>
      </c>
      <c r="L269" s="49"/>
      <c r="M269" s="50"/>
      <c r="N269" s="33" t="s">
        <v>6064</v>
      </c>
      <c r="O269" s="34"/>
      <c r="P269" s="34"/>
      <c r="Q269" s="24" t="str">
        <f t="shared" si="3"/>
        <v>https://docs.google.com/forms/d/e/1FAIpQLSeZ-R1GrWlAPkfaThGqxeTj0QTtrARw4rroxIIepf2kipn1nw/formResponse?usp=pp_url&amp;entry.1313582257=3093288409&amp;entry.1578404635=Hadir</v>
      </c>
      <c r="R269" s="23" t="s">
        <v>6068</v>
      </c>
      <c r="S269" s="39"/>
      <c r="T269" s="39"/>
      <c r="U269" s="39"/>
      <c r="V269" s="39"/>
    </row>
    <row r="270" ht="22.5" customHeight="1">
      <c r="A270" s="10">
        <v>314.0</v>
      </c>
      <c r="B270" s="36">
        <v>25.0</v>
      </c>
      <c r="C270" s="36" t="s">
        <v>6069</v>
      </c>
      <c r="D270" s="47">
        <v>2.526103E8</v>
      </c>
      <c r="E270" s="36" t="s">
        <v>6070</v>
      </c>
      <c r="F270" s="18" t="s">
        <v>227</v>
      </c>
      <c r="G270" s="12">
        <v>33.0</v>
      </c>
      <c r="H270" s="48" t="str">
        <f t="shared" si="1"/>
        <v>X-7</v>
      </c>
      <c r="I270" s="19" t="str">
        <f t="shared" si="2"/>
        <v>33 - GC2 X-7</v>
      </c>
      <c r="J270" s="20" t="str">
        <f>VLOOKUP(I270,'Database Grup SCC'!$B$2:$C1382,2,false)</f>
        <v>Desya (XI)</v>
      </c>
      <c r="K270" s="49" t="s">
        <v>6000</v>
      </c>
      <c r="L270" s="49"/>
      <c r="M270" s="50"/>
      <c r="N270" s="33" t="s">
        <v>6064</v>
      </c>
      <c r="O270" s="34"/>
      <c r="P270" s="34"/>
      <c r="Q270" s="24" t="str">
        <f t="shared" si="3"/>
        <v>https://docs.google.com/forms/d/e/1FAIpQLSeZ-R1GrWlAPkfaThGqxeTj0QTtrARw4rroxIIepf2kipn1nw/formResponse?usp=pp_url&amp;entry.1313582257=0103468589&amp;entry.1578404635=Hadir</v>
      </c>
      <c r="R270" s="23" t="s">
        <v>6071</v>
      </c>
      <c r="S270" s="39"/>
      <c r="T270" s="39"/>
      <c r="U270" s="39"/>
      <c r="V270" s="39"/>
    </row>
    <row r="271" ht="22.5" customHeight="1">
      <c r="A271" s="18">
        <v>315.0</v>
      </c>
      <c r="B271" s="36">
        <v>26.0</v>
      </c>
      <c r="C271" s="36" t="s">
        <v>24</v>
      </c>
      <c r="D271" s="47">
        <v>2.52610318E8</v>
      </c>
      <c r="E271" s="36" t="s">
        <v>6072</v>
      </c>
      <c r="F271" s="36" t="s">
        <v>220</v>
      </c>
      <c r="G271" s="12">
        <v>33.0</v>
      </c>
      <c r="H271" s="48" t="str">
        <f t="shared" si="1"/>
        <v>X-7</v>
      </c>
      <c r="I271" s="19" t="str">
        <f t="shared" si="2"/>
        <v>33 - BC X-7</v>
      </c>
      <c r="J271" s="20" t="str">
        <f>VLOOKUP(I271,'Database Grup SCC'!$B$2:$C1382,2,false)</f>
        <v>Rizza Al-Farisi</v>
      </c>
      <c r="K271" s="49" t="s">
        <v>6000</v>
      </c>
      <c r="L271" s="49"/>
      <c r="M271" s="50"/>
      <c r="N271" s="33" t="s">
        <v>6005</v>
      </c>
      <c r="O271" s="34"/>
      <c r="P271" s="34"/>
      <c r="Q271" s="24" t="str">
        <f t="shared" si="3"/>
        <v>https://docs.google.com/forms/d/e/1FAIpQLSeZ-R1GrWlAPkfaThGqxeTj0QTtrARw4rroxIIepf2kipn1nw/formResponse?usp=pp_url&amp;entry.1313582257=0104328116&amp;entry.1578404635=Hadir</v>
      </c>
      <c r="R271" s="23" t="s">
        <v>6073</v>
      </c>
      <c r="S271" s="39"/>
      <c r="T271" s="39"/>
      <c r="U271" s="39"/>
      <c r="V271" s="39"/>
    </row>
    <row r="272" ht="22.5" customHeight="1">
      <c r="A272" s="10">
        <v>316.0</v>
      </c>
      <c r="B272" s="36">
        <v>27.0</v>
      </c>
      <c r="C272" s="36" t="s">
        <v>29</v>
      </c>
      <c r="D272" s="47">
        <v>2.52610333E8</v>
      </c>
      <c r="E272" s="36" t="s">
        <v>6074</v>
      </c>
      <c r="F272" s="36" t="s">
        <v>220</v>
      </c>
      <c r="G272" s="12">
        <v>33.0</v>
      </c>
      <c r="H272" s="48" t="str">
        <f t="shared" si="1"/>
        <v>X-7</v>
      </c>
      <c r="I272" s="19" t="str">
        <f t="shared" si="2"/>
        <v>33 - BC X-7</v>
      </c>
      <c r="J272" s="20" t="str">
        <f>VLOOKUP(I272,'Database Grup SCC'!$B$2:$C1382,2,false)</f>
        <v>Rizza Al-Farisi</v>
      </c>
      <c r="K272" s="49" t="s">
        <v>6000</v>
      </c>
      <c r="L272" s="49"/>
      <c r="M272" s="50"/>
      <c r="N272" s="33" t="s">
        <v>6005</v>
      </c>
      <c r="O272" s="34"/>
      <c r="P272" s="34"/>
      <c r="Q272" s="24" t="str">
        <f t="shared" si="3"/>
        <v>https://docs.google.com/forms/d/e/1FAIpQLSeZ-R1GrWlAPkfaThGqxeTj0QTtrARw4rroxIIepf2kipn1nw/formResponse?usp=pp_url&amp;entry.1313582257=0093678218&amp;entry.1578404635=Hadir</v>
      </c>
      <c r="R272" s="23" t="s">
        <v>6075</v>
      </c>
      <c r="S272" s="39"/>
      <c r="T272" s="39"/>
      <c r="U272" s="39"/>
      <c r="V272" s="39"/>
    </row>
    <row r="273" ht="22.5" customHeight="1">
      <c r="A273" s="18">
        <v>317.0</v>
      </c>
      <c r="B273" s="36">
        <v>28.0</v>
      </c>
      <c r="C273" s="36" t="s">
        <v>25</v>
      </c>
      <c r="D273" s="47">
        <v>2.5261034E8</v>
      </c>
      <c r="E273" s="36" t="s">
        <v>6076</v>
      </c>
      <c r="F273" s="36" t="s">
        <v>220</v>
      </c>
      <c r="G273" s="12">
        <v>33.0</v>
      </c>
      <c r="H273" s="48" t="str">
        <f t="shared" si="1"/>
        <v>X-7</v>
      </c>
      <c r="I273" s="19" t="str">
        <f t="shared" si="2"/>
        <v>33 - BC X-7</v>
      </c>
      <c r="J273" s="20" t="str">
        <f>VLOOKUP(I273,'Database Grup SCC'!$B$2:$C1382,2,false)</f>
        <v>Rizza Al-Farisi</v>
      </c>
      <c r="K273" s="49" t="s">
        <v>6000</v>
      </c>
      <c r="L273" s="49"/>
      <c r="M273" s="50"/>
      <c r="N273" s="33" t="s">
        <v>6005</v>
      </c>
      <c r="O273" s="34"/>
      <c r="P273" s="34"/>
      <c r="Q273" s="24" t="str">
        <f t="shared" si="3"/>
        <v>https://docs.google.com/forms/d/e/1FAIpQLSeZ-R1GrWlAPkfaThGqxeTj0QTtrARw4rroxIIepf2kipn1nw/formResponse?usp=pp_url&amp;entry.1313582257=0093828028&amp;entry.1578404635=Hadir</v>
      </c>
      <c r="R273" s="23" t="s">
        <v>6077</v>
      </c>
      <c r="S273" s="39"/>
      <c r="T273" s="39"/>
      <c r="U273" s="39"/>
      <c r="V273" s="39"/>
    </row>
    <row r="274" ht="22.5" customHeight="1">
      <c r="A274" s="10">
        <v>318.0</v>
      </c>
      <c r="B274" s="36">
        <v>29.0</v>
      </c>
      <c r="C274" s="36" t="s">
        <v>6078</v>
      </c>
      <c r="D274" s="47">
        <v>2.52610345E8</v>
      </c>
      <c r="E274" s="36" t="s">
        <v>6079</v>
      </c>
      <c r="F274" s="36" t="s">
        <v>220</v>
      </c>
      <c r="G274" s="12">
        <v>33.0</v>
      </c>
      <c r="H274" s="48" t="str">
        <f t="shared" si="1"/>
        <v>X-7</v>
      </c>
      <c r="I274" s="19" t="str">
        <f t="shared" si="2"/>
        <v>33 - BC X-7</v>
      </c>
      <c r="J274" s="20" t="str">
        <f>VLOOKUP(I274,'Database Grup SCC'!$B$2:$C1382,2,false)</f>
        <v>Rizza Al-Farisi</v>
      </c>
      <c r="K274" s="49" t="s">
        <v>6000</v>
      </c>
      <c r="L274" s="49"/>
      <c r="M274" s="50"/>
      <c r="N274" s="33" t="s">
        <v>6005</v>
      </c>
      <c r="O274" s="34"/>
      <c r="P274" s="34"/>
      <c r="Q274" s="24" t="str">
        <f t="shared" si="3"/>
        <v>https://docs.google.com/forms/d/e/1FAIpQLSeZ-R1GrWlAPkfaThGqxeTj0QTtrARw4rroxIIepf2kipn1nw/formResponse?usp=pp_url&amp;entry.1313582257=0109769349&amp;entry.1578404635=Hadir</v>
      </c>
      <c r="R274" s="23" t="s">
        <v>6080</v>
      </c>
      <c r="S274" s="39"/>
      <c r="T274" s="39"/>
      <c r="U274" s="39"/>
      <c r="V274" s="39"/>
    </row>
    <row r="275" ht="22.5" customHeight="1">
      <c r="A275" s="18">
        <v>319.0</v>
      </c>
      <c r="B275" s="36">
        <v>30.0</v>
      </c>
      <c r="C275" s="36" t="s">
        <v>20</v>
      </c>
      <c r="D275" s="47">
        <v>2.52610352E8</v>
      </c>
      <c r="E275" s="36" t="s">
        <v>6081</v>
      </c>
      <c r="F275" s="36" t="s">
        <v>220</v>
      </c>
      <c r="G275" s="12">
        <v>33.0</v>
      </c>
      <c r="H275" s="48" t="str">
        <f t="shared" si="1"/>
        <v>X-7</v>
      </c>
      <c r="I275" s="19" t="str">
        <f t="shared" si="2"/>
        <v>33 - BC X-7</v>
      </c>
      <c r="J275" s="20" t="str">
        <f>VLOOKUP(I275,'Database Grup SCC'!$B$2:$C1382,2,false)</f>
        <v>Rizza Al-Farisi</v>
      </c>
      <c r="K275" s="49" t="s">
        <v>6000</v>
      </c>
      <c r="L275" s="49"/>
      <c r="M275" s="50"/>
      <c r="N275" s="33" t="s">
        <v>6005</v>
      </c>
      <c r="O275" s="34"/>
      <c r="P275" s="34"/>
      <c r="Q275" s="24" t="str">
        <f t="shared" si="3"/>
        <v>https://docs.google.com/forms/d/e/1FAIpQLSeZ-R1GrWlAPkfaThGqxeTj0QTtrARw4rroxIIepf2kipn1nw/formResponse?usp=pp_url&amp;entry.1313582257=0093629282&amp;entry.1578404635=Hadir</v>
      </c>
      <c r="R275" s="23" t="s">
        <v>6082</v>
      </c>
      <c r="S275" s="39"/>
      <c r="T275" s="39"/>
      <c r="U275" s="39"/>
      <c r="V275" s="39"/>
    </row>
    <row r="276" ht="22.5" customHeight="1">
      <c r="A276" s="10">
        <v>320.0</v>
      </c>
      <c r="B276" s="36">
        <v>31.0</v>
      </c>
      <c r="C276" s="36" t="s">
        <v>32</v>
      </c>
      <c r="D276" s="47">
        <v>2.52610354E8</v>
      </c>
      <c r="E276" s="36" t="s">
        <v>6083</v>
      </c>
      <c r="F276" s="36" t="s">
        <v>220</v>
      </c>
      <c r="G276" s="12">
        <v>33.0</v>
      </c>
      <c r="H276" s="48" t="str">
        <f t="shared" si="1"/>
        <v>X-7</v>
      </c>
      <c r="I276" s="19" t="str">
        <f t="shared" si="2"/>
        <v>33 - BC X-7</v>
      </c>
      <c r="J276" s="20" t="str">
        <f>VLOOKUP(I276,'Database Grup SCC'!$B$2:$C1382,2,false)</f>
        <v>Rizza Al-Farisi</v>
      </c>
      <c r="K276" s="49" t="s">
        <v>6000</v>
      </c>
      <c r="L276" s="49"/>
      <c r="M276" s="50"/>
      <c r="N276" s="33" t="s">
        <v>6005</v>
      </c>
      <c r="O276" s="34"/>
      <c r="P276" s="34"/>
      <c r="Q276" s="24" t="str">
        <f t="shared" si="3"/>
        <v>https://docs.google.com/forms/d/e/1FAIpQLSeZ-R1GrWlAPkfaThGqxeTj0QTtrARw4rroxIIepf2kipn1nw/formResponse?usp=pp_url&amp;entry.1313582257=0095243962&amp;entry.1578404635=Hadir</v>
      </c>
      <c r="R276" s="23" t="s">
        <v>6084</v>
      </c>
      <c r="S276" s="39"/>
      <c r="T276" s="39"/>
      <c r="U276" s="39"/>
      <c r="V276" s="39"/>
    </row>
    <row r="277" ht="22.5" customHeight="1">
      <c r="A277" s="18">
        <v>321.0</v>
      </c>
      <c r="B277" s="36">
        <v>32.0</v>
      </c>
      <c r="C277" s="36" t="s">
        <v>6085</v>
      </c>
      <c r="D277" s="47">
        <v>2.52610383E8</v>
      </c>
      <c r="E277" s="36" t="s">
        <v>6086</v>
      </c>
      <c r="F277" s="36" t="s">
        <v>227</v>
      </c>
      <c r="G277" s="12">
        <v>33.0</v>
      </c>
      <c r="H277" s="48" t="str">
        <f t="shared" si="1"/>
        <v>X-7</v>
      </c>
      <c r="I277" s="19" t="str">
        <f t="shared" si="2"/>
        <v>33 - GC2 X-7</v>
      </c>
      <c r="J277" s="20" t="str">
        <f>VLOOKUP(I277,'Database Grup SCC'!$B$2:$C1382,2,false)</f>
        <v>Desya (XI)</v>
      </c>
      <c r="K277" s="49" t="s">
        <v>6000</v>
      </c>
      <c r="L277" s="49"/>
      <c r="M277" s="50"/>
      <c r="N277" s="33" t="s">
        <v>6064</v>
      </c>
      <c r="O277" s="34"/>
      <c r="P277" s="34"/>
      <c r="Q277" s="24" t="str">
        <f t="shared" si="3"/>
        <v>https://docs.google.com/forms/d/e/1FAIpQLSeZ-R1GrWlAPkfaThGqxeTj0QTtrARw4rroxIIepf2kipn1nw/formResponse?usp=pp_url&amp;entry.1313582257=0105755550&amp;entry.1578404635=Hadir</v>
      </c>
      <c r="R277" s="23" t="s">
        <v>6087</v>
      </c>
      <c r="S277" s="39"/>
      <c r="T277" s="39"/>
      <c r="U277" s="39"/>
      <c r="V277" s="39"/>
    </row>
    <row r="278" ht="22.5" customHeight="1">
      <c r="A278" s="10">
        <v>322.0</v>
      </c>
      <c r="B278" s="36">
        <v>33.0</v>
      </c>
      <c r="C278" s="36" t="s">
        <v>6088</v>
      </c>
      <c r="D278" s="47">
        <v>2.52610389E8</v>
      </c>
      <c r="E278" s="36" t="s">
        <v>6089</v>
      </c>
      <c r="F278" s="36" t="s">
        <v>227</v>
      </c>
      <c r="G278" s="12">
        <v>33.0</v>
      </c>
      <c r="H278" s="48" t="str">
        <f t="shared" si="1"/>
        <v>X-7</v>
      </c>
      <c r="I278" s="19" t="str">
        <f t="shared" si="2"/>
        <v>33 - GC2 X-7</v>
      </c>
      <c r="J278" s="20" t="str">
        <f>VLOOKUP(I278,'Database Grup SCC'!$B$2:$C1382,2,false)</f>
        <v>Desya (XI)</v>
      </c>
      <c r="K278" s="49" t="s">
        <v>6000</v>
      </c>
      <c r="L278" s="49"/>
      <c r="M278" s="50"/>
      <c r="N278" s="33" t="s">
        <v>6064</v>
      </c>
      <c r="O278" s="34"/>
      <c r="P278" s="34"/>
      <c r="Q278" s="24" t="str">
        <f t="shared" si="3"/>
        <v>https://docs.google.com/forms/d/e/1FAIpQLSeZ-R1GrWlAPkfaThGqxeTj0QTtrARw4rroxIIepf2kipn1nw/formResponse?usp=pp_url&amp;entry.1313582257=0106828126&amp;entry.1578404635=Hadir</v>
      </c>
      <c r="R278" s="23" t="s">
        <v>6090</v>
      </c>
      <c r="S278" s="39"/>
      <c r="T278" s="39"/>
      <c r="U278" s="39"/>
      <c r="V278" s="39"/>
    </row>
    <row r="279" ht="22.5" customHeight="1">
      <c r="A279" s="18">
        <v>323.0</v>
      </c>
      <c r="B279" s="36">
        <v>34.0</v>
      </c>
      <c r="C279" s="36" t="s">
        <v>6091</v>
      </c>
      <c r="D279" s="47">
        <v>2.52610404E8</v>
      </c>
      <c r="E279" s="36" t="s">
        <v>6092</v>
      </c>
      <c r="F279" s="36" t="s">
        <v>227</v>
      </c>
      <c r="G279" s="12">
        <v>33.0</v>
      </c>
      <c r="H279" s="48" t="str">
        <f t="shared" si="1"/>
        <v>X-7</v>
      </c>
      <c r="I279" s="19" t="str">
        <f t="shared" si="2"/>
        <v>33 - GC2 X-7</v>
      </c>
      <c r="J279" s="20" t="str">
        <f>VLOOKUP(I279,'Database Grup SCC'!$B$2:$C1382,2,false)</f>
        <v>Desya (XI)</v>
      </c>
      <c r="K279" s="49" t="s">
        <v>6000</v>
      </c>
      <c r="L279" s="49"/>
      <c r="M279" s="50"/>
      <c r="N279" s="33" t="s">
        <v>6064</v>
      </c>
      <c r="O279" s="34"/>
      <c r="P279" s="34"/>
      <c r="Q279" s="24" t="str">
        <f t="shared" si="3"/>
        <v>https://docs.google.com/forms/d/e/1FAIpQLSeZ-R1GrWlAPkfaThGqxeTj0QTtrARw4rroxIIepf2kipn1nw/formResponse?usp=pp_url&amp;entry.1313582257=0097673142&amp;entry.1578404635=Hadir</v>
      </c>
      <c r="R279" s="23" t="s">
        <v>6093</v>
      </c>
      <c r="S279" s="39"/>
      <c r="T279" s="39"/>
      <c r="U279" s="39"/>
      <c r="V279" s="39"/>
    </row>
    <row r="280" ht="22.5" customHeight="1">
      <c r="A280" s="10">
        <v>324.0</v>
      </c>
      <c r="B280" s="36">
        <v>35.0</v>
      </c>
      <c r="C280" s="36" t="s">
        <v>6094</v>
      </c>
      <c r="D280" s="47">
        <v>2.52610409E8</v>
      </c>
      <c r="E280" s="36" t="s">
        <v>6095</v>
      </c>
      <c r="F280" s="36" t="s">
        <v>227</v>
      </c>
      <c r="G280" s="12">
        <v>33.0</v>
      </c>
      <c r="H280" s="48" t="str">
        <f t="shared" si="1"/>
        <v>X-7</v>
      </c>
      <c r="I280" s="19" t="str">
        <f t="shared" si="2"/>
        <v>33 - GC2 X-7</v>
      </c>
      <c r="J280" s="20" t="str">
        <f>VLOOKUP(I280,'Database Grup SCC'!$B$2:$C1382,2,false)</f>
        <v>Desya (XI)</v>
      </c>
      <c r="K280" s="49" t="s">
        <v>6000</v>
      </c>
      <c r="L280" s="49"/>
      <c r="M280" s="50"/>
      <c r="N280" s="33" t="s">
        <v>6064</v>
      </c>
      <c r="O280" s="34"/>
      <c r="P280" s="34"/>
      <c r="Q280" s="24" t="str">
        <f t="shared" si="3"/>
        <v>https://docs.google.com/forms/d/e/1FAIpQLSeZ-R1GrWlAPkfaThGqxeTj0QTtrARw4rroxIIepf2kipn1nw/formResponse?usp=pp_url&amp;entry.1313582257=0107698921&amp;entry.1578404635=Hadir</v>
      </c>
      <c r="R280" s="23" t="s">
        <v>6096</v>
      </c>
      <c r="S280" s="39"/>
      <c r="T280" s="39"/>
      <c r="U280" s="39"/>
      <c r="V280" s="39"/>
    </row>
    <row r="281" ht="22.5" customHeight="1">
      <c r="A281" s="18">
        <v>325.0</v>
      </c>
      <c r="B281" s="36">
        <v>36.0</v>
      </c>
      <c r="C281" s="36" t="s">
        <v>6097</v>
      </c>
      <c r="D281" s="47">
        <v>2.52610428E8</v>
      </c>
      <c r="E281" s="36" t="s">
        <v>6098</v>
      </c>
      <c r="F281" s="36" t="s">
        <v>227</v>
      </c>
      <c r="G281" s="12">
        <v>33.0</v>
      </c>
      <c r="H281" s="48" t="str">
        <f t="shared" si="1"/>
        <v>X-7</v>
      </c>
      <c r="I281" s="19" t="str">
        <f t="shared" si="2"/>
        <v>33 - GC2 X-7</v>
      </c>
      <c r="J281" s="20" t="str">
        <f>VLOOKUP(I281,'Database Grup SCC'!$B$2:$C1382,2,false)</f>
        <v>Desya (XI)</v>
      </c>
      <c r="K281" s="49" t="s">
        <v>6000</v>
      </c>
      <c r="L281" s="49"/>
      <c r="M281" s="50"/>
      <c r="N281" s="33" t="s">
        <v>6064</v>
      </c>
      <c r="O281" s="34"/>
      <c r="P281" s="34"/>
      <c r="Q281" s="24" t="str">
        <f t="shared" si="3"/>
        <v>https://docs.google.com/forms/d/e/1FAIpQLSeZ-R1GrWlAPkfaThGqxeTj0QTtrARw4rroxIIepf2kipn1nw/formResponse?usp=pp_url&amp;entry.1313582257=0098514088&amp;entry.1578404635=Hadir</v>
      </c>
      <c r="R281" s="23" t="s">
        <v>6099</v>
      </c>
      <c r="S281" s="39"/>
      <c r="T281" s="39"/>
      <c r="U281" s="39"/>
      <c r="V281" s="39"/>
    </row>
    <row r="282" ht="22.5" customHeight="1">
      <c r="A282" s="10">
        <v>326.0</v>
      </c>
      <c r="B282" s="36">
        <v>37.0</v>
      </c>
      <c r="C282" s="36" t="s">
        <v>6100</v>
      </c>
      <c r="D282" s="47">
        <v>2.52610464E8</v>
      </c>
      <c r="E282" s="36" t="s">
        <v>6101</v>
      </c>
      <c r="F282" s="36" t="s">
        <v>227</v>
      </c>
      <c r="G282" s="12">
        <v>33.0</v>
      </c>
      <c r="H282" s="48" t="str">
        <f t="shared" si="1"/>
        <v>X-7</v>
      </c>
      <c r="I282" s="19" t="str">
        <f t="shared" si="2"/>
        <v>33 - XSUMEN2 GC</v>
      </c>
      <c r="J282" s="20" t="str">
        <f>VLOOKUP(I282,'Database Grup SCC'!$B$2:$C1382,2,false)</f>
        <v>Iqlima</v>
      </c>
      <c r="K282" s="49" t="s">
        <v>6000</v>
      </c>
      <c r="L282" s="49"/>
      <c r="M282" s="50"/>
      <c r="N282" s="33" t="s">
        <v>5377</v>
      </c>
      <c r="O282" s="34"/>
      <c r="P282" s="34"/>
      <c r="Q282" s="24" t="str">
        <f t="shared" si="3"/>
        <v>https://docs.google.com/forms/d/e/1FAIpQLSeZ-R1GrWlAPkfaThGqxeTj0QTtrARw4rroxIIepf2kipn1nw/formResponse?usp=pp_url&amp;entry.1313582257=0108129059&amp;entry.1578404635=Hadir</v>
      </c>
      <c r="R282" s="23" t="s">
        <v>6102</v>
      </c>
      <c r="S282" s="39"/>
      <c r="T282" s="39"/>
      <c r="U282" s="39"/>
      <c r="V282" s="39"/>
    </row>
    <row r="283" ht="22.5" customHeight="1">
      <c r="A283" s="18">
        <v>327.0</v>
      </c>
      <c r="B283" s="36">
        <v>38.0</v>
      </c>
      <c r="C283" s="36" t="s">
        <v>6103</v>
      </c>
      <c r="D283" s="47">
        <v>2.52610466E8</v>
      </c>
      <c r="E283" s="36" t="s">
        <v>6104</v>
      </c>
      <c r="F283" s="36" t="s">
        <v>227</v>
      </c>
      <c r="G283" s="12">
        <v>33.0</v>
      </c>
      <c r="H283" s="48" t="str">
        <f t="shared" si="1"/>
        <v>X-7</v>
      </c>
      <c r="I283" s="19" t="str">
        <f t="shared" si="2"/>
        <v>33 - GC2 X-7</v>
      </c>
      <c r="J283" s="20" t="str">
        <f>VLOOKUP(I283,'Database Grup SCC'!$B$2:$C1382,2,false)</f>
        <v>Desya (XI)</v>
      </c>
      <c r="K283" s="49" t="s">
        <v>6000</v>
      </c>
      <c r="L283" s="49"/>
      <c r="M283" s="50"/>
      <c r="N283" s="33" t="s">
        <v>6064</v>
      </c>
      <c r="O283" s="34"/>
      <c r="P283" s="34"/>
      <c r="Q283" s="24" t="str">
        <f t="shared" si="3"/>
        <v>https://docs.google.com/forms/d/e/1FAIpQLSeZ-R1GrWlAPkfaThGqxeTj0QTtrARw4rroxIIepf2kipn1nw/formResponse?usp=pp_url&amp;entry.1313582257=0109551129&amp;entry.1578404635=Hadir</v>
      </c>
      <c r="R283" s="23" t="s">
        <v>6105</v>
      </c>
      <c r="S283" s="39"/>
      <c r="T283" s="39"/>
      <c r="U283" s="39"/>
      <c r="V283" s="39"/>
    </row>
    <row r="284" ht="22.5" customHeight="1">
      <c r="A284" s="10">
        <v>328.0</v>
      </c>
      <c r="B284" s="36">
        <v>39.0</v>
      </c>
      <c r="C284" s="36" t="s">
        <v>6106</v>
      </c>
      <c r="D284" s="47">
        <v>2.52610468E8</v>
      </c>
      <c r="E284" s="36" t="s">
        <v>6107</v>
      </c>
      <c r="F284" s="36" t="s">
        <v>227</v>
      </c>
      <c r="G284" s="12">
        <v>33.0</v>
      </c>
      <c r="H284" s="48" t="str">
        <f t="shared" si="1"/>
        <v>X-7</v>
      </c>
      <c r="I284" s="19" t="str">
        <f t="shared" si="2"/>
        <v>33 - GC2 X-7</v>
      </c>
      <c r="J284" s="20" t="str">
        <f>VLOOKUP(I284,'Database Grup SCC'!$B$2:$C1382,2,false)</f>
        <v>Desya (XI)</v>
      </c>
      <c r="K284" s="49" t="s">
        <v>6000</v>
      </c>
      <c r="L284" s="49"/>
      <c r="M284" s="50"/>
      <c r="N284" s="33" t="s">
        <v>6064</v>
      </c>
      <c r="O284" s="34"/>
      <c r="P284" s="34"/>
      <c r="Q284" s="24" t="str">
        <f t="shared" si="3"/>
        <v>https://docs.google.com/forms/d/e/1FAIpQLSeZ-R1GrWlAPkfaThGqxeTj0QTtrARw4rroxIIepf2kipn1nw/formResponse?usp=pp_url&amp;entry.1313582257=0093003786&amp;entry.1578404635=Hadir</v>
      </c>
      <c r="R284" s="23" t="s">
        <v>6108</v>
      </c>
      <c r="S284" s="39"/>
      <c r="T284" s="39"/>
      <c r="U284" s="39"/>
      <c r="V284" s="39"/>
    </row>
    <row r="285" ht="22.5" customHeight="1">
      <c r="A285" s="18">
        <v>329.0</v>
      </c>
      <c r="B285" s="36">
        <v>40.0</v>
      </c>
      <c r="C285" s="36" t="s">
        <v>6109</v>
      </c>
      <c r="D285" s="47">
        <v>2.52610491E8</v>
      </c>
      <c r="E285" s="36" t="s">
        <v>6110</v>
      </c>
      <c r="F285" s="36" t="s">
        <v>227</v>
      </c>
      <c r="G285" s="12">
        <v>33.0</v>
      </c>
      <c r="H285" s="48" t="str">
        <f t="shared" si="1"/>
        <v>X-7</v>
      </c>
      <c r="I285" s="19" t="str">
        <f t="shared" si="2"/>
        <v>33 - GC2 X-7</v>
      </c>
      <c r="J285" s="20" t="str">
        <f>VLOOKUP(I285,'Database Grup SCC'!$B$2:$C1382,2,false)</f>
        <v>Desya (XI)</v>
      </c>
      <c r="K285" s="49" t="s">
        <v>6000</v>
      </c>
      <c r="L285" s="49"/>
      <c r="M285" s="50"/>
      <c r="N285" s="33" t="s">
        <v>6064</v>
      </c>
      <c r="O285" s="34"/>
      <c r="P285" s="34"/>
      <c r="Q285" s="24" t="str">
        <f t="shared" si="3"/>
        <v>https://docs.google.com/forms/d/e/1FAIpQLSeZ-R1GrWlAPkfaThGqxeTj0QTtrARw4rroxIIepf2kipn1nw/formResponse?usp=pp_url&amp;entry.1313582257=0096444734&amp;entry.1578404635=Hadir</v>
      </c>
      <c r="R285" s="23" t="s">
        <v>6111</v>
      </c>
      <c r="S285" s="39"/>
      <c r="T285" s="39"/>
      <c r="U285" s="39"/>
      <c r="V285" s="39"/>
    </row>
    <row r="286" ht="22.5" customHeight="1">
      <c r="A286" s="10">
        <v>330.0</v>
      </c>
      <c r="B286" s="36">
        <v>41.0</v>
      </c>
      <c r="C286" s="36" t="s">
        <v>28</v>
      </c>
      <c r="D286" s="47">
        <v>2.52610504E8</v>
      </c>
      <c r="E286" s="36" t="s">
        <v>6112</v>
      </c>
      <c r="F286" s="36" t="s">
        <v>220</v>
      </c>
      <c r="G286" s="12">
        <v>33.0</v>
      </c>
      <c r="H286" s="48" t="str">
        <f t="shared" si="1"/>
        <v>X-7</v>
      </c>
      <c r="I286" s="19" t="str">
        <f t="shared" si="2"/>
        <v>33 - BC X-7</v>
      </c>
      <c r="J286" s="20" t="str">
        <f>VLOOKUP(I286,'Database Grup SCC'!$B$2:$C1382,2,false)</f>
        <v>Rizza Al-Farisi</v>
      </c>
      <c r="K286" s="49" t="s">
        <v>6000</v>
      </c>
      <c r="L286" s="49"/>
      <c r="M286" s="50"/>
      <c r="N286" s="33" t="s">
        <v>6005</v>
      </c>
      <c r="O286" s="34"/>
      <c r="P286" s="34"/>
      <c r="Q286" s="24" t="str">
        <f t="shared" si="3"/>
        <v>https://docs.google.com/forms/d/e/1FAIpQLSeZ-R1GrWlAPkfaThGqxeTj0QTtrARw4rroxIIepf2kipn1nw/formResponse?usp=pp_url&amp;entry.1313582257=0107487290&amp;entry.1578404635=Hadir</v>
      </c>
      <c r="R286" s="23" t="s">
        <v>6113</v>
      </c>
      <c r="S286" s="39"/>
      <c r="T286" s="39"/>
      <c r="U286" s="39"/>
      <c r="V286" s="39"/>
    </row>
    <row r="287" ht="22.5" customHeight="1">
      <c r="A287" s="18">
        <v>331.0</v>
      </c>
      <c r="B287" s="36">
        <v>42.0</v>
      </c>
      <c r="C287" s="36" t="s">
        <v>6114</v>
      </c>
      <c r="D287" s="47">
        <v>2.52610523E8</v>
      </c>
      <c r="E287" s="36" t="s">
        <v>6115</v>
      </c>
      <c r="F287" s="36" t="s">
        <v>227</v>
      </c>
      <c r="G287" s="12">
        <v>33.0</v>
      </c>
      <c r="H287" s="48" t="str">
        <f t="shared" si="1"/>
        <v>X-7</v>
      </c>
      <c r="I287" s="19" t="str">
        <f t="shared" si="2"/>
        <v>33 - GC2 X-7</v>
      </c>
      <c r="J287" s="20" t="str">
        <f>VLOOKUP(I287,'Database Grup SCC'!$B$2:$C1382,2,false)</f>
        <v>Desya (XI)</v>
      </c>
      <c r="K287" s="49" t="s">
        <v>6000</v>
      </c>
      <c r="L287" s="49"/>
      <c r="M287" s="50"/>
      <c r="N287" s="33" t="s">
        <v>6064</v>
      </c>
      <c r="O287" s="34"/>
      <c r="P287" s="34"/>
      <c r="Q287" s="24" t="str">
        <f t="shared" si="3"/>
        <v>https://docs.google.com/forms/d/e/1FAIpQLSeZ-R1GrWlAPkfaThGqxeTj0QTtrARw4rroxIIepf2kipn1nw/formResponse?usp=pp_url&amp;entry.1313582257=3102286552&amp;entry.1578404635=Hadir</v>
      </c>
      <c r="R287" s="23" t="s">
        <v>6116</v>
      </c>
      <c r="S287" s="39"/>
      <c r="T287" s="39"/>
      <c r="U287" s="39"/>
      <c r="V287" s="39"/>
    </row>
    <row r="288" ht="22.5" customHeight="1">
      <c r="A288" s="10">
        <v>332.0</v>
      </c>
      <c r="B288" s="36">
        <v>43.0</v>
      </c>
      <c r="C288" s="36" t="s">
        <v>23</v>
      </c>
      <c r="D288" s="47">
        <v>2.52610525E8</v>
      </c>
      <c r="E288" s="36" t="s">
        <v>6117</v>
      </c>
      <c r="F288" s="36" t="s">
        <v>220</v>
      </c>
      <c r="G288" s="12">
        <v>33.0</v>
      </c>
      <c r="H288" s="48" t="str">
        <f t="shared" si="1"/>
        <v>X-7</v>
      </c>
      <c r="I288" s="19" t="str">
        <f t="shared" si="2"/>
        <v>33 - BC X-7</v>
      </c>
      <c r="J288" s="20" t="str">
        <f>VLOOKUP(I288,'Database Grup SCC'!$B$2:$C1382,2,false)</f>
        <v>Rizza Al-Farisi</v>
      </c>
      <c r="K288" s="49" t="s">
        <v>6000</v>
      </c>
      <c r="L288" s="49"/>
      <c r="M288" s="50"/>
      <c r="N288" s="33" t="s">
        <v>6005</v>
      </c>
      <c r="O288" s="34"/>
      <c r="P288" s="34"/>
      <c r="Q288" s="24" t="str">
        <f t="shared" si="3"/>
        <v>https://docs.google.com/forms/d/e/1FAIpQLSeZ-R1GrWlAPkfaThGqxeTj0QTtrARw4rroxIIepf2kipn1nw/formResponse?usp=pp_url&amp;entry.1313582257=0107936085&amp;entry.1578404635=Hadir</v>
      </c>
      <c r="R288" s="23" t="s">
        <v>6118</v>
      </c>
      <c r="S288" s="39"/>
      <c r="T288" s="39"/>
      <c r="U288" s="39"/>
      <c r="V288" s="39"/>
    </row>
    <row r="289" ht="22.5" customHeight="1">
      <c r="A289" s="18">
        <v>333.0</v>
      </c>
      <c r="B289" s="36">
        <v>44.0</v>
      </c>
      <c r="C289" s="36" t="s">
        <v>6119</v>
      </c>
      <c r="D289" s="47">
        <v>2.52610527E8</v>
      </c>
      <c r="E289" s="36" t="s">
        <v>6120</v>
      </c>
      <c r="F289" s="36" t="s">
        <v>227</v>
      </c>
      <c r="G289" s="12">
        <v>33.0</v>
      </c>
      <c r="H289" s="48" t="str">
        <f t="shared" si="1"/>
        <v>X-7</v>
      </c>
      <c r="I289" s="19" t="str">
        <f t="shared" si="2"/>
        <v>33 - GC2 X-7</v>
      </c>
      <c r="J289" s="20" t="str">
        <f>VLOOKUP(I289,'Database Grup SCC'!$B$2:$C1382,2,false)</f>
        <v>Desya (XI)</v>
      </c>
      <c r="K289" s="49" t="s">
        <v>6000</v>
      </c>
      <c r="L289" s="49"/>
      <c r="M289" s="50"/>
      <c r="N289" s="33" t="s">
        <v>6064</v>
      </c>
      <c r="O289" s="34"/>
      <c r="P289" s="34"/>
      <c r="Q289" s="24" t="str">
        <f t="shared" si="3"/>
        <v>https://docs.google.com/forms/d/e/1FAIpQLSeZ-R1GrWlAPkfaThGqxeTj0QTtrARw4rroxIIepf2kipn1nw/formResponse?usp=pp_url&amp;entry.1313582257=0106701592&amp;entry.1578404635=Hadir</v>
      </c>
      <c r="R289" s="23" t="s">
        <v>6121</v>
      </c>
      <c r="S289" s="39"/>
      <c r="T289" s="39"/>
      <c r="U289" s="39"/>
      <c r="V289" s="39"/>
    </row>
    <row r="290" ht="22.5" customHeight="1">
      <c r="A290" s="10">
        <v>334.0</v>
      </c>
      <c r="B290" s="36">
        <v>45.0</v>
      </c>
      <c r="C290" s="36" t="s">
        <v>6122</v>
      </c>
      <c r="D290" s="47">
        <v>2.52610532E8</v>
      </c>
      <c r="E290" s="36" t="s">
        <v>6123</v>
      </c>
      <c r="F290" s="36" t="s">
        <v>227</v>
      </c>
      <c r="G290" s="12">
        <v>33.0</v>
      </c>
      <c r="H290" s="48" t="str">
        <f t="shared" si="1"/>
        <v>X-7</v>
      </c>
      <c r="I290" s="19" t="str">
        <f t="shared" si="2"/>
        <v>33 - GC2 X-7</v>
      </c>
      <c r="J290" s="20" t="str">
        <f>VLOOKUP(I290,'Database Grup SCC'!$B$2:$C1382,2,false)</f>
        <v>Desya (XI)</v>
      </c>
      <c r="K290" s="49" t="s">
        <v>6000</v>
      </c>
      <c r="L290" s="49"/>
      <c r="M290" s="50"/>
      <c r="N290" s="33" t="s">
        <v>6064</v>
      </c>
      <c r="O290" s="34"/>
      <c r="P290" s="34"/>
      <c r="Q290" s="24" t="str">
        <f t="shared" si="3"/>
        <v>https://docs.google.com/forms/d/e/1FAIpQLSeZ-R1GrWlAPkfaThGqxeTj0QTtrARw4rroxIIepf2kipn1nw/formResponse?usp=pp_url&amp;entry.1313582257=0104155224&amp;entry.1578404635=Hadir</v>
      </c>
      <c r="R290" s="23" t="s">
        <v>6124</v>
      </c>
      <c r="S290" s="39"/>
      <c r="T290" s="39"/>
      <c r="U290" s="39"/>
      <c r="V290" s="39"/>
    </row>
    <row r="291" ht="22.5" customHeight="1">
      <c r="A291" s="18">
        <v>335.0</v>
      </c>
      <c r="B291" s="36">
        <v>46.0</v>
      </c>
      <c r="C291" s="36" t="s">
        <v>31</v>
      </c>
      <c r="D291" s="47">
        <v>2.52610539E8</v>
      </c>
      <c r="E291" s="36" t="s">
        <v>6125</v>
      </c>
      <c r="F291" s="36" t="s">
        <v>220</v>
      </c>
      <c r="G291" s="12">
        <v>33.0</v>
      </c>
      <c r="H291" s="48" t="str">
        <f t="shared" si="1"/>
        <v>X-7</v>
      </c>
      <c r="I291" s="19" t="str">
        <f t="shared" si="2"/>
        <v>33 - BC X-7</v>
      </c>
      <c r="J291" s="20" t="str">
        <f>VLOOKUP(I291,'Database Grup SCC'!$B$2:$C1382,2,false)</f>
        <v>Rizza Al-Farisi</v>
      </c>
      <c r="K291" s="49" t="s">
        <v>6000</v>
      </c>
      <c r="L291" s="49"/>
      <c r="M291" s="50"/>
      <c r="N291" s="33" t="s">
        <v>6005</v>
      </c>
      <c r="O291" s="34"/>
      <c r="P291" s="34"/>
      <c r="Q291" s="24" t="str">
        <f t="shared" si="3"/>
        <v>https://docs.google.com/forms/d/e/1FAIpQLSeZ-R1GrWlAPkfaThGqxeTj0QTtrARw4rroxIIepf2kipn1nw/formResponse?usp=pp_url&amp;entry.1313582257=0097446281&amp;entry.1578404635=Hadir</v>
      </c>
      <c r="R291" s="23" t="s">
        <v>6126</v>
      </c>
      <c r="S291" s="39"/>
      <c r="T291" s="39"/>
      <c r="U291" s="39"/>
      <c r="V291" s="39"/>
    </row>
    <row r="292" ht="22.5" customHeight="1">
      <c r="A292" s="10">
        <v>336.0</v>
      </c>
      <c r="B292" s="36">
        <v>47.0</v>
      </c>
      <c r="C292" s="36" t="s">
        <v>27</v>
      </c>
      <c r="D292" s="47">
        <v>2.52610547E8</v>
      </c>
      <c r="E292" s="36" t="s">
        <v>6127</v>
      </c>
      <c r="F292" s="36" t="s">
        <v>220</v>
      </c>
      <c r="G292" s="12">
        <v>33.0</v>
      </c>
      <c r="H292" s="48" t="str">
        <f t="shared" si="1"/>
        <v>X-7</v>
      </c>
      <c r="I292" s="19" t="str">
        <f t="shared" si="2"/>
        <v>33 - BC X-7</v>
      </c>
      <c r="J292" s="20" t="str">
        <f>VLOOKUP(I292,'Database Grup SCC'!$B$2:$C1382,2,false)</f>
        <v>Rizza Al-Farisi</v>
      </c>
      <c r="K292" s="49" t="s">
        <v>6000</v>
      </c>
      <c r="L292" s="49"/>
      <c r="M292" s="50"/>
      <c r="N292" s="33" t="s">
        <v>6005</v>
      </c>
      <c r="O292" s="34"/>
      <c r="P292" s="34"/>
      <c r="Q292" s="24" t="str">
        <f t="shared" si="3"/>
        <v>https://docs.google.com/forms/d/e/1FAIpQLSeZ-R1GrWlAPkfaThGqxeTj0QTtrARw4rroxIIepf2kipn1nw/formResponse?usp=pp_url&amp;entry.1313582257=0105614197&amp;entry.1578404635=Hadir</v>
      </c>
      <c r="R292" s="23" t="s">
        <v>6128</v>
      </c>
      <c r="S292" s="39"/>
      <c r="T292" s="39"/>
      <c r="U292" s="39"/>
      <c r="V292" s="39"/>
    </row>
    <row r="293" ht="22.5" customHeight="1">
      <c r="A293" s="18">
        <v>337.0</v>
      </c>
      <c r="B293" s="36">
        <v>48.0</v>
      </c>
      <c r="C293" s="36" t="s">
        <v>6129</v>
      </c>
      <c r="D293" s="47">
        <v>2.52610559E8</v>
      </c>
      <c r="E293" s="36" t="s">
        <v>6130</v>
      </c>
      <c r="F293" s="36" t="s">
        <v>227</v>
      </c>
      <c r="G293" s="12">
        <v>33.0</v>
      </c>
      <c r="H293" s="48" t="str">
        <f t="shared" si="1"/>
        <v>X-7</v>
      </c>
      <c r="I293" s="19" t="str">
        <f t="shared" si="2"/>
        <v>33 - GC2 X-7</v>
      </c>
      <c r="J293" s="20" t="str">
        <f>VLOOKUP(I293,'Database Grup SCC'!$B$2:$C1382,2,false)</f>
        <v>Desya (XI)</v>
      </c>
      <c r="K293" s="49" t="s">
        <v>6000</v>
      </c>
      <c r="L293" s="49"/>
      <c r="M293" s="50"/>
      <c r="N293" s="33" t="s">
        <v>6064</v>
      </c>
      <c r="O293" s="34"/>
      <c r="P293" s="34"/>
      <c r="Q293" s="24" t="str">
        <f t="shared" si="3"/>
        <v>https://docs.google.com/forms/d/e/1FAIpQLSeZ-R1GrWlAPkfaThGqxeTj0QTtrARw4rroxIIepf2kipn1nw/formResponse?usp=pp_url&amp;entry.1313582257=0109499801&amp;entry.1578404635=Hadir</v>
      </c>
      <c r="R293" s="23" t="s">
        <v>6131</v>
      </c>
      <c r="S293" s="39"/>
      <c r="T293" s="39"/>
      <c r="U293" s="39"/>
      <c r="V293" s="39"/>
    </row>
    <row r="294" ht="22.5" customHeight="1">
      <c r="A294" s="18">
        <v>345.0</v>
      </c>
      <c r="B294" s="36">
        <v>1.0</v>
      </c>
      <c r="C294" s="36" t="s">
        <v>6132</v>
      </c>
      <c r="D294" s="47">
        <v>2.52610007E8</v>
      </c>
      <c r="E294" s="36" t="s">
        <v>6133</v>
      </c>
      <c r="F294" s="36" t="s">
        <v>227</v>
      </c>
      <c r="G294" s="12">
        <v>33.0</v>
      </c>
      <c r="H294" s="48" t="str">
        <f t="shared" si="1"/>
        <v>X-8</v>
      </c>
      <c r="I294" s="19" t="str">
        <f t="shared" si="2"/>
        <v>33 - GC1 X-8</v>
      </c>
      <c r="J294" s="20" t="str">
        <f>VLOOKUP(I294,'Database Grup SCC'!$B$2:$C1382,2,false)</f>
        <v>Sakina</v>
      </c>
      <c r="K294" s="49" t="s">
        <v>6134</v>
      </c>
      <c r="L294" s="49"/>
      <c r="M294" s="50"/>
      <c r="N294" s="33" t="s">
        <v>6135</v>
      </c>
      <c r="O294" s="34"/>
      <c r="P294" s="34"/>
      <c r="Q294" s="24" t="str">
        <f t="shared" si="3"/>
        <v>https://docs.google.com/forms/d/e/1FAIpQLSeZ-R1GrWlAPkfaThGqxeTj0QTtrARw4rroxIIepf2kipn1nw/formResponse?usp=pp_url&amp;entry.1313582257=0093560012&amp;entry.1578404635=Hadir</v>
      </c>
      <c r="R294" s="23" t="s">
        <v>6136</v>
      </c>
      <c r="S294" s="39"/>
      <c r="T294" s="39"/>
      <c r="U294" s="39"/>
      <c r="V294" s="39"/>
    </row>
    <row r="295" ht="22.5" customHeight="1">
      <c r="A295" s="10">
        <v>346.0</v>
      </c>
      <c r="B295" s="36">
        <v>2.0</v>
      </c>
      <c r="C295" s="36" t="s">
        <v>6137</v>
      </c>
      <c r="D295" s="47">
        <v>2.52610028E8</v>
      </c>
      <c r="E295" s="36" t="s">
        <v>6138</v>
      </c>
      <c r="F295" s="36" t="s">
        <v>227</v>
      </c>
      <c r="G295" s="12">
        <v>33.0</v>
      </c>
      <c r="H295" s="48" t="str">
        <f t="shared" si="1"/>
        <v>X-8</v>
      </c>
      <c r="I295" s="19" t="str">
        <f t="shared" si="2"/>
        <v>33 - GC1 X-8</v>
      </c>
      <c r="J295" s="20" t="str">
        <f>VLOOKUP(I295,'Database Grup SCC'!$B$2:$C1382,2,false)</f>
        <v>Sakina</v>
      </c>
      <c r="K295" s="49" t="s">
        <v>6134</v>
      </c>
      <c r="L295" s="49"/>
      <c r="M295" s="50"/>
      <c r="N295" s="33" t="s">
        <v>6135</v>
      </c>
      <c r="O295" s="34"/>
      <c r="P295" s="34"/>
      <c r="Q295" s="24" t="str">
        <f t="shared" si="3"/>
        <v>https://docs.google.com/forms/d/e/1FAIpQLSeZ-R1GrWlAPkfaThGqxeTj0QTtrARw4rroxIIepf2kipn1nw/formResponse?usp=pp_url&amp;entry.1313582257=0092017710&amp;entry.1578404635=Hadir</v>
      </c>
      <c r="R295" s="23" t="s">
        <v>6139</v>
      </c>
      <c r="S295" s="39"/>
      <c r="T295" s="39"/>
      <c r="U295" s="39"/>
      <c r="V295" s="39"/>
    </row>
    <row r="296" ht="22.5" customHeight="1">
      <c r="A296" s="18">
        <v>347.0</v>
      </c>
      <c r="B296" s="36">
        <v>3.0</v>
      </c>
      <c r="C296" s="36" t="s">
        <v>6140</v>
      </c>
      <c r="D296" s="47">
        <v>2.52610035E8</v>
      </c>
      <c r="E296" s="36" t="s">
        <v>6141</v>
      </c>
      <c r="F296" s="36" t="s">
        <v>227</v>
      </c>
      <c r="G296" s="12">
        <v>33.0</v>
      </c>
      <c r="H296" s="48" t="str">
        <f t="shared" si="1"/>
        <v>X-8</v>
      </c>
      <c r="I296" s="19" t="str">
        <f t="shared" si="2"/>
        <v>33 - GC1 X-8</v>
      </c>
      <c r="J296" s="20" t="str">
        <f>VLOOKUP(I296,'Database Grup SCC'!$B$2:$C1382,2,false)</f>
        <v>Sakina</v>
      </c>
      <c r="K296" s="49" t="s">
        <v>6134</v>
      </c>
      <c r="L296" s="49"/>
      <c r="M296" s="50"/>
      <c r="N296" s="33" t="s">
        <v>6135</v>
      </c>
      <c r="O296" s="34"/>
      <c r="P296" s="34"/>
      <c r="Q296" s="24" t="str">
        <f t="shared" si="3"/>
        <v>https://docs.google.com/forms/d/e/1FAIpQLSeZ-R1GrWlAPkfaThGqxeTj0QTtrARw4rroxIIepf2kipn1nw/formResponse?usp=pp_url&amp;entry.1313582257=0098009248&amp;entry.1578404635=Hadir</v>
      </c>
      <c r="R296" s="23" t="s">
        <v>6142</v>
      </c>
      <c r="S296" s="39"/>
      <c r="T296" s="39"/>
      <c r="U296" s="39"/>
      <c r="V296" s="39"/>
    </row>
    <row r="297" ht="22.5" customHeight="1">
      <c r="A297" s="10">
        <v>348.0</v>
      </c>
      <c r="B297" s="36">
        <v>4.0</v>
      </c>
      <c r="C297" s="36" t="s">
        <v>6143</v>
      </c>
      <c r="D297" s="47">
        <v>2.5261004E8</v>
      </c>
      <c r="E297" s="36" t="s">
        <v>6144</v>
      </c>
      <c r="F297" s="36" t="s">
        <v>227</v>
      </c>
      <c r="G297" s="12">
        <v>33.0</v>
      </c>
      <c r="H297" s="48" t="str">
        <f t="shared" si="1"/>
        <v>X-8</v>
      </c>
      <c r="I297" s="19" t="str">
        <f t="shared" si="2"/>
        <v>33 - GC1 X-8</v>
      </c>
      <c r="J297" s="20" t="str">
        <f>VLOOKUP(I297,'Database Grup SCC'!$B$2:$C1382,2,false)</f>
        <v>Sakina</v>
      </c>
      <c r="K297" s="49" t="s">
        <v>6134</v>
      </c>
      <c r="L297" s="49"/>
      <c r="M297" s="50"/>
      <c r="N297" s="33" t="s">
        <v>6135</v>
      </c>
      <c r="O297" s="34"/>
      <c r="P297" s="34"/>
      <c r="Q297" s="24" t="str">
        <f t="shared" si="3"/>
        <v>https://docs.google.com/forms/d/e/1FAIpQLSeZ-R1GrWlAPkfaThGqxeTj0QTtrARw4rroxIIepf2kipn1nw/formResponse?usp=pp_url&amp;entry.1313582257=3105167232&amp;entry.1578404635=Hadir</v>
      </c>
      <c r="R297" s="23" t="s">
        <v>6145</v>
      </c>
      <c r="S297" s="39"/>
      <c r="T297" s="39"/>
      <c r="U297" s="39"/>
      <c r="V297" s="39"/>
    </row>
    <row r="298" ht="22.5" customHeight="1">
      <c r="A298" s="18">
        <v>349.0</v>
      </c>
      <c r="B298" s="36">
        <v>5.0</v>
      </c>
      <c r="C298" s="36" t="s">
        <v>6146</v>
      </c>
      <c r="D298" s="47">
        <v>2.52610041E8</v>
      </c>
      <c r="E298" s="36" t="s">
        <v>6147</v>
      </c>
      <c r="F298" s="36" t="s">
        <v>227</v>
      </c>
      <c r="G298" s="12">
        <v>33.0</v>
      </c>
      <c r="H298" s="48" t="str">
        <f t="shared" si="1"/>
        <v>X-8</v>
      </c>
      <c r="I298" s="19" t="str">
        <f t="shared" si="2"/>
        <v>33 - GC1 X-8</v>
      </c>
      <c r="J298" s="20" t="str">
        <f>VLOOKUP(I298,'Database Grup SCC'!$B$2:$C1382,2,false)</f>
        <v>Sakina</v>
      </c>
      <c r="K298" s="49" t="s">
        <v>6134</v>
      </c>
      <c r="L298" s="49"/>
      <c r="M298" s="50"/>
      <c r="N298" s="33" t="s">
        <v>6135</v>
      </c>
      <c r="O298" s="34"/>
      <c r="P298" s="34"/>
      <c r="Q298" s="24" t="str">
        <f t="shared" si="3"/>
        <v>https://docs.google.com/forms/d/e/1FAIpQLSeZ-R1GrWlAPkfaThGqxeTj0QTtrARw4rroxIIepf2kipn1nw/formResponse?usp=pp_url&amp;entry.1313582257=0107122505&amp;entry.1578404635=Hadir</v>
      </c>
      <c r="R298" s="23" t="s">
        <v>6148</v>
      </c>
      <c r="S298" s="39"/>
      <c r="T298" s="39"/>
      <c r="U298" s="39"/>
      <c r="V298" s="39"/>
    </row>
    <row r="299" ht="22.5" customHeight="1">
      <c r="A299" s="10">
        <v>350.0</v>
      </c>
      <c r="B299" s="36">
        <v>6.0</v>
      </c>
      <c r="C299" s="36" t="s">
        <v>6149</v>
      </c>
      <c r="D299" s="47">
        <v>2.52610061E8</v>
      </c>
      <c r="E299" s="36" t="s">
        <v>6150</v>
      </c>
      <c r="F299" s="36" t="s">
        <v>227</v>
      </c>
      <c r="G299" s="12">
        <v>33.0</v>
      </c>
      <c r="H299" s="48" t="str">
        <f t="shared" si="1"/>
        <v>X-8</v>
      </c>
      <c r="I299" s="19" t="str">
        <f t="shared" si="2"/>
        <v>33 - GC1 X-8</v>
      </c>
      <c r="J299" s="20" t="str">
        <f>VLOOKUP(I299,'Database Grup SCC'!$B$2:$C1382,2,false)</f>
        <v>Sakina</v>
      </c>
      <c r="K299" s="49" t="s">
        <v>6134</v>
      </c>
      <c r="L299" s="49"/>
      <c r="M299" s="50"/>
      <c r="N299" s="33" t="s">
        <v>6135</v>
      </c>
      <c r="O299" s="34"/>
      <c r="P299" s="34"/>
      <c r="Q299" s="24" t="str">
        <f t="shared" si="3"/>
        <v>https://docs.google.com/forms/d/e/1FAIpQLSeZ-R1GrWlAPkfaThGqxeTj0QTtrARw4rroxIIepf2kipn1nw/formResponse?usp=pp_url&amp;entry.1313582257=0104668456&amp;entry.1578404635=Hadir</v>
      </c>
      <c r="R299" s="23" t="s">
        <v>6151</v>
      </c>
      <c r="S299" s="39"/>
      <c r="T299" s="39"/>
      <c r="U299" s="39"/>
      <c r="V299" s="39"/>
    </row>
    <row r="300" ht="22.5" customHeight="1">
      <c r="A300" s="18">
        <v>351.0</v>
      </c>
      <c r="B300" s="36">
        <v>7.0</v>
      </c>
      <c r="C300" s="36" t="s">
        <v>6152</v>
      </c>
      <c r="D300" s="47">
        <v>2.52610077E8</v>
      </c>
      <c r="E300" s="36" t="s">
        <v>6153</v>
      </c>
      <c r="F300" s="36" t="s">
        <v>227</v>
      </c>
      <c r="G300" s="12">
        <v>33.0</v>
      </c>
      <c r="H300" s="48" t="str">
        <f t="shared" si="1"/>
        <v>X-8</v>
      </c>
      <c r="I300" s="19" t="str">
        <f t="shared" si="2"/>
        <v>33 - GC1 X-8</v>
      </c>
      <c r="J300" s="20" t="str">
        <f>VLOOKUP(I300,'Database Grup SCC'!$B$2:$C1382,2,false)</f>
        <v>Sakina</v>
      </c>
      <c r="K300" s="49" t="s">
        <v>6134</v>
      </c>
      <c r="L300" s="49"/>
      <c r="M300" s="50"/>
      <c r="N300" s="33" t="s">
        <v>6135</v>
      </c>
      <c r="O300" s="34"/>
      <c r="P300" s="34"/>
      <c r="Q300" s="24" t="str">
        <f t="shared" si="3"/>
        <v>https://docs.google.com/forms/d/e/1FAIpQLSeZ-R1GrWlAPkfaThGqxeTj0QTtrARw4rroxIIepf2kipn1nw/formResponse?usp=pp_url&amp;entry.1313582257=0102036572&amp;entry.1578404635=Hadir</v>
      </c>
      <c r="R300" s="23" t="s">
        <v>6154</v>
      </c>
      <c r="S300" s="39"/>
      <c r="T300" s="39"/>
      <c r="U300" s="39"/>
      <c r="V300" s="39"/>
    </row>
    <row r="301" ht="22.5" customHeight="1">
      <c r="A301" s="10">
        <v>352.0</v>
      </c>
      <c r="B301" s="36">
        <v>8.0</v>
      </c>
      <c r="C301" s="36" t="s">
        <v>6155</v>
      </c>
      <c r="D301" s="47">
        <v>2.52610097E8</v>
      </c>
      <c r="E301" s="36" t="s">
        <v>6156</v>
      </c>
      <c r="F301" s="36" t="s">
        <v>227</v>
      </c>
      <c r="G301" s="12">
        <v>33.0</v>
      </c>
      <c r="H301" s="48" t="str">
        <f t="shared" si="1"/>
        <v>X-8</v>
      </c>
      <c r="I301" s="19" t="str">
        <f t="shared" si="2"/>
        <v>33 - GC1 X-8</v>
      </c>
      <c r="J301" s="20" t="str">
        <f>VLOOKUP(I301,'Database Grup SCC'!$B$2:$C1382,2,false)</f>
        <v>Sakina</v>
      </c>
      <c r="K301" s="49" t="s">
        <v>6134</v>
      </c>
      <c r="L301" s="49"/>
      <c r="M301" s="50"/>
      <c r="N301" s="33" t="s">
        <v>6135</v>
      </c>
      <c r="O301" s="34"/>
      <c r="P301" s="34"/>
      <c r="Q301" s="24" t="str">
        <f t="shared" si="3"/>
        <v>https://docs.google.com/forms/d/e/1FAIpQLSeZ-R1GrWlAPkfaThGqxeTj0QTtrARw4rroxIIepf2kipn1nw/formResponse?usp=pp_url&amp;entry.1313582257=0102307654&amp;entry.1578404635=Hadir</v>
      </c>
      <c r="R301" s="23" t="s">
        <v>6157</v>
      </c>
      <c r="S301" s="39"/>
      <c r="T301" s="39"/>
      <c r="U301" s="39"/>
      <c r="V301" s="39"/>
    </row>
    <row r="302" ht="22.5" customHeight="1">
      <c r="A302" s="18">
        <v>353.0</v>
      </c>
      <c r="B302" s="36">
        <v>9.0</v>
      </c>
      <c r="C302" s="36" t="s">
        <v>6158</v>
      </c>
      <c r="D302" s="47">
        <v>2.52610108E8</v>
      </c>
      <c r="E302" s="36" t="s">
        <v>6159</v>
      </c>
      <c r="F302" s="36" t="s">
        <v>227</v>
      </c>
      <c r="G302" s="12">
        <v>33.0</v>
      </c>
      <c r="H302" s="48" t="str">
        <f t="shared" si="1"/>
        <v>X-8</v>
      </c>
      <c r="I302" s="19" t="str">
        <f t="shared" si="2"/>
        <v>33 - GC1 X-8</v>
      </c>
      <c r="J302" s="20" t="str">
        <f>VLOOKUP(I302,'Database Grup SCC'!$B$2:$C1382,2,false)</f>
        <v>Sakina</v>
      </c>
      <c r="K302" s="49" t="s">
        <v>6134</v>
      </c>
      <c r="L302" s="49"/>
      <c r="M302" s="50"/>
      <c r="N302" s="33" t="s">
        <v>6135</v>
      </c>
      <c r="O302" s="34"/>
      <c r="P302" s="34"/>
      <c r="Q302" s="24" t="str">
        <f t="shared" si="3"/>
        <v>https://docs.google.com/forms/d/e/1FAIpQLSeZ-R1GrWlAPkfaThGqxeTj0QTtrARw4rroxIIepf2kipn1nw/formResponse?usp=pp_url&amp;entry.1313582257=0105089607&amp;entry.1578404635=Hadir</v>
      </c>
      <c r="R302" s="23" t="s">
        <v>6160</v>
      </c>
      <c r="S302" s="39"/>
      <c r="T302" s="39"/>
      <c r="U302" s="39"/>
      <c r="V302" s="39"/>
    </row>
    <row r="303" ht="22.5" customHeight="1">
      <c r="A303" s="10">
        <v>354.0</v>
      </c>
      <c r="B303" s="36">
        <v>10.0</v>
      </c>
      <c r="C303" s="36" t="s">
        <v>6161</v>
      </c>
      <c r="D303" s="47">
        <v>2.52610118E8</v>
      </c>
      <c r="E303" s="36" t="s">
        <v>6162</v>
      </c>
      <c r="F303" s="36" t="s">
        <v>227</v>
      </c>
      <c r="G303" s="12">
        <v>33.0</v>
      </c>
      <c r="H303" s="48" t="str">
        <f t="shared" si="1"/>
        <v>X-8</v>
      </c>
      <c r="I303" s="19" t="str">
        <f t="shared" si="2"/>
        <v>33 - GC1 X-8</v>
      </c>
      <c r="J303" s="20" t="str">
        <f>VLOOKUP(I303,'Database Grup SCC'!$B$2:$C1382,2,false)</f>
        <v>Sakina</v>
      </c>
      <c r="K303" s="49" t="s">
        <v>6134</v>
      </c>
      <c r="L303" s="49"/>
      <c r="M303" s="50"/>
      <c r="N303" s="33" t="s">
        <v>6135</v>
      </c>
      <c r="O303" s="34"/>
      <c r="P303" s="34"/>
      <c r="Q303" s="24" t="str">
        <f t="shared" si="3"/>
        <v>https://docs.google.com/forms/d/e/1FAIpQLSeZ-R1GrWlAPkfaThGqxeTj0QTtrARw4rroxIIepf2kipn1nw/formResponse?usp=pp_url&amp;entry.1313582257=0096174502&amp;entry.1578404635=Hadir</v>
      </c>
      <c r="R303" s="23" t="s">
        <v>6163</v>
      </c>
      <c r="S303" s="39"/>
      <c r="T303" s="39"/>
      <c r="U303" s="39"/>
      <c r="V303" s="39"/>
    </row>
    <row r="304" ht="22.5" customHeight="1">
      <c r="A304" s="18">
        <v>355.0</v>
      </c>
      <c r="B304" s="36">
        <v>11.0</v>
      </c>
      <c r="C304" s="36" t="s">
        <v>6164</v>
      </c>
      <c r="D304" s="47">
        <v>2.52610125E8</v>
      </c>
      <c r="E304" s="36" t="s">
        <v>6165</v>
      </c>
      <c r="F304" s="36" t="s">
        <v>220</v>
      </c>
      <c r="G304" s="12">
        <v>33.0</v>
      </c>
      <c r="H304" s="48" t="str">
        <f t="shared" si="1"/>
        <v>X-8</v>
      </c>
      <c r="I304" s="19" t="str">
        <f t="shared" si="2"/>
        <v>33 - BC X-8</v>
      </c>
      <c r="J304" s="20" t="str">
        <f>VLOOKUP(I304,'Database Grup SCC'!$B$2:$C1382,2,false)</f>
        <v>Teguh</v>
      </c>
      <c r="K304" s="49" t="s">
        <v>6134</v>
      </c>
      <c r="L304" s="49"/>
      <c r="M304" s="50"/>
      <c r="N304" s="33" t="s">
        <v>6166</v>
      </c>
      <c r="O304" s="34"/>
      <c r="P304" s="34"/>
      <c r="Q304" s="24" t="str">
        <f t="shared" si="3"/>
        <v>https://docs.google.com/forms/d/e/1FAIpQLSeZ-R1GrWlAPkfaThGqxeTj0QTtrARw4rroxIIepf2kipn1nw/formResponse?usp=pp_url&amp;entry.1313582257=0092180086&amp;entry.1578404635=Hadir</v>
      </c>
      <c r="R304" s="23" t="s">
        <v>6167</v>
      </c>
      <c r="S304" s="39"/>
      <c r="T304" s="39"/>
      <c r="U304" s="39"/>
      <c r="V304" s="39"/>
    </row>
    <row r="305" ht="22.5" customHeight="1">
      <c r="A305" s="10">
        <v>356.0</v>
      </c>
      <c r="B305" s="36">
        <v>12.0</v>
      </c>
      <c r="C305" s="36" t="s">
        <v>6168</v>
      </c>
      <c r="D305" s="47">
        <v>2.52610151E8</v>
      </c>
      <c r="E305" s="36" t="s">
        <v>6169</v>
      </c>
      <c r="F305" s="36" t="s">
        <v>227</v>
      </c>
      <c r="G305" s="12">
        <v>33.0</v>
      </c>
      <c r="H305" s="48" t="str">
        <f t="shared" si="1"/>
        <v>X-8</v>
      </c>
      <c r="I305" s="19" t="str">
        <f t="shared" si="2"/>
        <v>33 - GC1 X-8</v>
      </c>
      <c r="J305" s="20" t="str">
        <f>VLOOKUP(I305,'Database Grup SCC'!$B$2:$C1382,2,false)</f>
        <v>Sakina</v>
      </c>
      <c r="K305" s="49" t="s">
        <v>6134</v>
      </c>
      <c r="L305" s="49"/>
      <c r="M305" s="50"/>
      <c r="N305" s="33" t="s">
        <v>6135</v>
      </c>
      <c r="O305" s="34"/>
      <c r="P305" s="34"/>
      <c r="Q305" s="24" t="str">
        <f t="shared" si="3"/>
        <v>https://docs.google.com/forms/d/e/1FAIpQLSeZ-R1GrWlAPkfaThGqxeTj0QTtrARw4rroxIIepf2kipn1nw/formResponse?usp=pp_url&amp;entry.1313582257=3094942931&amp;entry.1578404635=Hadir</v>
      </c>
      <c r="R305" s="23" t="s">
        <v>6170</v>
      </c>
      <c r="S305" s="39"/>
      <c r="T305" s="39"/>
      <c r="U305" s="39"/>
      <c r="V305" s="39"/>
    </row>
    <row r="306" ht="22.5" customHeight="1">
      <c r="A306" s="18">
        <v>357.0</v>
      </c>
      <c r="B306" s="36">
        <v>13.0</v>
      </c>
      <c r="C306" s="36" t="s">
        <v>6171</v>
      </c>
      <c r="D306" s="47">
        <v>2.5261016E8</v>
      </c>
      <c r="E306" s="36" t="s">
        <v>6172</v>
      </c>
      <c r="F306" s="36" t="s">
        <v>227</v>
      </c>
      <c r="G306" s="12">
        <v>33.0</v>
      </c>
      <c r="H306" s="48" t="str">
        <f t="shared" si="1"/>
        <v>X-8</v>
      </c>
      <c r="I306" s="19" t="str">
        <f t="shared" si="2"/>
        <v>33 - XSUMEN2 GC</v>
      </c>
      <c r="J306" s="20" t="str">
        <f>VLOOKUP(I306,'Database Grup SCC'!$B$2:$C1382,2,false)</f>
        <v>Iqlima</v>
      </c>
      <c r="K306" s="49" t="s">
        <v>6134</v>
      </c>
      <c r="L306" s="49"/>
      <c r="M306" s="50"/>
      <c r="N306" s="33" t="s">
        <v>5377</v>
      </c>
      <c r="O306" s="34"/>
      <c r="P306" s="34"/>
      <c r="Q306" s="24" t="str">
        <f t="shared" si="3"/>
        <v>https://docs.google.com/forms/d/e/1FAIpQLSeZ-R1GrWlAPkfaThGqxeTj0QTtrARw4rroxIIepf2kipn1nw/formResponse?usp=pp_url&amp;entry.1313582257=0103091510&amp;entry.1578404635=Hadir</v>
      </c>
      <c r="R306" s="23" t="s">
        <v>6173</v>
      </c>
      <c r="S306" s="39"/>
      <c r="T306" s="39"/>
      <c r="U306" s="39"/>
      <c r="V306" s="39"/>
    </row>
    <row r="307" ht="22.5" customHeight="1">
      <c r="A307" s="10">
        <v>358.0</v>
      </c>
      <c r="B307" s="36">
        <v>14.0</v>
      </c>
      <c r="C307" s="36" t="s">
        <v>6174</v>
      </c>
      <c r="D307" s="47">
        <v>2.52610161E8</v>
      </c>
      <c r="E307" s="36" t="s">
        <v>6175</v>
      </c>
      <c r="F307" s="36" t="s">
        <v>227</v>
      </c>
      <c r="G307" s="12">
        <v>33.0</v>
      </c>
      <c r="H307" s="48" t="str">
        <f t="shared" si="1"/>
        <v>X-8</v>
      </c>
      <c r="I307" s="19" t="str">
        <f t="shared" si="2"/>
        <v>33 - GC1 X-8</v>
      </c>
      <c r="J307" s="20" t="str">
        <f>VLOOKUP(I307,'Database Grup SCC'!$B$2:$C1382,2,false)</f>
        <v>Sakina</v>
      </c>
      <c r="K307" s="49" t="s">
        <v>6134</v>
      </c>
      <c r="L307" s="49"/>
      <c r="M307" s="50"/>
      <c r="N307" s="33" t="s">
        <v>6135</v>
      </c>
      <c r="O307" s="34"/>
      <c r="P307" s="34"/>
      <c r="Q307" s="24" t="str">
        <f t="shared" si="3"/>
        <v>https://docs.google.com/forms/d/e/1FAIpQLSeZ-R1GrWlAPkfaThGqxeTj0QTtrARw4rroxIIepf2kipn1nw/formResponse?usp=pp_url&amp;entry.1313582257=0093558313&amp;entry.1578404635=Hadir</v>
      </c>
      <c r="R307" s="23" t="s">
        <v>6176</v>
      </c>
      <c r="S307" s="39"/>
      <c r="T307" s="39"/>
      <c r="U307" s="39"/>
      <c r="V307" s="39"/>
    </row>
    <row r="308" ht="22.5" customHeight="1">
      <c r="A308" s="18">
        <v>359.0</v>
      </c>
      <c r="B308" s="36">
        <v>15.0</v>
      </c>
      <c r="C308" s="36" t="s">
        <v>6177</v>
      </c>
      <c r="D308" s="47">
        <v>2.5261017E8</v>
      </c>
      <c r="E308" s="36" t="s">
        <v>6178</v>
      </c>
      <c r="F308" s="36" t="s">
        <v>227</v>
      </c>
      <c r="G308" s="12">
        <v>33.0</v>
      </c>
      <c r="H308" s="48" t="str">
        <f t="shared" si="1"/>
        <v>X-8</v>
      </c>
      <c r="I308" s="19" t="str">
        <f t="shared" si="2"/>
        <v>33 - GC1 X-8</v>
      </c>
      <c r="J308" s="20" t="str">
        <f>VLOOKUP(I308,'Database Grup SCC'!$B$2:$C1382,2,false)</f>
        <v>Sakina</v>
      </c>
      <c r="K308" s="49" t="s">
        <v>6134</v>
      </c>
      <c r="L308" s="49"/>
      <c r="M308" s="50"/>
      <c r="N308" s="33" t="s">
        <v>6135</v>
      </c>
      <c r="O308" s="34"/>
      <c r="P308" s="34"/>
      <c r="Q308" s="24" t="str">
        <f t="shared" si="3"/>
        <v>https://docs.google.com/forms/d/e/1FAIpQLSeZ-R1GrWlAPkfaThGqxeTj0QTtrARw4rroxIIepf2kipn1nw/formResponse?usp=pp_url&amp;entry.1313582257=0093242338&amp;entry.1578404635=Hadir</v>
      </c>
      <c r="R308" s="23" t="s">
        <v>6179</v>
      </c>
      <c r="S308" s="39"/>
      <c r="T308" s="39"/>
      <c r="U308" s="39"/>
      <c r="V308" s="39"/>
    </row>
    <row r="309" ht="22.5" customHeight="1">
      <c r="A309" s="10">
        <v>360.0</v>
      </c>
      <c r="B309" s="36">
        <v>16.0</v>
      </c>
      <c r="C309" s="36" t="s">
        <v>6180</v>
      </c>
      <c r="D309" s="47">
        <v>2.52610174E8</v>
      </c>
      <c r="E309" s="36" t="s">
        <v>6181</v>
      </c>
      <c r="F309" s="18" t="s">
        <v>220</v>
      </c>
      <c r="G309" s="12">
        <v>33.0</v>
      </c>
      <c r="H309" s="48" t="str">
        <f t="shared" si="1"/>
        <v>X-8</v>
      </c>
      <c r="I309" s="19" t="str">
        <f t="shared" si="2"/>
        <v>33 - BC X-8</v>
      </c>
      <c r="J309" s="20" t="str">
        <f>VLOOKUP(I309,'Database Grup SCC'!$B$2:$C1382,2,false)</f>
        <v>Teguh</v>
      </c>
      <c r="K309" s="49" t="s">
        <v>6134</v>
      </c>
      <c r="L309" s="49"/>
      <c r="M309" s="50"/>
      <c r="N309" s="33" t="s">
        <v>6166</v>
      </c>
      <c r="O309" s="34"/>
      <c r="P309" s="34"/>
      <c r="Q309" s="24" t="str">
        <f t="shared" si="3"/>
        <v>https://docs.google.com/forms/d/e/1FAIpQLSeZ-R1GrWlAPkfaThGqxeTj0QTtrARw4rroxIIepf2kipn1nw/formResponse?usp=pp_url&amp;entry.1313582257=0095632017&amp;entry.1578404635=Hadir</v>
      </c>
      <c r="R309" s="23" t="s">
        <v>6182</v>
      </c>
      <c r="S309" s="39"/>
      <c r="T309" s="39"/>
      <c r="U309" s="39"/>
      <c r="V309" s="39"/>
    </row>
    <row r="310" ht="22.5" customHeight="1">
      <c r="A310" s="18">
        <v>361.0</v>
      </c>
      <c r="B310" s="36">
        <v>17.0</v>
      </c>
      <c r="C310" s="36" t="s">
        <v>6183</v>
      </c>
      <c r="D310" s="47">
        <v>2.52610199E8</v>
      </c>
      <c r="E310" s="36" t="s">
        <v>6184</v>
      </c>
      <c r="F310" s="36" t="s">
        <v>220</v>
      </c>
      <c r="G310" s="12">
        <v>33.0</v>
      </c>
      <c r="H310" s="48" t="str">
        <f t="shared" si="1"/>
        <v>X-8</v>
      </c>
      <c r="I310" s="19" t="str">
        <f t="shared" si="2"/>
        <v>33 - BC X-8</v>
      </c>
      <c r="J310" s="20" t="str">
        <f>VLOOKUP(I310,'Database Grup SCC'!$B$2:$C1382,2,false)</f>
        <v>Teguh</v>
      </c>
      <c r="K310" s="49" t="s">
        <v>6134</v>
      </c>
      <c r="L310" s="49"/>
      <c r="M310" s="50"/>
      <c r="N310" s="33" t="s">
        <v>6166</v>
      </c>
      <c r="O310" s="34"/>
      <c r="P310" s="34"/>
      <c r="Q310" s="24" t="str">
        <f t="shared" si="3"/>
        <v>https://docs.google.com/forms/d/e/1FAIpQLSeZ-R1GrWlAPkfaThGqxeTj0QTtrARw4rroxIIepf2kipn1nw/formResponse?usp=pp_url&amp;entry.1313582257=0099446424&amp;entry.1578404635=Hadir</v>
      </c>
      <c r="R310" s="23" t="s">
        <v>6185</v>
      </c>
      <c r="S310" s="39"/>
      <c r="T310" s="39"/>
      <c r="U310" s="39"/>
      <c r="V310" s="39"/>
    </row>
    <row r="311" ht="22.5" customHeight="1">
      <c r="A311" s="10">
        <v>362.0</v>
      </c>
      <c r="B311" s="36">
        <v>18.0</v>
      </c>
      <c r="C311" s="36" t="s">
        <v>6186</v>
      </c>
      <c r="D311" s="47">
        <v>2.52610203E8</v>
      </c>
      <c r="E311" s="36" t="s">
        <v>6187</v>
      </c>
      <c r="F311" s="36" t="s">
        <v>227</v>
      </c>
      <c r="G311" s="12">
        <v>33.0</v>
      </c>
      <c r="H311" s="48" t="str">
        <f t="shared" si="1"/>
        <v>X-8</v>
      </c>
      <c r="I311" s="19" t="str">
        <f t="shared" si="2"/>
        <v>33 - XSUMEN2 GC</v>
      </c>
      <c r="J311" s="20" t="str">
        <f>VLOOKUP(I311,'Database Grup SCC'!$B$2:$C1382,2,false)</f>
        <v>Iqlima</v>
      </c>
      <c r="K311" s="49" t="s">
        <v>6134</v>
      </c>
      <c r="L311" s="49"/>
      <c r="M311" s="50"/>
      <c r="N311" s="33" t="s">
        <v>5377</v>
      </c>
      <c r="O311" s="34"/>
      <c r="P311" s="34"/>
      <c r="Q311" s="24" t="str">
        <f t="shared" si="3"/>
        <v>https://docs.google.com/forms/d/e/1FAIpQLSeZ-R1GrWlAPkfaThGqxeTj0QTtrARw4rroxIIepf2kipn1nw/formResponse?usp=pp_url&amp;entry.1313582257=0103174946&amp;entry.1578404635=Hadir</v>
      </c>
      <c r="R311" s="23" t="s">
        <v>6188</v>
      </c>
      <c r="S311" s="39"/>
      <c r="T311" s="39"/>
      <c r="U311" s="39"/>
      <c r="V311" s="39"/>
    </row>
    <row r="312" ht="22.5" customHeight="1">
      <c r="A312" s="18">
        <v>363.0</v>
      </c>
      <c r="B312" s="36">
        <v>20.0</v>
      </c>
      <c r="C312" s="36" t="s">
        <v>6189</v>
      </c>
      <c r="D312" s="47">
        <v>2.52610255E8</v>
      </c>
      <c r="E312" s="36" t="s">
        <v>6190</v>
      </c>
      <c r="F312" s="36" t="s">
        <v>227</v>
      </c>
      <c r="G312" s="12">
        <v>33.0</v>
      </c>
      <c r="H312" s="48" t="str">
        <f t="shared" si="1"/>
        <v>X-8</v>
      </c>
      <c r="I312" s="19" t="str">
        <f t="shared" si="2"/>
        <v>33 - GC2 X-8</v>
      </c>
      <c r="J312" s="20" t="str">
        <f>VLOOKUP(I312,'Database Grup SCC'!$B$2:$C1382,2,false)</f>
        <v>Arsyila (XI)</v>
      </c>
      <c r="K312" s="49" t="s">
        <v>6134</v>
      </c>
      <c r="L312" s="49"/>
      <c r="M312" s="50"/>
      <c r="N312" s="33" t="s">
        <v>6191</v>
      </c>
      <c r="O312" s="34"/>
      <c r="P312" s="34"/>
      <c r="Q312" s="24" t="str">
        <f t="shared" si="3"/>
        <v>https://docs.google.com/forms/d/e/1FAIpQLSeZ-R1GrWlAPkfaThGqxeTj0QTtrARw4rroxIIepf2kipn1nw/formResponse?usp=pp_url&amp;entry.1313582257=0107691976&amp;entry.1578404635=Hadir</v>
      </c>
      <c r="R312" s="23" t="s">
        <v>6192</v>
      </c>
      <c r="S312" s="39"/>
      <c r="T312" s="39"/>
      <c r="U312" s="39"/>
      <c r="V312" s="39"/>
    </row>
    <row r="313" ht="22.5" customHeight="1">
      <c r="A313" s="10">
        <v>364.0</v>
      </c>
      <c r="B313" s="36">
        <v>21.0</v>
      </c>
      <c r="C313" s="36" t="s">
        <v>6193</v>
      </c>
      <c r="D313" s="47">
        <v>2.52610265E8</v>
      </c>
      <c r="E313" s="36" t="s">
        <v>6194</v>
      </c>
      <c r="F313" s="36" t="s">
        <v>220</v>
      </c>
      <c r="G313" s="12">
        <v>33.0</v>
      </c>
      <c r="H313" s="48" t="str">
        <f t="shared" si="1"/>
        <v>X-8</v>
      </c>
      <c r="I313" s="19" t="str">
        <f t="shared" si="2"/>
        <v>33 - BC X-8</v>
      </c>
      <c r="J313" s="20" t="str">
        <f>VLOOKUP(I313,'Database Grup SCC'!$B$2:$C1382,2,false)</f>
        <v>Teguh</v>
      </c>
      <c r="K313" s="49" t="s">
        <v>6134</v>
      </c>
      <c r="L313" s="49"/>
      <c r="M313" s="50"/>
      <c r="N313" s="33" t="s">
        <v>6166</v>
      </c>
      <c r="O313" s="34"/>
      <c r="P313" s="34"/>
      <c r="Q313" s="24" t="str">
        <f t="shared" si="3"/>
        <v>https://docs.google.com/forms/d/e/1FAIpQLSeZ-R1GrWlAPkfaThGqxeTj0QTtrARw4rroxIIepf2kipn1nw/formResponse?usp=pp_url&amp;entry.1313582257=0101976221&amp;entry.1578404635=Hadir</v>
      </c>
      <c r="R313" s="23" t="s">
        <v>6195</v>
      </c>
      <c r="S313" s="39"/>
      <c r="T313" s="39"/>
      <c r="U313" s="39"/>
      <c r="V313" s="39"/>
    </row>
    <row r="314" ht="22.5" customHeight="1">
      <c r="A314" s="18">
        <v>365.0</v>
      </c>
      <c r="B314" s="36">
        <v>22.0</v>
      </c>
      <c r="C314" s="36" t="s">
        <v>6196</v>
      </c>
      <c r="D314" s="47">
        <v>2.52610293E8</v>
      </c>
      <c r="E314" s="36" t="s">
        <v>6197</v>
      </c>
      <c r="F314" s="36" t="s">
        <v>220</v>
      </c>
      <c r="G314" s="12">
        <v>33.0</v>
      </c>
      <c r="H314" s="48" t="str">
        <f t="shared" si="1"/>
        <v>X-8</v>
      </c>
      <c r="I314" s="19" t="str">
        <f t="shared" si="2"/>
        <v>33 - BC X-8</v>
      </c>
      <c r="J314" s="20" t="str">
        <f>VLOOKUP(I314,'Database Grup SCC'!$B$2:$C1382,2,false)</f>
        <v>Teguh</v>
      </c>
      <c r="K314" s="49" t="s">
        <v>6134</v>
      </c>
      <c r="L314" s="49"/>
      <c r="M314" s="50"/>
      <c r="N314" s="33" t="s">
        <v>6166</v>
      </c>
      <c r="O314" s="34"/>
      <c r="P314" s="34"/>
      <c r="Q314" s="24" t="str">
        <f t="shared" si="3"/>
        <v>https://docs.google.com/forms/d/e/1FAIpQLSeZ-R1GrWlAPkfaThGqxeTj0QTtrARw4rroxIIepf2kipn1nw/formResponse?usp=pp_url&amp;entry.1313582257=0092212305&amp;entry.1578404635=Hadir</v>
      </c>
      <c r="R314" s="23" t="s">
        <v>6198</v>
      </c>
      <c r="S314" s="39"/>
      <c r="T314" s="39"/>
      <c r="U314" s="39"/>
      <c r="V314" s="39"/>
    </row>
    <row r="315" ht="22.5" customHeight="1">
      <c r="A315" s="10">
        <v>366.0</v>
      </c>
      <c r="B315" s="36">
        <v>23.0</v>
      </c>
      <c r="C315" s="36" t="s">
        <v>6199</v>
      </c>
      <c r="D315" s="47">
        <v>2.52610314E8</v>
      </c>
      <c r="E315" s="36" t="s">
        <v>6200</v>
      </c>
      <c r="F315" s="36" t="s">
        <v>220</v>
      </c>
      <c r="G315" s="12">
        <v>33.0</v>
      </c>
      <c r="H315" s="48" t="str">
        <f t="shared" si="1"/>
        <v>X-8</v>
      </c>
      <c r="I315" s="19" t="str">
        <f t="shared" si="2"/>
        <v>33 - BC X-8</v>
      </c>
      <c r="J315" s="20" t="str">
        <f>VLOOKUP(I315,'Database Grup SCC'!$B$2:$C1382,2,false)</f>
        <v>Teguh</v>
      </c>
      <c r="K315" s="49" t="s">
        <v>6134</v>
      </c>
      <c r="L315" s="49"/>
      <c r="M315" s="50"/>
      <c r="N315" s="33" t="s">
        <v>6166</v>
      </c>
      <c r="O315" s="34"/>
      <c r="P315" s="34"/>
      <c r="Q315" s="24" t="str">
        <f t="shared" si="3"/>
        <v>https://docs.google.com/forms/d/e/1FAIpQLSeZ-R1GrWlAPkfaThGqxeTj0QTtrARw4rroxIIepf2kipn1nw/formResponse?usp=pp_url&amp;entry.1313582257=0102160006&amp;entry.1578404635=Hadir</v>
      </c>
      <c r="R315" s="23" t="s">
        <v>6201</v>
      </c>
      <c r="S315" s="39"/>
      <c r="T315" s="39"/>
      <c r="U315" s="39"/>
      <c r="V315" s="39"/>
    </row>
    <row r="316" ht="22.5" customHeight="1">
      <c r="A316" s="18">
        <v>367.0</v>
      </c>
      <c r="B316" s="36">
        <v>24.0</v>
      </c>
      <c r="C316" s="36" t="s">
        <v>6202</v>
      </c>
      <c r="D316" s="47">
        <v>2.52610317E8</v>
      </c>
      <c r="E316" s="36" t="s">
        <v>6203</v>
      </c>
      <c r="F316" s="36" t="s">
        <v>220</v>
      </c>
      <c r="G316" s="12">
        <v>33.0</v>
      </c>
      <c r="H316" s="48" t="str">
        <f t="shared" si="1"/>
        <v>X-8</v>
      </c>
      <c r="I316" s="19" t="str">
        <f t="shared" si="2"/>
        <v>33 - BC X-8</v>
      </c>
      <c r="J316" s="20" t="str">
        <f>VLOOKUP(I316,'Database Grup SCC'!$B$2:$C1382,2,false)</f>
        <v>Teguh</v>
      </c>
      <c r="K316" s="49" t="s">
        <v>6134</v>
      </c>
      <c r="L316" s="49"/>
      <c r="M316" s="50"/>
      <c r="N316" s="33" t="s">
        <v>6166</v>
      </c>
      <c r="O316" s="34"/>
      <c r="P316" s="34"/>
      <c r="Q316" s="24" t="str">
        <f t="shared" si="3"/>
        <v>https://docs.google.com/forms/d/e/1FAIpQLSeZ-R1GrWlAPkfaThGqxeTj0QTtrARw4rroxIIepf2kipn1nw/formResponse?usp=pp_url&amp;entry.1313582257=0103442868&amp;entry.1578404635=Hadir</v>
      </c>
      <c r="R316" s="23" t="s">
        <v>6204</v>
      </c>
      <c r="S316" s="39"/>
      <c r="T316" s="39"/>
      <c r="U316" s="39"/>
      <c r="V316" s="39"/>
    </row>
    <row r="317" ht="22.5" customHeight="1">
      <c r="A317" s="10">
        <v>368.0</v>
      </c>
      <c r="B317" s="36">
        <v>25.0</v>
      </c>
      <c r="C317" s="36" t="s">
        <v>6205</v>
      </c>
      <c r="D317" s="47">
        <v>2.52610321E8</v>
      </c>
      <c r="E317" s="36" t="s">
        <v>6206</v>
      </c>
      <c r="F317" s="36" t="s">
        <v>227</v>
      </c>
      <c r="G317" s="12">
        <v>33.0</v>
      </c>
      <c r="H317" s="48" t="str">
        <f t="shared" si="1"/>
        <v>X-8</v>
      </c>
      <c r="I317" s="19" t="str">
        <f t="shared" si="2"/>
        <v>33 - GC2 X-8</v>
      </c>
      <c r="J317" s="20" t="str">
        <f>VLOOKUP(I317,'Database Grup SCC'!$B$2:$C1382,2,false)</f>
        <v>Arsyila (XI)</v>
      </c>
      <c r="K317" s="49" t="s">
        <v>6134</v>
      </c>
      <c r="L317" s="49"/>
      <c r="M317" s="50"/>
      <c r="N317" s="33" t="s">
        <v>6191</v>
      </c>
      <c r="O317" s="34"/>
      <c r="P317" s="34"/>
      <c r="Q317" s="24" t="str">
        <f t="shared" si="3"/>
        <v>https://docs.google.com/forms/d/e/1FAIpQLSeZ-R1GrWlAPkfaThGqxeTj0QTtrARw4rroxIIepf2kipn1nw/formResponse?usp=pp_url&amp;entry.1313582257=0105918833&amp;entry.1578404635=Hadir</v>
      </c>
      <c r="R317" s="23" t="s">
        <v>6207</v>
      </c>
      <c r="S317" s="39"/>
      <c r="T317" s="39"/>
      <c r="U317" s="39"/>
      <c r="V317" s="39"/>
    </row>
    <row r="318" ht="22.5" customHeight="1">
      <c r="A318" s="18">
        <v>369.0</v>
      </c>
      <c r="B318" s="36">
        <v>26.0</v>
      </c>
      <c r="C318" s="36" t="s">
        <v>6208</v>
      </c>
      <c r="D318" s="47">
        <v>2.52610324E8</v>
      </c>
      <c r="E318" s="36" t="s">
        <v>6209</v>
      </c>
      <c r="F318" s="36" t="s">
        <v>220</v>
      </c>
      <c r="G318" s="12">
        <v>33.0</v>
      </c>
      <c r="H318" s="48" t="str">
        <f t="shared" si="1"/>
        <v>X-8</v>
      </c>
      <c r="I318" s="19" t="str">
        <f t="shared" si="2"/>
        <v>33 - XSUMEN BC</v>
      </c>
      <c r="J318" s="20" t="str">
        <f>VLOOKUP(I318,'Database Grup SCC'!$B$2:$C1382,2,false)</f>
        <v>Rekhsa</v>
      </c>
      <c r="K318" s="49" t="s">
        <v>6134</v>
      </c>
      <c r="L318" s="49"/>
      <c r="M318" s="50"/>
      <c r="N318" s="33" t="s">
        <v>371</v>
      </c>
      <c r="O318" s="34"/>
      <c r="P318" s="34"/>
      <c r="Q318" s="24" t="str">
        <f t="shared" si="3"/>
        <v>https://docs.google.com/forms/d/e/1FAIpQLSeZ-R1GrWlAPkfaThGqxeTj0QTtrARw4rroxIIepf2kipn1nw/formResponse?usp=pp_url&amp;entry.1313582257=0099772945&amp;entry.1578404635=Hadir</v>
      </c>
      <c r="R318" s="23" t="s">
        <v>6210</v>
      </c>
      <c r="S318" s="39"/>
      <c r="T318" s="39"/>
      <c r="U318" s="39"/>
      <c r="V318" s="39"/>
    </row>
    <row r="319" ht="22.5" customHeight="1">
      <c r="A319" s="10">
        <v>370.0</v>
      </c>
      <c r="B319" s="36">
        <v>27.0</v>
      </c>
      <c r="C319" s="36" t="s">
        <v>6211</v>
      </c>
      <c r="D319" s="47">
        <v>2.52610326E8</v>
      </c>
      <c r="E319" s="36" t="s">
        <v>6212</v>
      </c>
      <c r="F319" s="36" t="s">
        <v>220</v>
      </c>
      <c r="G319" s="12">
        <v>33.0</v>
      </c>
      <c r="H319" s="48" t="str">
        <f t="shared" si="1"/>
        <v>X-8</v>
      </c>
      <c r="I319" s="19" t="str">
        <f t="shared" si="2"/>
        <v>33 - BC X-8</v>
      </c>
      <c r="J319" s="20" t="str">
        <f>VLOOKUP(I319,'Database Grup SCC'!$B$2:$C1382,2,false)</f>
        <v>Teguh</v>
      </c>
      <c r="K319" s="49" t="s">
        <v>6134</v>
      </c>
      <c r="L319" s="49"/>
      <c r="M319" s="50"/>
      <c r="N319" s="33" t="s">
        <v>6166</v>
      </c>
      <c r="O319" s="34"/>
      <c r="P319" s="34"/>
      <c r="Q319" s="24" t="str">
        <f t="shared" si="3"/>
        <v>https://docs.google.com/forms/d/e/1FAIpQLSeZ-R1GrWlAPkfaThGqxeTj0QTtrARw4rroxIIepf2kipn1nw/formResponse?usp=pp_url&amp;entry.1313582257=0094259451&amp;entry.1578404635=Hadir</v>
      </c>
      <c r="R319" s="23" t="s">
        <v>6213</v>
      </c>
      <c r="S319" s="39"/>
      <c r="T319" s="39"/>
      <c r="U319" s="39"/>
      <c r="V319" s="39"/>
    </row>
    <row r="320" ht="22.5" customHeight="1">
      <c r="A320" s="18">
        <v>371.0</v>
      </c>
      <c r="B320" s="36">
        <v>28.0</v>
      </c>
      <c r="C320" s="36" t="s">
        <v>6214</v>
      </c>
      <c r="D320" s="47">
        <v>2.52610349E8</v>
      </c>
      <c r="E320" s="36" t="s">
        <v>6215</v>
      </c>
      <c r="F320" s="36" t="s">
        <v>220</v>
      </c>
      <c r="G320" s="12">
        <v>33.0</v>
      </c>
      <c r="H320" s="48" t="str">
        <f t="shared" si="1"/>
        <v>X-8</v>
      </c>
      <c r="I320" s="19" t="str">
        <f t="shared" si="2"/>
        <v>33 - BC X-8</v>
      </c>
      <c r="J320" s="20" t="str">
        <f>VLOOKUP(I320,'Database Grup SCC'!$B$2:$C1382,2,false)</f>
        <v>Teguh</v>
      </c>
      <c r="K320" s="49" t="s">
        <v>6134</v>
      </c>
      <c r="L320" s="49"/>
      <c r="M320" s="50"/>
      <c r="N320" s="33" t="s">
        <v>6166</v>
      </c>
      <c r="O320" s="34"/>
      <c r="P320" s="34"/>
      <c r="Q320" s="24" t="str">
        <f t="shared" si="3"/>
        <v>https://docs.google.com/forms/d/e/1FAIpQLSeZ-R1GrWlAPkfaThGqxeTj0QTtrARw4rroxIIepf2kipn1nw/formResponse?usp=pp_url&amp;entry.1313582257=0107525738&amp;entry.1578404635=Hadir</v>
      </c>
      <c r="R320" s="23" t="s">
        <v>6216</v>
      </c>
      <c r="S320" s="39"/>
      <c r="T320" s="39"/>
      <c r="U320" s="39"/>
      <c r="V320" s="39"/>
    </row>
    <row r="321" ht="22.5" customHeight="1">
      <c r="A321" s="10">
        <v>372.0</v>
      </c>
      <c r="B321" s="36">
        <v>29.0</v>
      </c>
      <c r="C321" s="36" t="s">
        <v>6217</v>
      </c>
      <c r="D321" s="47">
        <v>2.5261035E8</v>
      </c>
      <c r="E321" s="36" t="s">
        <v>6218</v>
      </c>
      <c r="F321" s="36" t="s">
        <v>220</v>
      </c>
      <c r="G321" s="12">
        <v>33.0</v>
      </c>
      <c r="H321" s="48" t="str">
        <f t="shared" si="1"/>
        <v>X-8</v>
      </c>
      <c r="I321" s="19" t="str">
        <f t="shared" si="2"/>
        <v>33 - BC X-8</v>
      </c>
      <c r="J321" s="20" t="str">
        <f>VLOOKUP(I321,'Database Grup SCC'!$B$2:$C1382,2,false)</f>
        <v>Teguh</v>
      </c>
      <c r="K321" s="49" t="s">
        <v>6134</v>
      </c>
      <c r="L321" s="49"/>
      <c r="M321" s="50"/>
      <c r="N321" s="33" t="s">
        <v>6166</v>
      </c>
      <c r="O321" s="34"/>
      <c r="P321" s="34"/>
      <c r="Q321" s="24" t="str">
        <f t="shared" si="3"/>
        <v>https://docs.google.com/forms/d/e/1FAIpQLSeZ-R1GrWlAPkfaThGqxeTj0QTtrARw4rroxIIepf2kipn1nw/formResponse?usp=pp_url&amp;entry.1313582257=3107499493&amp;entry.1578404635=Hadir</v>
      </c>
      <c r="R321" s="23" t="s">
        <v>6219</v>
      </c>
      <c r="S321" s="39"/>
      <c r="T321" s="39"/>
      <c r="U321" s="39"/>
      <c r="V321" s="39"/>
    </row>
    <row r="322" ht="22.5" customHeight="1">
      <c r="A322" s="18">
        <v>373.0</v>
      </c>
      <c r="B322" s="36">
        <v>30.0</v>
      </c>
      <c r="C322" s="36" t="s">
        <v>6220</v>
      </c>
      <c r="D322" s="47">
        <v>2.52610353E8</v>
      </c>
      <c r="E322" s="36" t="s">
        <v>6221</v>
      </c>
      <c r="F322" s="36" t="s">
        <v>220</v>
      </c>
      <c r="G322" s="12">
        <v>33.0</v>
      </c>
      <c r="H322" s="48" t="str">
        <f t="shared" si="1"/>
        <v>X-8</v>
      </c>
      <c r="I322" s="19" t="str">
        <f t="shared" si="2"/>
        <v>33 - XSUMEN BC</v>
      </c>
      <c r="J322" s="20" t="str">
        <f>VLOOKUP(I322,'Database Grup SCC'!$B$2:$C1382,2,false)</f>
        <v>Rekhsa</v>
      </c>
      <c r="K322" s="49" t="s">
        <v>6134</v>
      </c>
      <c r="L322" s="49"/>
      <c r="M322" s="50"/>
      <c r="N322" s="33" t="s">
        <v>371</v>
      </c>
      <c r="O322" s="34"/>
      <c r="P322" s="34"/>
      <c r="Q322" s="24" t="str">
        <f t="shared" si="3"/>
        <v>https://docs.google.com/forms/d/e/1FAIpQLSeZ-R1GrWlAPkfaThGqxeTj0QTtrARw4rroxIIepf2kipn1nw/formResponse?usp=pp_url&amp;entry.1313582257=3108018555&amp;entry.1578404635=Hadir</v>
      </c>
      <c r="R322" s="23" t="s">
        <v>6222</v>
      </c>
      <c r="S322" s="39"/>
      <c r="T322" s="39"/>
      <c r="U322" s="39"/>
      <c r="V322" s="39"/>
    </row>
    <row r="323" ht="22.5" customHeight="1">
      <c r="A323" s="10">
        <v>374.0</v>
      </c>
      <c r="B323" s="36">
        <v>31.0</v>
      </c>
      <c r="C323" s="36" t="s">
        <v>6223</v>
      </c>
      <c r="D323" s="47">
        <v>2.52610364E8</v>
      </c>
      <c r="E323" s="36" t="s">
        <v>6224</v>
      </c>
      <c r="F323" s="36" t="s">
        <v>220</v>
      </c>
      <c r="G323" s="12">
        <v>33.0</v>
      </c>
      <c r="H323" s="48" t="str">
        <f t="shared" si="1"/>
        <v>X-8</v>
      </c>
      <c r="I323" s="19" t="str">
        <f t="shared" si="2"/>
        <v>33 - BC X-8</v>
      </c>
      <c r="J323" s="20" t="str">
        <f>VLOOKUP(I323,'Database Grup SCC'!$B$2:$C1382,2,false)</f>
        <v>Teguh</v>
      </c>
      <c r="K323" s="49" t="s">
        <v>6134</v>
      </c>
      <c r="L323" s="49"/>
      <c r="M323" s="50"/>
      <c r="N323" s="33" t="s">
        <v>6166</v>
      </c>
      <c r="O323" s="34"/>
      <c r="P323" s="34"/>
      <c r="Q323" s="24" t="str">
        <f t="shared" si="3"/>
        <v>https://docs.google.com/forms/d/e/1FAIpQLSeZ-R1GrWlAPkfaThGqxeTj0QTtrARw4rroxIIepf2kipn1nw/formResponse?usp=pp_url&amp;entry.1313582257=0091031385&amp;entry.1578404635=Hadir</v>
      </c>
      <c r="R323" s="23" t="s">
        <v>6225</v>
      </c>
      <c r="S323" s="39"/>
      <c r="T323" s="39"/>
      <c r="U323" s="39"/>
      <c r="V323" s="39"/>
    </row>
    <row r="324" ht="22.5" customHeight="1">
      <c r="A324" s="18">
        <v>375.0</v>
      </c>
      <c r="B324" s="36">
        <v>32.0</v>
      </c>
      <c r="C324" s="36" t="s">
        <v>6226</v>
      </c>
      <c r="D324" s="47">
        <v>2.52610376E8</v>
      </c>
      <c r="E324" s="36" t="s">
        <v>6227</v>
      </c>
      <c r="F324" s="36" t="s">
        <v>220</v>
      </c>
      <c r="G324" s="12">
        <v>33.0</v>
      </c>
      <c r="H324" s="48" t="str">
        <f t="shared" si="1"/>
        <v>X-8</v>
      </c>
      <c r="I324" s="19" t="str">
        <f t="shared" si="2"/>
        <v>33 - BC X-8</v>
      </c>
      <c r="J324" s="20" t="str">
        <f>VLOOKUP(I324,'Database Grup SCC'!$B$2:$C1382,2,false)</f>
        <v>Teguh</v>
      </c>
      <c r="K324" s="49" t="s">
        <v>6134</v>
      </c>
      <c r="L324" s="49"/>
      <c r="M324" s="50"/>
      <c r="N324" s="33" t="s">
        <v>6166</v>
      </c>
      <c r="O324" s="34"/>
      <c r="P324" s="34"/>
      <c r="Q324" s="24" t="str">
        <f t="shared" si="3"/>
        <v>https://docs.google.com/forms/d/e/1FAIpQLSeZ-R1GrWlAPkfaThGqxeTj0QTtrARw4rroxIIepf2kipn1nw/formResponse?usp=pp_url&amp;entry.1313582257=0111220217&amp;entry.1578404635=Hadir</v>
      </c>
      <c r="R324" s="23" t="s">
        <v>6228</v>
      </c>
      <c r="S324" s="39"/>
      <c r="T324" s="39"/>
      <c r="U324" s="39"/>
      <c r="V324" s="39"/>
    </row>
    <row r="325" ht="22.5" customHeight="1">
      <c r="A325" s="10">
        <v>376.0</v>
      </c>
      <c r="B325" s="36">
        <v>33.0</v>
      </c>
      <c r="C325" s="36" t="s">
        <v>6229</v>
      </c>
      <c r="D325" s="47">
        <v>2.52610392E8</v>
      </c>
      <c r="E325" s="36" t="s">
        <v>6230</v>
      </c>
      <c r="F325" s="36" t="s">
        <v>227</v>
      </c>
      <c r="G325" s="12">
        <v>33.0</v>
      </c>
      <c r="H325" s="48" t="str">
        <f t="shared" si="1"/>
        <v>X-8</v>
      </c>
      <c r="I325" s="19" t="str">
        <f t="shared" si="2"/>
        <v>33 - GC2 X-8</v>
      </c>
      <c r="J325" s="20" t="str">
        <f>VLOOKUP(I325,'Database Grup SCC'!$B$2:$C1382,2,false)</f>
        <v>Arsyila (XI)</v>
      </c>
      <c r="K325" s="49" t="s">
        <v>6134</v>
      </c>
      <c r="L325" s="49"/>
      <c r="M325" s="50"/>
      <c r="N325" s="33" t="s">
        <v>6191</v>
      </c>
      <c r="O325" s="34"/>
      <c r="P325" s="34"/>
      <c r="Q325" s="24" t="str">
        <f t="shared" si="3"/>
        <v>https://docs.google.com/forms/d/e/1FAIpQLSeZ-R1GrWlAPkfaThGqxeTj0QTtrARw4rroxIIepf2kipn1nw/formResponse?usp=pp_url&amp;entry.1313582257=0098938532&amp;entry.1578404635=Hadir</v>
      </c>
      <c r="R325" s="23" t="s">
        <v>6231</v>
      </c>
      <c r="S325" s="39"/>
      <c r="T325" s="39"/>
      <c r="U325" s="39"/>
      <c r="V325" s="39"/>
    </row>
    <row r="326" ht="22.5" customHeight="1">
      <c r="A326" s="18">
        <v>377.0</v>
      </c>
      <c r="B326" s="36">
        <v>34.0</v>
      </c>
      <c r="C326" s="36" t="s">
        <v>6232</v>
      </c>
      <c r="D326" s="47">
        <v>2.52610395E8</v>
      </c>
      <c r="E326" s="36" t="s">
        <v>6233</v>
      </c>
      <c r="F326" s="36" t="s">
        <v>227</v>
      </c>
      <c r="G326" s="12">
        <v>33.0</v>
      </c>
      <c r="H326" s="48" t="str">
        <f t="shared" si="1"/>
        <v>X-8</v>
      </c>
      <c r="I326" s="19" t="str">
        <f t="shared" si="2"/>
        <v>33 - GC2 X-8</v>
      </c>
      <c r="J326" s="20" t="str">
        <f>VLOOKUP(I326,'Database Grup SCC'!$B$2:$C1382,2,false)</f>
        <v>Arsyila (XI)</v>
      </c>
      <c r="K326" s="49" t="s">
        <v>6134</v>
      </c>
      <c r="L326" s="49"/>
      <c r="M326" s="50"/>
      <c r="N326" s="33" t="s">
        <v>6191</v>
      </c>
      <c r="O326" s="34"/>
      <c r="P326" s="34"/>
      <c r="Q326" s="24" t="str">
        <f t="shared" si="3"/>
        <v>https://docs.google.com/forms/d/e/1FAIpQLSeZ-R1GrWlAPkfaThGqxeTj0QTtrARw4rroxIIepf2kipn1nw/formResponse?usp=pp_url&amp;entry.1313582257=3109348901&amp;entry.1578404635=Hadir</v>
      </c>
      <c r="R326" s="23" t="s">
        <v>6234</v>
      </c>
      <c r="S326" s="39"/>
      <c r="T326" s="39"/>
      <c r="U326" s="39"/>
      <c r="V326" s="39"/>
    </row>
    <row r="327" ht="22.5" customHeight="1">
      <c r="A327" s="10">
        <v>378.0</v>
      </c>
      <c r="B327" s="36">
        <v>35.0</v>
      </c>
      <c r="C327" s="36" t="s">
        <v>6235</v>
      </c>
      <c r="D327" s="47">
        <v>2.52610399E8</v>
      </c>
      <c r="E327" s="36" t="s">
        <v>6236</v>
      </c>
      <c r="F327" s="36" t="s">
        <v>227</v>
      </c>
      <c r="G327" s="12">
        <v>33.0</v>
      </c>
      <c r="H327" s="48" t="str">
        <f t="shared" si="1"/>
        <v>X-8</v>
      </c>
      <c r="I327" s="19" t="str">
        <f t="shared" si="2"/>
        <v>33 - GC2 X-8</v>
      </c>
      <c r="J327" s="20" t="str">
        <f>VLOOKUP(I327,'Database Grup SCC'!$B$2:$C1382,2,false)</f>
        <v>Arsyila (XI)</v>
      </c>
      <c r="K327" s="49" t="s">
        <v>6134</v>
      </c>
      <c r="L327" s="49"/>
      <c r="M327" s="50"/>
      <c r="N327" s="33" t="s">
        <v>6191</v>
      </c>
      <c r="O327" s="34"/>
      <c r="P327" s="34"/>
      <c r="Q327" s="24" t="str">
        <f t="shared" si="3"/>
        <v>https://docs.google.com/forms/d/e/1FAIpQLSeZ-R1GrWlAPkfaThGqxeTj0QTtrARw4rroxIIepf2kipn1nw/formResponse?usp=pp_url&amp;entry.1313582257=0091281050&amp;entry.1578404635=Hadir</v>
      </c>
      <c r="R327" s="23" t="s">
        <v>6237</v>
      </c>
      <c r="S327" s="39"/>
      <c r="T327" s="39"/>
      <c r="U327" s="39"/>
      <c r="V327" s="39"/>
    </row>
    <row r="328" ht="22.5" customHeight="1">
      <c r="A328" s="18">
        <v>379.0</v>
      </c>
      <c r="B328" s="36">
        <v>36.0</v>
      </c>
      <c r="C328" s="36" t="s">
        <v>6238</v>
      </c>
      <c r="D328" s="47">
        <v>2.52610408E8</v>
      </c>
      <c r="E328" s="36" t="s">
        <v>6239</v>
      </c>
      <c r="F328" s="36" t="s">
        <v>227</v>
      </c>
      <c r="G328" s="12">
        <v>33.0</v>
      </c>
      <c r="H328" s="48" t="str">
        <f t="shared" si="1"/>
        <v>X-8</v>
      </c>
      <c r="I328" s="19" t="str">
        <f t="shared" si="2"/>
        <v>33 - GC2 X-8</v>
      </c>
      <c r="J328" s="20" t="str">
        <f>VLOOKUP(I328,'Database Grup SCC'!$B$2:$C1382,2,false)</f>
        <v>Arsyila (XI)</v>
      </c>
      <c r="K328" s="49" t="s">
        <v>6134</v>
      </c>
      <c r="L328" s="49"/>
      <c r="M328" s="50"/>
      <c r="N328" s="33" t="s">
        <v>6191</v>
      </c>
      <c r="O328" s="34"/>
      <c r="P328" s="34"/>
      <c r="Q328" s="24" t="str">
        <f t="shared" si="3"/>
        <v>https://docs.google.com/forms/d/e/1FAIpQLSeZ-R1GrWlAPkfaThGqxeTj0QTtrARw4rroxIIepf2kipn1nw/formResponse?usp=pp_url&amp;entry.1313582257=0107347265&amp;entry.1578404635=Hadir</v>
      </c>
      <c r="R328" s="23" t="s">
        <v>6240</v>
      </c>
      <c r="S328" s="39"/>
      <c r="T328" s="39"/>
      <c r="U328" s="39"/>
      <c r="V328" s="39"/>
    </row>
    <row r="329" ht="22.5" customHeight="1">
      <c r="A329" s="10">
        <v>380.0</v>
      </c>
      <c r="B329" s="36">
        <v>37.0</v>
      </c>
      <c r="C329" s="36" t="s">
        <v>6241</v>
      </c>
      <c r="D329" s="47">
        <v>2.52610413E8</v>
      </c>
      <c r="E329" s="36" t="s">
        <v>6242</v>
      </c>
      <c r="F329" s="36" t="s">
        <v>227</v>
      </c>
      <c r="G329" s="12">
        <v>33.0</v>
      </c>
      <c r="H329" s="48" t="str">
        <f t="shared" si="1"/>
        <v>X-8</v>
      </c>
      <c r="I329" s="19" t="str">
        <f t="shared" si="2"/>
        <v>33 - GC2 X-8</v>
      </c>
      <c r="J329" s="20" t="str">
        <f>VLOOKUP(I329,'Database Grup SCC'!$B$2:$C1382,2,false)</f>
        <v>Arsyila (XI)</v>
      </c>
      <c r="K329" s="49" t="s">
        <v>6134</v>
      </c>
      <c r="L329" s="49"/>
      <c r="M329" s="50"/>
      <c r="N329" s="33" t="s">
        <v>6191</v>
      </c>
      <c r="O329" s="34"/>
      <c r="P329" s="34"/>
      <c r="Q329" s="24" t="str">
        <f t="shared" si="3"/>
        <v>https://docs.google.com/forms/d/e/1FAIpQLSeZ-R1GrWlAPkfaThGqxeTj0QTtrARw4rroxIIepf2kipn1nw/formResponse?usp=pp_url&amp;entry.1313582257=0105961239&amp;entry.1578404635=Hadir</v>
      </c>
      <c r="R329" s="23" t="s">
        <v>6243</v>
      </c>
      <c r="S329" s="39"/>
      <c r="T329" s="39"/>
      <c r="U329" s="39"/>
      <c r="V329" s="39"/>
    </row>
    <row r="330" ht="22.5" customHeight="1">
      <c r="A330" s="18">
        <v>381.0</v>
      </c>
      <c r="B330" s="36">
        <v>38.0</v>
      </c>
      <c r="C330" s="36" t="s">
        <v>6244</v>
      </c>
      <c r="D330" s="47">
        <v>2.5261042E8</v>
      </c>
      <c r="E330" s="36" t="s">
        <v>6245</v>
      </c>
      <c r="F330" s="36" t="s">
        <v>227</v>
      </c>
      <c r="G330" s="12">
        <v>33.0</v>
      </c>
      <c r="H330" s="48" t="str">
        <f t="shared" si="1"/>
        <v>X-8</v>
      </c>
      <c r="I330" s="19" t="str">
        <f t="shared" si="2"/>
        <v>33 - GC2 X-8</v>
      </c>
      <c r="J330" s="20" t="str">
        <f>VLOOKUP(I330,'Database Grup SCC'!$B$2:$C1382,2,false)</f>
        <v>Arsyila (XI)</v>
      </c>
      <c r="K330" s="49" t="s">
        <v>6134</v>
      </c>
      <c r="L330" s="49"/>
      <c r="M330" s="50"/>
      <c r="N330" s="33" t="s">
        <v>6191</v>
      </c>
      <c r="O330" s="34"/>
      <c r="P330" s="34"/>
      <c r="Q330" s="24" t="str">
        <f t="shared" si="3"/>
        <v>https://docs.google.com/forms/d/e/1FAIpQLSeZ-R1GrWlAPkfaThGqxeTj0QTtrARw4rroxIIepf2kipn1nw/formResponse?usp=pp_url&amp;entry.1313582257=0105803552&amp;entry.1578404635=Hadir</v>
      </c>
      <c r="R330" s="23" t="s">
        <v>6246</v>
      </c>
      <c r="S330" s="39"/>
      <c r="T330" s="39"/>
      <c r="U330" s="39"/>
      <c r="V330" s="39"/>
    </row>
    <row r="331" ht="22.5" customHeight="1">
      <c r="A331" s="10">
        <v>382.0</v>
      </c>
      <c r="B331" s="36">
        <v>39.0</v>
      </c>
      <c r="C331" s="36" t="s">
        <v>6247</v>
      </c>
      <c r="D331" s="47">
        <v>2.52610421E8</v>
      </c>
      <c r="E331" s="36" t="s">
        <v>6248</v>
      </c>
      <c r="F331" s="36" t="s">
        <v>227</v>
      </c>
      <c r="G331" s="12">
        <v>33.0</v>
      </c>
      <c r="H331" s="48" t="str">
        <f t="shared" si="1"/>
        <v>X-8</v>
      </c>
      <c r="I331" s="19" t="str">
        <f t="shared" si="2"/>
        <v>33 - GC2 X-8</v>
      </c>
      <c r="J331" s="20" t="str">
        <f>VLOOKUP(I331,'Database Grup SCC'!$B$2:$C1382,2,false)</f>
        <v>Arsyila (XI)</v>
      </c>
      <c r="K331" s="49" t="s">
        <v>6134</v>
      </c>
      <c r="L331" s="49"/>
      <c r="M331" s="50"/>
      <c r="N331" s="33" t="s">
        <v>6191</v>
      </c>
      <c r="O331" s="34"/>
      <c r="P331" s="34"/>
      <c r="Q331" s="24" t="str">
        <f t="shared" si="3"/>
        <v>https://docs.google.com/forms/d/e/1FAIpQLSeZ-R1GrWlAPkfaThGqxeTj0QTtrARw4rroxIIepf2kipn1nw/formResponse?usp=pp_url&amp;entry.1313582257=0095193509&amp;entry.1578404635=Hadir</v>
      </c>
      <c r="R331" s="23" t="s">
        <v>6249</v>
      </c>
      <c r="S331" s="39"/>
      <c r="T331" s="39"/>
      <c r="U331" s="39"/>
      <c r="V331" s="39"/>
    </row>
    <row r="332" ht="22.5" customHeight="1">
      <c r="A332" s="18">
        <v>383.0</v>
      </c>
      <c r="B332" s="36">
        <v>40.0</v>
      </c>
      <c r="C332" s="36" t="s">
        <v>6250</v>
      </c>
      <c r="D332" s="47">
        <v>2.52610444E8</v>
      </c>
      <c r="E332" s="36" t="s">
        <v>6251</v>
      </c>
      <c r="F332" s="36" t="s">
        <v>227</v>
      </c>
      <c r="G332" s="12">
        <v>33.0</v>
      </c>
      <c r="H332" s="48" t="str">
        <f t="shared" si="1"/>
        <v>X-8</v>
      </c>
      <c r="I332" s="19" t="str">
        <f t="shared" si="2"/>
        <v>33 - GC2 X-8</v>
      </c>
      <c r="J332" s="20" t="str">
        <f>VLOOKUP(I332,'Database Grup SCC'!$B$2:$C1382,2,false)</f>
        <v>Arsyila (XI)</v>
      </c>
      <c r="K332" s="49" t="s">
        <v>6134</v>
      </c>
      <c r="L332" s="49"/>
      <c r="M332" s="50"/>
      <c r="N332" s="33" t="s">
        <v>6191</v>
      </c>
      <c r="O332" s="34"/>
      <c r="P332" s="34"/>
      <c r="Q332" s="24" t="str">
        <f t="shared" si="3"/>
        <v>https://docs.google.com/forms/d/e/1FAIpQLSeZ-R1GrWlAPkfaThGqxeTj0QTtrARw4rroxIIepf2kipn1nw/formResponse?usp=pp_url&amp;entry.1313582257=0109599363&amp;entry.1578404635=Hadir</v>
      </c>
      <c r="R332" s="23" t="s">
        <v>6252</v>
      </c>
      <c r="S332" s="39"/>
      <c r="T332" s="39"/>
      <c r="U332" s="39"/>
      <c r="V332" s="39"/>
    </row>
    <row r="333" ht="22.5" customHeight="1">
      <c r="A333" s="10">
        <v>384.0</v>
      </c>
      <c r="B333" s="36">
        <v>41.0</v>
      </c>
      <c r="C333" s="36" t="s">
        <v>6253</v>
      </c>
      <c r="D333" s="47">
        <v>2.52610445E8</v>
      </c>
      <c r="E333" s="36" t="s">
        <v>6254</v>
      </c>
      <c r="F333" s="36" t="s">
        <v>227</v>
      </c>
      <c r="G333" s="12">
        <v>33.0</v>
      </c>
      <c r="H333" s="48" t="str">
        <f t="shared" si="1"/>
        <v>X-8</v>
      </c>
      <c r="I333" s="19" t="str">
        <f t="shared" si="2"/>
        <v>33 - GC2 X-8</v>
      </c>
      <c r="J333" s="20" t="str">
        <f>VLOOKUP(I333,'Database Grup SCC'!$B$2:$C1382,2,false)</f>
        <v>Arsyila (XI)</v>
      </c>
      <c r="K333" s="49" t="s">
        <v>6134</v>
      </c>
      <c r="L333" s="49"/>
      <c r="M333" s="50"/>
      <c r="N333" s="33" t="s">
        <v>6191</v>
      </c>
      <c r="O333" s="34"/>
      <c r="P333" s="34"/>
      <c r="Q333" s="24" t="str">
        <f t="shared" si="3"/>
        <v>https://docs.google.com/forms/d/e/1FAIpQLSeZ-R1GrWlAPkfaThGqxeTj0QTtrARw4rroxIIepf2kipn1nw/formResponse?usp=pp_url&amp;entry.1313582257=0105462734&amp;entry.1578404635=Hadir</v>
      </c>
      <c r="R333" s="23" t="s">
        <v>6255</v>
      </c>
      <c r="S333" s="39"/>
      <c r="T333" s="39"/>
      <c r="U333" s="39"/>
      <c r="V333" s="39"/>
    </row>
    <row r="334" ht="22.5" customHeight="1">
      <c r="A334" s="18">
        <v>385.0</v>
      </c>
      <c r="B334" s="36">
        <v>42.0</v>
      </c>
      <c r="C334" s="36" t="s">
        <v>6256</v>
      </c>
      <c r="D334" s="47">
        <v>2.52610463E8</v>
      </c>
      <c r="E334" s="36" t="s">
        <v>6257</v>
      </c>
      <c r="F334" s="36" t="s">
        <v>220</v>
      </c>
      <c r="G334" s="12">
        <v>33.0</v>
      </c>
      <c r="H334" s="48" t="str">
        <f t="shared" si="1"/>
        <v>X-8</v>
      </c>
      <c r="I334" s="19" t="str">
        <f t="shared" si="2"/>
        <v>33 - BC X-8</v>
      </c>
      <c r="J334" s="20" t="str">
        <f>VLOOKUP(I334,'Database Grup SCC'!$B$2:$C1382,2,false)</f>
        <v>Teguh</v>
      </c>
      <c r="K334" s="49" t="s">
        <v>6134</v>
      </c>
      <c r="L334" s="49"/>
      <c r="M334" s="50"/>
      <c r="N334" s="33" t="s">
        <v>6166</v>
      </c>
      <c r="O334" s="34"/>
      <c r="P334" s="34"/>
      <c r="Q334" s="24" t="str">
        <f t="shared" si="3"/>
        <v>https://docs.google.com/forms/d/e/1FAIpQLSeZ-R1GrWlAPkfaThGqxeTj0QTtrARw4rroxIIepf2kipn1nw/formResponse?usp=pp_url&amp;entry.1313582257=0097882314&amp;entry.1578404635=Hadir</v>
      </c>
      <c r="R334" s="23" t="s">
        <v>6258</v>
      </c>
      <c r="S334" s="39"/>
      <c r="T334" s="39"/>
      <c r="U334" s="39"/>
      <c r="V334" s="39"/>
    </row>
    <row r="335" ht="22.5" customHeight="1">
      <c r="A335" s="10">
        <v>386.0</v>
      </c>
      <c r="B335" s="36">
        <v>43.0</v>
      </c>
      <c r="C335" s="36" t="s">
        <v>6259</v>
      </c>
      <c r="D335" s="47">
        <v>2.5261047E8</v>
      </c>
      <c r="E335" s="36" t="s">
        <v>6260</v>
      </c>
      <c r="F335" s="36" t="s">
        <v>220</v>
      </c>
      <c r="G335" s="12">
        <v>33.0</v>
      </c>
      <c r="H335" s="48" t="str">
        <f t="shared" si="1"/>
        <v>X-8</v>
      </c>
      <c r="I335" s="19" t="str">
        <f t="shared" si="2"/>
        <v>33 - XSUMEN BC</v>
      </c>
      <c r="J335" s="20" t="str">
        <f>VLOOKUP(I335,'Database Grup SCC'!$B$2:$C1382,2,false)</f>
        <v>Rekhsa</v>
      </c>
      <c r="K335" s="49" t="s">
        <v>6134</v>
      </c>
      <c r="L335" s="49"/>
      <c r="M335" s="50"/>
      <c r="N335" s="33" t="s">
        <v>371</v>
      </c>
      <c r="O335" s="34"/>
      <c r="P335" s="34"/>
      <c r="Q335" s="24" t="str">
        <f t="shared" si="3"/>
        <v>https://docs.google.com/forms/d/e/1FAIpQLSeZ-R1GrWlAPkfaThGqxeTj0QTtrARw4rroxIIepf2kipn1nw/formResponse?usp=pp_url&amp;entry.1313582257=0099739465&amp;entry.1578404635=Hadir</v>
      </c>
      <c r="R335" s="23" t="s">
        <v>6261</v>
      </c>
      <c r="S335" s="39"/>
      <c r="T335" s="39"/>
      <c r="U335" s="39"/>
      <c r="V335" s="39"/>
    </row>
    <row r="336" ht="22.5" customHeight="1">
      <c r="A336" s="18">
        <v>387.0</v>
      </c>
      <c r="B336" s="36">
        <v>44.0</v>
      </c>
      <c r="C336" s="36" t="s">
        <v>6262</v>
      </c>
      <c r="D336" s="47">
        <v>2.526105E8</v>
      </c>
      <c r="E336" s="36" t="s">
        <v>6263</v>
      </c>
      <c r="F336" s="36" t="s">
        <v>220</v>
      </c>
      <c r="G336" s="12">
        <v>33.0</v>
      </c>
      <c r="H336" s="48" t="str">
        <f t="shared" si="1"/>
        <v>X-8</v>
      </c>
      <c r="I336" s="19" t="str">
        <f t="shared" si="2"/>
        <v>33 - BC X-8</v>
      </c>
      <c r="J336" s="20" t="str">
        <f>VLOOKUP(I336,'Database Grup SCC'!$B$2:$C1382,2,false)</f>
        <v>Teguh</v>
      </c>
      <c r="K336" s="49" t="s">
        <v>6134</v>
      </c>
      <c r="L336" s="49"/>
      <c r="M336" s="50"/>
      <c r="N336" s="33" t="s">
        <v>6166</v>
      </c>
      <c r="O336" s="34"/>
      <c r="P336" s="34"/>
      <c r="Q336" s="24" t="str">
        <f t="shared" si="3"/>
        <v>https://docs.google.com/forms/d/e/1FAIpQLSeZ-R1GrWlAPkfaThGqxeTj0QTtrARw4rroxIIepf2kipn1nw/formResponse?usp=pp_url&amp;entry.1313582257=0102838068&amp;entry.1578404635=Hadir</v>
      </c>
      <c r="R336" s="23" t="s">
        <v>6264</v>
      </c>
      <c r="S336" s="39"/>
      <c r="T336" s="39"/>
      <c r="U336" s="39"/>
      <c r="V336" s="39"/>
    </row>
    <row r="337" ht="22.5" customHeight="1">
      <c r="A337" s="10">
        <v>388.0</v>
      </c>
      <c r="B337" s="36">
        <v>45.0</v>
      </c>
      <c r="C337" s="36" t="s">
        <v>6265</v>
      </c>
      <c r="D337" s="47">
        <v>2.52610522E8</v>
      </c>
      <c r="E337" s="36" t="s">
        <v>6266</v>
      </c>
      <c r="F337" s="36" t="s">
        <v>227</v>
      </c>
      <c r="G337" s="12">
        <v>33.0</v>
      </c>
      <c r="H337" s="48" t="str">
        <f t="shared" si="1"/>
        <v>X-8</v>
      </c>
      <c r="I337" s="19" t="str">
        <f t="shared" si="2"/>
        <v>33 - GC2 X-8</v>
      </c>
      <c r="J337" s="20" t="str">
        <f>VLOOKUP(I337,'Database Grup SCC'!$B$2:$C1382,2,false)</f>
        <v>Arsyila (XI)</v>
      </c>
      <c r="K337" s="49" t="s">
        <v>6134</v>
      </c>
      <c r="L337" s="49"/>
      <c r="M337" s="50"/>
      <c r="N337" s="33" t="s">
        <v>6191</v>
      </c>
      <c r="O337" s="34"/>
      <c r="P337" s="34"/>
      <c r="Q337" s="24" t="str">
        <f t="shared" si="3"/>
        <v>https://docs.google.com/forms/d/e/1FAIpQLSeZ-R1GrWlAPkfaThGqxeTj0QTtrARw4rroxIIepf2kipn1nw/formResponse?usp=pp_url&amp;entry.1313582257=0107357472&amp;entry.1578404635=Hadir</v>
      </c>
      <c r="R337" s="23" t="s">
        <v>6267</v>
      </c>
      <c r="S337" s="39"/>
      <c r="T337" s="39"/>
      <c r="U337" s="39"/>
      <c r="V337" s="39"/>
    </row>
    <row r="338" ht="22.5" customHeight="1">
      <c r="A338" s="18">
        <v>389.0</v>
      </c>
      <c r="B338" s="36">
        <v>46.0</v>
      </c>
      <c r="C338" s="36" t="s">
        <v>6268</v>
      </c>
      <c r="D338" s="47">
        <v>2.52610536E8</v>
      </c>
      <c r="E338" s="36" t="s">
        <v>6269</v>
      </c>
      <c r="F338" s="36" t="s">
        <v>227</v>
      </c>
      <c r="G338" s="12">
        <v>33.0</v>
      </c>
      <c r="H338" s="48" t="str">
        <f t="shared" si="1"/>
        <v>X-8</v>
      </c>
      <c r="I338" s="19" t="str">
        <f t="shared" si="2"/>
        <v>33 - GC2 X-8</v>
      </c>
      <c r="J338" s="20" t="str">
        <f>VLOOKUP(I338,'Database Grup SCC'!$B$2:$C1382,2,false)</f>
        <v>Arsyila (XI)</v>
      </c>
      <c r="K338" s="49" t="s">
        <v>6134</v>
      </c>
      <c r="L338" s="49"/>
      <c r="M338" s="50"/>
      <c r="N338" s="33" t="s">
        <v>6191</v>
      </c>
      <c r="O338" s="34"/>
      <c r="P338" s="34"/>
      <c r="Q338" s="24" t="str">
        <f t="shared" si="3"/>
        <v>https://docs.google.com/forms/d/e/1FAIpQLSeZ-R1GrWlAPkfaThGqxeTj0QTtrARw4rroxIIepf2kipn1nw/formResponse?usp=pp_url&amp;entry.1313582257=0093433461&amp;entry.1578404635=Hadir</v>
      </c>
      <c r="R338" s="23" t="s">
        <v>6270</v>
      </c>
      <c r="S338" s="39"/>
      <c r="T338" s="39"/>
      <c r="U338" s="39"/>
      <c r="V338" s="39"/>
    </row>
    <row r="339" ht="22.5" customHeight="1">
      <c r="A339" s="10">
        <v>390.0</v>
      </c>
      <c r="B339" s="36">
        <v>47.0</v>
      </c>
      <c r="C339" s="36" t="s">
        <v>6271</v>
      </c>
      <c r="D339" s="47">
        <v>2.52610548E8</v>
      </c>
      <c r="E339" s="36" t="s">
        <v>6272</v>
      </c>
      <c r="F339" s="36" t="s">
        <v>227</v>
      </c>
      <c r="G339" s="12">
        <v>33.0</v>
      </c>
      <c r="H339" s="48" t="str">
        <f t="shared" si="1"/>
        <v>X-8</v>
      </c>
      <c r="I339" s="19" t="str">
        <f t="shared" si="2"/>
        <v>33 - GC2 X-8</v>
      </c>
      <c r="J339" s="20" t="str">
        <f>VLOOKUP(I339,'Database Grup SCC'!$B$2:$C1382,2,false)</f>
        <v>Arsyila (XI)</v>
      </c>
      <c r="K339" s="49" t="s">
        <v>6134</v>
      </c>
      <c r="L339" s="49"/>
      <c r="M339" s="50"/>
      <c r="N339" s="33" t="s">
        <v>6191</v>
      </c>
      <c r="O339" s="34"/>
      <c r="P339" s="34"/>
      <c r="Q339" s="24" t="str">
        <f t="shared" si="3"/>
        <v>https://docs.google.com/forms/d/e/1FAIpQLSeZ-R1GrWlAPkfaThGqxeTj0QTtrARw4rroxIIepf2kipn1nw/formResponse?usp=pp_url&amp;entry.1313582257=0108340159&amp;entry.1578404635=Hadir</v>
      </c>
      <c r="R339" s="23" t="s">
        <v>6273</v>
      </c>
      <c r="S339" s="39"/>
      <c r="T339" s="39"/>
      <c r="U339" s="39"/>
      <c r="V339" s="39"/>
    </row>
    <row r="340" ht="22.5" customHeight="1">
      <c r="A340" s="18">
        <v>391.0</v>
      </c>
      <c r="B340" s="36">
        <v>48.0</v>
      </c>
      <c r="C340" s="36" t="s">
        <v>6274</v>
      </c>
      <c r="D340" s="47">
        <v>2.52610558E8</v>
      </c>
      <c r="E340" s="36" t="s">
        <v>6275</v>
      </c>
      <c r="F340" s="36" t="s">
        <v>220</v>
      </c>
      <c r="G340" s="12">
        <v>33.0</v>
      </c>
      <c r="H340" s="48" t="str">
        <f t="shared" si="1"/>
        <v>X-8</v>
      </c>
      <c r="I340" s="19" t="str">
        <f t="shared" si="2"/>
        <v>33 - BC X-8</v>
      </c>
      <c r="J340" s="20" t="str">
        <f>VLOOKUP(I340,'Database Grup SCC'!$B$2:$C1382,2,false)</f>
        <v>Teguh</v>
      </c>
      <c r="K340" s="49" t="s">
        <v>6134</v>
      </c>
      <c r="L340" s="49"/>
      <c r="M340" s="50"/>
      <c r="N340" s="33" t="s">
        <v>6166</v>
      </c>
      <c r="O340" s="34"/>
      <c r="P340" s="34"/>
      <c r="Q340" s="24" t="str">
        <f t="shared" si="3"/>
        <v>https://docs.google.com/forms/d/e/1FAIpQLSeZ-R1GrWlAPkfaThGqxeTj0QTtrARw4rroxIIepf2kipn1nw/formResponse?usp=pp_url&amp;entry.1313582257=0094438921&amp;entry.1578404635=Hadir</v>
      </c>
      <c r="R340" s="23" t="s">
        <v>6276</v>
      </c>
      <c r="S340" s="39"/>
      <c r="T340" s="39"/>
      <c r="U340" s="39"/>
      <c r="V340" s="39"/>
    </row>
    <row r="341" ht="22.5" customHeight="1">
      <c r="A341" s="18">
        <v>399.0</v>
      </c>
      <c r="B341" s="36">
        <v>1.0</v>
      </c>
      <c r="C341" s="36" t="s">
        <v>6277</v>
      </c>
      <c r="D341" s="47">
        <v>2.52610003E8</v>
      </c>
      <c r="E341" s="36" t="s">
        <v>6278</v>
      </c>
      <c r="F341" s="36" t="s">
        <v>220</v>
      </c>
      <c r="G341" s="12">
        <v>33.0</v>
      </c>
      <c r="H341" s="48" t="str">
        <f t="shared" si="1"/>
        <v>X-9</v>
      </c>
      <c r="I341" s="19" t="str">
        <f t="shared" si="2"/>
        <v>33 - XSUMEN BC</v>
      </c>
      <c r="J341" s="20" t="str">
        <f>VLOOKUP(I341,'Database Grup SCC'!$B$2:$C1382,2,false)</f>
        <v>Rekhsa</v>
      </c>
      <c r="K341" s="49" t="s">
        <v>6279</v>
      </c>
      <c r="L341" s="49"/>
      <c r="M341" s="50"/>
      <c r="N341" s="33" t="s">
        <v>371</v>
      </c>
      <c r="O341" s="34"/>
      <c r="P341" s="34"/>
      <c r="Q341" s="24" t="str">
        <f t="shared" si="3"/>
        <v>https://docs.google.com/forms/d/e/1FAIpQLSeZ-R1GrWlAPkfaThGqxeTj0QTtrARw4rroxIIepf2kipn1nw/formResponse?usp=pp_url&amp;entry.1313582257=0106681838&amp;entry.1578404635=Hadir</v>
      </c>
      <c r="R341" s="23" t="s">
        <v>6280</v>
      </c>
      <c r="S341" s="39"/>
      <c r="T341" s="39"/>
      <c r="U341" s="39"/>
      <c r="V341" s="39"/>
    </row>
    <row r="342" ht="22.5" customHeight="1">
      <c r="A342" s="10">
        <v>400.0</v>
      </c>
      <c r="B342" s="36">
        <v>2.0</v>
      </c>
      <c r="C342" s="36" t="s">
        <v>6281</v>
      </c>
      <c r="D342" s="47">
        <v>2.52610019E8</v>
      </c>
      <c r="E342" s="36" t="s">
        <v>6282</v>
      </c>
      <c r="F342" s="36" t="s">
        <v>220</v>
      </c>
      <c r="G342" s="12">
        <v>33.0</v>
      </c>
      <c r="H342" s="48" t="str">
        <f t="shared" si="1"/>
        <v>X-9</v>
      </c>
      <c r="I342" s="19" t="str">
        <f t="shared" si="2"/>
        <v>33 - XSUMEN BC</v>
      </c>
      <c r="J342" s="20" t="str">
        <f>VLOOKUP(I342,'Database Grup SCC'!$B$2:$C1382,2,false)</f>
        <v>Rekhsa</v>
      </c>
      <c r="K342" s="49" t="s">
        <v>6279</v>
      </c>
      <c r="L342" s="49"/>
      <c r="M342" s="50"/>
      <c r="N342" s="33" t="s">
        <v>371</v>
      </c>
      <c r="O342" s="34"/>
      <c r="P342" s="34"/>
      <c r="Q342" s="24" t="str">
        <f t="shared" si="3"/>
        <v>https://docs.google.com/forms/d/e/1FAIpQLSeZ-R1GrWlAPkfaThGqxeTj0QTtrARw4rroxIIepf2kipn1nw/formResponse?usp=pp_url&amp;entry.1313582257=0108974704&amp;entry.1578404635=Hadir</v>
      </c>
      <c r="R342" s="23" t="s">
        <v>6283</v>
      </c>
      <c r="S342" s="39"/>
      <c r="T342" s="39"/>
      <c r="U342" s="39"/>
      <c r="V342" s="39"/>
    </row>
    <row r="343" ht="22.5" customHeight="1">
      <c r="A343" s="18">
        <v>401.0</v>
      </c>
      <c r="B343" s="36">
        <v>3.0</v>
      </c>
      <c r="C343" s="36" t="s">
        <v>6284</v>
      </c>
      <c r="D343" s="47">
        <v>2.52610027E8</v>
      </c>
      <c r="E343" s="36" t="s">
        <v>6285</v>
      </c>
      <c r="F343" s="36" t="s">
        <v>227</v>
      </c>
      <c r="G343" s="12">
        <v>33.0</v>
      </c>
      <c r="H343" s="48" t="str">
        <f t="shared" si="1"/>
        <v>X-9</v>
      </c>
      <c r="I343" s="19" t="str">
        <f t="shared" si="2"/>
        <v>33 - GC1 X-9</v>
      </c>
      <c r="J343" s="20" t="str">
        <f>VLOOKUP(I343,'Database Grup SCC'!$B$2:$C1382,2,false)</f>
        <v>Tiara (XII)</v>
      </c>
      <c r="K343" s="49" t="s">
        <v>6279</v>
      </c>
      <c r="L343" s="49"/>
      <c r="M343" s="50"/>
      <c r="N343" s="33" t="s">
        <v>6286</v>
      </c>
      <c r="O343" s="34"/>
      <c r="P343" s="34"/>
      <c r="Q343" s="24" t="str">
        <f t="shared" si="3"/>
        <v>https://docs.google.com/forms/d/e/1FAIpQLSeZ-R1GrWlAPkfaThGqxeTj0QTtrARw4rroxIIepf2kipn1nw/formResponse?usp=pp_url&amp;entry.1313582257=0105339420&amp;entry.1578404635=Hadir</v>
      </c>
      <c r="R343" s="23" t="s">
        <v>6287</v>
      </c>
      <c r="S343" s="39"/>
      <c r="T343" s="39"/>
      <c r="U343" s="39"/>
      <c r="V343" s="39"/>
    </row>
    <row r="344" ht="22.5" customHeight="1">
      <c r="A344" s="10">
        <v>402.0</v>
      </c>
      <c r="B344" s="36">
        <v>4.0</v>
      </c>
      <c r="C344" s="36" t="s">
        <v>6288</v>
      </c>
      <c r="D344" s="47">
        <v>2.52610071E8</v>
      </c>
      <c r="E344" s="36" t="s">
        <v>6289</v>
      </c>
      <c r="F344" s="36" t="s">
        <v>227</v>
      </c>
      <c r="G344" s="12">
        <v>33.0</v>
      </c>
      <c r="H344" s="48" t="str">
        <f t="shared" si="1"/>
        <v>X-9</v>
      </c>
      <c r="I344" s="19" t="str">
        <f t="shared" si="2"/>
        <v>33 - GC1 X-9</v>
      </c>
      <c r="J344" s="20" t="str">
        <f>VLOOKUP(I344,'Database Grup SCC'!$B$2:$C1382,2,false)</f>
        <v>Tiara (XII)</v>
      </c>
      <c r="K344" s="49" t="s">
        <v>6279</v>
      </c>
      <c r="L344" s="49"/>
      <c r="M344" s="50"/>
      <c r="N344" s="33" t="s">
        <v>6286</v>
      </c>
      <c r="O344" s="34"/>
      <c r="P344" s="34"/>
      <c r="Q344" s="24" t="str">
        <f t="shared" si="3"/>
        <v>https://docs.google.com/forms/d/e/1FAIpQLSeZ-R1GrWlAPkfaThGqxeTj0QTtrARw4rroxIIepf2kipn1nw/formResponse?usp=pp_url&amp;entry.1313582257=0093799489&amp;entry.1578404635=Hadir</v>
      </c>
      <c r="R344" s="23" t="s">
        <v>6290</v>
      </c>
      <c r="S344" s="39"/>
      <c r="T344" s="39"/>
      <c r="U344" s="39"/>
      <c r="V344" s="39"/>
    </row>
    <row r="345" ht="22.5" customHeight="1">
      <c r="A345" s="18">
        <v>403.0</v>
      </c>
      <c r="B345" s="36">
        <v>5.0</v>
      </c>
      <c r="C345" s="36" t="s">
        <v>6291</v>
      </c>
      <c r="D345" s="47">
        <v>2.52610073E8</v>
      </c>
      <c r="E345" s="36" t="s">
        <v>6292</v>
      </c>
      <c r="F345" s="36" t="s">
        <v>227</v>
      </c>
      <c r="G345" s="12">
        <v>33.0</v>
      </c>
      <c r="H345" s="48" t="str">
        <f t="shared" si="1"/>
        <v>X-9</v>
      </c>
      <c r="I345" s="19" t="str">
        <f t="shared" si="2"/>
        <v>33 - GC1 X-9</v>
      </c>
      <c r="J345" s="20" t="str">
        <f>VLOOKUP(I345,'Database Grup SCC'!$B$2:$C1382,2,false)</f>
        <v>Tiara (XII)</v>
      </c>
      <c r="K345" s="49" t="s">
        <v>6279</v>
      </c>
      <c r="L345" s="49"/>
      <c r="M345" s="50"/>
      <c r="N345" s="33" t="s">
        <v>6286</v>
      </c>
      <c r="O345" s="34"/>
      <c r="P345" s="34"/>
      <c r="Q345" s="24" t="str">
        <f t="shared" si="3"/>
        <v>https://docs.google.com/forms/d/e/1FAIpQLSeZ-R1GrWlAPkfaThGqxeTj0QTtrARw4rroxIIepf2kipn1nw/formResponse?usp=pp_url&amp;entry.1313582257=3111697965&amp;entry.1578404635=Hadir</v>
      </c>
      <c r="R345" s="23" t="s">
        <v>6293</v>
      </c>
      <c r="S345" s="39"/>
      <c r="T345" s="39"/>
      <c r="U345" s="39"/>
      <c r="V345" s="39"/>
    </row>
    <row r="346" ht="22.5" customHeight="1">
      <c r="A346" s="10">
        <v>404.0</v>
      </c>
      <c r="B346" s="36">
        <v>6.0</v>
      </c>
      <c r="C346" s="36" t="s">
        <v>6294</v>
      </c>
      <c r="D346" s="47">
        <v>2.52610078E8</v>
      </c>
      <c r="E346" s="36" t="s">
        <v>6295</v>
      </c>
      <c r="F346" s="36" t="s">
        <v>220</v>
      </c>
      <c r="G346" s="12">
        <v>33.0</v>
      </c>
      <c r="H346" s="48" t="str">
        <f t="shared" si="1"/>
        <v>X-9</v>
      </c>
      <c r="I346" s="19" t="str">
        <f t="shared" si="2"/>
        <v>33 - BC X-9</v>
      </c>
      <c r="J346" s="20" t="str">
        <f>VLOOKUP(I346,'Database Grup SCC'!$B$2:$C1382,2,false)</f>
        <v>Veril (XII)</v>
      </c>
      <c r="K346" s="49" t="s">
        <v>6279</v>
      </c>
      <c r="L346" s="49"/>
      <c r="M346" s="50"/>
      <c r="N346" s="33" t="s">
        <v>6296</v>
      </c>
      <c r="O346" s="34"/>
      <c r="P346" s="34"/>
      <c r="Q346" s="24" t="str">
        <f t="shared" si="3"/>
        <v>https://docs.google.com/forms/d/e/1FAIpQLSeZ-R1GrWlAPkfaThGqxeTj0QTtrARw4rroxIIepf2kipn1nw/formResponse?usp=pp_url&amp;entry.1313582257=0102592413&amp;entry.1578404635=Hadir</v>
      </c>
      <c r="R346" s="23" t="s">
        <v>6297</v>
      </c>
      <c r="S346" s="39"/>
      <c r="T346" s="39"/>
      <c r="U346" s="39"/>
      <c r="V346" s="39"/>
    </row>
    <row r="347" ht="22.5" customHeight="1">
      <c r="A347" s="18">
        <v>405.0</v>
      </c>
      <c r="B347" s="36">
        <v>7.0</v>
      </c>
      <c r="C347" s="36" t="s">
        <v>6298</v>
      </c>
      <c r="D347" s="47">
        <v>2.52610086E8</v>
      </c>
      <c r="E347" s="36" t="s">
        <v>6299</v>
      </c>
      <c r="F347" s="36" t="s">
        <v>227</v>
      </c>
      <c r="G347" s="12">
        <v>33.0</v>
      </c>
      <c r="H347" s="48" t="str">
        <f t="shared" si="1"/>
        <v>X-9</v>
      </c>
      <c r="I347" s="19" t="str">
        <f t="shared" si="2"/>
        <v>33 - GC1 X-9</v>
      </c>
      <c r="J347" s="20" t="str">
        <f>VLOOKUP(I347,'Database Grup SCC'!$B$2:$C1382,2,false)</f>
        <v>Tiara (XII)</v>
      </c>
      <c r="K347" s="49" t="s">
        <v>6279</v>
      </c>
      <c r="L347" s="49"/>
      <c r="M347" s="50"/>
      <c r="N347" s="33" t="s">
        <v>6286</v>
      </c>
      <c r="O347" s="34"/>
      <c r="P347" s="34"/>
      <c r="Q347" s="24" t="str">
        <f t="shared" si="3"/>
        <v>https://docs.google.com/forms/d/e/1FAIpQLSeZ-R1GrWlAPkfaThGqxeTj0QTtrARw4rroxIIepf2kipn1nw/formResponse?usp=pp_url&amp;entry.1313582257=0099452000&amp;entry.1578404635=Hadir</v>
      </c>
      <c r="R347" s="23" t="s">
        <v>6300</v>
      </c>
      <c r="S347" s="39"/>
      <c r="T347" s="39"/>
      <c r="U347" s="39"/>
      <c r="V347" s="39"/>
    </row>
    <row r="348" ht="22.5" customHeight="1">
      <c r="A348" s="10">
        <v>406.0</v>
      </c>
      <c r="B348" s="36">
        <v>8.0</v>
      </c>
      <c r="C348" s="36" t="s">
        <v>6301</v>
      </c>
      <c r="D348" s="47">
        <v>2.52610092E8</v>
      </c>
      <c r="E348" s="36" t="s">
        <v>6302</v>
      </c>
      <c r="F348" s="36" t="s">
        <v>220</v>
      </c>
      <c r="G348" s="12">
        <v>33.0</v>
      </c>
      <c r="H348" s="48" t="str">
        <f t="shared" si="1"/>
        <v>X-9</v>
      </c>
      <c r="I348" s="19" t="str">
        <f t="shared" si="2"/>
        <v>33 - BC X-9</v>
      </c>
      <c r="J348" s="20" t="str">
        <f>VLOOKUP(I348,'Database Grup SCC'!$B$2:$C1382,2,false)</f>
        <v>Veril (XII)</v>
      </c>
      <c r="K348" s="49" t="s">
        <v>6279</v>
      </c>
      <c r="L348" s="49"/>
      <c r="M348" s="50"/>
      <c r="N348" s="33" t="s">
        <v>6296</v>
      </c>
      <c r="O348" s="34"/>
      <c r="P348" s="34"/>
      <c r="Q348" s="24" t="str">
        <f t="shared" si="3"/>
        <v>https://docs.google.com/forms/d/e/1FAIpQLSeZ-R1GrWlAPkfaThGqxeTj0QTtrARw4rroxIIepf2kipn1nw/formResponse?usp=pp_url&amp;entry.1313582257=0093343311&amp;entry.1578404635=Hadir</v>
      </c>
      <c r="R348" s="23" t="s">
        <v>6303</v>
      </c>
      <c r="S348" s="39"/>
      <c r="T348" s="39"/>
      <c r="U348" s="39"/>
      <c r="V348" s="39"/>
    </row>
    <row r="349" ht="22.5" customHeight="1">
      <c r="A349" s="18">
        <v>407.0</v>
      </c>
      <c r="B349" s="36">
        <v>9.0</v>
      </c>
      <c r="C349" s="36" t="s">
        <v>6304</v>
      </c>
      <c r="D349" s="47">
        <v>2.52610095E8</v>
      </c>
      <c r="E349" s="36" t="s">
        <v>6305</v>
      </c>
      <c r="F349" s="36" t="s">
        <v>227</v>
      </c>
      <c r="G349" s="12">
        <v>33.0</v>
      </c>
      <c r="H349" s="48" t="str">
        <f t="shared" si="1"/>
        <v>X-9</v>
      </c>
      <c r="I349" s="19" t="str">
        <f t="shared" si="2"/>
        <v>33 - GC1 X-9</v>
      </c>
      <c r="J349" s="20" t="str">
        <f>VLOOKUP(I349,'Database Grup SCC'!$B$2:$C1382,2,false)</f>
        <v>Tiara (XII)</v>
      </c>
      <c r="K349" s="49" t="s">
        <v>6279</v>
      </c>
      <c r="L349" s="49"/>
      <c r="M349" s="50"/>
      <c r="N349" s="33" t="s">
        <v>6286</v>
      </c>
      <c r="O349" s="34"/>
      <c r="P349" s="34"/>
      <c r="Q349" s="24" t="str">
        <f t="shared" si="3"/>
        <v>https://docs.google.com/forms/d/e/1FAIpQLSeZ-R1GrWlAPkfaThGqxeTj0QTtrARw4rroxIIepf2kipn1nw/formResponse?usp=pp_url&amp;entry.1313582257=0102924778&amp;entry.1578404635=Hadir</v>
      </c>
      <c r="R349" s="23" t="s">
        <v>6306</v>
      </c>
      <c r="S349" s="39"/>
      <c r="T349" s="39"/>
      <c r="U349" s="39"/>
      <c r="V349" s="39"/>
    </row>
    <row r="350" ht="22.5" customHeight="1">
      <c r="A350" s="10">
        <v>408.0</v>
      </c>
      <c r="B350" s="36">
        <v>10.0</v>
      </c>
      <c r="C350" s="36" t="s">
        <v>6307</v>
      </c>
      <c r="D350" s="47">
        <v>2.52610117E8</v>
      </c>
      <c r="E350" s="36" t="s">
        <v>6308</v>
      </c>
      <c r="F350" s="36" t="s">
        <v>227</v>
      </c>
      <c r="G350" s="12">
        <v>33.0</v>
      </c>
      <c r="H350" s="48" t="str">
        <f t="shared" si="1"/>
        <v>X-9</v>
      </c>
      <c r="I350" s="19" t="str">
        <f t="shared" si="2"/>
        <v>33 - GC1 X-9</v>
      </c>
      <c r="J350" s="20" t="str">
        <f>VLOOKUP(I350,'Database Grup SCC'!$B$2:$C1382,2,false)</f>
        <v>Tiara (XII)</v>
      </c>
      <c r="K350" s="49" t="s">
        <v>6279</v>
      </c>
      <c r="L350" s="49"/>
      <c r="M350" s="50"/>
      <c r="N350" s="33" t="s">
        <v>6286</v>
      </c>
      <c r="O350" s="34"/>
      <c r="P350" s="34"/>
      <c r="Q350" s="24" t="str">
        <f t="shared" si="3"/>
        <v>https://docs.google.com/forms/d/e/1FAIpQLSeZ-R1GrWlAPkfaThGqxeTj0QTtrARw4rroxIIepf2kipn1nw/formResponse?usp=pp_url&amp;entry.1313582257=0108974038&amp;entry.1578404635=Hadir</v>
      </c>
      <c r="R350" s="23" t="s">
        <v>6309</v>
      </c>
      <c r="S350" s="39"/>
      <c r="T350" s="39"/>
      <c r="U350" s="39"/>
      <c r="V350" s="39"/>
    </row>
    <row r="351" ht="22.5" customHeight="1">
      <c r="A351" s="18">
        <v>409.0</v>
      </c>
      <c r="B351" s="36">
        <v>11.0</v>
      </c>
      <c r="C351" s="36" t="s">
        <v>6310</v>
      </c>
      <c r="D351" s="47">
        <v>2.52610133E8</v>
      </c>
      <c r="E351" s="36" t="s">
        <v>6311</v>
      </c>
      <c r="F351" s="36" t="s">
        <v>227</v>
      </c>
      <c r="G351" s="12">
        <v>33.0</v>
      </c>
      <c r="H351" s="48" t="str">
        <f t="shared" si="1"/>
        <v>X-9</v>
      </c>
      <c r="I351" s="19" t="str">
        <f t="shared" si="2"/>
        <v>33 - GC1 X-9</v>
      </c>
      <c r="J351" s="20" t="str">
        <f>VLOOKUP(I351,'Database Grup SCC'!$B$2:$C1382,2,false)</f>
        <v>Tiara (XII)</v>
      </c>
      <c r="K351" s="49" t="s">
        <v>6279</v>
      </c>
      <c r="L351" s="49"/>
      <c r="M351" s="50"/>
      <c r="N351" s="33" t="s">
        <v>6286</v>
      </c>
      <c r="O351" s="34"/>
      <c r="P351" s="34"/>
      <c r="Q351" s="24" t="str">
        <f t="shared" si="3"/>
        <v>https://docs.google.com/forms/d/e/1FAIpQLSeZ-R1GrWlAPkfaThGqxeTj0QTtrARw4rroxIIepf2kipn1nw/formResponse?usp=pp_url&amp;entry.1313582257=0104378571&amp;entry.1578404635=Hadir</v>
      </c>
      <c r="R351" s="23" t="s">
        <v>6312</v>
      </c>
      <c r="S351" s="39"/>
      <c r="T351" s="39"/>
      <c r="U351" s="39"/>
      <c r="V351" s="39"/>
    </row>
    <row r="352" ht="22.5" customHeight="1">
      <c r="A352" s="10">
        <v>410.0</v>
      </c>
      <c r="B352" s="36">
        <v>12.0</v>
      </c>
      <c r="C352" s="36" t="s">
        <v>6313</v>
      </c>
      <c r="D352" s="47">
        <v>2.52610135E8</v>
      </c>
      <c r="E352" s="36" t="s">
        <v>6314</v>
      </c>
      <c r="F352" s="36" t="s">
        <v>220</v>
      </c>
      <c r="G352" s="12">
        <v>33.0</v>
      </c>
      <c r="H352" s="48" t="str">
        <f t="shared" si="1"/>
        <v>X-9</v>
      </c>
      <c r="I352" s="19" t="str">
        <f t="shared" si="2"/>
        <v>33 - BC X-9</v>
      </c>
      <c r="J352" s="20" t="str">
        <f>VLOOKUP(I352,'Database Grup SCC'!$B$2:$C1382,2,false)</f>
        <v>Veril (XII)</v>
      </c>
      <c r="K352" s="49" t="s">
        <v>6279</v>
      </c>
      <c r="L352" s="49"/>
      <c r="M352" s="50"/>
      <c r="N352" s="33" t="s">
        <v>6296</v>
      </c>
      <c r="O352" s="34"/>
      <c r="P352" s="34"/>
      <c r="Q352" s="24" t="str">
        <f t="shared" si="3"/>
        <v>https://docs.google.com/forms/d/e/1FAIpQLSeZ-R1GrWlAPkfaThGqxeTj0QTtrARw4rroxIIepf2kipn1nw/formResponse?usp=pp_url&amp;entry.1313582257=0107900663&amp;entry.1578404635=Hadir</v>
      </c>
      <c r="R352" s="23" t="s">
        <v>6315</v>
      </c>
      <c r="S352" s="39"/>
      <c r="T352" s="39"/>
      <c r="U352" s="39"/>
      <c r="V352" s="39"/>
    </row>
    <row r="353" ht="22.5" customHeight="1">
      <c r="A353" s="18">
        <v>411.0</v>
      </c>
      <c r="B353" s="36">
        <v>13.0</v>
      </c>
      <c r="C353" s="36" t="s">
        <v>6316</v>
      </c>
      <c r="D353" s="47">
        <v>2.52610146E8</v>
      </c>
      <c r="E353" s="36" t="s">
        <v>6317</v>
      </c>
      <c r="F353" s="36" t="s">
        <v>227</v>
      </c>
      <c r="G353" s="12">
        <v>33.0</v>
      </c>
      <c r="H353" s="48" t="str">
        <f t="shared" si="1"/>
        <v>X-9</v>
      </c>
      <c r="I353" s="19" t="str">
        <f t="shared" si="2"/>
        <v>33 - GC1 X-9</v>
      </c>
      <c r="J353" s="20" t="str">
        <f>VLOOKUP(I353,'Database Grup SCC'!$B$2:$C1382,2,false)</f>
        <v>Tiara (XII)</v>
      </c>
      <c r="K353" s="49" t="s">
        <v>6279</v>
      </c>
      <c r="L353" s="49"/>
      <c r="M353" s="50"/>
      <c r="N353" s="33" t="s">
        <v>6286</v>
      </c>
      <c r="O353" s="34"/>
      <c r="P353" s="34"/>
      <c r="Q353" s="24" t="str">
        <f t="shared" si="3"/>
        <v>https://docs.google.com/forms/d/e/1FAIpQLSeZ-R1GrWlAPkfaThGqxeTj0QTtrARw4rroxIIepf2kipn1nw/formResponse?usp=pp_url&amp;entry.1313582257=0091254694&amp;entry.1578404635=Hadir</v>
      </c>
      <c r="R353" s="23" t="s">
        <v>6318</v>
      </c>
      <c r="S353" s="39"/>
      <c r="T353" s="39"/>
      <c r="U353" s="39"/>
      <c r="V353" s="39"/>
    </row>
    <row r="354" ht="22.5" customHeight="1">
      <c r="A354" s="10">
        <v>412.0</v>
      </c>
      <c r="B354" s="36">
        <v>14.0</v>
      </c>
      <c r="C354" s="36" t="s">
        <v>6319</v>
      </c>
      <c r="D354" s="47">
        <v>2.52610178E8</v>
      </c>
      <c r="E354" s="36" t="s">
        <v>6320</v>
      </c>
      <c r="F354" s="36" t="s">
        <v>227</v>
      </c>
      <c r="G354" s="12">
        <v>33.0</v>
      </c>
      <c r="H354" s="48" t="str">
        <f t="shared" si="1"/>
        <v>X-9</v>
      </c>
      <c r="I354" s="19" t="str">
        <f t="shared" si="2"/>
        <v>33 - GC1 X-9</v>
      </c>
      <c r="J354" s="20" t="str">
        <f>VLOOKUP(I354,'Database Grup SCC'!$B$2:$C1382,2,false)</f>
        <v>Tiara (XII)</v>
      </c>
      <c r="K354" s="49" t="s">
        <v>6279</v>
      </c>
      <c r="L354" s="49"/>
      <c r="M354" s="50"/>
      <c r="N354" s="33" t="s">
        <v>6286</v>
      </c>
      <c r="O354" s="34"/>
      <c r="P354" s="34"/>
      <c r="Q354" s="24" t="str">
        <f t="shared" si="3"/>
        <v>https://docs.google.com/forms/d/e/1FAIpQLSeZ-R1GrWlAPkfaThGqxeTj0QTtrARw4rroxIIepf2kipn1nw/formResponse?usp=pp_url&amp;entry.1313582257=0108673369&amp;entry.1578404635=Hadir</v>
      </c>
      <c r="R354" s="23" t="s">
        <v>6321</v>
      </c>
      <c r="S354" s="39"/>
      <c r="T354" s="39"/>
      <c r="U354" s="39"/>
      <c r="V354" s="39"/>
    </row>
    <row r="355" ht="22.5" customHeight="1">
      <c r="A355" s="18">
        <v>413.0</v>
      </c>
      <c r="B355" s="36">
        <v>15.0</v>
      </c>
      <c r="C355" s="36" t="s">
        <v>6322</v>
      </c>
      <c r="D355" s="47">
        <v>2.52610211E8</v>
      </c>
      <c r="E355" s="36" t="s">
        <v>6323</v>
      </c>
      <c r="F355" s="36" t="s">
        <v>220</v>
      </c>
      <c r="G355" s="12">
        <v>33.0</v>
      </c>
      <c r="H355" s="48" t="str">
        <f t="shared" si="1"/>
        <v>X-9</v>
      </c>
      <c r="I355" s="19" t="str">
        <f t="shared" si="2"/>
        <v>33 - XSUMEN BC</v>
      </c>
      <c r="J355" s="20" t="str">
        <f>VLOOKUP(I355,'Database Grup SCC'!$B$2:$C1382,2,false)</f>
        <v>Rekhsa</v>
      </c>
      <c r="K355" s="49" t="s">
        <v>6279</v>
      </c>
      <c r="L355" s="49"/>
      <c r="M355" s="50"/>
      <c r="N355" s="33" t="s">
        <v>371</v>
      </c>
      <c r="O355" s="34"/>
      <c r="P355" s="34"/>
      <c r="Q355" s="24" t="str">
        <f t="shared" si="3"/>
        <v>https://docs.google.com/forms/d/e/1FAIpQLSeZ-R1GrWlAPkfaThGqxeTj0QTtrARw4rroxIIepf2kipn1nw/formResponse?usp=pp_url&amp;entry.1313582257=0097946386&amp;entry.1578404635=Hadir</v>
      </c>
      <c r="R355" s="23" t="s">
        <v>6324</v>
      </c>
      <c r="S355" s="39"/>
      <c r="T355" s="39"/>
      <c r="U355" s="39"/>
      <c r="V355" s="39"/>
    </row>
    <row r="356" ht="22.5" customHeight="1">
      <c r="A356" s="10">
        <v>414.0</v>
      </c>
      <c r="B356" s="36">
        <v>16.0</v>
      </c>
      <c r="C356" s="36" t="s">
        <v>6325</v>
      </c>
      <c r="D356" s="47">
        <v>2.52610212E8</v>
      </c>
      <c r="E356" s="36" t="s">
        <v>6326</v>
      </c>
      <c r="F356" s="36" t="s">
        <v>227</v>
      </c>
      <c r="G356" s="12">
        <v>33.0</v>
      </c>
      <c r="H356" s="48" t="str">
        <f t="shared" si="1"/>
        <v>X-9</v>
      </c>
      <c r="I356" s="19" t="str">
        <f t="shared" si="2"/>
        <v>33 - GC1 X-9</v>
      </c>
      <c r="J356" s="20" t="str">
        <f>VLOOKUP(I356,'Database Grup SCC'!$B$2:$C1382,2,false)</f>
        <v>Tiara (XII)</v>
      </c>
      <c r="K356" s="49" t="s">
        <v>6279</v>
      </c>
      <c r="L356" s="49"/>
      <c r="M356" s="50"/>
      <c r="N356" s="33" t="s">
        <v>6286</v>
      </c>
      <c r="O356" s="34"/>
      <c r="P356" s="34"/>
      <c r="Q356" s="24" t="str">
        <f t="shared" si="3"/>
        <v>https://docs.google.com/forms/d/e/1FAIpQLSeZ-R1GrWlAPkfaThGqxeTj0QTtrARw4rroxIIepf2kipn1nw/formResponse?usp=pp_url&amp;entry.1313582257=0099535255&amp;entry.1578404635=Hadir</v>
      </c>
      <c r="R356" s="23" t="s">
        <v>6327</v>
      </c>
      <c r="S356" s="39"/>
      <c r="T356" s="39"/>
      <c r="U356" s="39"/>
      <c r="V356" s="39"/>
    </row>
    <row r="357" ht="22.5" customHeight="1">
      <c r="A357" s="18">
        <v>415.0</v>
      </c>
      <c r="B357" s="36">
        <v>17.0</v>
      </c>
      <c r="C357" s="36" t="s">
        <v>6328</v>
      </c>
      <c r="D357" s="47">
        <v>2.5261022E8</v>
      </c>
      <c r="E357" s="36" t="s">
        <v>6329</v>
      </c>
      <c r="F357" s="36" t="s">
        <v>227</v>
      </c>
      <c r="G357" s="12">
        <v>33.0</v>
      </c>
      <c r="H357" s="48" t="str">
        <f t="shared" si="1"/>
        <v>X-9</v>
      </c>
      <c r="I357" s="19" t="str">
        <f t="shared" si="2"/>
        <v>33 - GC1 X-9</v>
      </c>
      <c r="J357" s="20" t="str">
        <f>VLOOKUP(I357,'Database Grup SCC'!$B$2:$C1382,2,false)</f>
        <v>Tiara (XII)</v>
      </c>
      <c r="K357" s="49" t="s">
        <v>6279</v>
      </c>
      <c r="L357" s="49"/>
      <c r="M357" s="50"/>
      <c r="N357" s="33" t="s">
        <v>6286</v>
      </c>
      <c r="O357" s="34"/>
      <c r="P357" s="34"/>
      <c r="Q357" s="24" t="str">
        <f t="shared" si="3"/>
        <v>https://docs.google.com/forms/d/e/1FAIpQLSeZ-R1GrWlAPkfaThGqxeTj0QTtrARw4rroxIIepf2kipn1nw/formResponse?usp=pp_url&amp;entry.1313582257=0094573200&amp;entry.1578404635=Hadir</v>
      </c>
      <c r="R357" s="23" t="s">
        <v>6330</v>
      </c>
      <c r="S357" s="39"/>
      <c r="T357" s="39"/>
      <c r="U357" s="39"/>
      <c r="V357" s="39"/>
    </row>
    <row r="358" ht="22.5" customHeight="1">
      <c r="A358" s="10">
        <v>416.0</v>
      </c>
      <c r="B358" s="36">
        <v>18.0</v>
      </c>
      <c r="C358" s="36" t="s">
        <v>6331</v>
      </c>
      <c r="D358" s="47">
        <v>2.52610231E8</v>
      </c>
      <c r="E358" s="36" t="s">
        <v>6332</v>
      </c>
      <c r="F358" s="36" t="s">
        <v>220</v>
      </c>
      <c r="G358" s="12">
        <v>33.0</v>
      </c>
      <c r="H358" s="48" t="str">
        <f t="shared" si="1"/>
        <v>X-9</v>
      </c>
      <c r="I358" s="19" t="str">
        <f t="shared" si="2"/>
        <v>33 - BC X-9</v>
      </c>
      <c r="J358" s="20" t="str">
        <f>VLOOKUP(I358,'Database Grup SCC'!$B$2:$C1382,2,false)</f>
        <v>Veril (XII)</v>
      </c>
      <c r="K358" s="49" t="s">
        <v>6279</v>
      </c>
      <c r="L358" s="49"/>
      <c r="M358" s="50"/>
      <c r="N358" s="33" t="s">
        <v>6296</v>
      </c>
      <c r="O358" s="34"/>
      <c r="P358" s="34"/>
      <c r="Q358" s="24" t="str">
        <f t="shared" si="3"/>
        <v>https://docs.google.com/forms/d/e/1FAIpQLSeZ-R1GrWlAPkfaThGqxeTj0QTtrARw4rroxIIepf2kipn1nw/formResponse?usp=pp_url&amp;entry.1313582257=0114593936&amp;entry.1578404635=Hadir</v>
      </c>
      <c r="R358" s="23" t="s">
        <v>6333</v>
      </c>
      <c r="S358" s="39"/>
      <c r="T358" s="39"/>
      <c r="U358" s="39"/>
      <c r="V358" s="39"/>
    </row>
    <row r="359" ht="22.5" customHeight="1">
      <c r="A359" s="18">
        <v>417.0</v>
      </c>
      <c r="B359" s="36">
        <v>19.0</v>
      </c>
      <c r="C359" s="36" t="s">
        <v>6334</v>
      </c>
      <c r="D359" s="47">
        <v>2.52610232E8</v>
      </c>
      <c r="E359" s="36" t="s">
        <v>6335</v>
      </c>
      <c r="F359" s="36" t="s">
        <v>220</v>
      </c>
      <c r="G359" s="12">
        <v>33.0</v>
      </c>
      <c r="H359" s="48" t="str">
        <f t="shared" si="1"/>
        <v>X-9</v>
      </c>
      <c r="I359" s="19" t="str">
        <f t="shared" si="2"/>
        <v>33 - BC X-9</v>
      </c>
      <c r="J359" s="20" t="str">
        <f>VLOOKUP(I359,'Database Grup SCC'!$B$2:$C1382,2,false)</f>
        <v>Veril (XII)</v>
      </c>
      <c r="K359" s="49" t="s">
        <v>6279</v>
      </c>
      <c r="L359" s="49"/>
      <c r="M359" s="50"/>
      <c r="N359" s="33" t="s">
        <v>6296</v>
      </c>
      <c r="O359" s="34"/>
      <c r="P359" s="34"/>
      <c r="Q359" s="24" t="str">
        <f t="shared" si="3"/>
        <v>https://docs.google.com/forms/d/e/1FAIpQLSeZ-R1GrWlAPkfaThGqxeTj0QTtrARw4rroxIIepf2kipn1nw/formResponse?usp=pp_url&amp;entry.1313582257=0109669821&amp;entry.1578404635=Hadir</v>
      </c>
      <c r="R359" s="23" t="s">
        <v>6336</v>
      </c>
      <c r="S359" s="39"/>
      <c r="T359" s="39"/>
      <c r="U359" s="39"/>
      <c r="V359" s="39"/>
    </row>
    <row r="360" ht="22.5" customHeight="1">
      <c r="A360" s="10">
        <v>418.0</v>
      </c>
      <c r="B360" s="36">
        <v>20.0</v>
      </c>
      <c r="C360" s="36" t="s">
        <v>6337</v>
      </c>
      <c r="D360" s="47">
        <v>2.52610236E8</v>
      </c>
      <c r="E360" s="36" t="s">
        <v>6338</v>
      </c>
      <c r="F360" s="36" t="s">
        <v>227</v>
      </c>
      <c r="G360" s="12">
        <v>33.0</v>
      </c>
      <c r="H360" s="48" t="str">
        <f t="shared" si="1"/>
        <v>X-9</v>
      </c>
      <c r="I360" s="19" t="str">
        <f t="shared" si="2"/>
        <v>33 - GC1 X-9</v>
      </c>
      <c r="J360" s="20" t="str">
        <f>VLOOKUP(I360,'Database Grup SCC'!$B$2:$C1382,2,false)</f>
        <v>Tiara (XII)</v>
      </c>
      <c r="K360" s="49" t="s">
        <v>6279</v>
      </c>
      <c r="L360" s="49"/>
      <c r="M360" s="50"/>
      <c r="N360" s="33" t="s">
        <v>6286</v>
      </c>
      <c r="O360" s="34"/>
      <c r="P360" s="34"/>
      <c r="Q360" s="24" t="str">
        <f t="shared" si="3"/>
        <v>https://docs.google.com/forms/d/e/1FAIpQLSeZ-R1GrWlAPkfaThGqxeTj0QTtrARw4rroxIIepf2kipn1nw/formResponse?usp=pp_url&amp;entry.1313582257=0103695549&amp;entry.1578404635=Hadir</v>
      </c>
      <c r="R360" s="23" t="s">
        <v>6339</v>
      </c>
      <c r="S360" s="39"/>
      <c r="T360" s="39"/>
      <c r="U360" s="39"/>
      <c r="V360" s="39"/>
    </row>
    <row r="361" ht="22.5" customHeight="1">
      <c r="A361" s="18">
        <v>419.0</v>
      </c>
      <c r="B361" s="36">
        <v>21.0</v>
      </c>
      <c r="C361" s="36" t="s">
        <v>6340</v>
      </c>
      <c r="D361" s="47">
        <v>2.5261024E8</v>
      </c>
      <c r="E361" s="36" t="s">
        <v>6341</v>
      </c>
      <c r="F361" s="36" t="s">
        <v>220</v>
      </c>
      <c r="G361" s="12">
        <v>33.0</v>
      </c>
      <c r="H361" s="48" t="str">
        <f t="shared" si="1"/>
        <v>X-9</v>
      </c>
      <c r="I361" s="19" t="str">
        <f t="shared" si="2"/>
        <v>33 - BC X-9</v>
      </c>
      <c r="J361" s="20" t="str">
        <f>VLOOKUP(I361,'Database Grup SCC'!$B$2:$C1382,2,false)</f>
        <v>Veril (XII)</v>
      </c>
      <c r="K361" s="49" t="s">
        <v>6279</v>
      </c>
      <c r="L361" s="49"/>
      <c r="M361" s="50"/>
      <c r="N361" s="33" t="s">
        <v>6296</v>
      </c>
      <c r="O361" s="34"/>
      <c r="P361" s="34"/>
      <c r="Q361" s="24" t="str">
        <f t="shared" si="3"/>
        <v>https://docs.google.com/forms/d/e/1FAIpQLSeZ-R1GrWlAPkfaThGqxeTj0QTtrARw4rroxIIepf2kipn1nw/formResponse?usp=pp_url&amp;entry.1313582257=0095770160&amp;entry.1578404635=Hadir</v>
      </c>
      <c r="R361" s="23" t="s">
        <v>6342</v>
      </c>
      <c r="S361" s="39"/>
      <c r="T361" s="39"/>
      <c r="U361" s="39"/>
      <c r="V361" s="39"/>
    </row>
    <row r="362" ht="22.5" customHeight="1">
      <c r="A362" s="10">
        <v>420.0</v>
      </c>
      <c r="B362" s="36">
        <v>22.0</v>
      </c>
      <c r="C362" s="36" t="s">
        <v>6343</v>
      </c>
      <c r="D362" s="47">
        <v>2.52610248E8</v>
      </c>
      <c r="E362" s="36" t="s">
        <v>6344</v>
      </c>
      <c r="F362" s="36" t="s">
        <v>227</v>
      </c>
      <c r="G362" s="12">
        <v>33.0</v>
      </c>
      <c r="H362" s="48" t="str">
        <f t="shared" si="1"/>
        <v>X-9</v>
      </c>
      <c r="I362" s="19" t="str">
        <f t="shared" si="2"/>
        <v>33 - GC1 X-9</v>
      </c>
      <c r="J362" s="20" t="str">
        <f>VLOOKUP(I362,'Database Grup SCC'!$B$2:$C1382,2,false)</f>
        <v>Tiara (XII)</v>
      </c>
      <c r="K362" s="49" t="s">
        <v>6279</v>
      </c>
      <c r="L362" s="49"/>
      <c r="M362" s="50"/>
      <c r="N362" s="33" t="s">
        <v>6286</v>
      </c>
      <c r="O362" s="34"/>
      <c r="P362" s="34"/>
      <c r="Q362" s="24" t="str">
        <f t="shared" si="3"/>
        <v>https://docs.google.com/forms/d/e/1FAIpQLSeZ-R1GrWlAPkfaThGqxeTj0QTtrARw4rroxIIepf2kipn1nw/formResponse?usp=pp_url&amp;entry.1313582257=0106852675&amp;entry.1578404635=Hadir</v>
      </c>
      <c r="R362" s="23" t="s">
        <v>6345</v>
      </c>
      <c r="S362" s="39"/>
      <c r="T362" s="39"/>
      <c r="U362" s="39"/>
      <c r="V362" s="39"/>
    </row>
    <row r="363" ht="22.5" customHeight="1">
      <c r="A363" s="18">
        <v>421.0</v>
      </c>
      <c r="B363" s="36">
        <v>23.0</v>
      </c>
      <c r="C363" s="36" t="s">
        <v>6346</v>
      </c>
      <c r="D363" s="47">
        <v>2.52610256E8</v>
      </c>
      <c r="E363" s="36" t="s">
        <v>6347</v>
      </c>
      <c r="F363" s="36" t="s">
        <v>227</v>
      </c>
      <c r="G363" s="12">
        <v>33.0</v>
      </c>
      <c r="H363" s="48" t="str">
        <f t="shared" si="1"/>
        <v>X-9</v>
      </c>
      <c r="I363" s="19" t="str">
        <f t="shared" si="2"/>
        <v>33 - GC2 X-9</v>
      </c>
      <c r="J363" s="20" t="str">
        <f>VLOOKUP(I363,'Database Grup SCC'!$B$2:$C1382,2,false)</f>
        <v>Almira (XI)</v>
      </c>
      <c r="K363" s="49" t="s">
        <v>6279</v>
      </c>
      <c r="L363" s="49"/>
      <c r="M363" s="50"/>
      <c r="N363" s="33" t="s">
        <v>6348</v>
      </c>
      <c r="O363" s="34"/>
      <c r="P363" s="34"/>
      <c r="Q363" s="24" t="str">
        <f t="shared" si="3"/>
        <v>https://docs.google.com/forms/d/e/1FAIpQLSeZ-R1GrWlAPkfaThGqxeTj0QTtrARw4rroxIIepf2kipn1nw/formResponse?usp=pp_url&amp;entry.1313582257=0094047198&amp;entry.1578404635=Hadir</v>
      </c>
      <c r="R363" s="23" t="s">
        <v>6349</v>
      </c>
      <c r="S363" s="39"/>
      <c r="T363" s="39"/>
      <c r="U363" s="39"/>
      <c r="V363" s="39"/>
    </row>
    <row r="364" ht="22.5" customHeight="1">
      <c r="A364" s="10">
        <v>422.0</v>
      </c>
      <c r="B364" s="36">
        <v>24.0</v>
      </c>
      <c r="C364" s="36" t="s">
        <v>6350</v>
      </c>
      <c r="D364" s="47">
        <v>2.52610263E8</v>
      </c>
      <c r="E364" s="36" t="s">
        <v>6351</v>
      </c>
      <c r="F364" s="36" t="s">
        <v>227</v>
      </c>
      <c r="G364" s="12">
        <v>33.0</v>
      </c>
      <c r="H364" s="48" t="str">
        <f t="shared" si="1"/>
        <v>X-9</v>
      </c>
      <c r="I364" s="19" t="str">
        <f t="shared" si="2"/>
        <v>33 - GC2 X-9</v>
      </c>
      <c r="J364" s="20" t="str">
        <f>VLOOKUP(I364,'Database Grup SCC'!$B$2:$C1382,2,false)</f>
        <v>Almira (XI)</v>
      </c>
      <c r="K364" s="49" t="s">
        <v>6279</v>
      </c>
      <c r="L364" s="49"/>
      <c r="M364" s="50"/>
      <c r="N364" s="33" t="s">
        <v>6348</v>
      </c>
      <c r="O364" s="34"/>
      <c r="P364" s="34"/>
      <c r="Q364" s="24" t="str">
        <f t="shared" si="3"/>
        <v>https://docs.google.com/forms/d/e/1FAIpQLSeZ-R1GrWlAPkfaThGqxeTj0QTtrARw4rroxIIepf2kipn1nw/formResponse?usp=pp_url&amp;entry.1313582257=0102372511&amp;entry.1578404635=Hadir</v>
      </c>
      <c r="R364" s="23" t="s">
        <v>6352</v>
      </c>
      <c r="S364" s="39"/>
      <c r="T364" s="39"/>
      <c r="U364" s="39"/>
      <c r="V364" s="39"/>
    </row>
    <row r="365" ht="22.5" customHeight="1">
      <c r="A365" s="18">
        <v>423.0</v>
      </c>
      <c r="B365" s="36">
        <v>25.0</v>
      </c>
      <c r="C365" s="36" t="s">
        <v>6353</v>
      </c>
      <c r="D365" s="47">
        <v>2.52610297E8</v>
      </c>
      <c r="E365" s="36" t="s">
        <v>6354</v>
      </c>
      <c r="F365" s="36" t="s">
        <v>227</v>
      </c>
      <c r="G365" s="12">
        <v>33.0</v>
      </c>
      <c r="H365" s="48" t="str">
        <f t="shared" si="1"/>
        <v>X-9</v>
      </c>
      <c r="I365" s="19" t="str">
        <f t="shared" si="2"/>
        <v>33 - GC2 X-9</v>
      </c>
      <c r="J365" s="20" t="str">
        <f>VLOOKUP(I365,'Database Grup SCC'!$B$2:$C1382,2,false)</f>
        <v>Almira (XI)</v>
      </c>
      <c r="K365" s="49" t="s">
        <v>6279</v>
      </c>
      <c r="L365" s="49"/>
      <c r="M365" s="50"/>
      <c r="N365" s="33" t="s">
        <v>6348</v>
      </c>
      <c r="O365" s="34"/>
      <c r="P365" s="34"/>
      <c r="Q365" s="24" t="str">
        <f t="shared" si="3"/>
        <v>https://docs.google.com/forms/d/e/1FAIpQLSeZ-R1GrWlAPkfaThGqxeTj0QTtrARw4rroxIIepf2kipn1nw/formResponse?usp=pp_url&amp;entry.1313582257=0098113225&amp;entry.1578404635=Hadir</v>
      </c>
      <c r="R365" s="23" t="s">
        <v>6355</v>
      </c>
      <c r="S365" s="39"/>
      <c r="T365" s="39"/>
      <c r="U365" s="39"/>
      <c r="V365" s="39"/>
    </row>
    <row r="366" ht="22.5" customHeight="1">
      <c r="A366" s="10">
        <v>424.0</v>
      </c>
      <c r="B366" s="36">
        <v>26.0</v>
      </c>
      <c r="C366" s="36" t="s">
        <v>6356</v>
      </c>
      <c r="D366" s="47">
        <v>2.52610325E8</v>
      </c>
      <c r="E366" s="36" t="s">
        <v>6357</v>
      </c>
      <c r="F366" s="36" t="s">
        <v>220</v>
      </c>
      <c r="G366" s="12">
        <v>33.0</v>
      </c>
      <c r="H366" s="48" t="str">
        <f t="shared" si="1"/>
        <v>X-9</v>
      </c>
      <c r="I366" s="19" t="str">
        <f t="shared" si="2"/>
        <v>33 - BC X-9</v>
      </c>
      <c r="J366" s="20" t="str">
        <f>VLOOKUP(I366,'Database Grup SCC'!$B$2:$C1382,2,false)</f>
        <v>Veril (XII)</v>
      </c>
      <c r="K366" s="49" t="s">
        <v>6279</v>
      </c>
      <c r="L366" s="49"/>
      <c r="M366" s="50"/>
      <c r="N366" s="33" t="s">
        <v>6296</v>
      </c>
      <c r="O366" s="34"/>
      <c r="P366" s="34"/>
      <c r="Q366" s="24" t="str">
        <f t="shared" si="3"/>
        <v>https://docs.google.com/forms/d/e/1FAIpQLSeZ-R1GrWlAPkfaThGqxeTj0QTtrARw4rroxIIepf2kipn1nw/formResponse?usp=pp_url&amp;entry.1313582257=0103979225&amp;entry.1578404635=Hadir</v>
      </c>
      <c r="R366" s="23" t="s">
        <v>6358</v>
      </c>
      <c r="S366" s="39"/>
      <c r="T366" s="39"/>
      <c r="U366" s="39"/>
      <c r="V366" s="39"/>
    </row>
    <row r="367" ht="22.5" customHeight="1">
      <c r="A367" s="18">
        <v>425.0</v>
      </c>
      <c r="B367" s="36">
        <v>27.0</v>
      </c>
      <c r="C367" s="36" t="s">
        <v>6359</v>
      </c>
      <c r="D367" s="47">
        <v>2.52610337E8</v>
      </c>
      <c r="E367" s="36" t="s">
        <v>6360</v>
      </c>
      <c r="F367" s="36" t="s">
        <v>220</v>
      </c>
      <c r="G367" s="12">
        <v>33.0</v>
      </c>
      <c r="H367" s="48" t="str">
        <f t="shared" si="1"/>
        <v>X-9</v>
      </c>
      <c r="I367" s="19" t="str">
        <f t="shared" si="2"/>
        <v>33 - BC X-9</v>
      </c>
      <c r="J367" s="20" t="str">
        <f>VLOOKUP(I367,'Database Grup SCC'!$B$2:$C1382,2,false)</f>
        <v>Veril (XII)</v>
      </c>
      <c r="K367" s="49" t="s">
        <v>6279</v>
      </c>
      <c r="L367" s="49"/>
      <c r="M367" s="50"/>
      <c r="N367" s="33" t="s">
        <v>6296</v>
      </c>
      <c r="O367" s="34"/>
      <c r="P367" s="34"/>
      <c r="Q367" s="24" t="str">
        <f t="shared" si="3"/>
        <v>https://docs.google.com/forms/d/e/1FAIpQLSeZ-R1GrWlAPkfaThGqxeTj0QTtrARw4rroxIIepf2kipn1nw/formResponse?usp=pp_url&amp;entry.1313582257=0095022365&amp;entry.1578404635=Hadir</v>
      </c>
      <c r="R367" s="23" t="s">
        <v>6361</v>
      </c>
      <c r="S367" s="39"/>
      <c r="T367" s="39"/>
      <c r="U367" s="39"/>
      <c r="V367" s="39"/>
    </row>
    <row r="368" ht="22.5" customHeight="1">
      <c r="A368" s="10">
        <v>426.0</v>
      </c>
      <c r="B368" s="36">
        <v>28.0</v>
      </c>
      <c r="C368" s="36" t="s">
        <v>6362</v>
      </c>
      <c r="D368" s="47">
        <v>2.52610341E8</v>
      </c>
      <c r="E368" s="36" t="s">
        <v>6363</v>
      </c>
      <c r="F368" s="36" t="s">
        <v>220</v>
      </c>
      <c r="G368" s="12">
        <v>33.0</v>
      </c>
      <c r="H368" s="48" t="str">
        <f t="shared" si="1"/>
        <v>X-9</v>
      </c>
      <c r="I368" s="19" t="str">
        <f t="shared" si="2"/>
        <v>33 - BC X-9</v>
      </c>
      <c r="J368" s="20" t="str">
        <f>VLOOKUP(I368,'Database Grup SCC'!$B$2:$C1382,2,false)</f>
        <v>Veril (XII)</v>
      </c>
      <c r="K368" s="49" t="s">
        <v>6279</v>
      </c>
      <c r="L368" s="49"/>
      <c r="M368" s="50"/>
      <c r="N368" s="33" t="s">
        <v>6296</v>
      </c>
      <c r="O368" s="34"/>
      <c r="P368" s="34"/>
      <c r="Q368" s="24" t="str">
        <f t="shared" si="3"/>
        <v>https://docs.google.com/forms/d/e/1FAIpQLSeZ-R1GrWlAPkfaThGqxeTj0QTtrARw4rroxIIepf2kipn1nw/formResponse?usp=pp_url&amp;entry.1313582257=0104557332&amp;entry.1578404635=Hadir</v>
      </c>
      <c r="R368" s="23" t="s">
        <v>6364</v>
      </c>
      <c r="S368" s="39"/>
      <c r="T368" s="39"/>
      <c r="U368" s="39"/>
      <c r="V368" s="39"/>
    </row>
    <row r="369" ht="22.5" customHeight="1">
      <c r="A369" s="18">
        <v>427.0</v>
      </c>
      <c r="B369" s="36">
        <v>29.0</v>
      </c>
      <c r="C369" s="36" t="s">
        <v>6365</v>
      </c>
      <c r="D369" s="47">
        <v>2.52610344E8</v>
      </c>
      <c r="E369" s="36" t="s">
        <v>6366</v>
      </c>
      <c r="F369" s="36" t="s">
        <v>220</v>
      </c>
      <c r="G369" s="12">
        <v>33.0</v>
      </c>
      <c r="H369" s="48" t="str">
        <f t="shared" si="1"/>
        <v>X-9</v>
      </c>
      <c r="I369" s="19" t="str">
        <f t="shared" si="2"/>
        <v>33 - BC X-9</v>
      </c>
      <c r="J369" s="20" t="str">
        <f>VLOOKUP(I369,'Database Grup SCC'!$B$2:$C1382,2,false)</f>
        <v>Veril (XII)</v>
      </c>
      <c r="K369" s="49" t="s">
        <v>6279</v>
      </c>
      <c r="L369" s="49"/>
      <c r="M369" s="50"/>
      <c r="N369" s="33" t="s">
        <v>6296</v>
      </c>
      <c r="O369" s="34"/>
      <c r="P369" s="34"/>
      <c r="Q369" s="24" t="str">
        <f t="shared" si="3"/>
        <v>https://docs.google.com/forms/d/e/1FAIpQLSeZ-R1GrWlAPkfaThGqxeTj0QTtrARw4rroxIIepf2kipn1nw/formResponse?usp=pp_url&amp;entry.1313582257=0092772943&amp;entry.1578404635=Hadir</v>
      </c>
      <c r="R369" s="23" t="s">
        <v>6367</v>
      </c>
      <c r="S369" s="39"/>
      <c r="T369" s="39"/>
      <c r="U369" s="39"/>
      <c r="V369" s="39"/>
    </row>
    <row r="370" ht="22.5" customHeight="1">
      <c r="A370" s="10">
        <v>428.0</v>
      </c>
      <c r="B370" s="36">
        <v>30.0</v>
      </c>
      <c r="C370" s="36" t="s">
        <v>6368</v>
      </c>
      <c r="D370" s="47">
        <v>2.52610347E8</v>
      </c>
      <c r="E370" s="36" t="s">
        <v>6369</v>
      </c>
      <c r="F370" s="36" t="s">
        <v>220</v>
      </c>
      <c r="G370" s="12">
        <v>33.0</v>
      </c>
      <c r="H370" s="48" t="str">
        <f t="shared" si="1"/>
        <v>X-9</v>
      </c>
      <c r="I370" s="19" t="str">
        <f t="shared" si="2"/>
        <v>33 - BC X-9</v>
      </c>
      <c r="J370" s="20" t="str">
        <f>VLOOKUP(I370,'Database Grup SCC'!$B$2:$C1382,2,false)</f>
        <v>Veril (XII)</v>
      </c>
      <c r="K370" s="49" t="s">
        <v>6279</v>
      </c>
      <c r="L370" s="49"/>
      <c r="M370" s="50"/>
      <c r="N370" s="33" t="s">
        <v>6296</v>
      </c>
      <c r="O370" s="34"/>
      <c r="P370" s="34"/>
      <c r="Q370" s="24" t="str">
        <f t="shared" si="3"/>
        <v>https://docs.google.com/forms/d/e/1FAIpQLSeZ-R1GrWlAPkfaThGqxeTj0QTtrARw4rroxIIepf2kipn1nw/formResponse?usp=pp_url&amp;entry.1313582257=0098897790&amp;entry.1578404635=Hadir</v>
      </c>
      <c r="R370" s="23" t="s">
        <v>6370</v>
      </c>
      <c r="S370" s="39"/>
      <c r="T370" s="39"/>
      <c r="U370" s="39"/>
      <c r="V370" s="39"/>
    </row>
    <row r="371" ht="22.5" customHeight="1">
      <c r="A371" s="18">
        <v>429.0</v>
      </c>
      <c r="B371" s="36">
        <v>31.0</v>
      </c>
      <c r="C371" s="36" t="s">
        <v>6371</v>
      </c>
      <c r="D371" s="47">
        <v>2.52610358E8</v>
      </c>
      <c r="E371" s="36" t="s">
        <v>6372</v>
      </c>
      <c r="F371" s="36" t="s">
        <v>220</v>
      </c>
      <c r="G371" s="12">
        <v>33.0</v>
      </c>
      <c r="H371" s="48" t="str">
        <f t="shared" si="1"/>
        <v>X-9</v>
      </c>
      <c r="I371" s="19" t="str">
        <f t="shared" si="2"/>
        <v>33 - BC X-9</v>
      </c>
      <c r="J371" s="20" t="str">
        <f>VLOOKUP(I371,'Database Grup SCC'!$B$2:$C1382,2,false)</f>
        <v>Veril (XII)</v>
      </c>
      <c r="K371" s="49" t="s">
        <v>6279</v>
      </c>
      <c r="L371" s="49"/>
      <c r="M371" s="50"/>
      <c r="N371" s="33" t="s">
        <v>6296</v>
      </c>
      <c r="O371" s="34"/>
      <c r="P371" s="34"/>
      <c r="Q371" s="24" t="str">
        <f t="shared" si="3"/>
        <v>https://docs.google.com/forms/d/e/1FAIpQLSeZ-R1GrWlAPkfaThGqxeTj0QTtrARw4rroxIIepf2kipn1nw/formResponse?usp=pp_url&amp;entry.1313582257=0101059940&amp;entry.1578404635=Hadir</v>
      </c>
      <c r="R371" s="23" t="s">
        <v>6373</v>
      </c>
      <c r="S371" s="39"/>
      <c r="T371" s="39"/>
      <c r="U371" s="39"/>
      <c r="V371" s="39"/>
    </row>
    <row r="372" ht="22.5" customHeight="1">
      <c r="A372" s="10">
        <v>430.0</v>
      </c>
      <c r="B372" s="36">
        <v>32.0</v>
      </c>
      <c r="C372" s="36" t="s">
        <v>6374</v>
      </c>
      <c r="D372" s="47">
        <v>2.52610368E8</v>
      </c>
      <c r="E372" s="36" t="s">
        <v>6375</v>
      </c>
      <c r="F372" s="36" t="s">
        <v>220</v>
      </c>
      <c r="G372" s="12">
        <v>33.0</v>
      </c>
      <c r="H372" s="48" t="str">
        <f t="shared" si="1"/>
        <v>X-9</v>
      </c>
      <c r="I372" s="19" t="str">
        <f t="shared" si="2"/>
        <v>33 - BC X-9</v>
      </c>
      <c r="J372" s="20" t="str">
        <f>VLOOKUP(I372,'Database Grup SCC'!$B$2:$C1382,2,false)</f>
        <v>Veril (XII)</v>
      </c>
      <c r="K372" s="49" t="s">
        <v>6279</v>
      </c>
      <c r="L372" s="49"/>
      <c r="M372" s="50"/>
      <c r="N372" s="33" t="s">
        <v>6296</v>
      </c>
      <c r="O372" s="34"/>
      <c r="P372" s="34"/>
      <c r="Q372" s="24" t="str">
        <f t="shared" si="3"/>
        <v>https://docs.google.com/forms/d/e/1FAIpQLSeZ-R1GrWlAPkfaThGqxeTj0QTtrARw4rroxIIepf2kipn1nw/formResponse?usp=pp_url&amp;entry.1313582257=0094119764&amp;entry.1578404635=Hadir</v>
      </c>
      <c r="R372" s="23" t="s">
        <v>6376</v>
      </c>
      <c r="S372" s="39"/>
      <c r="T372" s="39"/>
      <c r="U372" s="39"/>
      <c r="V372" s="39"/>
    </row>
    <row r="373" ht="22.5" customHeight="1">
      <c r="A373" s="18">
        <v>431.0</v>
      </c>
      <c r="B373" s="36">
        <v>33.0</v>
      </c>
      <c r="C373" s="36" t="s">
        <v>6377</v>
      </c>
      <c r="D373" s="47">
        <v>2.52610372E8</v>
      </c>
      <c r="E373" s="36" t="s">
        <v>6378</v>
      </c>
      <c r="F373" s="36" t="s">
        <v>220</v>
      </c>
      <c r="G373" s="12">
        <v>33.0</v>
      </c>
      <c r="H373" s="48" t="str">
        <f t="shared" si="1"/>
        <v>X-9</v>
      </c>
      <c r="I373" s="19" t="str">
        <f t="shared" si="2"/>
        <v>33 - BC X-9</v>
      </c>
      <c r="J373" s="20" t="str">
        <f>VLOOKUP(I373,'Database Grup SCC'!$B$2:$C1382,2,false)</f>
        <v>Veril (XII)</v>
      </c>
      <c r="K373" s="49" t="s">
        <v>6279</v>
      </c>
      <c r="L373" s="49"/>
      <c r="M373" s="50"/>
      <c r="N373" s="33" t="s">
        <v>6296</v>
      </c>
      <c r="O373" s="34"/>
      <c r="P373" s="34"/>
      <c r="Q373" s="24" t="str">
        <f t="shared" si="3"/>
        <v>https://docs.google.com/forms/d/e/1FAIpQLSeZ-R1GrWlAPkfaThGqxeTj0QTtrARw4rroxIIepf2kipn1nw/formResponse?usp=pp_url&amp;entry.1313582257=0096882416&amp;entry.1578404635=Hadir</v>
      </c>
      <c r="R373" s="23" t="s">
        <v>6379</v>
      </c>
      <c r="S373" s="39"/>
      <c r="T373" s="39"/>
      <c r="U373" s="39"/>
      <c r="V373" s="39"/>
    </row>
    <row r="374" ht="22.5" customHeight="1">
      <c r="A374" s="10">
        <v>432.0</v>
      </c>
      <c r="B374" s="36">
        <v>34.0</v>
      </c>
      <c r="C374" s="36" t="s">
        <v>6380</v>
      </c>
      <c r="D374" s="47">
        <v>2.52610397E8</v>
      </c>
      <c r="E374" s="36" t="s">
        <v>6381</v>
      </c>
      <c r="F374" s="36" t="s">
        <v>220</v>
      </c>
      <c r="G374" s="12">
        <v>33.0</v>
      </c>
      <c r="H374" s="48" t="str">
        <f t="shared" si="1"/>
        <v>X-9</v>
      </c>
      <c r="I374" s="19" t="str">
        <f t="shared" si="2"/>
        <v>33 - BC X-9</v>
      </c>
      <c r="J374" s="20" t="str">
        <f>VLOOKUP(I374,'Database Grup SCC'!$B$2:$C1382,2,false)</f>
        <v>Veril (XII)</v>
      </c>
      <c r="K374" s="49" t="s">
        <v>6279</v>
      </c>
      <c r="L374" s="49"/>
      <c r="M374" s="50"/>
      <c r="N374" s="33" t="s">
        <v>6296</v>
      </c>
      <c r="O374" s="34"/>
      <c r="P374" s="34"/>
      <c r="Q374" s="24" t="str">
        <f t="shared" si="3"/>
        <v>https://docs.google.com/forms/d/e/1FAIpQLSeZ-R1GrWlAPkfaThGqxeTj0QTtrARw4rroxIIepf2kipn1nw/formResponse?usp=pp_url&amp;entry.1313582257=0093640113&amp;entry.1578404635=Hadir</v>
      </c>
      <c r="R374" s="23" t="s">
        <v>6382</v>
      </c>
      <c r="S374" s="39"/>
      <c r="T374" s="39"/>
      <c r="U374" s="39"/>
      <c r="V374" s="39"/>
    </row>
    <row r="375" ht="22.5" customHeight="1">
      <c r="A375" s="18">
        <v>433.0</v>
      </c>
      <c r="B375" s="36">
        <v>35.0</v>
      </c>
      <c r="C375" s="36" t="s">
        <v>6383</v>
      </c>
      <c r="D375" s="47">
        <v>2.52610398E8</v>
      </c>
      <c r="E375" s="36" t="s">
        <v>6384</v>
      </c>
      <c r="F375" s="36" t="s">
        <v>227</v>
      </c>
      <c r="G375" s="12">
        <v>33.0</v>
      </c>
      <c r="H375" s="48" t="str">
        <f t="shared" si="1"/>
        <v>X-9</v>
      </c>
      <c r="I375" s="19" t="str">
        <f t="shared" si="2"/>
        <v>33 - GC2 X-9</v>
      </c>
      <c r="J375" s="20" t="str">
        <f>VLOOKUP(I375,'Database Grup SCC'!$B$2:$C1382,2,false)</f>
        <v>Almira (XI)</v>
      </c>
      <c r="K375" s="49" t="s">
        <v>6279</v>
      </c>
      <c r="L375" s="49"/>
      <c r="M375" s="50"/>
      <c r="N375" s="33" t="s">
        <v>6348</v>
      </c>
      <c r="O375" s="34"/>
      <c r="P375" s="34"/>
      <c r="Q375" s="24" t="str">
        <f t="shared" si="3"/>
        <v>https://docs.google.com/forms/d/e/1FAIpQLSeZ-R1GrWlAPkfaThGqxeTj0QTtrARw4rroxIIepf2kipn1nw/formResponse?usp=pp_url&amp;entry.1313582257=3100132772&amp;entry.1578404635=Hadir</v>
      </c>
      <c r="R375" s="23" t="s">
        <v>6385</v>
      </c>
      <c r="S375" s="39"/>
      <c r="T375" s="39"/>
      <c r="U375" s="39"/>
      <c r="V375" s="39"/>
    </row>
    <row r="376" ht="22.5" customHeight="1">
      <c r="A376" s="10">
        <v>434.0</v>
      </c>
      <c r="B376" s="36">
        <v>36.0</v>
      </c>
      <c r="C376" s="36" t="s">
        <v>6386</v>
      </c>
      <c r="D376" s="47">
        <v>2.52610425E8</v>
      </c>
      <c r="E376" s="36" t="s">
        <v>6387</v>
      </c>
      <c r="F376" s="36" t="s">
        <v>227</v>
      </c>
      <c r="G376" s="12">
        <v>33.0</v>
      </c>
      <c r="H376" s="48" t="str">
        <f t="shared" si="1"/>
        <v>X-9</v>
      </c>
      <c r="I376" s="19" t="str">
        <f t="shared" si="2"/>
        <v>33 - GC2 X-9</v>
      </c>
      <c r="J376" s="20" t="str">
        <f>VLOOKUP(I376,'Database Grup SCC'!$B$2:$C1382,2,false)</f>
        <v>Almira (XI)</v>
      </c>
      <c r="K376" s="49" t="s">
        <v>6279</v>
      </c>
      <c r="L376" s="49"/>
      <c r="M376" s="50"/>
      <c r="N376" s="33" t="s">
        <v>6348</v>
      </c>
      <c r="O376" s="34"/>
      <c r="P376" s="34"/>
      <c r="Q376" s="24" t="str">
        <f t="shared" si="3"/>
        <v>https://docs.google.com/forms/d/e/1FAIpQLSeZ-R1GrWlAPkfaThGqxeTj0QTtrARw4rroxIIepf2kipn1nw/formResponse?usp=pp_url&amp;entry.1313582257=0097910400&amp;entry.1578404635=Hadir</v>
      </c>
      <c r="R376" s="23" t="s">
        <v>6388</v>
      </c>
      <c r="S376" s="39"/>
      <c r="T376" s="39"/>
      <c r="U376" s="39"/>
      <c r="V376" s="39"/>
    </row>
    <row r="377" ht="22.5" customHeight="1">
      <c r="A377" s="18">
        <v>435.0</v>
      </c>
      <c r="B377" s="36">
        <v>37.0</v>
      </c>
      <c r="C377" s="36" t="s">
        <v>6389</v>
      </c>
      <c r="D377" s="47">
        <v>2.52610441E8</v>
      </c>
      <c r="E377" s="36" t="s">
        <v>6390</v>
      </c>
      <c r="F377" s="36" t="s">
        <v>227</v>
      </c>
      <c r="G377" s="12">
        <v>33.0</v>
      </c>
      <c r="H377" s="48" t="str">
        <f t="shared" si="1"/>
        <v>X-9</v>
      </c>
      <c r="I377" s="19" t="str">
        <f t="shared" si="2"/>
        <v>33 - GC2 X-9</v>
      </c>
      <c r="J377" s="20" t="str">
        <f>VLOOKUP(I377,'Database Grup SCC'!$B$2:$C1382,2,false)</f>
        <v>Almira (XI)</v>
      </c>
      <c r="K377" s="49" t="s">
        <v>6279</v>
      </c>
      <c r="L377" s="49"/>
      <c r="M377" s="50"/>
      <c r="N377" s="33" t="s">
        <v>6348</v>
      </c>
      <c r="O377" s="34"/>
      <c r="P377" s="34"/>
      <c r="Q377" s="24" t="str">
        <f t="shared" si="3"/>
        <v>https://docs.google.com/forms/d/e/1FAIpQLSeZ-R1GrWlAPkfaThGqxeTj0QTtrARw4rroxIIepf2kipn1nw/formResponse?usp=pp_url&amp;entry.1313582257=0091134035&amp;entry.1578404635=Hadir</v>
      </c>
      <c r="R377" s="23" t="s">
        <v>6391</v>
      </c>
      <c r="S377" s="39"/>
      <c r="T377" s="39"/>
      <c r="U377" s="39"/>
      <c r="V377" s="39"/>
    </row>
    <row r="378" ht="22.5" customHeight="1">
      <c r="A378" s="10">
        <v>436.0</v>
      </c>
      <c r="B378" s="36">
        <v>38.0</v>
      </c>
      <c r="C378" s="36" t="s">
        <v>6392</v>
      </c>
      <c r="D378" s="47">
        <v>2.52610457E8</v>
      </c>
      <c r="E378" s="36" t="s">
        <v>6393</v>
      </c>
      <c r="F378" s="36" t="s">
        <v>227</v>
      </c>
      <c r="G378" s="12">
        <v>33.0</v>
      </c>
      <c r="H378" s="48" t="str">
        <f t="shared" si="1"/>
        <v>X-9</v>
      </c>
      <c r="I378" s="19" t="str">
        <f t="shared" si="2"/>
        <v>33 - GC2 X-9</v>
      </c>
      <c r="J378" s="20" t="str">
        <f>VLOOKUP(I378,'Database Grup SCC'!$B$2:$C1382,2,false)</f>
        <v>Almira (XI)</v>
      </c>
      <c r="K378" s="49" t="s">
        <v>6279</v>
      </c>
      <c r="L378" s="49"/>
      <c r="M378" s="50"/>
      <c r="N378" s="33" t="s">
        <v>6348</v>
      </c>
      <c r="O378" s="34"/>
      <c r="P378" s="34"/>
      <c r="Q378" s="24" t="str">
        <f t="shared" si="3"/>
        <v>https://docs.google.com/forms/d/e/1FAIpQLSeZ-R1GrWlAPkfaThGqxeTj0QTtrARw4rroxIIepf2kipn1nw/formResponse?usp=pp_url&amp;entry.1313582257=0106245820&amp;entry.1578404635=Hadir</v>
      </c>
      <c r="R378" s="23" t="s">
        <v>6394</v>
      </c>
      <c r="S378" s="39"/>
      <c r="T378" s="39"/>
      <c r="U378" s="39"/>
      <c r="V378" s="39"/>
    </row>
    <row r="379" ht="22.5" customHeight="1">
      <c r="A379" s="18">
        <v>437.0</v>
      </c>
      <c r="B379" s="36">
        <v>39.0</v>
      </c>
      <c r="C379" s="36" t="s">
        <v>6395</v>
      </c>
      <c r="D379" s="47">
        <v>2.5261046E8</v>
      </c>
      <c r="E379" s="36" t="s">
        <v>6396</v>
      </c>
      <c r="F379" s="36" t="s">
        <v>220</v>
      </c>
      <c r="G379" s="12">
        <v>33.0</v>
      </c>
      <c r="H379" s="48" t="str">
        <f t="shared" si="1"/>
        <v>X-9</v>
      </c>
      <c r="I379" s="19" t="str">
        <f t="shared" si="2"/>
        <v>33 - BC X-9</v>
      </c>
      <c r="J379" s="20" t="str">
        <f>VLOOKUP(I379,'Database Grup SCC'!$B$2:$C1382,2,false)</f>
        <v>Veril (XII)</v>
      </c>
      <c r="K379" s="49" t="s">
        <v>6279</v>
      </c>
      <c r="L379" s="49"/>
      <c r="M379" s="50"/>
      <c r="N379" s="33" t="s">
        <v>6296</v>
      </c>
      <c r="O379" s="34"/>
      <c r="P379" s="34"/>
      <c r="Q379" s="24" t="str">
        <f t="shared" si="3"/>
        <v>https://docs.google.com/forms/d/e/1FAIpQLSeZ-R1GrWlAPkfaThGqxeTj0QTtrARw4rroxIIepf2kipn1nw/formResponse?usp=pp_url&amp;entry.1313582257=0101902217&amp;entry.1578404635=Hadir</v>
      </c>
      <c r="R379" s="23" t="s">
        <v>6397</v>
      </c>
      <c r="S379" s="39"/>
      <c r="T379" s="39"/>
      <c r="U379" s="39"/>
      <c r="V379" s="39"/>
    </row>
    <row r="380" ht="22.5" customHeight="1">
      <c r="A380" s="10">
        <v>438.0</v>
      </c>
      <c r="B380" s="36">
        <v>40.0</v>
      </c>
      <c r="C380" s="36" t="s">
        <v>6398</v>
      </c>
      <c r="D380" s="47">
        <v>2.52610465E8</v>
      </c>
      <c r="E380" s="36" t="s">
        <v>6399</v>
      </c>
      <c r="F380" s="36" t="s">
        <v>227</v>
      </c>
      <c r="G380" s="12">
        <v>33.0</v>
      </c>
      <c r="H380" s="48" t="str">
        <f t="shared" si="1"/>
        <v>X-9</v>
      </c>
      <c r="I380" s="19" t="str">
        <f t="shared" si="2"/>
        <v>33 - GC2 X-9</v>
      </c>
      <c r="J380" s="20" t="str">
        <f>VLOOKUP(I380,'Database Grup SCC'!$B$2:$C1382,2,false)</f>
        <v>Almira (XI)</v>
      </c>
      <c r="K380" s="49" t="s">
        <v>6279</v>
      </c>
      <c r="L380" s="49"/>
      <c r="M380" s="50"/>
      <c r="N380" s="33" t="s">
        <v>6348</v>
      </c>
      <c r="O380" s="34"/>
      <c r="P380" s="34"/>
      <c r="Q380" s="24" t="str">
        <f t="shared" si="3"/>
        <v>https://docs.google.com/forms/d/e/1FAIpQLSeZ-R1GrWlAPkfaThGqxeTj0QTtrARw4rroxIIepf2kipn1nw/formResponse?usp=pp_url&amp;entry.1313582257=0094238472&amp;entry.1578404635=Hadir</v>
      </c>
      <c r="R380" s="23" t="s">
        <v>6400</v>
      </c>
      <c r="S380" s="39"/>
      <c r="T380" s="39"/>
      <c r="U380" s="39"/>
      <c r="V380" s="39"/>
    </row>
    <row r="381" ht="22.5" customHeight="1">
      <c r="A381" s="18">
        <v>439.0</v>
      </c>
      <c r="B381" s="36">
        <v>41.0</v>
      </c>
      <c r="C381" s="36" t="s">
        <v>6401</v>
      </c>
      <c r="D381" s="47">
        <v>2.52610473E8</v>
      </c>
      <c r="E381" s="36" t="s">
        <v>6402</v>
      </c>
      <c r="F381" s="18" t="s">
        <v>220</v>
      </c>
      <c r="G381" s="12">
        <v>33.0</v>
      </c>
      <c r="H381" s="48" t="str">
        <f t="shared" si="1"/>
        <v>X-9</v>
      </c>
      <c r="I381" s="19" t="str">
        <f t="shared" si="2"/>
        <v>33 - BC X-9</v>
      </c>
      <c r="J381" s="20" t="str">
        <f>VLOOKUP(I381,'Database Grup SCC'!$B$2:$C1382,2,false)</f>
        <v>Veril (XII)</v>
      </c>
      <c r="K381" s="49" t="s">
        <v>6279</v>
      </c>
      <c r="L381" s="49"/>
      <c r="M381" s="50"/>
      <c r="N381" s="33" t="s">
        <v>6296</v>
      </c>
      <c r="O381" s="34"/>
      <c r="P381" s="34"/>
      <c r="Q381" s="24" t="str">
        <f t="shared" si="3"/>
        <v>https://docs.google.com/forms/d/e/1FAIpQLSeZ-R1GrWlAPkfaThGqxeTj0QTtrARw4rroxIIepf2kipn1nw/formResponse?usp=pp_url&amp;entry.1313582257=3096149866&amp;entry.1578404635=Hadir</v>
      </c>
      <c r="R381" s="23" t="s">
        <v>6403</v>
      </c>
      <c r="S381" s="39"/>
      <c r="T381" s="39"/>
      <c r="U381" s="39"/>
      <c r="V381" s="39"/>
    </row>
    <row r="382" ht="22.5" customHeight="1">
      <c r="A382" s="10">
        <v>440.0</v>
      </c>
      <c r="B382" s="36">
        <v>42.0</v>
      </c>
      <c r="C382" s="36" t="s">
        <v>6404</v>
      </c>
      <c r="D382" s="47">
        <v>2.52610487E8</v>
      </c>
      <c r="E382" s="36" t="s">
        <v>6405</v>
      </c>
      <c r="F382" s="36" t="s">
        <v>220</v>
      </c>
      <c r="G382" s="12">
        <v>33.0</v>
      </c>
      <c r="H382" s="48" t="str">
        <f t="shared" si="1"/>
        <v>X-9</v>
      </c>
      <c r="I382" s="19" t="str">
        <f t="shared" si="2"/>
        <v>33 - BC X-9</v>
      </c>
      <c r="J382" s="20" t="str">
        <f>VLOOKUP(I382,'Database Grup SCC'!$B$2:$C1382,2,false)</f>
        <v>Veril (XII)</v>
      </c>
      <c r="K382" s="49" t="s">
        <v>6279</v>
      </c>
      <c r="L382" s="49"/>
      <c r="M382" s="50"/>
      <c r="N382" s="33" t="s">
        <v>6296</v>
      </c>
      <c r="O382" s="34"/>
      <c r="P382" s="34"/>
      <c r="Q382" s="24" t="str">
        <f t="shared" si="3"/>
        <v>https://docs.google.com/forms/d/e/1FAIpQLSeZ-R1GrWlAPkfaThGqxeTj0QTtrARw4rroxIIepf2kipn1nw/formResponse?usp=pp_url&amp;entry.1313582257=0106183087&amp;entry.1578404635=Hadir</v>
      </c>
      <c r="R382" s="23" t="s">
        <v>6406</v>
      </c>
      <c r="S382" s="39"/>
      <c r="T382" s="39"/>
      <c r="U382" s="39"/>
      <c r="V382" s="39"/>
    </row>
    <row r="383" ht="22.5" customHeight="1">
      <c r="A383" s="18">
        <v>441.0</v>
      </c>
      <c r="B383" s="36">
        <v>43.0</v>
      </c>
      <c r="C383" s="36" t="s">
        <v>6407</v>
      </c>
      <c r="D383" s="47">
        <v>2.52610511E8</v>
      </c>
      <c r="E383" s="36" t="s">
        <v>6408</v>
      </c>
      <c r="F383" s="36" t="s">
        <v>227</v>
      </c>
      <c r="G383" s="12">
        <v>33.0</v>
      </c>
      <c r="H383" s="48" t="str">
        <f t="shared" si="1"/>
        <v>X-9</v>
      </c>
      <c r="I383" s="19" t="str">
        <f t="shared" si="2"/>
        <v>33 - GC2 X-9</v>
      </c>
      <c r="J383" s="20" t="str">
        <f>VLOOKUP(I383,'Database Grup SCC'!$B$2:$C1382,2,false)</f>
        <v>Almira (XI)</v>
      </c>
      <c r="K383" s="49" t="s">
        <v>6279</v>
      </c>
      <c r="L383" s="49"/>
      <c r="M383" s="50"/>
      <c r="N383" s="33" t="s">
        <v>6348</v>
      </c>
      <c r="O383" s="34"/>
      <c r="P383" s="34"/>
      <c r="Q383" s="24" t="str">
        <f t="shared" si="3"/>
        <v>https://docs.google.com/forms/d/e/1FAIpQLSeZ-R1GrWlAPkfaThGqxeTj0QTtrARw4rroxIIepf2kipn1nw/formResponse?usp=pp_url&amp;entry.1313582257=0107182326&amp;entry.1578404635=Hadir</v>
      </c>
      <c r="R383" s="23" t="s">
        <v>6409</v>
      </c>
      <c r="S383" s="39"/>
      <c r="T383" s="39"/>
      <c r="U383" s="39"/>
      <c r="V383" s="39"/>
    </row>
    <row r="384" ht="22.5" customHeight="1">
      <c r="A384" s="10">
        <v>442.0</v>
      </c>
      <c r="B384" s="36">
        <v>44.0</v>
      </c>
      <c r="C384" s="36" t="s">
        <v>6410</v>
      </c>
      <c r="D384" s="47">
        <v>2.5261053E8</v>
      </c>
      <c r="E384" s="36" t="s">
        <v>6411</v>
      </c>
      <c r="F384" s="36" t="s">
        <v>227</v>
      </c>
      <c r="G384" s="12">
        <v>33.0</v>
      </c>
      <c r="H384" s="48" t="str">
        <f t="shared" si="1"/>
        <v>X-9</v>
      </c>
      <c r="I384" s="19" t="str">
        <f t="shared" si="2"/>
        <v>33 - GC2 X-9</v>
      </c>
      <c r="J384" s="20" t="str">
        <f>VLOOKUP(I384,'Database Grup SCC'!$B$2:$C1382,2,false)</f>
        <v>Almira (XI)</v>
      </c>
      <c r="K384" s="49" t="s">
        <v>6279</v>
      </c>
      <c r="L384" s="49"/>
      <c r="M384" s="50"/>
      <c r="N384" s="33" t="s">
        <v>6348</v>
      </c>
      <c r="O384" s="34"/>
      <c r="P384" s="34"/>
      <c r="Q384" s="24" t="str">
        <f t="shared" si="3"/>
        <v>https://docs.google.com/forms/d/e/1FAIpQLSeZ-R1GrWlAPkfaThGqxeTj0QTtrARw4rroxIIepf2kipn1nw/formResponse?usp=pp_url&amp;entry.1313582257=0099107315&amp;entry.1578404635=Hadir</v>
      </c>
      <c r="R384" s="23" t="s">
        <v>6412</v>
      </c>
      <c r="S384" s="39"/>
      <c r="T384" s="39"/>
      <c r="U384" s="39"/>
      <c r="V384" s="39"/>
    </row>
    <row r="385" ht="22.5" customHeight="1">
      <c r="A385" s="18">
        <v>443.0</v>
      </c>
      <c r="B385" s="36">
        <v>45.0</v>
      </c>
      <c r="C385" s="36" t="s">
        <v>6413</v>
      </c>
      <c r="D385" s="47">
        <v>2.52610537E8</v>
      </c>
      <c r="E385" s="36" t="s">
        <v>6414</v>
      </c>
      <c r="F385" s="36" t="s">
        <v>227</v>
      </c>
      <c r="G385" s="12">
        <v>33.0</v>
      </c>
      <c r="H385" s="48" t="str">
        <f t="shared" si="1"/>
        <v>X-9</v>
      </c>
      <c r="I385" s="19" t="str">
        <f t="shared" si="2"/>
        <v>33 - GC2 X-9</v>
      </c>
      <c r="J385" s="20" t="str">
        <f>VLOOKUP(I385,'Database Grup SCC'!$B$2:$C1382,2,false)</f>
        <v>Almira (XI)</v>
      </c>
      <c r="K385" s="49" t="s">
        <v>6279</v>
      </c>
      <c r="L385" s="49"/>
      <c r="M385" s="50"/>
      <c r="N385" s="33" t="s">
        <v>6348</v>
      </c>
      <c r="O385" s="34"/>
      <c r="P385" s="34"/>
      <c r="Q385" s="24" t="str">
        <f t="shared" si="3"/>
        <v>https://docs.google.com/forms/d/e/1FAIpQLSeZ-R1GrWlAPkfaThGqxeTj0QTtrARw4rroxIIepf2kipn1nw/formResponse?usp=pp_url&amp;entry.1313582257=0094680852&amp;entry.1578404635=Hadir</v>
      </c>
      <c r="R385" s="23" t="s">
        <v>6415</v>
      </c>
      <c r="S385" s="39"/>
      <c r="T385" s="39"/>
      <c r="U385" s="39"/>
      <c r="V385" s="39"/>
    </row>
    <row r="386" ht="22.5" customHeight="1">
      <c r="A386" s="10">
        <v>444.0</v>
      </c>
      <c r="B386" s="36">
        <v>46.0</v>
      </c>
      <c r="C386" s="36" t="s">
        <v>6416</v>
      </c>
      <c r="D386" s="47">
        <v>2.52610542E8</v>
      </c>
      <c r="E386" s="36" t="s">
        <v>6417</v>
      </c>
      <c r="F386" s="36" t="s">
        <v>227</v>
      </c>
      <c r="G386" s="12">
        <v>33.0</v>
      </c>
      <c r="H386" s="48" t="str">
        <f t="shared" si="1"/>
        <v>X-9</v>
      </c>
      <c r="I386" s="19" t="str">
        <f t="shared" si="2"/>
        <v>33 - GC2 X-9</v>
      </c>
      <c r="J386" s="20" t="str">
        <f>VLOOKUP(I386,'Database Grup SCC'!$B$2:$C1382,2,false)</f>
        <v>Almira (XI)</v>
      </c>
      <c r="K386" s="49" t="s">
        <v>6279</v>
      </c>
      <c r="L386" s="49"/>
      <c r="M386" s="50"/>
      <c r="N386" s="33" t="s">
        <v>6348</v>
      </c>
      <c r="O386" s="34"/>
      <c r="P386" s="34"/>
      <c r="Q386" s="24" t="str">
        <f t="shared" si="3"/>
        <v>https://docs.google.com/forms/d/e/1FAIpQLSeZ-R1GrWlAPkfaThGqxeTj0QTtrARw4rroxIIepf2kipn1nw/formResponse?usp=pp_url&amp;entry.1313582257=0098348385&amp;entry.1578404635=Hadir</v>
      </c>
      <c r="R386" s="23" t="s">
        <v>6418</v>
      </c>
      <c r="S386" s="39"/>
      <c r="T386" s="39"/>
      <c r="U386" s="39"/>
      <c r="V386" s="39"/>
    </row>
    <row r="387" ht="22.5" customHeight="1">
      <c r="A387" s="10">
        <v>452.0</v>
      </c>
      <c r="B387" s="36">
        <v>1.0</v>
      </c>
      <c r="C387" s="36" t="s">
        <v>6419</v>
      </c>
      <c r="D387" s="47">
        <v>2.52610001E8</v>
      </c>
      <c r="E387" s="36" t="s">
        <v>6420</v>
      </c>
      <c r="F387" s="36" t="s">
        <v>220</v>
      </c>
      <c r="G387" s="12">
        <v>33.0</v>
      </c>
      <c r="H387" s="48" t="str">
        <f t="shared" si="1"/>
        <v>X-10</v>
      </c>
      <c r="I387" s="19" t="str">
        <f t="shared" si="2"/>
        <v>33 - XSUMEN BC</v>
      </c>
      <c r="J387" s="20" t="str">
        <f>VLOOKUP(I387,'Database Grup SCC'!$B$2:$C1382,2,false)</f>
        <v>Rekhsa</v>
      </c>
      <c r="K387" s="49" t="s">
        <v>6421</v>
      </c>
      <c r="L387" s="49"/>
      <c r="M387" s="50"/>
      <c r="N387" s="33" t="s">
        <v>371</v>
      </c>
      <c r="O387" s="34"/>
      <c r="P387" s="34"/>
      <c r="Q387" s="24" t="str">
        <f t="shared" si="3"/>
        <v>https://docs.google.com/forms/d/e/1FAIpQLSeZ-R1GrWlAPkfaThGqxeTj0QTtrARw4rroxIIepf2kipn1nw/formResponse?usp=pp_url&amp;entry.1313582257=0096033014&amp;entry.1578404635=Hadir</v>
      </c>
      <c r="R387" s="23" t="s">
        <v>6422</v>
      </c>
      <c r="S387" s="39"/>
      <c r="T387" s="39"/>
      <c r="U387" s="39"/>
      <c r="V387" s="39"/>
    </row>
    <row r="388" ht="22.5" customHeight="1">
      <c r="A388" s="18">
        <v>453.0</v>
      </c>
      <c r="B388" s="36">
        <v>2.0</v>
      </c>
      <c r="C388" s="36" t="s">
        <v>6423</v>
      </c>
      <c r="D388" s="47">
        <v>2.52610012E8</v>
      </c>
      <c r="E388" s="36" t="s">
        <v>6424</v>
      </c>
      <c r="F388" s="36" t="s">
        <v>220</v>
      </c>
      <c r="G388" s="12">
        <v>33.0</v>
      </c>
      <c r="H388" s="48" t="str">
        <f t="shared" si="1"/>
        <v>X-10</v>
      </c>
      <c r="I388" s="19" t="str">
        <f t="shared" si="2"/>
        <v>33 - BC X-10</v>
      </c>
      <c r="J388" s="20" t="str">
        <f>VLOOKUP(I388,'Database Grup SCC'!$B$2:$C1382,2,false)</f>
        <v>Irghi (XII)</v>
      </c>
      <c r="K388" s="49" t="s">
        <v>6421</v>
      </c>
      <c r="L388" s="49"/>
      <c r="M388" s="50"/>
      <c r="N388" s="33" t="s">
        <v>6425</v>
      </c>
      <c r="O388" s="34"/>
      <c r="P388" s="34"/>
      <c r="Q388" s="24" t="str">
        <f t="shared" si="3"/>
        <v>https://docs.google.com/forms/d/e/1FAIpQLSeZ-R1GrWlAPkfaThGqxeTj0QTtrARw4rroxIIepf2kipn1nw/formResponse?usp=pp_url&amp;entry.1313582257=0104072965&amp;entry.1578404635=Hadir</v>
      </c>
      <c r="R388" s="23" t="s">
        <v>6426</v>
      </c>
      <c r="S388" s="39"/>
      <c r="T388" s="39"/>
      <c r="U388" s="39"/>
      <c r="V388" s="39"/>
    </row>
    <row r="389" ht="22.5" customHeight="1">
      <c r="A389" s="10">
        <v>454.0</v>
      </c>
      <c r="B389" s="36">
        <v>3.0</v>
      </c>
      <c r="C389" s="36" t="s">
        <v>6427</v>
      </c>
      <c r="D389" s="47">
        <v>2.52610014E8</v>
      </c>
      <c r="E389" s="36" t="s">
        <v>6428</v>
      </c>
      <c r="F389" s="18" t="s">
        <v>220</v>
      </c>
      <c r="G389" s="12">
        <v>33.0</v>
      </c>
      <c r="H389" s="48" t="str">
        <f t="shared" si="1"/>
        <v>X-10</v>
      </c>
      <c r="I389" s="19" t="str">
        <f t="shared" si="2"/>
        <v>33 - BC X-10</v>
      </c>
      <c r="J389" s="20" t="str">
        <f>VLOOKUP(I389,'Database Grup SCC'!$B$2:$C1382,2,false)</f>
        <v>Irghi (XII)</v>
      </c>
      <c r="K389" s="49" t="s">
        <v>6421</v>
      </c>
      <c r="L389" s="49"/>
      <c r="M389" s="50"/>
      <c r="N389" s="33" t="s">
        <v>6425</v>
      </c>
      <c r="O389" s="34"/>
      <c r="P389" s="34"/>
      <c r="Q389" s="24" t="str">
        <f t="shared" si="3"/>
        <v>https://docs.google.com/forms/d/e/1FAIpQLSeZ-R1GrWlAPkfaThGqxeTj0QTtrARw4rroxIIepf2kipn1nw/formResponse?usp=pp_url&amp;entry.1313582257=2107246447&amp;entry.1578404635=Hadir</v>
      </c>
      <c r="R389" s="23" t="s">
        <v>6429</v>
      </c>
      <c r="S389" s="39"/>
      <c r="T389" s="39"/>
      <c r="U389" s="39"/>
      <c r="V389" s="39"/>
    </row>
    <row r="390" ht="22.5" customHeight="1">
      <c r="A390" s="18">
        <v>455.0</v>
      </c>
      <c r="B390" s="36">
        <v>4.0</v>
      </c>
      <c r="C390" s="36" t="s">
        <v>6430</v>
      </c>
      <c r="D390" s="47">
        <v>2.5261002E8</v>
      </c>
      <c r="E390" s="36" t="s">
        <v>6431</v>
      </c>
      <c r="F390" s="36" t="s">
        <v>220</v>
      </c>
      <c r="G390" s="12">
        <v>33.0</v>
      </c>
      <c r="H390" s="48" t="str">
        <f t="shared" si="1"/>
        <v>X-10</v>
      </c>
      <c r="I390" s="19" t="str">
        <f t="shared" si="2"/>
        <v>33 - BC X-10</v>
      </c>
      <c r="J390" s="20" t="str">
        <f>VLOOKUP(I390,'Database Grup SCC'!$B$2:$C1382,2,false)</f>
        <v>Irghi (XII)</v>
      </c>
      <c r="K390" s="49" t="s">
        <v>6421</v>
      </c>
      <c r="L390" s="49"/>
      <c r="M390" s="50"/>
      <c r="N390" s="33" t="s">
        <v>6425</v>
      </c>
      <c r="O390" s="34"/>
      <c r="P390" s="34"/>
      <c r="Q390" s="24" t="str">
        <f t="shared" si="3"/>
        <v>https://docs.google.com/forms/d/e/1FAIpQLSeZ-R1GrWlAPkfaThGqxeTj0QTtrARw4rroxIIepf2kipn1nw/formResponse?usp=pp_url&amp;entry.1313582257=0096128036&amp;entry.1578404635=Hadir</v>
      </c>
      <c r="R390" s="23" t="s">
        <v>6432</v>
      </c>
      <c r="S390" s="39"/>
      <c r="T390" s="39"/>
      <c r="U390" s="39"/>
      <c r="V390" s="39"/>
    </row>
    <row r="391" ht="22.5" customHeight="1">
      <c r="A391" s="10">
        <v>456.0</v>
      </c>
      <c r="B391" s="36">
        <v>5.0</v>
      </c>
      <c r="C391" s="36" t="s">
        <v>6433</v>
      </c>
      <c r="D391" s="47">
        <v>2.52610032E8</v>
      </c>
      <c r="E391" s="36" t="s">
        <v>6434</v>
      </c>
      <c r="F391" s="36" t="s">
        <v>220</v>
      </c>
      <c r="G391" s="12">
        <v>33.0</v>
      </c>
      <c r="H391" s="48" t="str">
        <f t="shared" si="1"/>
        <v>X-10</v>
      </c>
      <c r="I391" s="19" t="str">
        <f t="shared" si="2"/>
        <v>33 - BC X-10</v>
      </c>
      <c r="J391" s="20" t="str">
        <f>VLOOKUP(I391,'Database Grup SCC'!$B$2:$C1382,2,false)</f>
        <v>Irghi (XII)</v>
      </c>
      <c r="K391" s="49" t="s">
        <v>6421</v>
      </c>
      <c r="L391" s="49"/>
      <c r="M391" s="50"/>
      <c r="N391" s="33" t="s">
        <v>6425</v>
      </c>
      <c r="O391" s="34"/>
      <c r="P391" s="34"/>
      <c r="Q391" s="24" t="str">
        <f t="shared" si="3"/>
        <v>https://docs.google.com/forms/d/e/1FAIpQLSeZ-R1GrWlAPkfaThGqxeTj0QTtrARw4rroxIIepf2kipn1nw/formResponse?usp=pp_url&amp;entry.1313582257=0107055406&amp;entry.1578404635=Hadir</v>
      </c>
      <c r="R391" s="23" t="s">
        <v>6435</v>
      </c>
      <c r="S391" s="39"/>
      <c r="T391" s="39"/>
      <c r="U391" s="39"/>
      <c r="V391" s="39"/>
    </row>
    <row r="392" ht="22.5" customHeight="1">
      <c r="A392" s="18">
        <v>457.0</v>
      </c>
      <c r="B392" s="36">
        <v>6.0</v>
      </c>
      <c r="C392" s="36" t="s">
        <v>6436</v>
      </c>
      <c r="D392" s="47">
        <v>2.52610037E8</v>
      </c>
      <c r="E392" s="36" t="s">
        <v>6437</v>
      </c>
      <c r="F392" s="36" t="s">
        <v>227</v>
      </c>
      <c r="G392" s="12">
        <v>33.0</v>
      </c>
      <c r="H392" s="48" t="str">
        <f t="shared" si="1"/>
        <v>X-10</v>
      </c>
      <c r="I392" s="19" t="str">
        <f t="shared" si="2"/>
        <v>33 - GC1 X-10</v>
      </c>
      <c r="J392" s="20" t="str">
        <f>VLOOKUP(I392,'Database Grup SCC'!$B$2:$C1382,2,false)</f>
        <v>Citra (XII)</v>
      </c>
      <c r="K392" s="49" t="s">
        <v>6421</v>
      </c>
      <c r="L392" s="49"/>
      <c r="M392" s="50"/>
      <c r="N392" s="33" t="s">
        <v>6438</v>
      </c>
      <c r="O392" s="34"/>
      <c r="P392" s="34"/>
      <c r="Q392" s="24" t="str">
        <f t="shared" si="3"/>
        <v>https://docs.google.com/forms/d/e/1FAIpQLSeZ-R1GrWlAPkfaThGqxeTj0QTtrARw4rroxIIepf2kipn1nw/formResponse?usp=pp_url&amp;entry.1313582257=0108389311&amp;entry.1578404635=Hadir</v>
      </c>
      <c r="R392" s="23" t="s">
        <v>6439</v>
      </c>
      <c r="S392" s="39"/>
      <c r="T392" s="39"/>
      <c r="U392" s="39"/>
      <c r="V392" s="39"/>
    </row>
    <row r="393" ht="22.5" customHeight="1">
      <c r="A393" s="10">
        <v>458.0</v>
      </c>
      <c r="B393" s="36">
        <v>7.0</v>
      </c>
      <c r="C393" s="36" t="s">
        <v>6440</v>
      </c>
      <c r="D393" s="47">
        <v>2.52610054E8</v>
      </c>
      <c r="E393" s="36" t="s">
        <v>6441</v>
      </c>
      <c r="F393" s="36" t="s">
        <v>227</v>
      </c>
      <c r="G393" s="12">
        <v>33.0</v>
      </c>
      <c r="H393" s="48" t="str">
        <f t="shared" si="1"/>
        <v>X-10</v>
      </c>
      <c r="I393" s="19" t="str">
        <f t="shared" si="2"/>
        <v>33 - GC1 X-10</v>
      </c>
      <c r="J393" s="20" t="str">
        <f>VLOOKUP(I393,'Database Grup SCC'!$B$2:$C1382,2,false)</f>
        <v>Citra (XII)</v>
      </c>
      <c r="K393" s="49" t="s">
        <v>6421</v>
      </c>
      <c r="L393" s="49"/>
      <c r="M393" s="50"/>
      <c r="N393" s="33" t="s">
        <v>6438</v>
      </c>
      <c r="O393" s="34"/>
      <c r="P393" s="34"/>
      <c r="Q393" s="24" t="str">
        <f t="shared" si="3"/>
        <v>https://docs.google.com/forms/d/e/1FAIpQLSeZ-R1GrWlAPkfaThGqxeTj0QTtrARw4rroxIIepf2kipn1nw/formResponse?usp=pp_url&amp;entry.1313582257=0097357764&amp;entry.1578404635=Hadir</v>
      </c>
      <c r="R393" s="23" t="s">
        <v>6442</v>
      </c>
      <c r="S393" s="39"/>
      <c r="T393" s="39"/>
      <c r="U393" s="39"/>
      <c r="V393" s="39"/>
    </row>
    <row r="394" ht="22.5" customHeight="1">
      <c r="A394" s="18">
        <v>459.0</v>
      </c>
      <c r="B394" s="36">
        <v>8.0</v>
      </c>
      <c r="C394" s="36" t="s">
        <v>6443</v>
      </c>
      <c r="D394" s="47">
        <v>2.52610059E8</v>
      </c>
      <c r="E394" s="36" t="s">
        <v>6444</v>
      </c>
      <c r="F394" s="36" t="s">
        <v>220</v>
      </c>
      <c r="G394" s="12">
        <v>33.0</v>
      </c>
      <c r="H394" s="48" t="str">
        <f t="shared" si="1"/>
        <v>X-10</v>
      </c>
      <c r="I394" s="19" t="str">
        <f t="shared" si="2"/>
        <v>33 - BC X-10</v>
      </c>
      <c r="J394" s="20" t="str">
        <f>VLOOKUP(I394,'Database Grup SCC'!$B$2:$C1382,2,false)</f>
        <v>Irghi (XII)</v>
      </c>
      <c r="K394" s="49" t="s">
        <v>6421</v>
      </c>
      <c r="L394" s="49"/>
      <c r="M394" s="50"/>
      <c r="N394" s="33" t="s">
        <v>6425</v>
      </c>
      <c r="O394" s="34"/>
      <c r="P394" s="34"/>
      <c r="Q394" s="24" t="str">
        <f t="shared" si="3"/>
        <v>https://docs.google.com/forms/d/e/1FAIpQLSeZ-R1GrWlAPkfaThGqxeTj0QTtrARw4rroxIIepf2kipn1nw/formResponse?usp=pp_url&amp;entry.1313582257=0102387971&amp;entry.1578404635=Hadir</v>
      </c>
      <c r="R394" s="23" t="s">
        <v>6445</v>
      </c>
      <c r="S394" s="39"/>
      <c r="T394" s="39"/>
      <c r="U394" s="39"/>
      <c r="V394" s="39"/>
    </row>
    <row r="395" ht="22.5" customHeight="1">
      <c r="A395" s="10">
        <v>460.0</v>
      </c>
      <c r="B395" s="36">
        <v>9.0</v>
      </c>
      <c r="C395" s="36" t="s">
        <v>6446</v>
      </c>
      <c r="D395" s="47">
        <v>2.52610089E8</v>
      </c>
      <c r="E395" s="36" t="s">
        <v>6447</v>
      </c>
      <c r="F395" s="36" t="s">
        <v>227</v>
      </c>
      <c r="G395" s="12">
        <v>33.0</v>
      </c>
      <c r="H395" s="48" t="str">
        <f t="shared" si="1"/>
        <v>X-10</v>
      </c>
      <c r="I395" s="19" t="str">
        <f t="shared" si="2"/>
        <v>33 - GC1 X-10</v>
      </c>
      <c r="J395" s="20" t="str">
        <f>VLOOKUP(I395,'Database Grup SCC'!$B$2:$C1382,2,false)</f>
        <v>Citra (XII)</v>
      </c>
      <c r="K395" s="49" t="s">
        <v>6421</v>
      </c>
      <c r="L395" s="49"/>
      <c r="M395" s="50"/>
      <c r="N395" s="33" t="s">
        <v>6438</v>
      </c>
      <c r="O395" s="34"/>
      <c r="P395" s="34"/>
      <c r="Q395" s="24" t="str">
        <f t="shared" si="3"/>
        <v>https://docs.google.com/forms/d/e/1FAIpQLSeZ-R1GrWlAPkfaThGqxeTj0QTtrARw4rroxIIepf2kipn1nw/formResponse?usp=pp_url&amp;entry.1313582257=0092171774&amp;entry.1578404635=Hadir</v>
      </c>
      <c r="R395" s="23" t="s">
        <v>6448</v>
      </c>
      <c r="S395" s="39"/>
      <c r="T395" s="39"/>
      <c r="U395" s="39"/>
      <c r="V395" s="39"/>
    </row>
    <row r="396" ht="22.5" customHeight="1">
      <c r="A396" s="18">
        <v>461.0</v>
      </c>
      <c r="B396" s="36">
        <v>10.0</v>
      </c>
      <c r="C396" s="36" t="s">
        <v>6449</v>
      </c>
      <c r="D396" s="47">
        <v>2.52610091E8</v>
      </c>
      <c r="E396" s="36" t="s">
        <v>6450</v>
      </c>
      <c r="F396" s="36" t="s">
        <v>227</v>
      </c>
      <c r="G396" s="12">
        <v>33.0</v>
      </c>
      <c r="H396" s="48" t="str">
        <f t="shared" si="1"/>
        <v>X-10</v>
      </c>
      <c r="I396" s="19" t="str">
        <f t="shared" si="2"/>
        <v>33 - GC1 X-10</v>
      </c>
      <c r="J396" s="20" t="str">
        <f>VLOOKUP(I396,'Database Grup SCC'!$B$2:$C1382,2,false)</f>
        <v>Citra (XII)</v>
      </c>
      <c r="K396" s="49" t="s">
        <v>6421</v>
      </c>
      <c r="L396" s="49"/>
      <c r="M396" s="50"/>
      <c r="N396" s="33" t="s">
        <v>6438</v>
      </c>
      <c r="O396" s="34"/>
      <c r="P396" s="34"/>
      <c r="Q396" s="24" t="str">
        <f t="shared" si="3"/>
        <v>https://docs.google.com/forms/d/e/1FAIpQLSeZ-R1GrWlAPkfaThGqxeTj0QTtrARw4rroxIIepf2kipn1nw/formResponse?usp=pp_url&amp;entry.1313582257=0103134538&amp;entry.1578404635=Hadir</v>
      </c>
      <c r="R396" s="23" t="s">
        <v>6451</v>
      </c>
      <c r="S396" s="39"/>
      <c r="T396" s="39"/>
      <c r="U396" s="39"/>
      <c r="V396" s="39"/>
    </row>
    <row r="397" ht="22.5" customHeight="1">
      <c r="A397" s="10">
        <v>462.0</v>
      </c>
      <c r="B397" s="36">
        <v>11.0</v>
      </c>
      <c r="C397" s="36" t="s">
        <v>6452</v>
      </c>
      <c r="D397" s="47">
        <v>2.52610099E8</v>
      </c>
      <c r="E397" s="36" t="s">
        <v>6453</v>
      </c>
      <c r="F397" s="36" t="s">
        <v>227</v>
      </c>
      <c r="G397" s="12">
        <v>33.0</v>
      </c>
      <c r="H397" s="48" t="str">
        <f t="shared" si="1"/>
        <v>X-10</v>
      </c>
      <c r="I397" s="19" t="str">
        <f t="shared" si="2"/>
        <v>33 - GC1 X-10</v>
      </c>
      <c r="J397" s="20" t="str">
        <f>VLOOKUP(I397,'Database Grup SCC'!$B$2:$C1382,2,false)</f>
        <v>Citra (XII)</v>
      </c>
      <c r="K397" s="49" t="s">
        <v>6421</v>
      </c>
      <c r="L397" s="49"/>
      <c r="M397" s="50"/>
      <c r="N397" s="33" t="s">
        <v>6438</v>
      </c>
      <c r="O397" s="34"/>
      <c r="P397" s="34"/>
      <c r="Q397" s="24" t="str">
        <f t="shared" si="3"/>
        <v>https://docs.google.com/forms/d/e/1FAIpQLSeZ-R1GrWlAPkfaThGqxeTj0QTtrARw4rroxIIepf2kipn1nw/formResponse?usp=pp_url&amp;entry.1313582257=0104895570&amp;entry.1578404635=Hadir</v>
      </c>
      <c r="R397" s="23" t="s">
        <v>6454</v>
      </c>
      <c r="S397" s="39"/>
      <c r="T397" s="39"/>
      <c r="U397" s="39"/>
      <c r="V397" s="39"/>
    </row>
    <row r="398" ht="22.5" customHeight="1">
      <c r="A398" s="18">
        <v>463.0</v>
      </c>
      <c r="B398" s="36">
        <v>12.0</v>
      </c>
      <c r="C398" s="36" t="s">
        <v>6455</v>
      </c>
      <c r="D398" s="47">
        <v>2.52610103E8</v>
      </c>
      <c r="E398" s="36" t="s">
        <v>6456</v>
      </c>
      <c r="F398" s="36" t="s">
        <v>227</v>
      </c>
      <c r="G398" s="12">
        <v>33.0</v>
      </c>
      <c r="H398" s="48" t="str">
        <f t="shared" si="1"/>
        <v>X-10</v>
      </c>
      <c r="I398" s="19" t="str">
        <f t="shared" si="2"/>
        <v>33 - GC1 X-10</v>
      </c>
      <c r="J398" s="20" t="str">
        <f>VLOOKUP(I398,'Database Grup SCC'!$B$2:$C1382,2,false)</f>
        <v>Citra (XII)</v>
      </c>
      <c r="K398" s="49" t="s">
        <v>6421</v>
      </c>
      <c r="L398" s="49"/>
      <c r="M398" s="50"/>
      <c r="N398" s="33" t="s">
        <v>6438</v>
      </c>
      <c r="O398" s="34"/>
      <c r="P398" s="34"/>
      <c r="Q398" s="24" t="str">
        <f t="shared" si="3"/>
        <v>https://docs.google.com/forms/d/e/1FAIpQLSeZ-R1GrWlAPkfaThGqxeTj0QTtrARw4rroxIIepf2kipn1nw/formResponse?usp=pp_url&amp;entry.1313582257=0099138854&amp;entry.1578404635=Hadir</v>
      </c>
      <c r="R398" s="23" t="s">
        <v>6457</v>
      </c>
      <c r="S398" s="39"/>
      <c r="T398" s="39"/>
      <c r="U398" s="39"/>
      <c r="V398" s="39"/>
    </row>
    <row r="399" ht="22.5" customHeight="1">
      <c r="A399" s="10">
        <v>464.0</v>
      </c>
      <c r="B399" s="36">
        <v>13.0</v>
      </c>
      <c r="C399" s="36" t="s">
        <v>6458</v>
      </c>
      <c r="D399" s="47">
        <v>2.52610119E8</v>
      </c>
      <c r="E399" s="36" t="s">
        <v>6459</v>
      </c>
      <c r="F399" s="36" t="s">
        <v>227</v>
      </c>
      <c r="G399" s="12">
        <v>33.0</v>
      </c>
      <c r="H399" s="48" t="str">
        <f t="shared" si="1"/>
        <v>X-10</v>
      </c>
      <c r="I399" s="19" t="str">
        <f t="shared" si="2"/>
        <v>33 - GC1 X-10</v>
      </c>
      <c r="J399" s="20" t="str">
        <f>VLOOKUP(I399,'Database Grup SCC'!$B$2:$C1382,2,false)</f>
        <v>Citra (XII)</v>
      </c>
      <c r="K399" s="49" t="s">
        <v>6421</v>
      </c>
      <c r="L399" s="49"/>
      <c r="M399" s="50"/>
      <c r="N399" s="33" t="s">
        <v>6438</v>
      </c>
      <c r="O399" s="34"/>
      <c r="P399" s="34"/>
      <c r="Q399" s="24" t="str">
        <f t="shared" si="3"/>
        <v>https://docs.google.com/forms/d/e/1FAIpQLSeZ-R1GrWlAPkfaThGqxeTj0QTtrARw4rroxIIepf2kipn1nw/formResponse?usp=pp_url&amp;entry.1313582257=0105133490&amp;entry.1578404635=Hadir</v>
      </c>
      <c r="R399" s="23" t="s">
        <v>6460</v>
      </c>
      <c r="S399" s="39"/>
      <c r="T399" s="39"/>
      <c r="U399" s="39"/>
      <c r="V399" s="39"/>
    </row>
    <row r="400" ht="22.5" customHeight="1">
      <c r="A400" s="18">
        <v>465.0</v>
      </c>
      <c r="B400" s="36">
        <v>14.0</v>
      </c>
      <c r="C400" s="36" t="s">
        <v>6461</v>
      </c>
      <c r="D400" s="47">
        <v>2.52610128E8</v>
      </c>
      <c r="E400" s="36" t="s">
        <v>6462</v>
      </c>
      <c r="F400" s="36" t="s">
        <v>220</v>
      </c>
      <c r="G400" s="12">
        <v>33.0</v>
      </c>
      <c r="H400" s="48" t="str">
        <f t="shared" si="1"/>
        <v>X-10</v>
      </c>
      <c r="I400" s="19" t="str">
        <f t="shared" si="2"/>
        <v>33 - BC X-10</v>
      </c>
      <c r="J400" s="20" t="str">
        <f>VLOOKUP(I400,'Database Grup SCC'!$B$2:$C1382,2,false)</f>
        <v>Irghi (XII)</v>
      </c>
      <c r="K400" s="49" t="s">
        <v>6421</v>
      </c>
      <c r="L400" s="49"/>
      <c r="M400" s="50"/>
      <c r="N400" s="33" t="s">
        <v>6425</v>
      </c>
      <c r="O400" s="34"/>
      <c r="P400" s="34"/>
      <c r="Q400" s="24" t="str">
        <f t="shared" si="3"/>
        <v>https://docs.google.com/forms/d/e/1FAIpQLSeZ-R1GrWlAPkfaThGqxeTj0QTtrARw4rroxIIepf2kipn1nw/formResponse?usp=pp_url&amp;entry.1313582257=0099153455&amp;entry.1578404635=Hadir</v>
      </c>
      <c r="R400" s="23" t="s">
        <v>6463</v>
      </c>
      <c r="S400" s="39"/>
      <c r="T400" s="39"/>
      <c r="U400" s="39"/>
      <c r="V400" s="39"/>
    </row>
    <row r="401" ht="22.5" customHeight="1">
      <c r="A401" s="10">
        <v>466.0</v>
      </c>
      <c r="B401" s="36">
        <v>16.0</v>
      </c>
      <c r="C401" s="36" t="s">
        <v>6464</v>
      </c>
      <c r="D401" s="47">
        <v>2.52610165E8</v>
      </c>
      <c r="E401" s="36" t="s">
        <v>6465</v>
      </c>
      <c r="F401" s="36" t="s">
        <v>227</v>
      </c>
      <c r="G401" s="12">
        <v>33.0</v>
      </c>
      <c r="H401" s="48" t="str">
        <f t="shared" si="1"/>
        <v>X-10</v>
      </c>
      <c r="I401" s="19" t="str">
        <f t="shared" si="2"/>
        <v>33 - XSUMEN1 GC</v>
      </c>
      <c r="J401" s="20" t="str">
        <f>VLOOKUP(I401,'Database Grup SCC'!$B$2:$C1382,2,false)</f>
        <v>Ayun</v>
      </c>
      <c r="K401" s="49" t="s">
        <v>6421</v>
      </c>
      <c r="L401" s="49"/>
      <c r="M401" s="50"/>
      <c r="N401" s="33" t="s">
        <v>5277</v>
      </c>
      <c r="O401" s="34"/>
      <c r="P401" s="34"/>
      <c r="Q401" s="24" t="str">
        <f t="shared" si="3"/>
        <v>https://docs.google.com/forms/d/e/1FAIpQLSeZ-R1GrWlAPkfaThGqxeTj0QTtrARw4rroxIIepf2kipn1nw/formResponse?usp=pp_url&amp;entry.1313582257=0103526904&amp;entry.1578404635=Hadir</v>
      </c>
      <c r="R401" s="23" t="s">
        <v>6466</v>
      </c>
      <c r="S401" s="39"/>
      <c r="T401" s="39"/>
      <c r="U401" s="39"/>
      <c r="V401" s="39"/>
    </row>
    <row r="402" ht="22.5" customHeight="1">
      <c r="A402" s="18">
        <v>467.0</v>
      </c>
      <c r="B402" s="36">
        <v>17.0</v>
      </c>
      <c r="C402" s="36" t="s">
        <v>6467</v>
      </c>
      <c r="D402" s="47">
        <v>2.52610168E8</v>
      </c>
      <c r="E402" s="36" t="s">
        <v>6468</v>
      </c>
      <c r="F402" s="36" t="s">
        <v>227</v>
      </c>
      <c r="G402" s="12">
        <v>33.0</v>
      </c>
      <c r="H402" s="48" t="str">
        <f t="shared" si="1"/>
        <v>X-10</v>
      </c>
      <c r="I402" s="19" t="str">
        <f t="shared" si="2"/>
        <v>33 - GC1 X-10</v>
      </c>
      <c r="J402" s="20" t="str">
        <f>VLOOKUP(I402,'Database Grup SCC'!$B$2:$C1382,2,false)</f>
        <v>Citra (XII)</v>
      </c>
      <c r="K402" s="49" t="s">
        <v>6421</v>
      </c>
      <c r="L402" s="49"/>
      <c r="M402" s="50"/>
      <c r="N402" s="33" t="s">
        <v>6438</v>
      </c>
      <c r="O402" s="34"/>
      <c r="P402" s="34"/>
      <c r="Q402" s="24" t="str">
        <f t="shared" si="3"/>
        <v>https://docs.google.com/forms/d/e/1FAIpQLSeZ-R1GrWlAPkfaThGqxeTj0QTtrARw4rroxIIepf2kipn1nw/formResponse?usp=pp_url&amp;entry.1313582257=0098248691&amp;entry.1578404635=Hadir</v>
      </c>
      <c r="R402" s="23" t="s">
        <v>6469</v>
      </c>
      <c r="S402" s="39"/>
      <c r="T402" s="39"/>
      <c r="U402" s="39"/>
      <c r="V402" s="39"/>
    </row>
    <row r="403" ht="22.5" customHeight="1">
      <c r="A403" s="10">
        <v>468.0</v>
      </c>
      <c r="B403" s="36">
        <v>18.0</v>
      </c>
      <c r="C403" s="36" t="s">
        <v>6470</v>
      </c>
      <c r="D403" s="47">
        <v>2.52610169E8</v>
      </c>
      <c r="E403" s="36" t="s">
        <v>6471</v>
      </c>
      <c r="F403" s="36" t="s">
        <v>220</v>
      </c>
      <c r="G403" s="12">
        <v>33.0</v>
      </c>
      <c r="H403" s="48" t="str">
        <f t="shared" si="1"/>
        <v>X-10</v>
      </c>
      <c r="I403" s="19" t="str">
        <f t="shared" si="2"/>
        <v>33 - BC X-10</v>
      </c>
      <c r="J403" s="20" t="str">
        <f>VLOOKUP(I403,'Database Grup SCC'!$B$2:$C1382,2,false)</f>
        <v>Irghi (XII)</v>
      </c>
      <c r="K403" s="49" t="s">
        <v>6421</v>
      </c>
      <c r="L403" s="49"/>
      <c r="M403" s="50"/>
      <c r="N403" s="33" t="s">
        <v>6425</v>
      </c>
      <c r="O403" s="34"/>
      <c r="P403" s="34"/>
      <c r="Q403" s="24" t="str">
        <f t="shared" si="3"/>
        <v>https://docs.google.com/forms/d/e/1FAIpQLSeZ-R1GrWlAPkfaThGqxeTj0QTtrARw4rroxIIepf2kipn1nw/formResponse?usp=pp_url&amp;entry.1313582257=0105616025&amp;entry.1578404635=Hadir</v>
      </c>
      <c r="R403" s="23" t="s">
        <v>6472</v>
      </c>
      <c r="S403" s="39"/>
      <c r="T403" s="39"/>
      <c r="U403" s="39"/>
      <c r="V403" s="39"/>
    </row>
    <row r="404" ht="22.5" customHeight="1">
      <c r="A404" s="18">
        <v>469.0</v>
      </c>
      <c r="B404" s="36">
        <v>19.0</v>
      </c>
      <c r="C404" s="36" t="s">
        <v>6473</v>
      </c>
      <c r="D404" s="47">
        <v>2.52610222E8</v>
      </c>
      <c r="E404" s="36" t="s">
        <v>6474</v>
      </c>
      <c r="F404" s="36" t="s">
        <v>227</v>
      </c>
      <c r="G404" s="12">
        <v>33.0</v>
      </c>
      <c r="H404" s="48" t="str">
        <f t="shared" si="1"/>
        <v>X-10</v>
      </c>
      <c r="I404" s="19" t="str">
        <f t="shared" si="2"/>
        <v>33 - GC1 X-10</v>
      </c>
      <c r="J404" s="20" t="str">
        <f>VLOOKUP(I404,'Database Grup SCC'!$B$2:$C1382,2,false)</f>
        <v>Citra (XII)</v>
      </c>
      <c r="K404" s="49" t="s">
        <v>6421</v>
      </c>
      <c r="L404" s="49"/>
      <c r="M404" s="50"/>
      <c r="N404" s="33" t="s">
        <v>6438</v>
      </c>
      <c r="O404" s="34"/>
      <c r="P404" s="34"/>
      <c r="Q404" s="24" t="str">
        <f t="shared" si="3"/>
        <v>https://docs.google.com/forms/d/e/1FAIpQLSeZ-R1GrWlAPkfaThGqxeTj0QTtrARw4rroxIIepf2kipn1nw/formResponse?usp=pp_url&amp;entry.1313582257=0102329313&amp;entry.1578404635=Hadir</v>
      </c>
      <c r="R404" s="23" t="s">
        <v>6475</v>
      </c>
      <c r="S404" s="39"/>
      <c r="T404" s="39"/>
      <c r="U404" s="39"/>
      <c r="V404" s="39"/>
    </row>
    <row r="405" ht="22.5" customHeight="1">
      <c r="A405" s="10">
        <v>470.0</v>
      </c>
      <c r="B405" s="36">
        <v>20.0</v>
      </c>
      <c r="C405" s="36" t="s">
        <v>6476</v>
      </c>
      <c r="D405" s="47">
        <v>2.52610226E8</v>
      </c>
      <c r="E405" s="36" t="s">
        <v>6477</v>
      </c>
      <c r="F405" s="36" t="s">
        <v>227</v>
      </c>
      <c r="G405" s="12">
        <v>33.0</v>
      </c>
      <c r="H405" s="48" t="str">
        <f t="shared" si="1"/>
        <v>X-10</v>
      </c>
      <c r="I405" s="19" t="str">
        <f t="shared" si="2"/>
        <v>33 - GC1 X-10</v>
      </c>
      <c r="J405" s="20" t="str">
        <f>VLOOKUP(I405,'Database Grup SCC'!$B$2:$C1382,2,false)</f>
        <v>Citra (XII)</v>
      </c>
      <c r="K405" s="49" t="s">
        <v>6421</v>
      </c>
      <c r="L405" s="49"/>
      <c r="M405" s="50"/>
      <c r="N405" s="33" t="s">
        <v>6438</v>
      </c>
      <c r="O405" s="34"/>
      <c r="P405" s="34"/>
      <c r="Q405" s="24" t="str">
        <f t="shared" si="3"/>
        <v>https://docs.google.com/forms/d/e/1FAIpQLSeZ-R1GrWlAPkfaThGqxeTj0QTtrARw4rroxIIepf2kipn1nw/formResponse?usp=pp_url&amp;entry.1313582257=0094626978&amp;entry.1578404635=Hadir</v>
      </c>
      <c r="R405" s="23" t="s">
        <v>6478</v>
      </c>
      <c r="S405" s="39"/>
      <c r="T405" s="39"/>
      <c r="U405" s="39"/>
      <c r="V405" s="39"/>
    </row>
    <row r="406" ht="22.5" customHeight="1">
      <c r="A406" s="18">
        <v>471.0</v>
      </c>
      <c r="B406" s="36">
        <v>21.0</v>
      </c>
      <c r="C406" s="36" t="s">
        <v>6479</v>
      </c>
      <c r="D406" s="47">
        <v>2.52610234E8</v>
      </c>
      <c r="E406" s="36" t="s">
        <v>6480</v>
      </c>
      <c r="F406" s="36" t="s">
        <v>227</v>
      </c>
      <c r="G406" s="12">
        <v>33.0</v>
      </c>
      <c r="H406" s="48" t="str">
        <f t="shared" si="1"/>
        <v>X-10</v>
      </c>
      <c r="I406" s="19" t="str">
        <f t="shared" si="2"/>
        <v>33 - GC1 X-10</v>
      </c>
      <c r="J406" s="20" t="str">
        <f>VLOOKUP(I406,'Database Grup SCC'!$B$2:$C1382,2,false)</f>
        <v>Citra (XII)</v>
      </c>
      <c r="K406" s="49" t="s">
        <v>6421</v>
      </c>
      <c r="L406" s="49"/>
      <c r="M406" s="50"/>
      <c r="N406" s="33" t="s">
        <v>6438</v>
      </c>
      <c r="O406" s="34"/>
      <c r="P406" s="34"/>
      <c r="Q406" s="24" t="str">
        <f t="shared" si="3"/>
        <v>https://docs.google.com/forms/d/e/1FAIpQLSeZ-R1GrWlAPkfaThGqxeTj0QTtrARw4rroxIIepf2kipn1nw/formResponse?usp=pp_url&amp;entry.1313582257=0093849649&amp;entry.1578404635=Hadir</v>
      </c>
      <c r="R406" s="23" t="s">
        <v>6481</v>
      </c>
      <c r="S406" s="39"/>
      <c r="T406" s="39"/>
      <c r="U406" s="39"/>
      <c r="V406" s="39"/>
    </row>
    <row r="407" ht="22.5" customHeight="1">
      <c r="A407" s="10">
        <v>472.0</v>
      </c>
      <c r="B407" s="36">
        <v>22.0</v>
      </c>
      <c r="C407" s="36" t="s">
        <v>6482</v>
      </c>
      <c r="D407" s="47">
        <v>2.52610235E8</v>
      </c>
      <c r="E407" s="36" t="s">
        <v>6483</v>
      </c>
      <c r="F407" s="36" t="s">
        <v>227</v>
      </c>
      <c r="G407" s="12">
        <v>33.0</v>
      </c>
      <c r="H407" s="48" t="str">
        <f t="shared" si="1"/>
        <v>X-10</v>
      </c>
      <c r="I407" s="19" t="str">
        <f t="shared" si="2"/>
        <v>33 - XSUMEN1 GC</v>
      </c>
      <c r="J407" s="20" t="str">
        <f>VLOOKUP(I407,'Database Grup SCC'!$B$2:$C1382,2,false)</f>
        <v>Ayun</v>
      </c>
      <c r="K407" s="49" t="s">
        <v>6421</v>
      </c>
      <c r="L407" s="49"/>
      <c r="M407" s="50"/>
      <c r="N407" s="33" t="s">
        <v>5277</v>
      </c>
      <c r="O407" s="34"/>
      <c r="P407" s="34"/>
      <c r="Q407" s="24" t="str">
        <f t="shared" si="3"/>
        <v>https://docs.google.com/forms/d/e/1FAIpQLSeZ-R1GrWlAPkfaThGqxeTj0QTtrARw4rroxIIepf2kipn1nw/formResponse?usp=pp_url&amp;entry.1313582257=0102890859&amp;entry.1578404635=Hadir</v>
      </c>
      <c r="R407" s="23" t="s">
        <v>6484</v>
      </c>
      <c r="S407" s="39"/>
      <c r="T407" s="39"/>
      <c r="U407" s="39"/>
      <c r="V407" s="39"/>
    </row>
    <row r="408" ht="22.5" customHeight="1">
      <c r="A408" s="18">
        <v>473.0</v>
      </c>
      <c r="B408" s="36">
        <v>24.0</v>
      </c>
      <c r="C408" s="36" t="s">
        <v>6485</v>
      </c>
      <c r="D408" s="47">
        <v>2.52610243E8</v>
      </c>
      <c r="E408" s="36" t="s">
        <v>6486</v>
      </c>
      <c r="F408" s="36" t="s">
        <v>220</v>
      </c>
      <c r="G408" s="12">
        <v>33.0</v>
      </c>
      <c r="H408" s="48" t="str">
        <f t="shared" si="1"/>
        <v>X-10</v>
      </c>
      <c r="I408" s="19" t="str">
        <f t="shared" si="2"/>
        <v>33 - BC X-10</v>
      </c>
      <c r="J408" s="20" t="str">
        <f>VLOOKUP(I408,'Database Grup SCC'!$B$2:$C1382,2,false)</f>
        <v>Irghi (XII)</v>
      </c>
      <c r="K408" s="49" t="s">
        <v>6421</v>
      </c>
      <c r="L408" s="49"/>
      <c r="M408" s="50"/>
      <c r="N408" s="33" t="s">
        <v>6425</v>
      </c>
      <c r="O408" s="34"/>
      <c r="P408" s="34"/>
      <c r="Q408" s="24" t="str">
        <f t="shared" si="3"/>
        <v>https://docs.google.com/forms/d/e/1FAIpQLSeZ-R1GrWlAPkfaThGqxeTj0QTtrARw4rroxIIepf2kipn1nw/formResponse?usp=pp_url&amp;entry.1313582257=0102210036&amp;entry.1578404635=Hadir</v>
      </c>
      <c r="R408" s="23" t="s">
        <v>6487</v>
      </c>
      <c r="S408" s="39"/>
      <c r="T408" s="39"/>
      <c r="U408" s="39"/>
      <c r="V408" s="39"/>
    </row>
    <row r="409" ht="22.5" customHeight="1">
      <c r="A409" s="10">
        <v>474.0</v>
      </c>
      <c r="B409" s="36">
        <v>25.0</v>
      </c>
      <c r="C409" s="36" t="s">
        <v>6488</v>
      </c>
      <c r="D409" s="47">
        <v>2.52610251E8</v>
      </c>
      <c r="E409" s="36" t="s">
        <v>6489</v>
      </c>
      <c r="F409" s="36" t="s">
        <v>220</v>
      </c>
      <c r="G409" s="12">
        <v>33.0</v>
      </c>
      <c r="H409" s="48" t="str">
        <f t="shared" si="1"/>
        <v>X-10</v>
      </c>
      <c r="I409" s="19" t="str">
        <f t="shared" si="2"/>
        <v>33 - BC X-10</v>
      </c>
      <c r="J409" s="20" t="str">
        <f>VLOOKUP(I409,'Database Grup SCC'!$B$2:$C1382,2,false)</f>
        <v>Irghi (XII)</v>
      </c>
      <c r="K409" s="49" t="s">
        <v>6421</v>
      </c>
      <c r="L409" s="49"/>
      <c r="M409" s="50"/>
      <c r="N409" s="33" t="s">
        <v>6425</v>
      </c>
      <c r="O409" s="34"/>
      <c r="P409" s="34"/>
      <c r="Q409" s="24" t="str">
        <f t="shared" si="3"/>
        <v>https://docs.google.com/forms/d/e/1FAIpQLSeZ-R1GrWlAPkfaThGqxeTj0QTtrARw4rroxIIepf2kipn1nw/formResponse?usp=pp_url&amp;entry.1313582257=3099544859&amp;entry.1578404635=Hadir</v>
      </c>
      <c r="R409" s="23" t="s">
        <v>6490</v>
      </c>
      <c r="S409" s="39"/>
      <c r="T409" s="39"/>
      <c r="U409" s="39"/>
      <c r="V409" s="39"/>
    </row>
    <row r="410" ht="22.5" customHeight="1">
      <c r="A410" s="18">
        <v>475.0</v>
      </c>
      <c r="B410" s="36">
        <v>26.0</v>
      </c>
      <c r="C410" s="36" t="s">
        <v>6491</v>
      </c>
      <c r="D410" s="47">
        <v>2.52610262E8</v>
      </c>
      <c r="E410" s="36" t="s">
        <v>6492</v>
      </c>
      <c r="F410" s="36" t="s">
        <v>227</v>
      </c>
      <c r="G410" s="12">
        <v>33.0</v>
      </c>
      <c r="H410" s="48" t="str">
        <f t="shared" si="1"/>
        <v>X-10</v>
      </c>
      <c r="I410" s="19" t="str">
        <f t="shared" si="2"/>
        <v>33 - GC1 X-10</v>
      </c>
      <c r="J410" s="20" t="str">
        <f>VLOOKUP(I410,'Database Grup SCC'!$B$2:$C1382,2,false)</f>
        <v>Citra (XII)</v>
      </c>
      <c r="K410" s="49" t="s">
        <v>6421</v>
      </c>
      <c r="L410" s="49"/>
      <c r="M410" s="50"/>
      <c r="N410" s="33" t="s">
        <v>6438</v>
      </c>
      <c r="O410" s="34"/>
      <c r="P410" s="34"/>
      <c r="Q410" s="24" t="str">
        <f t="shared" si="3"/>
        <v>https://docs.google.com/forms/d/e/1FAIpQLSeZ-R1GrWlAPkfaThGqxeTj0QTtrARw4rroxIIepf2kipn1nw/formResponse?usp=pp_url&amp;entry.1313582257=0104574006&amp;entry.1578404635=Hadir</v>
      </c>
      <c r="R410" s="23" t="s">
        <v>6493</v>
      </c>
      <c r="S410" s="39"/>
      <c r="T410" s="39"/>
      <c r="U410" s="39"/>
      <c r="V410" s="39"/>
    </row>
    <row r="411" ht="22.5" customHeight="1">
      <c r="A411" s="10">
        <v>476.0</v>
      </c>
      <c r="B411" s="36">
        <v>27.0</v>
      </c>
      <c r="C411" s="36" t="s">
        <v>6494</v>
      </c>
      <c r="D411" s="47">
        <v>2.52610272E8</v>
      </c>
      <c r="E411" s="36" t="s">
        <v>6495</v>
      </c>
      <c r="F411" s="36" t="s">
        <v>227</v>
      </c>
      <c r="G411" s="12">
        <v>33.0</v>
      </c>
      <c r="H411" s="48" t="str">
        <f t="shared" si="1"/>
        <v>X-10</v>
      </c>
      <c r="I411" s="19" t="str">
        <f t="shared" si="2"/>
        <v>33 - GC2 X-10</v>
      </c>
      <c r="J411" s="20" t="str">
        <f>VLOOKUP(I411,'Database Grup SCC'!$B$2:$C1382,2,false)</f>
        <v>Lexa (XI)</v>
      </c>
      <c r="K411" s="49" t="s">
        <v>6421</v>
      </c>
      <c r="L411" s="49"/>
      <c r="M411" s="50"/>
      <c r="N411" s="33" t="s">
        <v>6496</v>
      </c>
      <c r="O411" s="34"/>
      <c r="P411" s="34"/>
      <c r="Q411" s="24" t="str">
        <f t="shared" si="3"/>
        <v>https://docs.google.com/forms/d/e/1FAIpQLSeZ-R1GrWlAPkfaThGqxeTj0QTtrARw4rroxIIepf2kipn1nw/formResponse?usp=pp_url&amp;entry.1313582257=0094966956&amp;entry.1578404635=Hadir</v>
      </c>
      <c r="R411" s="23" t="s">
        <v>6497</v>
      </c>
      <c r="S411" s="39"/>
      <c r="T411" s="39"/>
      <c r="U411" s="39"/>
      <c r="V411" s="39"/>
    </row>
    <row r="412" ht="22.5" customHeight="1">
      <c r="A412" s="18">
        <v>477.0</v>
      </c>
      <c r="B412" s="36">
        <v>28.0</v>
      </c>
      <c r="C412" s="36" t="s">
        <v>94</v>
      </c>
      <c r="D412" s="47">
        <v>2.52610283E8</v>
      </c>
      <c r="E412" s="36" t="s">
        <v>6498</v>
      </c>
      <c r="F412" s="36" t="s">
        <v>227</v>
      </c>
      <c r="G412" s="12">
        <v>33.0</v>
      </c>
      <c r="H412" s="48" t="str">
        <f t="shared" si="1"/>
        <v>X-10</v>
      </c>
      <c r="I412" s="19" t="str">
        <f t="shared" si="2"/>
        <v>33 - GC2 X-10</v>
      </c>
      <c r="J412" s="20" t="str">
        <f>VLOOKUP(I412,'Database Grup SCC'!$B$2:$C1382,2,false)</f>
        <v>Lexa (XI)</v>
      </c>
      <c r="K412" s="49" t="s">
        <v>6421</v>
      </c>
      <c r="L412" s="49"/>
      <c r="M412" s="50"/>
      <c r="N412" s="33" t="s">
        <v>6496</v>
      </c>
      <c r="O412" s="34"/>
      <c r="P412" s="34"/>
      <c r="Q412" s="24" t="str">
        <f t="shared" si="3"/>
        <v>https://docs.google.com/forms/d/e/1FAIpQLSeZ-R1GrWlAPkfaThGqxeTj0QTtrARw4rroxIIepf2kipn1nw/formResponse?usp=pp_url&amp;entry.1313582257=0102208567&amp;entry.1578404635=Hadir</v>
      </c>
      <c r="R412" s="23" t="s">
        <v>6499</v>
      </c>
      <c r="S412" s="39"/>
      <c r="T412" s="39"/>
      <c r="U412" s="39"/>
      <c r="V412" s="39"/>
    </row>
    <row r="413" ht="22.5" customHeight="1">
      <c r="A413" s="10">
        <v>478.0</v>
      </c>
      <c r="B413" s="36">
        <v>29.0</v>
      </c>
      <c r="C413" s="36" t="s">
        <v>6500</v>
      </c>
      <c r="D413" s="47">
        <v>2.52610305E8</v>
      </c>
      <c r="E413" s="36" t="s">
        <v>6501</v>
      </c>
      <c r="F413" s="36" t="s">
        <v>220</v>
      </c>
      <c r="G413" s="12">
        <v>33.0</v>
      </c>
      <c r="H413" s="48" t="str">
        <f t="shared" si="1"/>
        <v>X-10</v>
      </c>
      <c r="I413" s="19" t="str">
        <f t="shared" si="2"/>
        <v>33 - BC X-10</v>
      </c>
      <c r="J413" s="20" t="str">
        <f>VLOOKUP(I413,'Database Grup SCC'!$B$2:$C1382,2,false)</f>
        <v>Irghi (XII)</v>
      </c>
      <c r="K413" s="49" t="s">
        <v>6421</v>
      </c>
      <c r="L413" s="49"/>
      <c r="M413" s="50"/>
      <c r="N413" s="33" t="s">
        <v>6425</v>
      </c>
      <c r="O413" s="34"/>
      <c r="P413" s="34"/>
      <c r="Q413" s="24" t="str">
        <f t="shared" si="3"/>
        <v>https://docs.google.com/forms/d/e/1FAIpQLSeZ-R1GrWlAPkfaThGqxeTj0QTtrARw4rroxIIepf2kipn1nw/formResponse?usp=pp_url&amp;entry.1313582257=3101402781&amp;entry.1578404635=Hadir</v>
      </c>
      <c r="R413" s="23" t="s">
        <v>6502</v>
      </c>
      <c r="S413" s="39"/>
      <c r="T413" s="39"/>
      <c r="U413" s="39"/>
      <c r="V413" s="39"/>
    </row>
    <row r="414" ht="22.5" customHeight="1">
      <c r="A414" s="18">
        <v>479.0</v>
      </c>
      <c r="B414" s="36">
        <v>30.0</v>
      </c>
      <c r="C414" s="36" t="s">
        <v>6503</v>
      </c>
      <c r="D414" s="47">
        <v>2.52610327E8</v>
      </c>
      <c r="E414" s="36" t="s">
        <v>6504</v>
      </c>
      <c r="F414" s="36" t="s">
        <v>220</v>
      </c>
      <c r="G414" s="12">
        <v>33.0</v>
      </c>
      <c r="H414" s="48" t="str">
        <f t="shared" si="1"/>
        <v>X-10</v>
      </c>
      <c r="I414" s="19" t="str">
        <f t="shared" si="2"/>
        <v>33 - BC X-10</v>
      </c>
      <c r="J414" s="20" t="str">
        <f>VLOOKUP(I414,'Database Grup SCC'!$B$2:$C1382,2,false)</f>
        <v>Irghi (XII)</v>
      </c>
      <c r="K414" s="49" t="s">
        <v>6421</v>
      </c>
      <c r="L414" s="49"/>
      <c r="M414" s="50"/>
      <c r="N414" s="33" t="s">
        <v>6425</v>
      </c>
      <c r="O414" s="34"/>
      <c r="P414" s="34"/>
      <c r="Q414" s="24" t="str">
        <f t="shared" si="3"/>
        <v>https://docs.google.com/forms/d/e/1FAIpQLSeZ-R1GrWlAPkfaThGqxeTj0QTtrARw4rroxIIepf2kipn1nw/formResponse?usp=pp_url&amp;entry.1313582257=0098516941&amp;entry.1578404635=Hadir</v>
      </c>
      <c r="R414" s="23" t="s">
        <v>6505</v>
      </c>
      <c r="S414" s="39"/>
      <c r="T414" s="39"/>
      <c r="U414" s="39"/>
      <c r="V414" s="39"/>
    </row>
    <row r="415" ht="22.5" customHeight="1">
      <c r="A415" s="10">
        <v>480.0</v>
      </c>
      <c r="B415" s="36">
        <v>31.0</v>
      </c>
      <c r="C415" s="36" t="s">
        <v>6506</v>
      </c>
      <c r="D415" s="47">
        <v>2.52610335E8</v>
      </c>
      <c r="E415" s="36" t="s">
        <v>6507</v>
      </c>
      <c r="F415" s="36" t="s">
        <v>220</v>
      </c>
      <c r="G415" s="12">
        <v>33.0</v>
      </c>
      <c r="H415" s="48" t="str">
        <f t="shared" si="1"/>
        <v>X-10</v>
      </c>
      <c r="I415" s="19" t="str">
        <f t="shared" si="2"/>
        <v>33 - BC X-10</v>
      </c>
      <c r="J415" s="20" t="str">
        <f>VLOOKUP(I415,'Database Grup SCC'!$B$2:$C1382,2,false)</f>
        <v>Irghi (XII)</v>
      </c>
      <c r="K415" s="49" t="s">
        <v>6421</v>
      </c>
      <c r="L415" s="49"/>
      <c r="M415" s="50"/>
      <c r="N415" s="33" t="s">
        <v>6425</v>
      </c>
      <c r="O415" s="34"/>
      <c r="P415" s="34"/>
      <c r="Q415" s="24" t="str">
        <f t="shared" si="3"/>
        <v>https://docs.google.com/forms/d/e/1FAIpQLSeZ-R1GrWlAPkfaThGqxeTj0QTtrARw4rroxIIepf2kipn1nw/formResponse?usp=pp_url&amp;entry.1313582257=0113735828&amp;entry.1578404635=Hadir</v>
      </c>
      <c r="R415" s="23" t="s">
        <v>6508</v>
      </c>
      <c r="S415" s="39"/>
      <c r="T415" s="39"/>
      <c r="U415" s="39"/>
      <c r="V415" s="39"/>
    </row>
    <row r="416" ht="22.5" customHeight="1">
      <c r="A416" s="18">
        <v>481.0</v>
      </c>
      <c r="B416" s="36">
        <v>32.0</v>
      </c>
      <c r="C416" s="36" t="s">
        <v>6509</v>
      </c>
      <c r="D416" s="47">
        <v>2.52610375E8</v>
      </c>
      <c r="E416" s="36" t="s">
        <v>6510</v>
      </c>
      <c r="F416" s="36" t="s">
        <v>220</v>
      </c>
      <c r="G416" s="12">
        <v>33.0</v>
      </c>
      <c r="H416" s="48" t="str">
        <f t="shared" si="1"/>
        <v>X-10</v>
      </c>
      <c r="I416" s="19" t="str">
        <f t="shared" si="2"/>
        <v>33 - XSUMEN BC</v>
      </c>
      <c r="J416" s="20" t="str">
        <f>VLOOKUP(I416,'Database Grup SCC'!$B$2:$C1382,2,false)</f>
        <v>Rekhsa</v>
      </c>
      <c r="K416" s="49" t="s">
        <v>6421</v>
      </c>
      <c r="L416" s="49"/>
      <c r="M416" s="50"/>
      <c r="N416" s="33" t="s">
        <v>371</v>
      </c>
      <c r="O416" s="34"/>
      <c r="P416" s="34"/>
      <c r="Q416" s="24" t="str">
        <f t="shared" si="3"/>
        <v>https://docs.google.com/forms/d/e/1FAIpQLSeZ-R1GrWlAPkfaThGqxeTj0QTtrARw4rroxIIepf2kipn1nw/formResponse?usp=pp_url&amp;entry.1313582257=0109589144&amp;entry.1578404635=Hadir</v>
      </c>
      <c r="R416" s="23" t="s">
        <v>6511</v>
      </c>
      <c r="S416" s="39"/>
      <c r="T416" s="39"/>
      <c r="U416" s="39"/>
      <c r="V416" s="39"/>
    </row>
    <row r="417" ht="22.5" customHeight="1">
      <c r="A417" s="10">
        <v>482.0</v>
      </c>
      <c r="B417" s="36">
        <v>33.0</v>
      </c>
      <c r="C417" s="36" t="s">
        <v>6512</v>
      </c>
      <c r="D417" s="47">
        <v>2.52610396E8</v>
      </c>
      <c r="E417" s="36" t="s">
        <v>6513</v>
      </c>
      <c r="F417" s="36" t="s">
        <v>227</v>
      </c>
      <c r="G417" s="12">
        <v>33.0</v>
      </c>
      <c r="H417" s="48" t="str">
        <f t="shared" si="1"/>
        <v>X-10</v>
      </c>
      <c r="I417" s="19" t="str">
        <f t="shared" si="2"/>
        <v>33 - GC2 X-10</v>
      </c>
      <c r="J417" s="20" t="str">
        <f>VLOOKUP(I417,'Database Grup SCC'!$B$2:$C1382,2,false)</f>
        <v>Lexa (XI)</v>
      </c>
      <c r="K417" s="49" t="s">
        <v>6421</v>
      </c>
      <c r="L417" s="49"/>
      <c r="M417" s="50"/>
      <c r="N417" s="33" t="s">
        <v>6496</v>
      </c>
      <c r="O417" s="34"/>
      <c r="P417" s="34"/>
      <c r="Q417" s="24" t="str">
        <f t="shared" si="3"/>
        <v>https://docs.google.com/forms/d/e/1FAIpQLSeZ-R1GrWlAPkfaThGqxeTj0QTtrARw4rroxIIepf2kipn1nw/formResponse?usp=pp_url&amp;entry.1313582257=0108105659&amp;entry.1578404635=Hadir</v>
      </c>
      <c r="R417" s="23" t="s">
        <v>6514</v>
      </c>
      <c r="S417" s="39"/>
      <c r="T417" s="39"/>
      <c r="U417" s="39"/>
      <c r="V417" s="39"/>
    </row>
    <row r="418" ht="22.5" customHeight="1">
      <c r="A418" s="18">
        <v>483.0</v>
      </c>
      <c r="B418" s="36">
        <v>34.0</v>
      </c>
      <c r="C418" s="36" t="s">
        <v>6515</v>
      </c>
      <c r="D418" s="47">
        <v>2.52610402E8</v>
      </c>
      <c r="E418" s="36" t="s">
        <v>6516</v>
      </c>
      <c r="F418" s="36" t="s">
        <v>220</v>
      </c>
      <c r="G418" s="12">
        <v>33.0</v>
      </c>
      <c r="H418" s="48" t="str">
        <f t="shared" si="1"/>
        <v>X-10</v>
      </c>
      <c r="I418" s="19" t="str">
        <f t="shared" si="2"/>
        <v>33 - BC X-10</v>
      </c>
      <c r="J418" s="20" t="str">
        <f>VLOOKUP(I418,'Database Grup SCC'!$B$2:$C1382,2,false)</f>
        <v>Irghi (XII)</v>
      </c>
      <c r="K418" s="49" t="s">
        <v>6421</v>
      </c>
      <c r="L418" s="49"/>
      <c r="M418" s="50"/>
      <c r="N418" s="33" t="s">
        <v>6425</v>
      </c>
      <c r="O418" s="34"/>
      <c r="P418" s="34"/>
      <c r="Q418" s="24" t="str">
        <f t="shared" si="3"/>
        <v>https://docs.google.com/forms/d/e/1FAIpQLSeZ-R1GrWlAPkfaThGqxeTj0QTtrARw4rroxIIepf2kipn1nw/formResponse?usp=pp_url&amp;entry.1313582257=0091758520&amp;entry.1578404635=Hadir</v>
      </c>
      <c r="R418" s="23" t="s">
        <v>6517</v>
      </c>
      <c r="S418" s="39"/>
      <c r="T418" s="39"/>
      <c r="U418" s="39"/>
      <c r="V418" s="39"/>
    </row>
    <row r="419" ht="22.5" customHeight="1">
      <c r="A419" s="10">
        <v>484.0</v>
      </c>
      <c r="B419" s="36">
        <v>35.0</v>
      </c>
      <c r="C419" s="36" t="s">
        <v>6518</v>
      </c>
      <c r="D419" s="47">
        <v>2.52610403E8</v>
      </c>
      <c r="E419" s="36" t="s">
        <v>6519</v>
      </c>
      <c r="F419" s="36" t="s">
        <v>227</v>
      </c>
      <c r="G419" s="12">
        <v>33.0</v>
      </c>
      <c r="H419" s="48" t="str">
        <f t="shared" si="1"/>
        <v>X-10</v>
      </c>
      <c r="I419" s="19" t="str">
        <f t="shared" si="2"/>
        <v>33 - GC2 X-10</v>
      </c>
      <c r="J419" s="20" t="str">
        <f>VLOOKUP(I419,'Database Grup SCC'!$B$2:$C1382,2,false)</f>
        <v>Lexa (XI)</v>
      </c>
      <c r="K419" s="49" t="s">
        <v>6421</v>
      </c>
      <c r="L419" s="49"/>
      <c r="M419" s="50"/>
      <c r="N419" s="33" t="s">
        <v>6496</v>
      </c>
      <c r="O419" s="34"/>
      <c r="P419" s="34"/>
      <c r="Q419" s="24" t="str">
        <f t="shared" si="3"/>
        <v>https://docs.google.com/forms/d/e/1FAIpQLSeZ-R1GrWlAPkfaThGqxeTj0QTtrARw4rroxIIepf2kipn1nw/formResponse?usp=pp_url&amp;entry.1313582257=0093643944&amp;entry.1578404635=Hadir</v>
      </c>
      <c r="R419" s="23" t="s">
        <v>6520</v>
      </c>
      <c r="S419" s="39"/>
      <c r="T419" s="39"/>
      <c r="U419" s="39"/>
      <c r="V419" s="39"/>
    </row>
    <row r="420" ht="22.5" customHeight="1">
      <c r="A420" s="18">
        <v>485.0</v>
      </c>
      <c r="B420" s="36">
        <v>37.0</v>
      </c>
      <c r="C420" s="36" t="s">
        <v>6521</v>
      </c>
      <c r="D420" s="47">
        <v>2.52610443E8</v>
      </c>
      <c r="E420" s="36" t="s">
        <v>6522</v>
      </c>
      <c r="F420" s="36" t="s">
        <v>227</v>
      </c>
      <c r="G420" s="12">
        <v>33.0</v>
      </c>
      <c r="H420" s="48" t="str">
        <f t="shared" si="1"/>
        <v>X-10</v>
      </c>
      <c r="I420" s="19" t="str">
        <f t="shared" si="2"/>
        <v>33 - GC2 X-10</v>
      </c>
      <c r="J420" s="20" t="str">
        <f>VLOOKUP(I420,'Database Grup SCC'!$B$2:$C1382,2,false)</f>
        <v>Lexa (XI)</v>
      </c>
      <c r="K420" s="49" t="s">
        <v>6421</v>
      </c>
      <c r="L420" s="49"/>
      <c r="M420" s="50"/>
      <c r="N420" s="33" t="s">
        <v>6496</v>
      </c>
      <c r="O420" s="34"/>
      <c r="P420" s="34"/>
      <c r="Q420" s="24" t="str">
        <f t="shared" si="3"/>
        <v>https://docs.google.com/forms/d/e/1FAIpQLSeZ-R1GrWlAPkfaThGqxeTj0QTtrARw4rroxIIepf2kipn1nw/formResponse?usp=pp_url&amp;entry.1313582257=0109464483&amp;entry.1578404635=Hadir</v>
      </c>
      <c r="R420" s="23" t="s">
        <v>6523</v>
      </c>
      <c r="S420" s="39"/>
      <c r="T420" s="39"/>
      <c r="U420" s="39"/>
      <c r="V420" s="39"/>
    </row>
    <row r="421" ht="22.5" customHeight="1">
      <c r="A421" s="10">
        <v>486.0</v>
      </c>
      <c r="B421" s="36">
        <v>38.0</v>
      </c>
      <c r="C421" s="36" t="s">
        <v>6524</v>
      </c>
      <c r="D421" s="47">
        <v>2.52610459E8</v>
      </c>
      <c r="E421" s="36" t="s">
        <v>6525</v>
      </c>
      <c r="F421" s="36" t="s">
        <v>220</v>
      </c>
      <c r="G421" s="12">
        <v>33.0</v>
      </c>
      <c r="H421" s="48" t="str">
        <f t="shared" si="1"/>
        <v>X-10</v>
      </c>
      <c r="I421" s="19" t="str">
        <f t="shared" si="2"/>
        <v>33 - BC X-10</v>
      </c>
      <c r="J421" s="20" t="str">
        <f>VLOOKUP(I421,'Database Grup SCC'!$B$2:$C1382,2,false)</f>
        <v>Irghi (XII)</v>
      </c>
      <c r="K421" s="49" t="s">
        <v>6421</v>
      </c>
      <c r="L421" s="49"/>
      <c r="M421" s="50"/>
      <c r="N421" s="33" t="s">
        <v>6425</v>
      </c>
      <c r="O421" s="34"/>
      <c r="P421" s="34"/>
      <c r="Q421" s="24" t="str">
        <f t="shared" si="3"/>
        <v>https://docs.google.com/forms/d/e/1FAIpQLSeZ-R1GrWlAPkfaThGqxeTj0QTtrARw4rroxIIepf2kipn1nw/formResponse?usp=pp_url&amp;entry.1313582257=3103591489&amp;entry.1578404635=Hadir</v>
      </c>
      <c r="R421" s="23" t="s">
        <v>6526</v>
      </c>
      <c r="S421" s="39"/>
      <c r="T421" s="39"/>
      <c r="U421" s="39"/>
      <c r="V421" s="39"/>
    </row>
    <row r="422" ht="22.5" customHeight="1">
      <c r="A422" s="18">
        <v>487.0</v>
      </c>
      <c r="B422" s="36">
        <v>39.0</v>
      </c>
      <c r="C422" s="36" t="s">
        <v>6527</v>
      </c>
      <c r="D422" s="47">
        <v>2.52610462E8</v>
      </c>
      <c r="E422" s="36" t="s">
        <v>6528</v>
      </c>
      <c r="F422" s="36" t="s">
        <v>227</v>
      </c>
      <c r="G422" s="12">
        <v>33.0</v>
      </c>
      <c r="H422" s="48" t="str">
        <f t="shared" si="1"/>
        <v>X-10</v>
      </c>
      <c r="I422" s="19" t="str">
        <f t="shared" si="2"/>
        <v>33 - GC2 X-10</v>
      </c>
      <c r="J422" s="20" t="str">
        <f>VLOOKUP(I422,'Database Grup SCC'!$B$2:$C1382,2,false)</f>
        <v>Lexa (XI)</v>
      </c>
      <c r="K422" s="49" t="s">
        <v>6421</v>
      </c>
      <c r="L422" s="49"/>
      <c r="M422" s="50"/>
      <c r="N422" s="33" t="s">
        <v>6496</v>
      </c>
      <c r="O422" s="34"/>
      <c r="P422" s="34"/>
      <c r="Q422" s="24" t="str">
        <f t="shared" si="3"/>
        <v>https://docs.google.com/forms/d/e/1FAIpQLSeZ-R1GrWlAPkfaThGqxeTj0QTtrARw4rroxIIepf2kipn1nw/formResponse?usp=pp_url&amp;entry.1313582257=0097831413&amp;entry.1578404635=Hadir</v>
      </c>
      <c r="R422" s="23" t="s">
        <v>6529</v>
      </c>
      <c r="S422" s="39"/>
      <c r="T422" s="39"/>
      <c r="U422" s="39"/>
      <c r="V422" s="39"/>
    </row>
    <row r="423" ht="22.5" customHeight="1">
      <c r="A423" s="10">
        <v>488.0</v>
      </c>
      <c r="B423" s="36">
        <v>40.0</v>
      </c>
      <c r="C423" s="36" t="s">
        <v>6530</v>
      </c>
      <c r="D423" s="47">
        <v>2.52610469E8</v>
      </c>
      <c r="E423" s="36" t="s">
        <v>6531</v>
      </c>
      <c r="F423" s="36" t="s">
        <v>220</v>
      </c>
      <c r="G423" s="12">
        <v>33.0</v>
      </c>
      <c r="H423" s="48" t="str">
        <f t="shared" si="1"/>
        <v>X-10</v>
      </c>
      <c r="I423" s="19" t="str">
        <f t="shared" si="2"/>
        <v>33 - BC X-10</v>
      </c>
      <c r="J423" s="20" t="str">
        <f>VLOOKUP(I423,'Database Grup SCC'!$B$2:$C1382,2,false)</f>
        <v>Irghi (XII)</v>
      </c>
      <c r="K423" s="49" t="s">
        <v>6421</v>
      </c>
      <c r="L423" s="49"/>
      <c r="M423" s="50"/>
      <c r="N423" s="33" t="s">
        <v>6425</v>
      </c>
      <c r="O423" s="34"/>
      <c r="P423" s="34"/>
      <c r="Q423" s="24" t="str">
        <f t="shared" si="3"/>
        <v>https://docs.google.com/forms/d/e/1FAIpQLSeZ-R1GrWlAPkfaThGqxeTj0QTtrARw4rroxIIepf2kipn1nw/formResponse?usp=pp_url&amp;entry.1313582257=0094313180&amp;entry.1578404635=Hadir</v>
      </c>
      <c r="R423" s="23" t="s">
        <v>6532</v>
      </c>
      <c r="S423" s="39"/>
      <c r="T423" s="39"/>
      <c r="U423" s="39"/>
      <c r="V423" s="39"/>
    </row>
    <row r="424" ht="22.5" customHeight="1">
      <c r="A424" s="18">
        <v>489.0</v>
      </c>
      <c r="B424" s="36">
        <v>41.0</v>
      </c>
      <c r="C424" s="36" t="s">
        <v>6533</v>
      </c>
      <c r="D424" s="47">
        <v>2.52610493E8</v>
      </c>
      <c r="E424" s="36" t="s">
        <v>6534</v>
      </c>
      <c r="F424" s="36" t="s">
        <v>227</v>
      </c>
      <c r="G424" s="12">
        <v>33.0</v>
      </c>
      <c r="H424" s="48" t="str">
        <f t="shared" si="1"/>
        <v>X-10</v>
      </c>
      <c r="I424" s="19" t="str">
        <f t="shared" si="2"/>
        <v>33 - GC2 X-10</v>
      </c>
      <c r="J424" s="20" t="str">
        <f>VLOOKUP(I424,'Database Grup SCC'!$B$2:$C1382,2,false)</f>
        <v>Lexa (XI)</v>
      </c>
      <c r="K424" s="49" t="s">
        <v>6421</v>
      </c>
      <c r="L424" s="49"/>
      <c r="M424" s="50"/>
      <c r="N424" s="33" t="s">
        <v>6496</v>
      </c>
      <c r="O424" s="34"/>
      <c r="P424" s="34"/>
      <c r="Q424" s="24" t="str">
        <f t="shared" si="3"/>
        <v>https://docs.google.com/forms/d/e/1FAIpQLSeZ-R1GrWlAPkfaThGqxeTj0QTtrARw4rroxIIepf2kipn1nw/formResponse?usp=pp_url&amp;entry.1313582257=0093204066&amp;entry.1578404635=Hadir</v>
      </c>
      <c r="R424" s="23" t="s">
        <v>6535</v>
      </c>
      <c r="S424" s="39"/>
      <c r="T424" s="39"/>
      <c r="U424" s="39"/>
      <c r="V424" s="39"/>
    </row>
    <row r="425" ht="22.5" customHeight="1">
      <c r="A425" s="10">
        <v>490.0</v>
      </c>
      <c r="B425" s="36">
        <v>42.0</v>
      </c>
      <c r="C425" s="36" t="s">
        <v>6536</v>
      </c>
      <c r="D425" s="47">
        <v>2.52610509E8</v>
      </c>
      <c r="E425" s="36" t="s">
        <v>6537</v>
      </c>
      <c r="F425" s="36" t="s">
        <v>227</v>
      </c>
      <c r="G425" s="12">
        <v>33.0</v>
      </c>
      <c r="H425" s="48" t="str">
        <f t="shared" si="1"/>
        <v>X-10</v>
      </c>
      <c r="I425" s="19" t="str">
        <f t="shared" si="2"/>
        <v>33 - GC2 X-10</v>
      </c>
      <c r="J425" s="20" t="str">
        <f>VLOOKUP(I425,'Database Grup SCC'!$B$2:$C1382,2,false)</f>
        <v>Lexa (XI)</v>
      </c>
      <c r="K425" s="49" t="s">
        <v>6421</v>
      </c>
      <c r="L425" s="49"/>
      <c r="M425" s="50"/>
      <c r="N425" s="33" t="s">
        <v>6496</v>
      </c>
      <c r="O425" s="34"/>
      <c r="P425" s="34"/>
      <c r="Q425" s="24" t="str">
        <f t="shared" si="3"/>
        <v>https://docs.google.com/forms/d/e/1FAIpQLSeZ-R1GrWlAPkfaThGqxeTj0QTtrARw4rroxIIepf2kipn1nw/formResponse?usp=pp_url&amp;entry.1313582257=0108540094&amp;entry.1578404635=Hadir</v>
      </c>
      <c r="R425" s="23" t="s">
        <v>6538</v>
      </c>
      <c r="S425" s="39"/>
      <c r="T425" s="39"/>
      <c r="U425" s="39"/>
      <c r="V425" s="39"/>
    </row>
    <row r="426" ht="22.5" customHeight="1">
      <c r="A426" s="18">
        <v>491.0</v>
      </c>
      <c r="B426" s="36">
        <v>43.0</v>
      </c>
      <c r="C426" s="36" t="s">
        <v>6539</v>
      </c>
      <c r="D426" s="47">
        <v>2.5261051E8</v>
      </c>
      <c r="E426" s="36" t="s">
        <v>6540</v>
      </c>
      <c r="F426" s="36" t="s">
        <v>227</v>
      </c>
      <c r="G426" s="12">
        <v>33.0</v>
      </c>
      <c r="H426" s="48" t="str">
        <f t="shared" si="1"/>
        <v>X-10</v>
      </c>
      <c r="I426" s="19" t="str">
        <f t="shared" si="2"/>
        <v>33 - GC2 X-10</v>
      </c>
      <c r="J426" s="20" t="str">
        <f>VLOOKUP(I426,'Database Grup SCC'!$B$2:$C1382,2,false)</f>
        <v>Lexa (XI)</v>
      </c>
      <c r="K426" s="49" t="s">
        <v>6421</v>
      </c>
      <c r="L426" s="49"/>
      <c r="M426" s="50"/>
      <c r="N426" s="33" t="s">
        <v>6496</v>
      </c>
      <c r="O426" s="34"/>
      <c r="P426" s="34"/>
      <c r="Q426" s="24" t="str">
        <f t="shared" si="3"/>
        <v>https://docs.google.com/forms/d/e/1FAIpQLSeZ-R1GrWlAPkfaThGqxeTj0QTtrARw4rroxIIepf2kipn1nw/formResponse?usp=pp_url&amp;entry.1313582257=0108413702&amp;entry.1578404635=Hadir</v>
      </c>
      <c r="R426" s="23" t="s">
        <v>6541</v>
      </c>
      <c r="S426" s="39"/>
      <c r="T426" s="39"/>
      <c r="U426" s="39"/>
      <c r="V426" s="39"/>
    </row>
    <row r="427" ht="22.5" customHeight="1">
      <c r="A427" s="10">
        <v>492.0</v>
      </c>
      <c r="B427" s="36">
        <v>44.0</v>
      </c>
      <c r="C427" s="36" t="s">
        <v>92</v>
      </c>
      <c r="D427" s="47">
        <v>2.52610521E8</v>
      </c>
      <c r="E427" s="36" t="s">
        <v>6542</v>
      </c>
      <c r="F427" s="36" t="s">
        <v>227</v>
      </c>
      <c r="G427" s="12">
        <v>33.0</v>
      </c>
      <c r="H427" s="48" t="str">
        <f t="shared" si="1"/>
        <v>X-10</v>
      </c>
      <c r="I427" s="19" t="str">
        <f t="shared" si="2"/>
        <v>33 - GC2 X-10</v>
      </c>
      <c r="J427" s="20" t="str">
        <f>VLOOKUP(I427,'Database Grup SCC'!$B$2:$C1382,2,false)</f>
        <v>Lexa (XI)</v>
      </c>
      <c r="K427" s="49" t="s">
        <v>6421</v>
      </c>
      <c r="L427" s="49"/>
      <c r="M427" s="50"/>
      <c r="N427" s="33" t="s">
        <v>6496</v>
      </c>
      <c r="O427" s="34"/>
      <c r="P427" s="34"/>
      <c r="Q427" s="24" t="str">
        <f t="shared" si="3"/>
        <v>https://docs.google.com/forms/d/e/1FAIpQLSeZ-R1GrWlAPkfaThGqxeTj0QTtrARw4rroxIIepf2kipn1nw/formResponse?usp=pp_url&amp;entry.1313582257=0108718382&amp;entry.1578404635=Hadir</v>
      </c>
      <c r="R427" s="23" t="s">
        <v>6543</v>
      </c>
      <c r="S427" s="39"/>
      <c r="T427" s="39"/>
      <c r="U427" s="39"/>
      <c r="V427" s="39"/>
    </row>
    <row r="428" ht="22.5" customHeight="1">
      <c r="A428" s="18">
        <v>493.0</v>
      </c>
      <c r="B428" s="36">
        <v>45.0</v>
      </c>
      <c r="C428" s="36" t="s">
        <v>6544</v>
      </c>
      <c r="D428" s="47">
        <v>2.52610526E8</v>
      </c>
      <c r="E428" s="36" t="s">
        <v>6545</v>
      </c>
      <c r="F428" s="36" t="s">
        <v>227</v>
      </c>
      <c r="G428" s="12">
        <v>33.0</v>
      </c>
      <c r="H428" s="48" t="str">
        <f t="shared" si="1"/>
        <v>X-10</v>
      </c>
      <c r="I428" s="19" t="str">
        <f t="shared" si="2"/>
        <v>33 - GC2 X-10</v>
      </c>
      <c r="J428" s="20" t="str">
        <f>VLOOKUP(I428,'Database Grup SCC'!$B$2:$C1382,2,false)</f>
        <v>Lexa (XI)</v>
      </c>
      <c r="K428" s="49" t="s">
        <v>6421</v>
      </c>
      <c r="L428" s="49"/>
      <c r="M428" s="50"/>
      <c r="N428" s="33" t="s">
        <v>6496</v>
      </c>
      <c r="O428" s="34"/>
      <c r="P428" s="34"/>
      <c r="Q428" s="24" t="str">
        <f t="shared" si="3"/>
        <v>https://docs.google.com/forms/d/e/1FAIpQLSeZ-R1GrWlAPkfaThGqxeTj0QTtrARw4rroxIIepf2kipn1nw/formResponse?usp=pp_url&amp;entry.1313582257=0099775444&amp;entry.1578404635=Hadir</v>
      </c>
      <c r="R428" s="23" t="s">
        <v>6546</v>
      </c>
      <c r="S428" s="39"/>
      <c r="T428" s="39"/>
      <c r="U428" s="39"/>
      <c r="V428" s="39"/>
    </row>
    <row r="429" ht="22.5" customHeight="1">
      <c r="A429" s="18">
        <v>501.0</v>
      </c>
      <c r="B429" s="36">
        <v>1.0</v>
      </c>
      <c r="C429" s="36" t="s">
        <v>6547</v>
      </c>
      <c r="D429" s="47">
        <v>2.5261001E8</v>
      </c>
      <c r="E429" s="36" t="s">
        <v>6548</v>
      </c>
      <c r="F429" s="36" t="s">
        <v>227</v>
      </c>
      <c r="G429" s="12">
        <v>33.0</v>
      </c>
      <c r="H429" s="48" t="str">
        <f t="shared" si="1"/>
        <v>X-11</v>
      </c>
      <c r="I429" s="19" t="str">
        <f t="shared" si="2"/>
        <v>33 - GC1 X-11</v>
      </c>
      <c r="J429" s="20" t="str">
        <f>VLOOKUP(I429,'Database Grup SCC'!$B$2:$C1382,2,false)</f>
        <v>Nia</v>
      </c>
      <c r="K429" s="49" t="s">
        <v>6549</v>
      </c>
      <c r="L429" s="49"/>
      <c r="M429" s="50"/>
      <c r="N429" s="33" t="s">
        <v>6550</v>
      </c>
      <c r="O429" s="34"/>
      <c r="P429" s="34"/>
      <c r="Q429" s="24" t="str">
        <f t="shared" si="3"/>
        <v>https://docs.google.com/forms/d/e/1FAIpQLSeZ-R1GrWlAPkfaThGqxeTj0QTtrARw4rroxIIepf2kipn1nw/formResponse?usp=pp_url&amp;entry.1313582257=0109542213&amp;entry.1578404635=Hadir</v>
      </c>
      <c r="R429" s="23" t="s">
        <v>6551</v>
      </c>
      <c r="S429" s="39"/>
      <c r="T429" s="39"/>
      <c r="U429" s="39"/>
      <c r="V429" s="39"/>
    </row>
    <row r="430" ht="22.5" customHeight="1">
      <c r="A430" s="10">
        <v>502.0</v>
      </c>
      <c r="B430" s="36">
        <v>2.0</v>
      </c>
      <c r="C430" s="36" t="s">
        <v>6552</v>
      </c>
      <c r="D430" s="47">
        <v>2.52610031E8</v>
      </c>
      <c r="E430" s="36" t="s">
        <v>6553</v>
      </c>
      <c r="F430" s="36" t="s">
        <v>227</v>
      </c>
      <c r="G430" s="12">
        <v>33.0</v>
      </c>
      <c r="H430" s="48" t="str">
        <f t="shared" si="1"/>
        <v>X-11</v>
      </c>
      <c r="I430" s="19" t="str">
        <f t="shared" si="2"/>
        <v>33 - GC1 X-11</v>
      </c>
      <c r="J430" s="20" t="str">
        <f>VLOOKUP(I430,'Database Grup SCC'!$B$2:$C1382,2,false)</f>
        <v>Nia</v>
      </c>
      <c r="K430" s="49" t="s">
        <v>6549</v>
      </c>
      <c r="L430" s="49"/>
      <c r="M430" s="50"/>
      <c r="N430" s="33" t="s">
        <v>6550</v>
      </c>
      <c r="O430" s="34"/>
      <c r="P430" s="34"/>
      <c r="Q430" s="24" t="str">
        <f t="shared" si="3"/>
        <v>https://docs.google.com/forms/d/e/1FAIpQLSeZ-R1GrWlAPkfaThGqxeTj0QTtrARw4rroxIIepf2kipn1nw/formResponse?usp=pp_url&amp;entry.1313582257=0108324867&amp;entry.1578404635=Hadir</v>
      </c>
      <c r="R430" s="23" t="s">
        <v>6554</v>
      </c>
      <c r="S430" s="39"/>
      <c r="T430" s="39"/>
      <c r="U430" s="39"/>
      <c r="V430" s="39"/>
    </row>
    <row r="431" ht="22.5" customHeight="1">
      <c r="A431" s="18">
        <v>503.0</v>
      </c>
      <c r="B431" s="36">
        <v>3.0</v>
      </c>
      <c r="C431" s="36" t="s">
        <v>6555</v>
      </c>
      <c r="D431" s="47">
        <v>2.52610033E8</v>
      </c>
      <c r="E431" s="36" t="s">
        <v>6556</v>
      </c>
      <c r="F431" s="36" t="s">
        <v>220</v>
      </c>
      <c r="G431" s="12">
        <v>33.0</v>
      </c>
      <c r="H431" s="48" t="str">
        <f t="shared" si="1"/>
        <v>X-11</v>
      </c>
      <c r="I431" s="19" t="str">
        <f t="shared" si="2"/>
        <v>33 - BC X-11</v>
      </c>
      <c r="J431" s="20" t="str">
        <f>VLOOKUP(I431,'Database Grup SCC'!$B$2:$C1382,2,false)</f>
        <v>Khadafi (XII)</v>
      </c>
      <c r="K431" s="49" t="s">
        <v>6549</v>
      </c>
      <c r="L431" s="49"/>
      <c r="M431" s="50"/>
      <c r="N431" s="33" t="s">
        <v>6557</v>
      </c>
      <c r="O431" s="34"/>
      <c r="P431" s="34"/>
      <c r="Q431" s="24" t="str">
        <f t="shared" si="3"/>
        <v>https://docs.google.com/forms/d/e/1FAIpQLSeZ-R1GrWlAPkfaThGqxeTj0QTtrARw4rroxIIepf2kipn1nw/formResponse?usp=pp_url&amp;entry.1313582257=0109013664&amp;entry.1578404635=Hadir</v>
      </c>
      <c r="R431" s="23" t="s">
        <v>6558</v>
      </c>
      <c r="S431" s="39"/>
      <c r="T431" s="39"/>
      <c r="U431" s="39"/>
      <c r="V431" s="39"/>
    </row>
    <row r="432" ht="22.5" customHeight="1">
      <c r="A432" s="10">
        <v>504.0</v>
      </c>
      <c r="B432" s="36">
        <v>4.0</v>
      </c>
      <c r="C432" s="36" t="s">
        <v>6559</v>
      </c>
      <c r="D432" s="47">
        <v>2.52610047E8</v>
      </c>
      <c r="E432" s="36" t="s">
        <v>6560</v>
      </c>
      <c r="F432" s="36" t="s">
        <v>227</v>
      </c>
      <c r="G432" s="12">
        <v>33.0</v>
      </c>
      <c r="H432" s="48" t="str">
        <f t="shared" si="1"/>
        <v>X-11</v>
      </c>
      <c r="I432" s="19" t="str">
        <f t="shared" si="2"/>
        <v>33 - GC1 X-11</v>
      </c>
      <c r="J432" s="20" t="str">
        <f>VLOOKUP(I432,'Database Grup SCC'!$B$2:$C1382,2,false)</f>
        <v>Nia</v>
      </c>
      <c r="K432" s="49" t="s">
        <v>6549</v>
      </c>
      <c r="L432" s="49"/>
      <c r="M432" s="50"/>
      <c r="N432" s="33" t="s">
        <v>6550</v>
      </c>
      <c r="O432" s="34"/>
      <c r="P432" s="34"/>
      <c r="Q432" s="24" t="str">
        <f t="shared" si="3"/>
        <v>https://docs.google.com/forms/d/e/1FAIpQLSeZ-R1GrWlAPkfaThGqxeTj0QTtrARw4rroxIIepf2kipn1nw/formResponse?usp=pp_url&amp;entry.1313582257=0108561560&amp;entry.1578404635=Hadir</v>
      </c>
      <c r="R432" s="23" t="s">
        <v>6561</v>
      </c>
      <c r="S432" s="39"/>
      <c r="T432" s="39"/>
      <c r="U432" s="39"/>
      <c r="V432" s="39"/>
    </row>
    <row r="433" ht="22.5" customHeight="1">
      <c r="A433" s="18">
        <v>505.0</v>
      </c>
      <c r="B433" s="36">
        <v>5.0</v>
      </c>
      <c r="C433" s="36" t="s">
        <v>6562</v>
      </c>
      <c r="D433" s="47">
        <v>2.52610066E8</v>
      </c>
      <c r="E433" s="36" t="s">
        <v>6563</v>
      </c>
      <c r="F433" s="36" t="s">
        <v>227</v>
      </c>
      <c r="G433" s="12">
        <v>33.0</v>
      </c>
      <c r="H433" s="48" t="str">
        <f t="shared" si="1"/>
        <v>X-11</v>
      </c>
      <c r="I433" s="19" t="str">
        <f t="shared" si="2"/>
        <v>33 - GC1 X-11</v>
      </c>
      <c r="J433" s="20" t="str">
        <f>VLOOKUP(I433,'Database Grup SCC'!$B$2:$C1382,2,false)</f>
        <v>Nia</v>
      </c>
      <c r="K433" s="49" t="s">
        <v>6549</v>
      </c>
      <c r="L433" s="49"/>
      <c r="M433" s="50"/>
      <c r="N433" s="33" t="s">
        <v>6550</v>
      </c>
      <c r="O433" s="34"/>
      <c r="P433" s="34"/>
      <c r="Q433" s="24" t="str">
        <f t="shared" si="3"/>
        <v>https://docs.google.com/forms/d/e/1FAIpQLSeZ-R1GrWlAPkfaThGqxeTj0QTtrARw4rroxIIepf2kipn1nw/formResponse?usp=pp_url&amp;entry.1313582257=0096963702&amp;entry.1578404635=Hadir</v>
      </c>
      <c r="R433" s="23" t="s">
        <v>6564</v>
      </c>
      <c r="S433" s="39"/>
      <c r="T433" s="39"/>
      <c r="U433" s="39"/>
      <c r="V433" s="39"/>
    </row>
    <row r="434" ht="22.5" customHeight="1">
      <c r="A434" s="10">
        <v>506.0</v>
      </c>
      <c r="B434" s="36">
        <v>6.0</v>
      </c>
      <c r="C434" s="36" t="s">
        <v>6565</v>
      </c>
      <c r="D434" s="47">
        <v>2.52610085E8</v>
      </c>
      <c r="E434" s="36" t="s">
        <v>6566</v>
      </c>
      <c r="F434" s="36" t="s">
        <v>227</v>
      </c>
      <c r="G434" s="12">
        <v>33.0</v>
      </c>
      <c r="H434" s="48" t="str">
        <f t="shared" si="1"/>
        <v>X-11</v>
      </c>
      <c r="I434" s="19" t="str">
        <f t="shared" si="2"/>
        <v>33 - GC1 X-11</v>
      </c>
      <c r="J434" s="20" t="str">
        <f>VLOOKUP(I434,'Database Grup SCC'!$B$2:$C1382,2,false)</f>
        <v>Nia</v>
      </c>
      <c r="K434" s="49" t="s">
        <v>6549</v>
      </c>
      <c r="L434" s="49"/>
      <c r="M434" s="50"/>
      <c r="N434" s="33" t="s">
        <v>6550</v>
      </c>
      <c r="O434" s="34"/>
      <c r="P434" s="34"/>
      <c r="Q434" s="24" t="str">
        <f t="shared" si="3"/>
        <v>https://docs.google.com/forms/d/e/1FAIpQLSeZ-R1GrWlAPkfaThGqxeTj0QTtrARw4rroxIIepf2kipn1nw/formResponse?usp=pp_url&amp;entry.1313582257=0091952413&amp;entry.1578404635=Hadir</v>
      </c>
      <c r="R434" s="23" t="s">
        <v>6567</v>
      </c>
      <c r="S434" s="39"/>
      <c r="T434" s="39"/>
      <c r="U434" s="39"/>
      <c r="V434" s="39"/>
    </row>
    <row r="435" ht="22.5" customHeight="1">
      <c r="A435" s="18">
        <v>507.0</v>
      </c>
      <c r="B435" s="36">
        <v>7.0</v>
      </c>
      <c r="C435" s="36" t="s">
        <v>6568</v>
      </c>
      <c r="D435" s="47">
        <v>2.52610098E8</v>
      </c>
      <c r="E435" s="36" t="s">
        <v>6569</v>
      </c>
      <c r="F435" s="36" t="s">
        <v>227</v>
      </c>
      <c r="G435" s="12">
        <v>33.0</v>
      </c>
      <c r="H435" s="48" t="str">
        <f t="shared" si="1"/>
        <v>X-11</v>
      </c>
      <c r="I435" s="19" t="str">
        <f t="shared" si="2"/>
        <v>33 - XSUMEN1 GC</v>
      </c>
      <c r="J435" s="20" t="str">
        <f>VLOOKUP(I435,'Database Grup SCC'!$B$2:$C1382,2,false)</f>
        <v>Ayun</v>
      </c>
      <c r="K435" s="49" t="s">
        <v>6549</v>
      </c>
      <c r="L435" s="49"/>
      <c r="M435" s="50"/>
      <c r="N435" s="33" t="s">
        <v>5277</v>
      </c>
      <c r="O435" s="34"/>
      <c r="P435" s="34"/>
      <c r="Q435" s="24" t="str">
        <f t="shared" si="3"/>
        <v>https://docs.google.com/forms/d/e/1FAIpQLSeZ-R1GrWlAPkfaThGqxeTj0QTtrARw4rroxIIepf2kipn1nw/formResponse?usp=pp_url&amp;entry.1313582257=0099678017&amp;entry.1578404635=Hadir</v>
      </c>
      <c r="R435" s="23" t="s">
        <v>6570</v>
      </c>
      <c r="S435" s="39"/>
      <c r="T435" s="39"/>
      <c r="U435" s="39"/>
      <c r="V435" s="39"/>
    </row>
    <row r="436" ht="22.5" customHeight="1">
      <c r="A436" s="10">
        <v>508.0</v>
      </c>
      <c r="B436" s="36">
        <v>8.0</v>
      </c>
      <c r="C436" s="36" t="s">
        <v>6571</v>
      </c>
      <c r="D436" s="47">
        <v>2.52610105E8</v>
      </c>
      <c r="E436" s="36" t="s">
        <v>6572</v>
      </c>
      <c r="F436" s="36" t="s">
        <v>220</v>
      </c>
      <c r="G436" s="12">
        <v>33.0</v>
      </c>
      <c r="H436" s="48" t="str">
        <f t="shared" si="1"/>
        <v>X-11</v>
      </c>
      <c r="I436" s="19" t="str">
        <f t="shared" si="2"/>
        <v>33 - BC X-11</v>
      </c>
      <c r="J436" s="20" t="str">
        <f>VLOOKUP(I436,'Database Grup SCC'!$B$2:$C1382,2,false)</f>
        <v>Khadafi (XII)</v>
      </c>
      <c r="K436" s="49" t="s">
        <v>6549</v>
      </c>
      <c r="L436" s="49"/>
      <c r="M436" s="50"/>
      <c r="N436" s="33" t="s">
        <v>6557</v>
      </c>
      <c r="O436" s="34"/>
      <c r="P436" s="34"/>
      <c r="Q436" s="24" t="str">
        <f t="shared" si="3"/>
        <v>https://docs.google.com/forms/d/e/1FAIpQLSeZ-R1GrWlAPkfaThGqxeTj0QTtrARw4rroxIIepf2kipn1nw/formResponse?usp=pp_url&amp;entry.1313582257=0104439014&amp;entry.1578404635=Hadir</v>
      </c>
      <c r="R436" s="23" t="s">
        <v>6573</v>
      </c>
      <c r="S436" s="39"/>
      <c r="T436" s="39"/>
      <c r="U436" s="39"/>
      <c r="V436" s="39"/>
    </row>
    <row r="437" ht="22.5" customHeight="1">
      <c r="A437" s="18">
        <v>509.0</v>
      </c>
      <c r="B437" s="36">
        <v>9.0</v>
      </c>
      <c r="C437" s="36" t="s">
        <v>6574</v>
      </c>
      <c r="D437" s="47">
        <v>2.5261011E8</v>
      </c>
      <c r="E437" s="36" t="s">
        <v>6575</v>
      </c>
      <c r="F437" s="36" t="s">
        <v>220</v>
      </c>
      <c r="G437" s="12">
        <v>33.0</v>
      </c>
      <c r="H437" s="48" t="str">
        <f t="shared" si="1"/>
        <v>X-11</v>
      </c>
      <c r="I437" s="19" t="str">
        <f t="shared" si="2"/>
        <v>33 - BC X-11</v>
      </c>
      <c r="J437" s="20" t="str">
        <f>VLOOKUP(I437,'Database Grup SCC'!$B$2:$C1382,2,false)</f>
        <v>Khadafi (XII)</v>
      </c>
      <c r="K437" s="49" t="s">
        <v>6549</v>
      </c>
      <c r="L437" s="49"/>
      <c r="M437" s="50"/>
      <c r="N437" s="33" t="s">
        <v>6557</v>
      </c>
      <c r="O437" s="34"/>
      <c r="P437" s="34"/>
      <c r="Q437" s="24" t="str">
        <f t="shared" si="3"/>
        <v>https://docs.google.com/forms/d/e/1FAIpQLSeZ-R1GrWlAPkfaThGqxeTj0QTtrARw4rroxIIepf2kipn1nw/formResponse?usp=pp_url&amp;entry.1313582257=0097138954&amp;entry.1578404635=Hadir</v>
      </c>
      <c r="R437" s="23" t="s">
        <v>6576</v>
      </c>
      <c r="S437" s="39"/>
      <c r="T437" s="39"/>
      <c r="U437" s="39"/>
      <c r="V437" s="39"/>
    </row>
    <row r="438" ht="22.5" customHeight="1">
      <c r="A438" s="10">
        <v>510.0</v>
      </c>
      <c r="B438" s="36">
        <v>10.0</v>
      </c>
      <c r="C438" s="36" t="s">
        <v>6577</v>
      </c>
      <c r="D438" s="47">
        <v>2.52610111E8</v>
      </c>
      <c r="E438" s="36" t="s">
        <v>6578</v>
      </c>
      <c r="F438" s="18" t="s">
        <v>227</v>
      </c>
      <c r="G438" s="12">
        <v>33.0</v>
      </c>
      <c r="H438" s="48" t="str">
        <f t="shared" si="1"/>
        <v>X-11</v>
      </c>
      <c r="I438" s="19" t="str">
        <f t="shared" si="2"/>
        <v>33 - GC1 X-11</v>
      </c>
      <c r="J438" s="20" t="str">
        <f>VLOOKUP(I438,'Database Grup SCC'!$B$2:$C1382,2,false)</f>
        <v>Nia</v>
      </c>
      <c r="K438" s="49" t="s">
        <v>6549</v>
      </c>
      <c r="L438" s="49"/>
      <c r="M438" s="50"/>
      <c r="N438" s="33" t="s">
        <v>6550</v>
      </c>
      <c r="O438" s="34"/>
      <c r="P438" s="34"/>
      <c r="Q438" s="24" t="str">
        <f t="shared" si="3"/>
        <v>https://docs.google.com/forms/d/e/1FAIpQLSeZ-R1GrWlAPkfaThGqxeTj0QTtrARw4rroxIIepf2kipn1nw/formResponse?usp=pp_url&amp;entry.1313582257=0101964014&amp;entry.1578404635=Hadir</v>
      </c>
      <c r="R438" s="23" t="s">
        <v>6579</v>
      </c>
      <c r="S438" s="39"/>
      <c r="T438" s="39"/>
      <c r="U438" s="39"/>
      <c r="V438" s="39"/>
    </row>
    <row r="439" ht="22.5" customHeight="1">
      <c r="A439" s="18">
        <v>511.0</v>
      </c>
      <c r="B439" s="36">
        <v>11.0</v>
      </c>
      <c r="C439" s="36" t="s">
        <v>6580</v>
      </c>
      <c r="D439" s="47">
        <v>2.52610112E8</v>
      </c>
      <c r="E439" s="36" t="s">
        <v>6581</v>
      </c>
      <c r="F439" s="36" t="s">
        <v>227</v>
      </c>
      <c r="G439" s="12">
        <v>33.0</v>
      </c>
      <c r="H439" s="48" t="str">
        <f t="shared" si="1"/>
        <v>X-11</v>
      </c>
      <c r="I439" s="19" t="str">
        <f t="shared" si="2"/>
        <v>33 - GC1 X-11</v>
      </c>
      <c r="J439" s="20" t="str">
        <f>VLOOKUP(I439,'Database Grup SCC'!$B$2:$C1382,2,false)</f>
        <v>Nia</v>
      </c>
      <c r="K439" s="49" t="s">
        <v>6549</v>
      </c>
      <c r="L439" s="49"/>
      <c r="M439" s="50"/>
      <c r="N439" s="33" t="s">
        <v>6550</v>
      </c>
      <c r="O439" s="34"/>
      <c r="P439" s="34"/>
      <c r="Q439" s="24" t="str">
        <f t="shared" si="3"/>
        <v>https://docs.google.com/forms/d/e/1FAIpQLSeZ-R1GrWlAPkfaThGqxeTj0QTtrARw4rroxIIepf2kipn1nw/formResponse?usp=pp_url&amp;entry.1313582257=3105650741&amp;entry.1578404635=Hadir</v>
      </c>
      <c r="R439" s="23" t="s">
        <v>6582</v>
      </c>
      <c r="S439" s="39"/>
      <c r="T439" s="39"/>
      <c r="U439" s="39"/>
      <c r="V439" s="39"/>
    </row>
    <row r="440" ht="22.5" customHeight="1">
      <c r="A440" s="10">
        <v>512.0</v>
      </c>
      <c r="B440" s="36">
        <v>12.0</v>
      </c>
      <c r="C440" s="36" t="s">
        <v>6583</v>
      </c>
      <c r="D440" s="47">
        <v>2.52610114E8</v>
      </c>
      <c r="E440" s="36" t="s">
        <v>6584</v>
      </c>
      <c r="F440" s="36" t="s">
        <v>227</v>
      </c>
      <c r="G440" s="12">
        <v>33.0</v>
      </c>
      <c r="H440" s="48" t="str">
        <f t="shared" si="1"/>
        <v>X-11</v>
      </c>
      <c r="I440" s="19" t="str">
        <f t="shared" si="2"/>
        <v>33 - GC1 X-11</v>
      </c>
      <c r="J440" s="20" t="str">
        <f>VLOOKUP(I440,'Database Grup SCC'!$B$2:$C1382,2,false)</f>
        <v>Nia</v>
      </c>
      <c r="K440" s="49" t="s">
        <v>6549</v>
      </c>
      <c r="L440" s="49"/>
      <c r="M440" s="50"/>
      <c r="N440" s="33" t="s">
        <v>6550</v>
      </c>
      <c r="O440" s="34"/>
      <c r="P440" s="34"/>
      <c r="Q440" s="24" t="str">
        <f t="shared" si="3"/>
        <v>https://docs.google.com/forms/d/e/1FAIpQLSeZ-R1GrWlAPkfaThGqxeTj0QTtrARw4rroxIIepf2kipn1nw/formResponse?usp=pp_url&amp;entry.1313582257=0091891047&amp;entry.1578404635=Hadir</v>
      </c>
      <c r="R440" s="23" t="s">
        <v>6585</v>
      </c>
      <c r="S440" s="39"/>
      <c r="T440" s="39"/>
      <c r="U440" s="39"/>
      <c r="V440" s="39"/>
    </row>
    <row r="441" ht="22.5" customHeight="1">
      <c r="A441" s="18">
        <v>513.0</v>
      </c>
      <c r="B441" s="36">
        <v>13.0</v>
      </c>
      <c r="C441" s="36" t="s">
        <v>6586</v>
      </c>
      <c r="D441" s="47">
        <v>2.52610116E8</v>
      </c>
      <c r="E441" s="36" t="s">
        <v>6587</v>
      </c>
      <c r="F441" s="36" t="s">
        <v>227</v>
      </c>
      <c r="G441" s="12">
        <v>33.0</v>
      </c>
      <c r="H441" s="48" t="str">
        <f t="shared" si="1"/>
        <v>X-11</v>
      </c>
      <c r="I441" s="19" t="str">
        <f t="shared" si="2"/>
        <v>33 - GC1 X-11</v>
      </c>
      <c r="J441" s="20" t="str">
        <f>VLOOKUP(I441,'Database Grup SCC'!$B$2:$C1382,2,false)</f>
        <v>Nia</v>
      </c>
      <c r="K441" s="49" t="s">
        <v>6549</v>
      </c>
      <c r="L441" s="49"/>
      <c r="M441" s="50"/>
      <c r="N441" s="33" t="s">
        <v>6550</v>
      </c>
      <c r="O441" s="34"/>
      <c r="P441" s="34"/>
      <c r="Q441" s="24" t="str">
        <f t="shared" si="3"/>
        <v>https://docs.google.com/forms/d/e/1FAIpQLSeZ-R1GrWlAPkfaThGqxeTj0QTtrARw4rroxIIepf2kipn1nw/formResponse?usp=pp_url&amp;entry.1313582257=0103193565&amp;entry.1578404635=Hadir</v>
      </c>
      <c r="R441" s="23" t="s">
        <v>6588</v>
      </c>
      <c r="S441" s="39"/>
      <c r="T441" s="39"/>
      <c r="U441" s="39"/>
      <c r="V441" s="39"/>
    </row>
    <row r="442" ht="22.5" customHeight="1">
      <c r="A442" s="10">
        <v>514.0</v>
      </c>
      <c r="B442" s="36">
        <v>14.0</v>
      </c>
      <c r="C442" s="36" t="s">
        <v>6589</v>
      </c>
      <c r="D442" s="47">
        <v>2.52610131E8</v>
      </c>
      <c r="E442" s="36" t="s">
        <v>6590</v>
      </c>
      <c r="F442" s="36" t="s">
        <v>227</v>
      </c>
      <c r="G442" s="12">
        <v>33.0</v>
      </c>
      <c r="H442" s="48" t="str">
        <f t="shared" si="1"/>
        <v>X-11</v>
      </c>
      <c r="I442" s="19" t="str">
        <f t="shared" si="2"/>
        <v>33 - GC1 X-11</v>
      </c>
      <c r="J442" s="20" t="str">
        <f>VLOOKUP(I442,'Database Grup SCC'!$B$2:$C1382,2,false)</f>
        <v>Nia</v>
      </c>
      <c r="K442" s="49" t="s">
        <v>6549</v>
      </c>
      <c r="L442" s="49"/>
      <c r="M442" s="50"/>
      <c r="N442" s="33" t="s">
        <v>6550</v>
      </c>
      <c r="O442" s="34"/>
      <c r="P442" s="34"/>
      <c r="Q442" s="24" t="str">
        <f t="shared" si="3"/>
        <v>https://docs.google.com/forms/d/e/1FAIpQLSeZ-R1GrWlAPkfaThGqxeTj0QTtrARw4rroxIIepf2kipn1nw/formResponse?usp=pp_url&amp;entry.1313582257=0096506746&amp;entry.1578404635=Hadir</v>
      </c>
      <c r="R442" s="23" t="s">
        <v>6591</v>
      </c>
      <c r="S442" s="39"/>
      <c r="T442" s="39"/>
      <c r="U442" s="39"/>
      <c r="V442" s="39"/>
    </row>
    <row r="443" ht="22.5" customHeight="1">
      <c r="A443" s="18">
        <v>515.0</v>
      </c>
      <c r="B443" s="36">
        <v>16.0</v>
      </c>
      <c r="C443" s="36" t="s">
        <v>6592</v>
      </c>
      <c r="D443" s="47">
        <v>2.52610184E8</v>
      </c>
      <c r="E443" s="36" t="s">
        <v>6593</v>
      </c>
      <c r="F443" s="36" t="s">
        <v>220</v>
      </c>
      <c r="G443" s="12">
        <v>33.0</v>
      </c>
      <c r="H443" s="48" t="str">
        <f t="shared" si="1"/>
        <v>X-11</v>
      </c>
      <c r="I443" s="19" t="str">
        <f t="shared" si="2"/>
        <v>33 - BC X-11</v>
      </c>
      <c r="J443" s="20" t="str">
        <f>VLOOKUP(I443,'Database Grup SCC'!$B$2:$C1382,2,false)</f>
        <v>Khadafi (XII)</v>
      </c>
      <c r="K443" s="49" t="s">
        <v>6549</v>
      </c>
      <c r="L443" s="49"/>
      <c r="M443" s="50"/>
      <c r="N443" s="33" t="s">
        <v>6557</v>
      </c>
      <c r="O443" s="34"/>
      <c r="P443" s="34"/>
      <c r="Q443" s="24" t="str">
        <f t="shared" si="3"/>
        <v>https://docs.google.com/forms/d/e/1FAIpQLSeZ-R1GrWlAPkfaThGqxeTj0QTtrARw4rroxIIepf2kipn1nw/formResponse?usp=pp_url&amp;entry.1313582257=0095529275&amp;entry.1578404635=Hadir</v>
      </c>
      <c r="R443" s="23" t="s">
        <v>6594</v>
      </c>
      <c r="S443" s="39"/>
      <c r="T443" s="39"/>
      <c r="U443" s="39"/>
      <c r="V443" s="39"/>
    </row>
    <row r="444" ht="22.5" customHeight="1">
      <c r="A444" s="10">
        <v>516.0</v>
      </c>
      <c r="B444" s="36">
        <v>17.0</v>
      </c>
      <c r="C444" s="36" t="s">
        <v>6595</v>
      </c>
      <c r="D444" s="47">
        <v>2.52610196E8</v>
      </c>
      <c r="E444" s="36" t="s">
        <v>6596</v>
      </c>
      <c r="F444" s="18" t="s">
        <v>220</v>
      </c>
      <c r="G444" s="12">
        <v>33.0</v>
      </c>
      <c r="H444" s="48" t="str">
        <f t="shared" si="1"/>
        <v>X-11</v>
      </c>
      <c r="I444" s="19" t="str">
        <f t="shared" si="2"/>
        <v>33 - BC X-11</v>
      </c>
      <c r="J444" s="20" t="str">
        <f>VLOOKUP(I444,'Database Grup SCC'!$B$2:$C1382,2,false)</f>
        <v>Khadafi (XII)</v>
      </c>
      <c r="K444" s="49" t="s">
        <v>6549</v>
      </c>
      <c r="L444" s="49"/>
      <c r="M444" s="50"/>
      <c r="N444" s="33" t="s">
        <v>6557</v>
      </c>
      <c r="O444" s="34"/>
      <c r="P444" s="34"/>
      <c r="Q444" s="24" t="str">
        <f t="shared" si="3"/>
        <v>https://docs.google.com/forms/d/e/1FAIpQLSeZ-R1GrWlAPkfaThGqxeTj0QTtrARw4rroxIIepf2kipn1nw/formResponse?usp=pp_url&amp;entry.1313582257=0108527903&amp;entry.1578404635=Hadir</v>
      </c>
      <c r="R444" s="23" t="s">
        <v>6597</v>
      </c>
      <c r="S444" s="39"/>
      <c r="T444" s="39"/>
      <c r="U444" s="39"/>
      <c r="V444" s="39"/>
    </row>
    <row r="445" ht="22.5" customHeight="1">
      <c r="A445" s="18">
        <v>517.0</v>
      </c>
      <c r="B445" s="36">
        <v>18.0</v>
      </c>
      <c r="C445" s="36" t="s">
        <v>6598</v>
      </c>
      <c r="D445" s="47">
        <v>2.52610217E8</v>
      </c>
      <c r="E445" s="36" t="s">
        <v>6599</v>
      </c>
      <c r="F445" s="18" t="s">
        <v>220</v>
      </c>
      <c r="G445" s="12">
        <v>33.0</v>
      </c>
      <c r="H445" s="48" t="str">
        <f t="shared" si="1"/>
        <v>X-11</v>
      </c>
      <c r="I445" s="19" t="str">
        <f t="shared" si="2"/>
        <v>33 - GC1 X-11</v>
      </c>
      <c r="J445" s="20" t="str">
        <f>VLOOKUP(I445,'Database Grup SCC'!$B$2:$C1382,2,false)</f>
        <v>Nia</v>
      </c>
      <c r="K445" s="49" t="s">
        <v>6549</v>
      </c>
      <c r="L445" s="49"/>
      <c r="M445" s="50"/>
      <c r="N445" s="33" t="s">
        <v>6550</v>
      </c>
      <c r="O445" s="34"/>
      <c r="P445" s="34"/>
      <c r="Q445" s="24" t="str">
        <f t="shared" si="3"/>
        <v>https://docs.google.com/forms/d/e/1FAIpQLSeZ-R1GrWlAPkfaThGqxeTj0QTtrARw4rroxIIepf2kipn1nw/formResponse?usp=pp_url&amp;entry.1313582257=0108365392&amp;entry.1578404635=Hadir</v>
      </c>
      <c r="R445" s="23" t="s">
        <v>6600</v>
      </c>
      <c r="S445" s="39"/>
      <c r="T445" s="39"/>
      <c r="U445" s="39"/>
      <c r="V445" s="39"/>
    </row>
    <row r="446" ht="22.5" customHeight="1">
      <c r="A446" s="10">
        <v>518.0</v>
      </c>
      <c r="B446" s="36">
        <v>20.0</v>
      </c>
      <c r="C446" s="36" t="s">
        <v>6601</v>
      </c>
      <c r="D446" s="47">
        <v>2.52610241E8</v>
      </c>
      <c r="E446" s="36" t="s">
        <v>6602</v>
      </c>
      <c r="F446" s="36" t="s">
        <v>227</v>
      </c>
      <c r="G446" s="12">
        <v>33.0</v>
      </c>
      <c r="H446" s="48" t="str">
        <f t="shared" si="1"/>
        <v>X-11</v>
      </c>
      <c r="I446" s="19" t="str">
        <f t="shared" si="2"/>
        <v>33 - GC1 X-11</v>
      </c>
      <c r="J446" s="20" t="str">
        <f>VLOOKUP(I446,'Database Grup SCC'!$B$2:$C1382,2,false)</f>
        <v>Nia</v>
      </c>
      <c r="K446" s="49" t="s">
        <v>6549</v>
      </c>
      <c r="L446" s="49"/>
      <c r="M446" s="50"/>
      <c r="N446" s="33" t="s">
        <v>6550</v>
      </c>
      <c r="O446" s="34"/>
      <c r="P446" s="34"/>
      <c r="Q446" s="24" t="str">
        <f t="shared" si="3"/>
        <v>https://docs.google.com/forms/d/e/1FAIpQLSeZ-R1GrWlAPkfaThGqxeTj0QTtrARw4rroxIIepf2kipn1nw/formResponse?usp=pp_url&amp;entry.1313582257=0092709548&amp;entry.1578404635=Hadir</v>
      </c>
      <c r="R446" s="23" t="s">
        <v>6603</v>
      </c>
      <c r="S446" s="39"/>
      <c r="T446" s="39"/>
      <c r="U446" s="39"/>
      <c r="V446" s="39"/>
    </row>
    <row r="447" ht="22.5" customHeight="1">
      <c r="A447" s="18">
        <v>519.0</v>
      </c>
      <c r="B447" s="36">
        <v>21.0</v>
      </c>
      <c r="C447" s="36" t="s">
        <v>6604</v>
      </c>
      <c r="D447" s="47">
        <v>2.52610253E8</v>
      </c>
      <c r="E447" s="36" t="s">
        <v>6605</v>
      </c>
      <c r="F447" s="36" t="s">
        <v>227</v>
      </c>
      <c r="G447" s="12">
        <v>33.0</v>
      </c>
      <c r="H447" s="48" t="str">
        <f t="shared" si="1"/>
        <v>X-11</v>
      </c>
      <c r="I447" s="19" t="str">
        <f t="shared" si="2"/>
        <v>33 - GC2 X-11</v>
      </c>
      <c r="J447" s="20" t="str">
        <f>VLOOKUP(I447,'Database Grup SCC'!$B$2:$C1382,2,false)</f>
        <v>Annisa Alya (XII)</v>
      </c>
      <c r="K447" s="49" t="s">
        <v>6549</v>
      </c>
      <c r="L447" s="49"/>
      <c r="M447" s="50"/>
      <c r="N447" s="33" t="s">
        <v>6606</v>
      </c>
      <c r="O447" s="34"/>
      <c r="P447" s="34"/>
      <c r="Q447" s="24" t="str">
        <f t="shared" si="3"/>
        <v>https://docs.google.com/forms/d/e/1FAIpQLSeZ-R1GrWlAPkfaThGqxeTj0QTtrARw4rroxIIepf2kipn1nw/formResponse?usp=pp_url&amp;entry.1313582257=0118415302&amp;entry.1578404635=Hadir</v>
      </c>
      <c r="R447" s="23" t="s">
        <v>6607</v>
      </c>
      <c r="S447" s="39"/>
      <c r="T447" s="39"/>
      <c r="U447" s="39"/>
      <c r="V447" s="39"/>
    </row>
    <row r="448" ht="22.5" customHeight="1">
      <c r="A448" s="10">
        <v>520.0</v>
      </c>
      <c r="B448" s="36">
        <v>22.0</v>
      </c>
      <c r="C448" s="36" t="s">
        <v>6608</v>
      </c>
      <c r="D448" s="47">
        <v>2.52610289E8</v>
      </c>
      <c r="E448" s="36" t="s">
        <v>6609</v>
      </c>
      <c r="F448" s="36" t="s">
        <v>220</v>
      </c>
      <c r="G448" s="12">
        <v>33.0</v>
      </c>
      <c r="H448" s="48" t="str">
        <f t="shared" si="1"/>
        <v>X-11</v>
      </c>
      <c r="I448" s="19" t="str">
        <f t="shared" si="2"/>
        <v>33 - BC X-11</v>
      </c>
      <c r="J448" s="20" t="str">
        <f>VLOOKUP(I448,'Database Grup SCC'!$B$2:$C1382,2,false)</f>
        <v>Khadafi (XII)</v>
      </c>
      <c r="K448" s="49" t="s">
        <v>6549</v>
      </c>
      <c r="L448" s="49"/>
      <c r="M448" s="50"/>
      <c r="N448" s="33" t="s">
        <v>6557</v>
      </c>
      <c r="O448" s="34"/>
      <c r="P448" s="34"/>
      <c r="Q448" s="24" t="str">
        <f t="shared" si="3"/>
        <v>https://docs.google.com/forms/d/e/1FAIpQLSeZ-R1GrWlAPkfaThGqxeTj0QTtrARw4rroxIIepf2kipn1nw/formResponse?usp=pp_url&amp;entry.1313582257=0097372379&amp;entry.1578404635=Hadir</v>
      </c>
      <c r="R448" s="23" t="s">
        <v>6610</v>
      </c>
      <c r="S448" s="39"/>
      <c r="T448" s="39"/>
      <c r="U448" s="39"/>
      <c r="V448" s="39"/>
    </row>
    <row r="449" ht="22.5" customHeight="1">
      <c r="A449" s="18">
        <v>521.0</v>
      </c>
      <c r="B449" s="36">
        <v>23.0</v>
      </c>
      <c r="C449" s="36" t="s">
        <v>6611</v>
      </c>
      <c r="D449" s="47">
        <v>2.52610292E8</v>
      </c>
      <c r="E449" s="36" t="s">
        <v>6612</v>
      </c>
      <c r="F449" s="36" t="s">
        <v>227</v>
      </c>
      <c r="G449" s="12">
        <v>33.0</v>
      </c>
      <c r="H449" s="48" t="str">
        <f t="shared" si="1"/>
        <v>X-11</v>
      </c>
      <c r="I449" s="19" t="str">
        <f t="shared" si="2"/>
        <v>33 - GC2 X-11</v>
      </c>
      <c r="J449" s="20" t="str">
        <f>VLOOKUP(I449,'Database Grup SCC'!$B$2:$C1382,2,false)</f>
        <v>Annisa Alya (XII)</v>
      </c>
      <c r="K449" s="49" t="s">
        <v>6549</v>
      </c>
      <c r="L449" s="49"/>
      <c r="M449" s="50"/>
      <c r="N449" s="33" t="s">
        <v>6606</v>
      </c>
      <c r="O449" s="34"/>
      <c r="P449" s="34"/>
      <c r="Q449" s="24" t="str">
        <f t="shared" si="3"/>
        <v>https://docs.google.com/forms/d/e/1FAIpQLSeZ-R1GrWlAPkfaThGqxeTj0QTtrARw4rroxIIepf2kipn1nw/formResponse?usp=pp_url&amp;entry.1313582257=0093335479&amp;entry.1578404635=Hadir</v>
      </c>
      <c r="R449" s="23" t="s">
        <v>6613</v>
      </c>
      <c r="S449" s="39"/>
      <c r="T449" s="39"/>
      <c r="U449" s="39"/>
      <c r="V449" s="39"/>
    </row>
    <row r="450" ht="22.5" customHeight="1">
      <c r="A450" s="10">
        <v>522.0</v>
      </c>
      <c r="B450" s="36">
        <v>24.0</v>
      </c>
      <c r="C450" s="36" t="s">
        <v>6614</v>
      </c>
      <c r="D450" s="47">
        <v>2.52610295E8</v>
      </c>
      <c r="E450" s="36" t="s">
        <v>6615</v>
      </c>
      <c r="F450" s="36" t="s">
        <v>227</v>
      </c>
      <c r="G450" s="12">
        <v>33.0</v>
      </c>
      <c r="H450" s="48" t="str">
        <f t="shared" si="1"/>
        <v>X-11</v>
      </c>
      <c r="I450" s="19" t="str">
        <f t="shared" si="2"/>
        <v>33 - GC2 X-11</v>
      </c>
      <c r="J450" s="20" t="str">
        <f>VLOOKUP(I450,'Database Grup SCC'!$B$2:$C1382,2,false)</f>
        <v>Annisa Alya (XII)</v>
      </c>
      <c r="K450" s="49" t="s">
        <v>6549</v>
      </c>
      <c r="L450" s="49"/>
      <c r="M450" s="50"/>
      <c r="N450" s="33" t="s">
        <v>6606</v>
      </c>
      <c r="O450" s="34"/>
      <c r="P450" s="34"/>
      <c r="Q450" s="24" t="str">
        <f t="shared" si="3"/>
        <v>https://docs.google.com/forms/d/e/1FAIpQLSeZ-R1GrWlAPkfaThGqxeTj0QTtrARw4rroxIIepf2kipn1nw/formResponse?usp=pp_url&amp;entry.1313582257=0106465537&amp;entry.1578404635=Hadir</v>
      </c>
      <c r="R450" s="23" t="s">
        <v>6616</v>
      </c>
      <c r="S450" s="39"/>
      <c r="T450" s="39"/>
      <c r="U450" s="39"/>
      <c r="V450" s="39"/>
    </row>
    <row r="451" ht="22.5" customHeight="1">
      <c r="A451" s="18">
        <v>523.0</v>
      </c>
      <c r="B451" s="36">
        <v>25.0</v>
      </c>
      <c r="C451" s="36" t="s">
        <v>6617</v>
      </c>
      <c r="D451" s="47">
        <v>2.5261031E8</v>
      </c>
      <c r="E451" s="36" t="s">
        <v>6618</v>
      </c>
      <c r="F451" s="36" t="s">
        <v>220</v>
      </c>
      <c r="G451" s="12">
        <v>33.0</v>
      </c>
      <c r="H451" s="48" t="str">
        <f t="shared" si="1"/>
        <v>X-11</v>
      </c>
      <c r="I451" s="19" t="str">
        <f t="shared" si="2"/>
        <v>33 - BC X-11</v>
      </c>
      <c r="J451" s="20" t="str">
        <f>VLOOKUP(I451,'Database Grup SCC'!$B$2:$C1382,2,false)</f>
        <v>Khadafi (XII)</v>
      </c>
      <c r="K451" s="49" t="s">
        <v>6549</v>
      </c>
      <c r="L451" s="49"/>
      <c r="M451" s="50"/>
      <c r="N451" s="33" t="s">
        <v>6557</v>
      </c>
      <c r="O451" s="34"/>
      <c r="P451" s="34"/>
      <c r="Q451" s="24" t="str">
        <f t="shared" si="3"/>
        <v>https://docs.google.com/forms/d/e/1FAIpQLSeZ-R1GrWlAPkfaThGqxeTj0QTtrARw4rroxIIepf2kipn1nw/formResponse?usp=pp_url&amp;entry.1313582257=0103732986&amp;entry.1578404635=Hadir</v>
      </c>
      <c r="R451" s="23" t="s">
        <v>6619</v>
      </c>
      <c r="S451" s="39"/>
      <c r="T451" s="39"/>
      <c r="U451" s="39"/>
      <c r="V451" s="39"/>
    </row>
    <row r="452" ht="22.5" customHeight="1">
      <c r="A452" s="10">
        <v>524.0</v>
      </c>
      <c r="B452" s="36">
        <v>26.0</v>
      </c>
      <c r="C452" s="36" t="s">
        <v>6620</v>
      </c>
      <c r="D452" s="47">
        <v>2.52610315E8</v>
      </c>
      <c r="E452" s="36" t="s">
        <v>6621</v>
      </c>
      <c r="F452" s="36" t="s">
        <v>220</v>
      </c>
      <c r="G452" s="12">
        <v>33.0</v>
      </c>
      <c r="H452" s="48" t="str">
        <f t="shared" si="1"/>
        <v>X-11</v>
      </c>
      <c r="I452" s="19" t="str">
        <f t="shared" si="2"/>
        <v>33 - BC X-11</v>
      </c>
      <c r="J452" s="20" t="str">
        <f>VLOOKUP(I452,'Database Grup SCC'!$B$2:$C1382,2,false)</f>
        <v>Khadafi (XII)</v>
      </c>
      <c r="K452" s="49" t="s">
        <v>6549</v>
      </c>
      <c r="L452" s="49"/>
      <c r="M452" s="50"/>
      <c r="N452" s="33" t="s">
        <v>6557</v>
      </c>
      <c r="O452" s="34"/>
      <c r="P452" s="34"/>
      <c r="Q452" s="24" t="str">
        <f t="shared" si="3"/>
        <v>https://docs.google.com/forms/d/e/1FAIpQLSeZ-R1GrWlAPkfaThGqxeTj0QTtrARw4rroxIIepf2kipn1nw/formResponse?usp=pp_url&amp;entry.1313582257=0105348604&amp;entry.1578404635=Hadir</v>
      </c>
      <c r="R452" s="23" t="s">
        <v>6622</v>
      </c>
      <c r="S452" s="39"/>
      <c r="T452" s="39"/>
      <c r="U452" s="39"/>
      <c r="V452" s="39"/>
    </row>
    <row r="453" ht="22.5" customHeight="1">
      <c r="A453" s="18">
        <v>525.0</v>
      </c>
      <c r="B453" s="36">
        <v>27.0</v>
      </c>
      <c r="C453" s="36" t="s">
        <v>6623</v>
      </c>
      <c r="D453" s="47">
        <v>2.52610328E8</v>
      </c>
      <c r="E453" s="36" t="s">
        <v>6624</v>
      </c>
      <c r="F453" s="36" t="s">
        <v>220</v>
      </c>
      <c r="G453" s="12">
        <v>33.0</v>
      </c>
      <c r="H453" s="48" t="str">
        <f t="shared" si="1"/>
        <v>X-11</v>
      </c>
      <c r="I453" s="19" t="str">
        <f t="shared" si="2"/>
        <v>33 - BC X-11</v>
      </c>
      <c r="J453" s="20" t="str">
        <f>VLOOKUP(I453,'Database Grup SCC'!$B$2:$C1382,2,false)</f>
        <v>Khadafi (XII)</v>
      </c>
      <c r="K453" s="49" t="s">
        <v>6549</v>
      </c>
      <c r="L453" s="49"/>
      <c r="M453" s="50"/>
      <c r="N453" s="33" t="s">
        <v>6557</v>
      </c>
      <c r="O453" s="34"/>
      <c r="P453" s="34"/>
      <c r="Q453" s="24" t="str">
        <f t="shared" si="3"/>
        <v>https://docs.google.com/forms/d/e/1FAIpQLSeZ-R1GrWlAPkfaThGqxeTj0QTtrARw4rroxIIepf2kipn1nw/formResponse?usp=pp_url&amp;entry.1313582257=0108812130&amp;entry.1578404635=Hadir</v>
      </c>
      <c r="R453" s="23" t="s">
        <v>6625</v>
      </c>
      <c r="S453" s="39"/>
      <c r="T453" s="39"/>
      <c r="U453" s="39"/>
      <c r="V453" s="39"/>
    </row>
    <row r="454" ht="22.5" customHeight="1">
      <c r="A454" s="10">
        <v>526.0</v>
      </c>
      <c r="B454" s="36">
        <v>28.0</v>
      </c>
      <c r="C454" s="36" t="s">
        <v>6626</v>
      </c>
      <c r="D454" s="47">
        <v>2.52610346E8</v>
      </c>
      <c r="E454" s="36" t="s">
        <v>6627</v>
      </c>
      <c r="F454" s="36" t="s">
        <v>220</v>
      </c>
      <c r="G454" s="12">
        <v>33.0</v>
      </c>
      <c r="H454" s="48" t="str">
        <f t="shared" si="1"/>
        <v>X-11</v>
      </c>
      <c r="I454" s="19" t="str">
        <f t="shared" si="2"/>
        <v>33 - BC X-11</v>
      </c>
      <c r="J454" s="20" t="str">
        <f>VLOOKUP(I454,'Database Grup SCC'!$B$2:$C1382,2,false)</f>
        <v>Khadafi (XII)</v>
      </c>
      <c r="K454" s="49" t="s">
        <v>6549</v>
      </c>
      <c r="L454" s="49"/>
      <c r="M454" s="50"/>
      <c r="N454" s="33" t="s">
        <v>6557</v>
      </c>
      <c r="O454" s="34"/>
      <c r="P454" s="34"/>
      <c r="Q454" s="24" t="str">
        <f t="shared" si="3"/>
        <v>https://docs.google.com/forms/d/e/1FAIpQLSeZ-R1GrWlAPkfaThGqxeTj0QTtrARw4rroxIIepf2kipn1nw/formResponse?usp=pp_url&amp;entry.1313582257=0094912922&amp;entry.1578404635=Hadir</v>
      </c>
      <c r="R454" s="23" t="s">
        <v>6628</v>
      </c>
      <c r="S454" s="39"/>
      <c r="T454" s="39"/>
      <c r="U454" s="39"/>
      <c r="V454" s="39"/>
    </row>
    <row r="455" ht="22.5" customHeight="1">
      <c r="A455" s="18">
        <v>527.0</v>
      </c>
      <c r="B455" s="36">
        <v>29.0</v>
      </c>
      <c r="C455" s="36" t="s">
        <v>6629</v>
      </c>
      <c r="D455" s="47">
        <v>2.52610348E8</v>
      </c>
      <c r="E455" s="36" t="s">
        <v>6630</v>
      </c>
      <c r="F455" s="36" t="s">
        <v>220</v>
      </c>
      <c r="G455" s="12">
        <v>33.0</v>
      </c>
      <c r="H455" s="48" t="str">
        <f t="shared" si="1"/>
        <v>X-11</v>
      </c>
      <c r="I455" s="19" t="str">
        <f t="shared" si="2"/>
        <v>33 - BC X-11</v>
      </c>
      <c r="J455" s="20" t="str">
        <f>VLOOKUP(I455,'Database Grup SCC'!$B$2:$C1382,2,false)</f>
        <v>Khadafi (XII)</v>
      </c>
      <c r="K455" s="49" t="s">
        <v>6549</v>
      </c>
      <c r="L455" s="49"/>
      <c r="M455" s="50"/>
      <c r="N455" s="33" t="s">
        <v>6557</v>
      </c>
      <c r="O455" s="34"/>
      <c r="P455" s="34"/>
      <c r="Q455" s="24" t="str">
        <f t="shared" si="3"/>
        <v>https://docs.google.com/forms/d/e/1FAIpQLSeZ-R1GrWlAPkfaThGqxeTj0QTtrARw4rroxIIepf2kipn1nw/formResponse?usp=pp_url&amp;entry.1313582257=0101578446&amp;entry.1578404635=Hadir</v>
      </c>
      <c r="R455" s="23" t="s">
        <v>6631</v>
      </c>
      <c r="S455" s="39"/>
      <c r="T455" s="39"/>
      <c r="U455" s="39"/>
      <c r="V455" s="39"/>
    </row>
    <row r="456" ht="22.5" customHeight="1">
      <c r="A456" s="10">
        <v>528.0</v>
      </c>
      <c r="B456" s="36">
        <v>30.0</v>
      </c>
      <c r="C456" s="36" t="s">
        <v>6632</v>
      </c>
      <c r="D456" s="47">
        <v>2.52610356E8</v>
      </c>
      <c r="E456" s="36" t="s">
        <v>6633</v>
      </c>
      <c r="F456" s="36" t="s">
        <v>220</v>
      </c>
      <c r="G456" s="12">
        <v>33.0</v>
      </c>
      <c r="H456" s="48" t="str">
        <f t="shared" si="1"/>
        <v>X-11</v>
      </c>
      <c r="I456" s="19" t="str">
        <f t="shared" si="2"/>
        <v>33 - BC X-11</v>
      </c>
      <c r="J456" s="20" t="str">
        <f>VLOOKUP(I456,'Database Grup SCC'!$B$2:$C1382,2,false)</f>
        <v>Khadafi (XII)</v>
      </c>
      <c r="K456" s="49" t="s">
        <v>6549</v>
      </c>
      <c r="L456" s="49"/>
      <c r="M456" s="50"/>
      <c r="N456" s="33" t="s">
        <v>6557</v>
      </c>
      <c r="O456" s="34"/>
      <c r="P456" s="34"/>
      <c r="Q456" s="24" t="str">
        <f t="shared" si="3"/>
        <v>https://docs.google.com/forms/d/e/1FAIpQLSeZ-R1GrWlAPkfaThGqxeTj0QTtrARw4rroxIIepf2kipn1nw/formResponse?usp=pp_url&amp;entry.1313582257=0092179308&amp;entry.1578404635=Hadir</v>
      </c>
      <c r="R456" s="23" t="s">
        <v>6634</v>
      </c>
      <c r="S456" s="39"/>
      <c r="T456" s="39"/>
      <c r="U456" s="39"/>
      <c r="V456" s="39"/>
    </row>
    <row r="457" ht="22.5" customHeight="1">
      <c r="A457" s="18">
        <v>529.0</v>
      </c>
      <c r="B457" s="36">
        <v>31.0</v>
      </c>
      <c r="C457" s="36" t="s">
        <v>6635</v>
      </c>
      <c r="D457" s="47">
        <v>2.52610367E8</v>
      </c>
      <c r="E457" s="36" t="s">
        <v>6636</v>
      </c>
      <c r="F457" s="36" t="s">
        <v>220</v>
      </c>
      <c r="G457" s="12">
        <v>33.0</v>
      </c>
      <c r="H457" s="48" t="str">
        <f t="shared" si="1"/>
        <v>X-11</v>
      </c>
      <c r="I457" s="19" t="str">
        <f t="shared" si="2"/>
        <v>33 - BC X-11</v>
      </c>
      <c r="J457" s="20" t="str">
        <f>VLOOKUP(I457,'Database Grup SCC'!$B$2:$C1382,2,false)</f>
        <v>Khadafi (XII)</v>
      </c>
      <c r="K457" s="49" t="s">
        <v>6549</v>
      </c>
      <c r="L457" s="49"/>
      <c r="M457" s="50"/>
      <c r="N457" s="33" t="s">
        <v>6557</v>
      </c>
      <c r="O457" s="34"/>
      <c r="P457" s="34"/>
      <c r="Q457" s="24" t="str">
        <f t="shared" si="3"/>
        <v>https://docs.google.com/forms/d/e/1FAIpQLSeZ-R1GrWlAPkfaThGqxeTj0QTtrARw4rroxIIepf2kipn1nw/formResponse?usp=pp_url&amp;entry.1313582257=0098186648&amp;entry.1578404635=Hadir</v>
      </c>
      <c r="R457" s="23" t="s">
        <v>6637</v>
      </c>
      <c r="S457" s="39"/>
      <c r="T457" s="39"/>
      <c r="U457" s="39"/>
      <c r="V457" s="39"/>
    </row>
    <row r="458" ht="22.5" customHeight="1">
      <c r="A458" s="10">
        <v>530.0</v>
      </c>
      <c r="B458" s="36">
        <v>32.0</v>
      </c>
      <c r="C458" s="36" t="s">
        <v>6638</v>
      </c>
      <c r="D458" s="47">
        <v>2.5261038E8</v>
      </c>
      <c r="E458" s="36" t="s">
        <v>6639</v>
      </c>
      <c r="F458" s="36" t="s">
        <v>220</v>
      </c>
      <c r="G458" s="12">
        <v>33.0</v>
      </c>
      <c r="H458" s="48" t="str">
        <f t="shared" si="1"/>
        <v>X-11</v>
      </c>
      <c r="I458" s="19" t="str">
        <f t="shared" si="2"/>
        <v>33 - BC X-11</v>
      </c>
      <c r="J458" s="20" t="str">
        <f>VLOOKUP(I458,'Database Grup SCC'!$B$2:$C1382,2,false)</f>
        <v>Khadafi (XII)</v>
      </c>
      <c r="K458" s="49" t="s">
        <v>6549</v>
      </c>
      <c r="L458" s="49"/>
      <c r="M458" s="50"/>
      <c r="N458" s="33" t="s">
        <v>6557</v>
      </c>
      <c r="O458" s="34"/>
      <c r="P458" s="34"/>
      <c r="Q458" s="24" t="str">
        <f t="shared" si="3"/>
        <v>https://docs.google.com/forms/d/e/1FAIpQLSeZ-R1GrWlAPkfaThGqxeTj0QTtrARw4rroxIIepf2kipn1nw/formResponse?usp=pp_url&amp;entry.1313582257=0092349928&amp;entry.1578404635=Hadir</v>
      </c>
      <c r="R458" s="23" t="s">
        <v>6640</v>
      </c>
      <c r="S458" s="39"/>
      <c r="T458" s="39"/>
      <c r="U458" s="39"/>
      <c r="V458" s="39"/>
    </row>
    <row r="459" ht="22.5" customHeight="1">
      <c r="A459" s="18">
        <v>531.0</v>
      </c>
      <c r="B459" s="36">
        <v>33.0</v>
      </c>
      <c r="C459" s="36" t="s">
        <v>6641</v>
      </c>
      <c r="D459" s="47">
        <v>2.52610385E8</v>
      </c>
      <c r="E459" s="36" t="s">
        <v>6642</v>
      </c>
      <c r="F459" s="36" t="s">
        <v>227</v>
      </c>
      <c r="G459" s="12">
        <v>33.0</v>
      </c>
      <c r="H459" s="48" t="str">
        <f t="shared" si="1"/>
        <v>X-11</v>
      </c>
      <c r="I459" s="19" t="str">
        <f t="shared" si="2"/>
        <v>33 - GC2 X-11</v>
      </c>
      <c r="J459" s="20" t="str">
        <f>VLOOKUP(I459,'Database Grup SCC'!$B$2:$C1382,2,false)</f>
        <v>Annisa Alya (XII)</v>
      </c>
      <c r="K459" s="49" t="s">
        <v>6549</v>
      </c>
      <c r="L459" s="49"/>
      <c r="M459" s="50"/>
      <c r="N459" s="33" t="s">
        <v>6606</v>
      </c>
      <c r="O459" s="34"/>
      <c r="P459" s="34"/>
      <c r="Q459" s="24" t="str">
        <f t="shared" si="3"/>
        <v>https://docs.google.com/forms/d/e/1FAIpQLSeZ-R1GrWlAPkfaThGqxeTj0QTtrARw4rroxIIepf2kipn1nw/formResponse?usp=pp_url&amp;entry.1313582257=0096753454&amp;entry.1578404635=Hadir</v>
      </c>
      <c r="R459" s="23" t="s">
        <v>6643</v>
      </c>
      <c r="S459" s="39"/>
      <c r="T459" s="39"/>
      <c r="U459" s="39"/>
      <c r="V459" s="39"/>
    </row>
    <row r="460" ht="22.5" customHeight="1">
      <c r="A460" s="10">
        <v>532.0</v>
      </c>
      <c r="B460" s="36">
        <v>34.0</v>
      </c>
      <c r="C460" s="36" t="s">
        <v>6644</v>
      </c>
      <c r="D460" s="47">
        <v>2.52610388E8</v>
      </c>
      <c r="E460" s="36" t="s">
        <v>6645</v>
      </c>
      <c r="F460" s="36" t="s">
        <v>227</v>
      </c>
      <c r="G460" s="12">
        <v>33.0</v>
      </c>
      <c r="H460" s="48" t="str">
        <f t="shared" si="1"/>
        <v>X-11</v>
      </c>
      <c r="I460" s="19" t="str">
        <f t="shared" si="2"/>
        <v>33 - XSUMEN2 GC</v>
      </c>
      <c r="J460" s="20" t="str">
        <f>VLOOKUP(I460,'Database Grup SCC'!$B$2:$C1382,2,false)</f>
        <v>Iqlima</v>
      </c>
      <c r="K460" s="49" t="s">
        <v>6549</v>
      </c>
      <c r="L460" s="49"/>
      <c r="M460" s="50"/>
      <c r="N460" s="33" t="s">
        <v>5377</v>
      </c>
      <c r="O460" s="34"/>
      <c r="P460" s="34"/>
      <c r="Q460" s="24" t="str">
        <f t="shared" si="3"/>
        <v>https://docs.google.com/forms/d/e/1FAIpQLSeZ-R1GrWlAPkfaThGqxeTj0QTtrARw4rroxIIepf2kipn1nw/formResponse?usp=pp_url&amp;entry.1313582257=0102000943&amp;entry.1578404635=Hadir</v>
      </c>
      <c r="R460" s="23" t="s">
        <v>6646</v>
      </c>
      <c r="S460" s="39"/>
      <c r="T460" s="39"/>
      <c r="U460" s="39"/>
      <c r="V460" s="39"/>
    </row>
    <row r="461" ht="22.5" customHeight="1">
      <c r="A461" s="18">
        <v>533.0</v>
      </c>
      <c r="B461" s="36">
        <v>35.0</v>
      </c>
      <c r="C461" s="36" t="s">
        <v>6647</v>
      </c>
      <c r="D461" s="47">
        <v>2.52610417E8</v>
      </c>
      <c r="E461" s="36" t="s">
        <v>6648</v>
      </c>
      <c r="F461" s="36" t="s">
        <v>227</v>
      </c>
      <c r="G461" s="12">
        <v>33.0</v>
      </c>
      <c r="H461" s="48" t="str">
        <f t="shared" si="1"/>
        <v>X-11</v>
      </c>
      <c r="I461" s="19" t="str">
        <f t="shared" si="2"/>
        <v>33 - XSUMEN2 GC</v>
      </c>
      <c r="J461" s="20" t="str">
        <f>VLOOKUP(I461,'Database Grup SCC'!$B$2:$C1382,2,false)</f>
        <v>Iqlima</v>
      </c>
      <c r="K461" s="49" t="s">
        <v>6549</v>
      </c>
      <c r="L461" s="49"/>
      <c r="M461" s="50"/>
      <c r="N461" s="33" t="s">
        <v>5377</v>
      </c>
      <c r="O461" s="34"/>
      <c r="P461" s="34"/>
      <c r="Q461" s="24" t="str">
        <f t="shared" si="3"/>
        <v>https://docs.google.com/forms/d/e/1FAIpQLSeZ-R1GrWlAPkfaThGqxeTj0QTtrARw4rroxIIepf2kipn1nw/formResponse?usp=pp_url&amp;entry.1313582257=0105612000&amp;entry.1578404635=Hadir</v>
      </c>
      <c r="R461" s="23" t="s">
        <v>6649</v>
      </c>
      <c r="S461" s="39"/>
      <c r="T461" s="39"/>
      <c r="U461" s="39"/>
      <c r="V461" s="39"/>
    </row>
    <row r="462" ht="22.5" customHeight="1">
      <c r="A462" s="10">
        <v>534.0</v>
      </c>
      <c r="B462" s="36">
        <v>36.0</v>
      </c>
      <c r="C462" s="36" t="s">
        <v>6650</v>
      </c>
      <c r="D462" s="47">
        <v>2.52610458E8</v>
      </c>
      <c r="E462" s="36" t="s">
        <v>6651</v>
      </c>
      <c r="F462" s="36" t="s">
        <v>220</v>
      </c>
      <c r="G462" s="12">
        <v>33.0</v>
      </c>
      <c r="H462" s="48" t="str">
        <f t="shared" si="1"/>
        <v>X-11</v>
      </c>
      <c r="I462" s="19" t="str">
        <f t="shared" si="2"/>
        <v>33 - BC X-11</v>
      </c>
      <c r="J462" s="20" t="str">
        <f>VLOOKUP(I462,'Database Grup SCC'!$B$2:$C1382,2,false)</f>
        <v>Khadafi (XII)</v>
      </c>
      <c r="K462" s="49" t="s">
        <v>6549</v>
      </c>
      <c r="L462" s="49"/>
      <c r="M462" s="50"/>
      <c r="N462" s="33" t="s">
        <v>6557</v>
      </c>
      <c r="O462" s="34"/>
      <c r="P462" s="34"/>
      <c r="Q462" s="24" t="str">
        <f t="shared" si="3"/>
        <v>https://docs.google.com/forms/d/e/1FAIpQLSeZ-R1GrWlAPkfaThGqxeTj0QTtrARw4rroxIIepf2kipn1nw/formResponse?usp=pp_url&amp;entry.1313582257=0109258787&amp;entry.1578404635=Hadir</v>
      </c>
      <c r="R462" s="23" t="s">
        <v>6652</v>
      </c>
      <c r="S462" s="39"/>
      <c r="T462" s="39"/>
      <c r="U462" s="39"/>
      <c r="V462" s="39"/>
    </row>
    <row r="463" ht="22.5" customHeight="1">
      <c r="A463" s="18">
        <v>535.0</v>
      </c>
      <c r="B463" s="36">
        <v>37.0</v>
      </c>
      <c r="C463" s="36" t="s">
        <v>6653</v>
      </c>
      <c r="D463" s="47">
        <v>2.52610482E8</v>
      </c>
      <c r="E463" s="36" t="s">
        <v>6654</v>
      </c>
      <c r="F463" s="36" t="s">
        <v>220</v>
      </c>
      <c r="G463" s="12">
        <v>33.0</v>
      </c>
      <c r="H463" s="48" t="str">
        <f t="shared" si="1"/>
        <v>X-11</v>
      </c>
      <c r="I463" s="19" t="str">
        <f t="shared" si="2"/>
        <v>33 - BC X-11</v>
      </c>
      <c r="J463" s="20" t="str">
        <f>VLOOKUP(I463,'Database Grup SCC'!$B$2:$C1382,2,false)</f>
        <v>Khadafi (XII)</v>
      </c>
      <c r="K463" s="49" t="s">
        <v>6549</v>
      </c>
      <c r="L463" s="49"/>
      <c r="M463" s="50"/>
      <c r="N463" s="33" t="s">
        <v>6557</v>
      </c>
      <c r="O463" s="34"/>
      <c r="P463" s="34"/>
      <c r="Q463" s="24" t="str">
        <f t="shared" si="3"/>
        <v>https://docs.google.com/forms/d/e/1FAIpQLSeZ-R1GrWlAPkfaThGqxeTj0QTtrARw4rroxIIepf2kipn1nw/formResponse?usp=pp_url&amp;entry.1313582257=0093712588&amp;entry.1578404635=Hadir</v>
      </c>
      <c r="R463" s="23" t="s">
        <v>6655</v>
      </c>
      <c r="S463" s="39"/>
      <c r="T463" s="39"/>
      <c r="U463" s="39"/>
      <c r="V463" s="39"/>
    </row>
    <row r="464" ht="22.5" customHeight="1">
      <c r="A464" s="10">
        <v>536.0</v>
      </c>
      <c r="B464" s="36">
        <v>38.0</v>
      </c>
      <c r="C464" s="36" t="s">
        <v>6656</v>
      </c>
      <c r="D464" s="47">
        <v>2.52610499E8</v>
      </c>
      <c r="E464" s="36" t="s">
        <v>6657</v>
      </c>
      <c r="F464" s="36" t="s">
        <v>227</v>
      </c>
      <c r="G464" s="12">
        <v>33.0</v>
      </c>
      <c r="H464" s="48" t="str">
        <f t="shared" si="1"/>
        <v>X-11</v>
      </c>
      <c r="I464" s="19" t="str">
        <f t="shared" si="2"/>
        <v>33 - GC2 X-11</v>
      </c>
      <c r="J464" s="20" t="str">
        <f>VLOOKUP(I464,'Database Grup SCC'!$B$2:$C1382,2,false)</f>
        <v>Annisa Alya (XII)</v>
      </c>
      <c r="K464" s="49" t="s">
        <v>6549</v>
      </c>
      <c r="L464" s="49"/>
      <c r="M464" s="50"/>
      <c r="N464" s="33" t="s">
        <v>6606</v>
      </c>
      <c r="O464" s="34"/>
      <c r="P464" s="34"/>
      <c r="Q464" s="24" t="str">
        <f t="shared" si="3"/>
        <v>https://docs.google.com/forms/d/e/1FAIpQLSeZ-R1GrWlAPkfaThGqxeTj0QTtrARw4rroxIIepf2kipn1nw/formResponse?usp=pp_url&amp;entry.1313582257=0102414768&amp;entry.1578404635=Hadir</v>
      </c>
      <c r="R464" s="23" t="s">
        <v>6658</v>
      </c>
      <c r="S464" s="39"/>
      <c r="T464" s="39"/>
      <c r="U464" s="39"/>
      <c r="V464" s="39"/>
    </row>
    <row r="465" ht="22.5" customHeight="1">
      <c r="A465" s="18">
        <v>537.0</v>
      </c>
      <c r="B465" s="36">
        <v>39.0</v>
      </c>
      <c r="C465" s="36" t="s">
        <v>6659</v>
      </c>
      <c r="D465" s="47">
        <v>2.52610503E8</v>
      </c>
      <c r="E465" s="36" t="s">
        <v>6660</v>
      </c>
      <c r="F465" s="36" t="s">
        <v>227</v>
      </c>
      <c r="G465" s="12">
        <v>33.0</v>
      </c>
      <c r="H465" s="48" t="str">
        <f t="shared" si="1"/>
        <v>X-11</v>
      </c>
      <c r="I465" s="19" t="str">
        <f t="shared" si="2"/>
        <v>33 - GC2 X-11</v>
      </c>
      <c r="J465" s="20" t="str">
        <f>VLOOKUP(I465,'Database Grup SCC'!$B$2:$C1382,2,false)</f>
        <v>Annisa Alya (XII)</v>
      </c>
      <c r="K465" s="49" t="s">
        <v>6549</v>
      </c>
      <c r="L465" s="49"/>
      <c r="M465" s="50"/>
      <c r="N465" s="33" t="s">
        <v>6606</v>
      </c>
      <c r="O465" s="34"/>
      <c r="P465" s="34"/>
      <c r="Q465" s="24" t="str">
        <f t="shared" si="3"/>
        <v>https://docs.google.com/forms/d/e/1FAIpQLSeZ-R1GrWlAPkfaThGqxeTj0QTtrARw4rroxIIepf2kipn1nw/formResponse?usp=pp_url&amp;entry.1313582257=0106760506&amp;entry.1578404635=Hadir</v>
      </c>
      <c r="R465" s="23" t="s">
        <v>6661</v>
      </c>
      <c r="S465" s="39"/>
      <c r="T465" s="39"/>
      <c r="U465" s="39"/>
      <c r="V465" s="39"/>
    </row>
    <row r="466" ht="22.5" customHeight="1">
      <c r="A466" s="10">
        <v>538.0</v>
      </c>
      <c r="B466" s="36">
        <v>40.0</v>
      </c>
      <c r="C466" s="36" t="s">
        <v>6662</v>
      </c>
      <c r="D466" s="47">
        <v>2.52610506E8</v>
      </c>
      <c r="E466" s="36" t="s">
        <v>6663</v>
      </c>
      <c r="F466" s="36" t="s">
        <v>227</v>
      </c>
      <c r="G466" s="12">
        <v>33.0</v>
      </c>
      <c r="H466" s="48" t="str">
        <f t="shared" si="1"/>
        <v>X-11</v>
      </c>
      <c r="I466" s="19" t="str">
        <f t="shared" si="2"/>
        <v>33 - GC2 X-11</v>
      </c>
      <c r="J466" s="20" t="str">
        <f>VLOOKUP(I466,'Database Grup SCC'!$B$2:$C1382,2,false)</f>
        <v>Annisa Alya (XII)</v>
      </c>
      <c r="K466" s="49" t="s">
        <v>6549</v>
      </c>
      <c r="L466" s="49"/>
      <c r="M466" s="50"/>
      <c r="N466" s="33" t="s">
        <v>6606</v>
      </c>
      <c r="O466" s="34"/>
      <c r="P466" s="34"/>
      <c r="Q466" s="24" t="str">
        <f t="shared" si="3"/>
        <v>https://docs.google.com/forms/d/e/1FAIpQLSeZ-R1GrWlAPkfaThGqxeTj0QTtrARw4rroxIIepf2kipn1nw/formResponse?usp=pp_url&amp;entry.1313582257=0095542022&amp;entry.1578404635=Hadir</v>
      </c>
      <c r="R466" s="23" t="s">
        <v>6664</v>
      </c>
      <c r="S466" s="39"/>
      <c r="T466" s="39"/>
      <c r="U466" s="39"/>
      <c r="V466" s="39"/>
    </row>
    <row r="467" ht="22.5" customHeight="1">
      <c r="A467" s="18">
        <v>539.0</v>
      </c>
      <c r="B467" s="36">
        <v>41.0</v>
      </c>
      <c r="C467" s="36" t="s">
        <v>6665</v>
      </c>
      <c r="D467" s="47">
        <v>2.52610518E8</v>
      </c>
      <c r="E467" s="36" t="s">
        <v>6666</v>
      </c>
      <c r="F467" s="36" t="s">
        <v>227</v>
      </c>
      <c r="G467" s="12">
        <v>33.0</v>
      </c>
      <c r="H467" s="48" t="str">
        <f t="shared" si="1"/>
        <v>X-11</v>
      </c>
      <c r="I467" s="19" t="str">
        <f t="shared" si="2"/>
        <v>33 - GC2 X-11</v>
      </c>
      <c r="J467" s="20" t="str">
        <f>VLOOKUP(I467,'Database Grup SCC'!$B$2:$C1382,2,false)</f>
        <v>Annisa Alya (XII)</v>
      </c>
      <c r="K467" s="49" t="s">
        <v>6549</v>
      </c>
      <c r="L467" s="49"/>
      <c r="M467" s="50"/>
      <c r="N467" s="33" t="s">
        <v>6606</v>
      </c>
      <c r="O467" s="34"/>
      <c r="P467" s="34"/>
      <c r="Q467" s="24" t="str">
        <f t="shared" si="3"/>
        <v>https://docs.google.com/forms/d/e/1FAIpQLSeZ-R1GrWlAPkfaThGqxeTj0QTtrARw4rroxIIepf2kipn1nw/formResponse?usp=pp_url&amp;entry.1313582257=0091610224&amp;entry.1578404635=Hadir</v>
      </c>
      <c r="R467" s="23" t="s">
        <v>6667</v>
      </c>
      <c r="S467" s="39"/>
      <c r="T467" s="39"/>
      <c r="U467" s="39"/>
      <c r="V467" s="39"/>
    </row>
    <row r="468" ht="22.5" customHeight="1">
      <c r="A468" s="10">
        <v>540.0</v>
      </c>
      <c r="B468" s="36">
        <v>42.0</v>
      </c>
      <c r="C468" s="36" t="s">
        <v>6668</v>
      </c>
      <c r="D468" s="47">
        <v>2.52610524E8</v>
      </c>
      <c r="E468" s="36" t="s">
        <v>6669</v>
      </c>
      <c r="F468" s="36" t="s">
        <v>227</v>
      </c>
      <c r="G468" s="12">
        <v>33.0</v>
      </c>
      <c r="H468" s="48" t="str">
        <f t="shared" si="1"/>
        <v>X-11</v>
      </c>
      <c r="I468" s="19" t="str">
        <f t="shared" si="2"/>
        <v>33 - GC2 X-11</v>
      </c>
      <c r="J468" s="20" t="str">
        <f>VLOOKUP(I468,'Database Grup SCC'!$B$2:$C1382,2,false)</f>
        <v>Annisa Alya (XII)</v>
      </c>
      <c r="K468" s="49" t="s">
        <v>6549</v>
      </c>
      <c r="L468" s="49"/>
      <c r="M468" s="50"/>
      <c r="N468" s="33" t="s">
        <v>6606</v>
      </c>
      <c r="O468" s="34"/>
      <c r="P468" s="34"/>
      <c r="Q468" s="24" t="str">
        <f t="shared" si="3"/>
        <v>https://docs.google.com/forms/d/e/1FAIpQLSeZ-R1GrWlAPkfaThGqxeTj0QTtrARw4rroxIIepf2kipn1nw/formResponse?usp=pp_url&amp;entry.1313582257=0105010681&amp;entry.1578404635=Hadir</v>
      </c>
      <c r="R468" s="23" t="s">
        <v>6670</v>
      </c>
      <c r="S468" s="39"/>
      <c r="T468" s="39"/>
      <c r="U468" s="39"/>
      <c r="V468" s="39"/>
    </row>
    <row r="469" ht="22.5" customHeight="1">
      <c r="A469" s="18">
        <v>541.0</v>
      </c>
      <c r="B469" s="36">
        <v>43.0</v>
      </c>
      <c r="C469" s="36" t="s">
        <v>6671</v>
      </c>
      <c r="D469" s="47">
        <v>2.52610545E8</v>
      </c>
      <c r="E469" s="36" t="s">
        <v>6672</v>
      </c>
      <c r="F469" s="36" t="s">
        <v>227</v>
      </c>
      <c r="G469" s="12">
        <v>33.0</v>
      </c>
      <c r="H469" s="48" t="str">
        <f t="shared" si="1"/>
        <v>X-11</v>
      </c>
      <c r="I469" s="19" t="str">
        <f t="shared" si="2"/>
        <v>33 - XSUMEN2 GC</v>
      </c>
      <c r="J469" s="20" t="str">
        <f>VLOOKUP(I469,'Database Grup SCC'!$B$2:$C1382,2,false)</f>
        <v>Iqlima</v>
      </c>
      <c r="K469" s="49" t="s">
        <v>6549</v>
      </c>
      <c r="L469" s="49"/>
      <c r="M469" s="50"/>
      <c r="N469" s="33" t="s">
        <v>5377</v>
      </c>
      <c r="O469" s="34"/>
      <c r="P469" s="34"/>
      <c r="Q469" s="24" t="str">
        <f t="shared" si="3"/>
        <v>https://docs.google.com/forms/d/e/1FAIpQLSeZ-R1GrWlAPkfaThGqxeTj0QTtrARw4rroxIIepf2kipn1nw/formResponse?usp=pp_url&amp;entry.1313582257=0105717177&amp;entry.1578404635=Hadir</v>
      </c>
      <c r="R469" s="23" t="s">
        <v>6673</v>
      </c>
      <c r="S469" s="39"/>
      <c r="T469" s="39"/>
      <c r="U469" s="39"/>
      <c r="V469" s="39"/>
    </row>
    <row r="470" ht="22.5" customHeight="1">
      <c r="A470" s="10">
        <v>542.0</v>
      </c>
      <c r="B470" s="36">
        <v>44.0</v>
      </c>
      <c r="C470" s="36" t="s">
        <v>6674</v>
      </c>
      <c r="D470" s="47">
        <v>2.52610551E8</v>
      </c>
      <c r="E470" s="36" t="s">
        <v>6675</v>
      </c>
      <c r="F470" s="36" t="s">
        <v>227</v>
      </c>
      <c r="G470" s="12">
        <v>33.0</v>
      </c>
      <c r="H470" s="48" t="str">
        <f t="shared" si="1"/>
        <v>X-11</v>
      </c>
      <c r="I470" s="19" t="str">
        <f t="shared" si="2"/>
        <v>33 - GC2 X-11</v>
      </c>
      <c r="J470" s="20" t="str">
        <f>VLOOKUP(I470,'Database Grup SCC'!$B$2:$C1382,2,false)</f>
        <v>Annisa Alya (XII)</v>
      </c>
      <c r="K470" s="49" t="s">
        <v>6549</v>
      </c>
      <c r="L470" s="49"/>
      <c r="M470" s="50"/>
      <c r="N470" s="33" t="s">
        <v>6606</v>
      </c>
      <c r="O470" s="34"/>
      <c r="P470" s="34"/>
      <c r="Q470" s="24" t="str">
        <f t="shared" si="3"/>
        <v>https://docs.google.com/forms/d/e/1FAIpQLSeZ-R1GrWlAPkfaThGqxeTj0QTtrARw4rroxIIepf2kipn1nw/formResponse?usp=pp_url&amp;entry.1313582257=0107258754&amp;entry.1578404635=Hadir</v>
      </c>
      <c r="R470" s="23" t="s">
        <v>6676</v>
      </c>
      <c r="S470" s="39"/>
      <c r="T470" s="39"/>
      <c r="U470" s="39"/>
      <c r="V470" s="39"/>
    </row>
    <row r="471" ht="22.5" customHeight="1">
      <c r="A471" s="18">
        <v>543.0</v>
      </c>
      <c r="B471" s="36">
        <v>47.0</v>
      </c>
      <c r="C471" s="36" t="s">
        <v>6677</v>
      </c>
      <c r="D471" s="47">
        <v>2.52610561E8</v>
      </c>
      <c r="E471" s="36" t="s">
        <v>6678</v>
      </c>
      <c r="F471" s="36" t="s">
        <v>220</v>
      </c>
      <c r="G471" s="12">
        <v>33.0</v>
      </c>
      <c r="H471" s="48" t="str">
        <f t="shared" si="1"/>
        <v>X-11</v>
      </c>
      <c r="I471" s="19" t="str">
        <f t="shared" si="2"/>
        <v>33 - BC X-11</v>
      </c>
      <c r="J471" s="20" t="str">
        <f>VLOOKUP(I471,'Database Grup SCC'!$B$2:$C1382,2,false)</f>
        <v>Khadafi (XII)</v>
      </c>
      <c r="K471" s="49" t="s">
        <v>6549</v>
      </c>
      <c r="L471" s="49"/>
      <c r="M471" s="50"/>
      <c r="N471" s="33" t="s">
        <v>6557</v>
      </c>
      <c r="O471" s="34"/>
      <c r="P471" s="34"/>
      <c r="Q471" s="24" t="str">
        <f t="shared" si="3"/>
        <v>https://docs.google.com/forms/d/e/1FAIpQLSeZ-R1GrWlAPkfaThGqxeTj0QTtrARw4rroxIIepf2kipn1nw/formResponse?usp=pp_url&amp;entry.1313582257=0093632849&amp;entry.1578404635=Hadir</v>
      </c>
      <c r="R471" s="23" t="s">
        <v>6679</v>
      </c>
      <c r="S471" s="39"/>
      <c r="T471" s="39"/>
      <c r="U471" s="39"/>
      <c r="V471" s="39"/>
    </row>
    <row r="472" ht="22.5" customHeight="1">
      <c r="A472" s="10">
        <v>544.0</v>
      </c>
      <c r="B472" s="36">
        <v>48.0</v>
      </c>
      <c r="C472" s="36" t="s">
        <v>6680</v>
      </c>
      <c r="D472" s="47">
        <v>2.52610565E8</v>
      </c>
      <c r="E472" s="36" t="s">
        <v>6681</v>
      </c>
      <c r="F472" s="36" t="s">
        <v>227</v>
      </c>
      <c r="G472" s="12">
        <v>33.0</v>
      </c>
      <c r="H472" s="48" t="str">
        <f t="shared" si="1"/>
        <v>X-11</v>
      </c>
      <c r="I472" s="19" t="str">
        <f t="shared" si="2"/>
        <v>33 - GC2 X-11</v>
      </c>
      <c r="J472" s="20" t="str">
        <f>VLOOKUP(I472,'Database Grup SCC'!$B$2:$C1382,2,false)</f>
        <v>Annisa Alya (XII)</v>
      </c>
      <c r="K472" s="49" t="s">
        <v>6549</v>
      </c>
      <c r="L472" s="49"/>
      <c r="M472" s="50"/>
      <c r="N472" s="33" t="s">
        <v>6606</v>
      </c>
      <c r="O472" s="34"/>
      <c r="P472" s="34"/>
      <c r="Q472" s="24" t="str">
        <f t="shared" si="3"/>
        <v>https://docs.google.com/forms/d/e/1FAIpQLSeZ-R1GrWlAPkfaThGqxeTj0QTtrARw4rroxIIepf2kipn1nw/formResponse?usp=pp_url&amp;entry.1313582257=0105748224&amp;entry.1578404635=Hadir</v>
      </c>
      <c r="R472" s="23" t="s">
        <v>6682</v>
      </c>
      <c r="S472" s="39"/>
      <c r="T472" s="39"/>
      <c r="U472" s="39"/>
      <c r="V472" s="39"/>
    </row>
    <row r="473" ht="22.5" customHeight="1">
      <c r="A473" s="18">
        <v>551.0</v>
      </c>
      <c r="B473" s="36">
        <v>1.0</v>
      </c>
      <c r="C473" s="36" t="s">
        <v>6683</v>
      </c>
      <c r="D473" s="47">
        <v>2.52610015E8</v>
      </c>
      <c r="E473" s="36" t="s">
        <v>6684</v>
      </c>
      <c r="F473" s="36" t="s">
        <v>220</v>
      </c>
      <c r="G473" s="12">
        <v>33.0</v>
      </c>
      <c r="H473" s="48" t="str">
        <f t="shared" si="1"/>
        <v>X-12</v>
      </c>
      <c r="I473" s="19" t="str">
        <f t="shared" si="2"/>
        <v>33 - BC X-12</v>
      </c>
      <c r="J473" s="20" t="str">
        <f>VLOOKUP(I473,'Database Grup SCC'!$B$2:$C1382,2,false)</f>
        <v>Almeer (XII)</v>
      </c>
      <c r="K473" s="49" t="s">
        <v>6685</v>
      </c>
      <c r="L473" s="49"/>
      <c r="M473" s="50"/>
      <c r="N473" s="33" t="s">
        <v>6686</v>
      </c>
      <c r="O473" s="34"/>
      <c r="P473" s="34"/>
      <c r="Q473" s="24" t="str">
        <f t="shared" si="3"/>
        <v>https://docs.google.com/forms/d/e/1FAIpQLSeZ-R1GrWlAPkfaThGqxeTj0QTtrARw4rroxIIepf2kipn1nw/formResponse?usp=pp_url&amp;entry.1313582257=0097950619&amp;entry.1578404635=Hadir</v>
      </c>
      <c r="R473" s="23" t="s">
        <v>6687</v>
      </c>
      <c r="S473" s="39"/>
      <c r="T473" s="39"/>
      <c r="U473" s="39"/>
      <c r="V473" s="39"/>
    </row>
    <row r="474" ht="22.5" customHeight="1">
      <c r="A474" s="10">
        <v>552.0</v>
      </c>
      <c r="B474" s="36">
        <v>2.0</v>
      </c>
      <c r="C474" s="36" t="s">
        <v>6688</v>
      </c>
      <c r="D474" s="47">
        <v>2.52610021E8</v>
      </c>
      <c r="E474" s="36" t="s">
        <v>6689</v>
      </c>
      <c r="F474" s="36" t="s">
        <v>227</v>
      </c>
      <c r="G474" s="12">
        <v>33.0</v>
      </c>
      <c r="H474" s="48" t="str">
        <f t="shared" si="1"/>
        <v>X-12</v>
      </c>
      <c r="I474" s="19" t="str">
        <f t="shared" si="2"/>
        <v>33 - GC1 X-12</v>
      </c>
      <c r="J474" s="20" t="str">
        <f>VLOOKUP(I474,'Database Grup SCC'!$B$2:$C1382,2,false)</f>
        <v>Ninda (XII)</v>
      </c>
      <c r="K474" s="49" t="s">
        <v>6685</v>
      </c>
      <c r="L474" s="49"/>
      <c r="M474" s="50"/>
      <c r="N474" s="33" t="s">
        <v>6690</v>
      </c>
      <c r="O474" s="34"/>
      <c r="P474" s="34"/>
      <c r="Q474" s="24" t="str">
        <f t="shared" si="3"/>
        <v>https://docs.google.com/forms/d/e/1FAIpQLSeZ-R1GrWlAPkfaThGqxeTj0QTtrARw4rroxIIepf2kipn1nw/formResponse?usp=pp_url&amp;entry.1313582257=0105770130&amp;entry.1578404635=Hadir</v>
      </c>
      <c r="R474" s="23" t="s">
        <v>6691</v>
      </c>
      <c r="S474" s="39"/>
      <c r="T474" s="39"/>
      <c r="U474" s="39"/>
      <c r="V474" s="39"/>
    </row>
    <row r="475" ht="22.5" customHeight="1">
      <c r="A475" s="18">
        <v>553.0</v>
      </c>
      <c r="B475" s="36">
        <v>3.0</v>
      </c>
      <c r="C475" s="36" t="s">
        <v>6692</v>
      </c>
      <c r="D475" s="47">
        <v>2.52610029E8</v>
      </c>
      <c r="E475" s="36" t="s">
        <v>6693</v>
      </c>
      <c r="F475" s="36" t="s">
        <v>227</v>
      </c>
      <c r="G475" s="12">
        <v>33.0</v>
      </c>
      <c r="H475" s="48" t="str">
        <f t="shared" si="1"/>
        <v>X-12</v>
      </c>
      <c r="I475" s="19" t="str">
        <f t="shared" si="2"/>
        <v>33 - GC1 X-12</v>
      </c>
      <c r="J475" s="20" t="str">
        <f>VLOOKUP(I475,'Database Grup SCC'!$B$2:$C1382,2,false)</f>
        <v>Ninda (XII)</v>
      </c>
      <c r="K475" s="49" t="s">
        <v>6685</v>
      </c>
      <c r="L475" s="49"/>
      <c r="M475" s="50"/>
      <c r="N475" s="33" t="s">
        <v>6690</v>
      </c>
      <c r="O475" s="34"/>
      <c r="P475" s="34"/>
      <c r="Q475" s="24" t="str">
        <f t="shared" si="3"/>
        <v>https://docs.google.com/forms/d/e/1FAIpQLSeZ-R1GrWlAPkfaThGqxeTj0QTtrARw4rroxIIepf2kipn1nw/formResponse?usp=pp_url&amp;entry.1313582257=0093866965&amp;entry.1578404635=Hadir</v>
      </c>
      <c r="R475" s="23" t="s">
        <v>6694</v>
      </c>
      <c r="S475" s="39"/>
      <c r="T475" s="39"/>
      <c r="U475" s="39"/>
      <c r="V475" s="39"/>
    </row>
    <row r="476" ht="22.5" customHeight="1">
      <c r="A476" s="10">
        <v>554.0</v>
      </c>
      <c r="B476" s="36">
        <v>4.0</v>
      </c>
      <c r="C476" s="36" t="s">
        <v>6695</v>
      </c>
      <c r="D476" s="47">
        <v>2.5261003E8</v>
      </c>
      <c r="E476" s="36" t="s">
        <v>6696</v>
      </c>
      <c r="F476" s="36" t="s">
        <v>227</v>
      </c>
      <c r="G476" s="12">
        <v>33.0</v>
      </c>
      <c r="H476" s="48" t="str">
        <f t="shared" si="1"/>
        <v>X-12</v>
      </c>
      <c r="I476" s="19" t="str">
        <f t="shared" si="2"/>
        <v>33 - GC1 X-12</v>
      </c>
      <c r="J476" s="20" t="str">
        <f>VLOOKUP(I476,'Database Grup SCC'!$B$2:$C1382,2,false)</f>
        <v>Ninda (XII)</v>
      </c>
      <c r="K476" s="49" t="s">
        <v>6685</v>
      </c>
      <c r="L476" s="49"/>
      <c r="M476" s="50"/>
      <c r="N476" s="33" t="s">
        <v>6690</v>
      </c>
      <c r="O476" s="34"/>
      <c r="P476" s="34"/>
      <c r="Q476" s="24" t="str">
        <f t="shared" si="3"/>
        <v>https://docs.google.com/forms/d/e/1FAIpQLSeZ-R1GrWlAPkfaThGqxeTj0QTtrARw4rroxIIepf2kipn1nw/formResponse?usp=pp_url&amp;entry.1313582257=3097129671&amp;entry.1578404635=Hadir</v>
      </c>
      <c r="R476" s="23" t="s">
        <v>6697</v>
      </c>
      <c r="S476" s="39"/>
      <c r="T476" s="39"/>
      <c r="U476" s="39"/>
      <c r="V476" s="39"/>
    </row>
    <row r="477" ht="22.5" customHeight="1">
      <c r="A477" s="18">
        <v>555.0</v>
      </c>
      <c r="B477" s="36">
        <v>5.0</v>
      </c>
      <c r="C477" s="36" t="s">
        <v>6698</v>
      </c>
      <c r="D477" s="47">
        <v>2.52610046E8</v>
      </c>
      <c r="E477" s="36" t="s">
        <v>6699</v>
      </c>
      <c r="F477" s="36" t="s">
        <v>227</v>
      </c>
      <c r="G477" s="12">
        <v>33.0</v>
      </c>
      <c r="H477" s="48" t="str">
        <f t="shared" si="1"/>
        <v>X-12</v>
      </c>
      <c r="I477" s="19" t="str">
        <f t="shared" si="2"/>
        <v>33 - GC1 X-12</v>
      </c>
      <c r="J477" s="20" t="str">
        <f>VLOOKUP(I477,'Database Grup SCC'!$B$2:$C1382,2,false)</f>
        <v>Ninda (XII)</v>
      </c>
      <c r="K477" s="49" t="s">
        <v>6685</v>
      </c>
      <c r="L477" s="49"/>
      <c r="M477" s="50"/>
      <c r="N477" s="33" t="s">
        <v>6690</v>
      </c>
      <c r="O477" s="34"/>
      <c r="P477" s="34"/>
      <c r="Q477" s="24" t="str">
        <f t="shared" si="3"/>
        <v>https://docs.google.com/forms/d/e/1FAIpQLSeZ-R1GrWlAPkfaThGqxeTj0QTtrARw4rroxIIepf2kipn1nw/formResponse?usp=pp_url&amp;entry.1313582257=0093002808&amp;entry.1578404635=Hadir</v>
      </c>
      <c r="R477" s="23" t="s">
        <v>6700</v>
      </c>
      <c r="S477" s="39"/>
      <c r="T477" s="39"/>
      <c r="U477" s="39"/>
      <c r="V477" s="39"/>
    </row>
    <row r="478" ht="22.5" customHeight="1">
      <c r="A478" s="10">
        <v>556.0</v>
      </c>
      <c r="B478" s="36">
        <v>6.0</v>
      </c>
      <c r="C478" s="36" t="s">
        <v>6701</v>
      </c>
      <c r="D478" s="47">
        <v>2.52610068E8</v>
      </c>
      <c r="E478" s="36" t="s">
        <v>6702</v>
      </c>
      <c r="F478" s="36" t="s">
        <v>227</v>
      </c>
      <c r="G478" s="12">
        <v>33.0</v>
      </c>
      <c r="H478" s="48" t="str">
        <f t="shared" si="1"/>
        <v>X-12</v>
      </c>
      <c r="I478" s="19" t="str">
        <f t="shared" si="2"/>
        <v>33 - GC1 X-12</v>
      </c>
      <c r="J478" s="20" t="str">
        <f>VLOOKUP(I478,'Database Grup SCC'!$B$2:$C1382,2,false)</f>
        <v>Ninda (XII)</v>
      </c>
      <c r="K478" s="49" t="s">
        <v>6685</v>
      </c>
      <c r="L478" s="49"/>
      <c r="M478" s="50"/>
      <c r="N478" s="33" t="s">
        <v>6690</v>
      </c>
      <c r="O478" s="34"/>
      <c r="P478" s="34"/>
      <c r="Q478" s="24" t="str">
        <f t="shared" si="3"/>
        <v>https://docs.google.com/forms/d/e/1FAIpQLSeZ-R1GrWlAPkfaThGqxeTj0QTtrARw4rroxIIepf2kipn1nw/formResponse?usp=pp_url&amp;entry.1313582257=0107831985&amp;entry.1578404635=Hadir</v>
      </c>
      <c r="R478" s="23" t="s">
        <v>6703</v>
      </c>
      <c r="S478" s="39"/>
      <c r="T478" s="39"/>
      <c r="U478" s="39"/>
      <c r="V478" s="39"/>
    </row>
    <row r="479" ht="22.5" customHeight="1">
      <c r="A479" s="18">
        <v>557.0</v>
      </c>
      <c r="B479" s="36">
        <v>7.0</v>
      </c>
      <c r="C479" s="36" t="s">
        <v>6704</v>
      </c>
      <c r="D479" s="47">
        <v>2.5261008E8</v>
      </c>
      <c r="E479" s="36" t="s">
        <v>6705</v>
      </c>
      <c r="F479" s="36" t="s">
        <v>220</v>
      </c>
      <c r="G479" s="12">
        <v>33.0</v>
      </c>
      <c r="H479" s="48" t="str">
        <f t="shared" si="1"/>
        <v>X-12</v>
      </c>
      <c r="I479" s="19" t="str">
        <f t="shared" si="2"/>
        <v>33 - BC X-12</v>
      </c>
      <c r="J479" s="20" t="str">
        <f>VLOOKUP(I479,'Database Grup SCC'!$B$2:$C1382,2,false)</f>
        <v>Almeer (XII)</v>
      </c>
      <c r="K479" s="49" t="s">
        <v>6685</v>
      </c>
      <c r="L479" s="49"/>
      <c r="M479" s="50"/>
      <c r="N479" s="33" t="s">
        <v>6686</v>
      </c>
      <c r="O479" s="34"/>
      <c r="P479" s="34"/>
      <c r="Q479" s="24" t="str">
        <f t="shared" si="3"/>
        <v>https://docs.google.com/forms/d/e/1FAIpQLSeZ-R1GrWlAPkfaThGqxeTj0QTtrARw4rroxIIepf2kipn1nw/formResponse?usp=pp_url&amp;entry.1313582257=0101396555&amp;entry.1578404635=Hadir</v>
      </c>
      <c r="R479" s="23" t="s">
        <v>6706</v>
      </c>
      <c r="S479" s="39"/>
      <c r="T479" s="39"/>
      <c r="U479" s="39"/>
      <c r="V479" s="39"/>
    </row>
    <row r="480" ht="22.5" customHeight="1">
      <c r="A480" s="10">
        <v>558.0</v>
      </c>
      <c r="B480" s="36">
        <v>8.0</v>
      </c>
      <c r="C480" s="36" t="s">
        <v>6707</v>
      </c>
      <c r="D480" s="47">
        <v>2.52610081E8</v>
      </c>
      <c r="E480" s="36" t="s">
        <v>6708</v>
      </c>
      <c r="F480" s="36" t="s">
        <v>227</v>
      </c>
      <c r="G480" s="12">
        <v>33.0</v>
      </c>
      <c r="H480" s="48" t="str">
        <f t="shared" si="1"/>
        <v>X-12</v>
      </c>
      <c r="I480" s="19" t="str">
        <f t="shared" si="2"/>
        <v>33 - GC1 X-12</v>
      </c>
      <c r="J480" s="20" t="str">
        <f>VLOOKUP(I480,'Database Grup SCC'!$B$2:$C1382,2,false)</f>
        <v>Ninda (XII)</v>
      </c>
      <c r="K480" s="49" t="s">
        <v>6685</v>
      </c>
      <c r="L480" s="49"/>
      <c r="M480" s="50"/>
      <c r="N480" s="33" t="s">
        <v>6690</v>
      </c>
      <c r="O480" s="34"/>
      <c r="P480" s="34"/>
      <c r="Q480" s="24" t="str">
        <f t="shared" si="3"/>
        <v>https://docs.google.com/forms/d/e/1FAIpQLSeZ-R1GrWlAPkfaThGqxeTj0QTtrARw4rroxIIepf2kipn1nw/formResponse?usp=pp_url&amp;entry.1313582257=0108675973&amp;entry.1578404635=Hadir</v>
      </c>
      <c r="R480" s="23" t="s">
        <v>6709</v>
      </c>
      <c r="S480" s="39"/>
      <c r="T480" s="39"/>
      <c r="U480" s="39"/>
      <c r="V480" s="39"/>
    </row>
    <row r="481" ht="22.5" customHeight="1">
      <c r="A481" s="18">
        <v>559.0</v>
      </c>
      <c r="B481" s="36">
        <v>10.0</v>
      </c>
      <c r="C481" s="36" t="s">
        <v>6710</v>
      </c>
      <c r="D481" s="47">
        <v>2.52610106E8</v>
      </c>
      <c r="E481" s="36" t="s">
        <v>6711</v>
      </c>
      <c r="F481" s="18" t="s">
        <v>220</v>
      </c>
      <c r="G481" s="12">
        <v>33.0</v>
      </c>
      <c r="H481" s="48" t="str">
        <f t="shared" si="1"/>
        <v>X-12</v>
      </c>
      <c r="I481" s="19" t="str">
        <f t="shared" si="2"/>
        <v>33 - BC X-12</v>
      </c>
      <c r="J481" s="20" t="str">
        <f>VLOOKUP(I481,'Database Grup SCC'!$B$2:$C1382,2,false)</f>
        <v>Almeer (XII)</v>
      </c>
      <c r="K481" s="49" t="s">
        <v>6685</v>
      </c>
      <c r="L481" s="49"/>
      <c r="M481" s="50"/>
      <c r="N481" s="33" t="s">
        <v>6686</v>
      </c>
      <c r="O481" s="34"/>
      <c r="P481" s="34"/>
      <c r="Q481" s="24" t="str">
        <f t="shared" si="3"/>
        <v>https://docs.google.com/forms/d/e/1FAIpQLSeZ-R1GrWlAPkfaThGqxeTj0QTtrARw4rroxIIepf2kipn1nw/formResponse?usp=pp_url&amp;entry.1313582257=2099366441&amp;entry.1578404635=Hadir</v>
      </c>
      <c r="R481" s="23" t="s">
        <v>6712</v>
      </c>
      <c r="S481" s="39"/>
      <c r="T481" s="39"/>
      <c r="U481" s="39"/>
      <c r="V481" s="39"/>
    </row>
    <row r="482" ht="22.5" customHeight="1">
      <c r="A482" s="10">
        <v>560.0</v>
      </c>
      <c r="B482" s="36">
        <v>11.0</v>
      </c>
      <c r="C482" s="36" t="s">
        <v>6713</v>
      </c>
      <c r="D482" s="47">
        <v>2.52610107E8</v>
      </c>
      <c r="E482" s="36" t="s">
        <v>6714</v>
      </c>
      <c r="F482" s="36" t="s">
        <v>227</v>
      </c>
      <c r="G482" s="12">
        <v>33.0</v>
      </c>
      <c r="H482" s="48" t="str">
        <f t="shared" si="1"/>
        <v>X-12</v>
      </c>
      <c r="I482" s="19" t="str">
        <f t="shared" si="2"/>
        <v>33 - GC1 X-12</v>
      </c>
      <c r="J482" s="20" t="str">
        <f>VLOOKUP(I482,'Database Grup SCC'!$B$2:$C1382,2,false)</f>
        <v>Ninda (XII)</v>
      </c>
      <c r="K482" s="49" t="s">
        <v>6685</v>
      </c>
      <c r="L482" s="49"/>
      <c r="M482" s="50"/>
      <c r="N482" s="33" t="s">
        <v>6690</v>
      </c>
      <c r="O482" s="34"/>
      <c r="P482" s="34"/>
      <c r="Q482" s="24" t="str">
        <f t="shared" si="3"/>
        <v>https://docs.google.com/forms/d/e/1FAIpQLSeZ-R1GrWlAPkfaThGqxeTj0QTtrARw4rroxIIepf2kipn1nw/formResponse?usp=pp_url&amp;entry.1313582257=0109010502&amp;entry.1578404635=Hadir</v>
      </c>
      <c r="R482" s="23" t="s">
        <v>6715</v>
      </c>
      <c r="S482" s="39"/>
      <c r="T482" s="39"/>
      <c r="U482" s="39"/>
      <c r="V482" s="39"/>
    </row>
    <row r="483" ht="22.5" customHeight="1">
      <c r="A483" s="18">
        <v>561.0</v>
      </c>
      <c r="B483" s="36">
        <v>12.0</v>
      </c>
      <c r="C483" s="36" t="s">
        <v>6716</v>
      </c>
      <c r="D483" s="47">
        <v>2.52610127E8</v>
      </c>
      <c r="E483" s="36" t="s">
        <v>6717</v>
      </c>
      <c r="F483" s="36" t="s">
        <v>220</v>
      </c>
      <c r="G483" s="12">
        <v>33.0</v>
      </c>
      <c r="H483" s="48" t="str">
        <f t="shared" si="1"/>
        <v>X-12</v>
      </c>
      <c r="I483" s="19" t="str">
        <f t="shared" si="2"/>
        <v>33 - BC X-12</v>
      </c>
      <c r="J483" s="20" t="str">
        <f>VLOOKUP(I483,'Database Grup SCC'!$B$2:$C1382,2,false)</f>
        <v>Almeer (XII)</v>
      </c>
      <c r="K483" s="49" t="s">
        <v>6685</v>
      </c>
      <c r="L483" s="49"/>
      <c r="M483" s="50"/>
      <c r="N483" s="33" t="s">
        <v>6686</v>
      </c>
      <c r="O483" s="34"/>
      <c r="P483" s="34"/>
      <c r="Q483" s="24" t="str">
        <f t="shared" si="3"/>
        <v>https://docs.google.com/forms/d/e/1FAIpQLSeZ-R1GrWlAPkfaThGqxeTj0QTtrARw4rroxIIepf2kipn1nw/formResponse?usp=pp_url&amp;entry.1313582257=0109682985&amp;entry.1578404635=Hadir</v>
      </c>
      <c r="R483" s="23" t="s">
        <v>6718</v>
      </c>
      <c r="S483" s="39"/>
      <c r="T483" s="39"/>
      <c r="U483" s="39"/>
      <c r="V483" s="39"/>
    </row>
    <row r="484" ht="22.5" customHeight="1">
      <c r="A484" s="10">
        <v>562.0</v>
      </c>
      <c r="B484" s="36">
        <v>13.0</v>
      </c>
      <c r="C484" s="36" t="s">
        <v>6719</v>
      </c>
      <c r="D484" s="47">
        <v>2.52610143E8</v>
      </c>
      <c r="E484" s="36" t="s">
        <v>6720</v>
      </c>
      <c r="F484" s="36" t="s">
        <v>220</v>
      </c>
      <c r="G484" s="12">
        <v>33.0</v>
      </c>
      <c r="H484" s="48" t="str">
        <f t="shared" si="1"/>
        <v>X-12</v>
      </c>
      <c r="I484" s="19" t="str">
        <f t="shared" si="2"/>
        <v>33 - BC X-12</v>
      </c>
      <c r="J484" s="20" t="str">
        <f>VLOOKUP(I484,'Database Grup SCC'!$B$2:$C1382,2,false)</f>
        <v>Almeer (XII)</v>
      </c>
      <c r="K484" s="49" t="s">
        <v>6685</v>
      </c>
      <c r="L484" s="49"/>
      <c r="M484" s="50"/>
      <c r="N484" s="33" t="s">
        <v>6686</v>
      </c>
      <c r="O484" s="34"/>
      <c r="P484" s="34"/>
      <c r="Q484" s="24" t="str">
        <f t="shared" si="3"/>
        <v>https://docs.google.com/forms/d/e/1FAIpQLSeZ-R1GrWlAPkfaThGqxeTj0QTtrARw4rroxIIepf2kipn1nw/formResponse?usp=pp_url&amp;entry.1313582257=0092725675&amp;entry.1578404635=Hadir</v>
      </c>
      <c r="R484" s="23" t="s">
        <v>6721</v>
      </c>
      <c r="S484" s="39"/>
      <c r="T484" s="39"/>
      <c r="U484" s="39"/>
      <c r="V484" s="39"/>
    </row>
    <row r="485" ht="22.5" customHeight="1">
      <c r="A485" s="18">
        <v>563.0</v>
      </c>
      <c r="B485" s="36">
        <v>14.0</v>
      </c>
      <c r="C485" s="36" t="s">
        <v>6722</v>
      </c>
      <c r="D485" s="47">
        <v>2.52610147E8</v>
      </c>
      <c r="E485" s="36" t="s">
        <v>6723</v>
      </c>
      <c r="F485" s="36" t="s">
        <v>220</v>
      </c>
      <c r="G485" s="12">
        <v>33.0</v>
      </c>
      <c r="H485" s="48" t="str">
        <f t="shared" si="1"/>
        <v>X-12</v>
      </c>
      <c r="I485" s="19" t="str">
        <f t="shared" si="2"/>
        <v>33 - BC X-12</v>
      </c>
      <c r="J485" s="20" t="str">
        <f>VLOOKUP(I485,'Database Grup SCC'!$B$2:$C1382,2,false)</f>
        <v>Almeer (XII)</v>
      </c>
      <c r="K485" s="49" t="s">
        <v>6685</v>
      </c>
      <c r="L485" s="49"/>
      <c r="M485" s="50"/>
      <c r="N485" s="33" t="s">
        <v>6686</v>
      </c>
      <c r="O485" s="34"/>
      <c r="P485" s="34"/>
      <c r="Q485" s="24" t="str">
        <f t="shared" si="3"/>
        <v>https://docs.google.com/forms/d/e/1FAIpQLSeZ-R1GrWlAPkfaThGqxeTj0QTtrARw4rroxIIepf2kipn1nw/formResponse?usp=pp_url&amp;entry.1313582257=3106961615&amp;entry.1578404635=Hadir</v>
      </c>
      <c r="R485" s="23" t="s">
        <v>6724</v>
      </c>
      <c r="S485" s="39"/>
      <c r="T485" s="39"/>
      <c r="U485" s="39"/>
      <c r="V485" s="39"/>
    </row>
    <row r="486" ht="22.5" customHeight="1">
      <c r="A486" s="10">
        <v>564.0</v>
      </c>
      <c r="B486" s="36">
        <v>15.0</v>
      </c>
      <c r="C486" s="36" t="s">
        <v>6725</v>
      </c>
      <c r="D486" s="47">
        <v>2.52610149E8</v>
      </c>
      <c r="E486" s="36" t="s">
        <v>6726</v>
      </c>
      <c r="F486" s="36" t="s">
        <v>227</v>
      </c>
      <c r="G486" s="12">
        <v>33.0</v>
      </c>
      <c r="H486" s="48" t="str">
        <f t="shared" si="1"/>
        <v>X-12</v>
      </c>
      <c r="I486" s="19" t="str">
        <f t="shared" si="2"/>
        <v>33 - GC1 X-12</v>
      </c>
      <c r="J486" s="20" t="str">
        <f>VLOOKUP(I486,'Database Grup SCC'!$B$2:$C1382,2,false)</f>
        <v>Ninda (XII)</v>
      </c>
      <c r="K486" s="49" t="s">
        <v>6685</v>
      </c>
      <c r="L486" s="49"/>
      <c r="M486" s="50"/>
      <c r="N486" s="33" t="s">
        <v>6690</v>
      </c>
      <c r="O486" s="34"/>
      <c r="P486" s="34"/>
      <c r="Q486" s="24" t="str">
        <f t="shared" si="3"/>
        <v>https://docs.google.com/forms/d/e/1FAIpQLSeZ-R1GrWlAPkfaThGqxeTj0QTtrARw4rroxIIepf2kipn1nw/formResponse?usp=pp_url&amp;entry.1313582257=0102221985&amp;entry.1578404635=Hadir</v>
      </c>
      <c r="R486" s="23" t="s">
        <v>6727</v>
      </c>
      <c r="S486" s="39"/>
      <c r="T486" s="39"/>
      <c r="U486" s="39"/>
      <c r="V486" s="39"/>
    </row>
    <row r="487" ht="22.5" customHeight="1">
      <c r="A487" s="18">
        <v>565.0</v>
      </c>
      <c r="B487" s="36">
        <v>16.0</v>
      </c>
      <c r="C487" s="36" t="s">
        <v>6728</v>
      </c>
      <c r="D487" s="47">
        <v>2.52610152E8</v>
      </c>
      <c r="E487" s="36" t="s">
        <v>6729</v>
      </c>
      <c r="F487" s="36" t="s">
        <v>227</v>
      </c>
      <c r="G487" s="12">
        <v>33.0</v>
      </c>
      <c r="H487" s="48" t="str">
        <f t="shared" si="1"/>
        <v>X-12</v>
      </c>
      <c r="I487" s="19" t="str">
        <f t="shared" si="2"/>
        <v>33 - GC1 X-12</v>
      </c>
      <c r="J487" s="20" t="str">
        <f>VLOOKUP(I487,'Database Grup SCC'!$B$2:$C1382,2,false)</f>
        <v>Ninda (XII)</v>
      </c>
      <c r="K487" s="49" t="s">
        <v>6685</v>
      </c>
      <c r="L487" s="49"/>
      <c r="M487" s="50"/>
      <c r="N487" s="33" t="s">
        <v>6690</v>
      </c>
      <c r="O487" s="34"/>
      <c r="P487" s="34"/>
      <c r="Q487" s="24" t="str">
        <f t="shared" si="3"/>
        <v>https://docs.google.com/forms/d/e/1FAIpQLSeZ-R1GrWlAPkfaThGqxeTj0QTtrARw4rroxIIepf2kipn1nw/formResponse?usp=pp_url&amp;entry.1313582257=0096201622&amp;entry.1578404635=Hadir</v>
      </c>
      <c r="R487" s="23" t="s">
        <v>6730</v>
      </c>
      <c r="S487" s="39"/>
      <c r="T487" s="39"/>
      <c r="U487" s="39"/>
      <c r="V487" s="39"/>
    </row>
    <row r="488" ht="22.5" customHeight="1">
      <c r="A488" s="10">
        <v>566.0</v>
      </c>
      <c r="B488" s="36">
        <v>17.0</v>
      </c>
      <c r="C488" s="36" t="s">
        <v>6731</v>
      </c>
      <c r="D488" s="47">
        <v>2.52610208E8</v>
      </c>
      <c r="E488" s="36" t="s">
        <v>6732</v>
      </c>
      <c r="F488" s="36" t="s">
        <v>227</v>
      </c>
      <c r="G488" s="12">
        <v>33.0</v>
      </c>
      <c r="H488" s="48" t="str">
        <f t="shared" si="1"/>
        <v>X-12</v>
      </c>
      <c r="I488" s="19" t="str">
        <f t="shared" si="2"/>
        <v>33 - GC1 X-12</v>
      </c>
      <c r="J488" s="20" t="str">
        <f>VLOOKUP(I488,'Database Grup SCC'!$B$2:$C1382,2,false)</f>
        <v>Ninda (XII)</v>
      </c>
      <c r="K488" s="49" t="s">
        <v>6685</v>
      </c>
      <c r="L488" s="49"/>
      <c r="M488" s="50"/>
      <c r="N488" s="33" t="s">
        <v>6690</v>
      </c>
      <c r="O488" s="34"/>
      <c r="P488" s="34"/>
      <c r="Q488" s="24" t="str">
        <f t="shared" si="3"/>
        <v>https://docs.google.com/forms/d/e/1FAIpQLSeZ-R1GrWlAPkfaThGqxeTj0QTtrARw4rroxIIepf2kipn1nw/formResponse?usp=pp_url&amp;entry.1313582257=0104985283&amp;entry.1578404635=Hadir</v>
      </c>
      <c r="R488" s="23" t="s">
        <v>6733</v>
      </c>
      <c r="S488" s="39"/>
      <c r="T488" s="39"/>
      <c r="U488" s="39"/>
      <c r="V488" s="39"/>
    </row>
    <row r="489" ht="22.5" customHeight="1">
      <c r="A489" s="18">
        <v>567.0</v>
      </c>
      <c r="B489" s="36">
        <v>18.0</v>
      </c>
      <c r="C489" s="36" t="s">
        <v>6734</v>
      </c>
      <c r="D489" s="47">
        <v>2.52610218E8</v>
      </c>
      <c r="E489" s="36" t="s">
        <v>6735</v>
      </c>
      <c r="F489" s="36" t="s">
        <v>220</v>
      </c>
      <c r="G489" s="12">
        <v>33.0</v>
      </c>
      <c r="H489" s="48" t="str">
        <f t="shared" si="1"/>
        <v>X-12</v>
      </c>
      <c r="I489" s="19" t="str">
        <f t="shared" si="2"/>
        <v>33 - BC X-12</v>
      </c>
      <c r="J489" s="20" t="str">
        <f>VLOOKUP(I489,'Database Grup SCC'!$B$2:$C1382,2,false)</f>
        <v>Almeer (XII)</v>
      </c>
      <c r="K489" s="49" t="s">
        <v>6685</v>
      </c>
      <c r="L489" s="49"/>
      <c r="M489" s="50"/>
      <c r="N489" s="33" t="s">
        <v>6686</v>
      </c>
      <c r="O489" s="34"/>
      <c r="P489" s="34"/>
      <c r="Q489" s="24" t="str">
        <f t="shared" si="3"/>
        <v>https://docs.google.com/forms/d/e/1FAIpQLSeZ-R1GrWlAPkfaThGqxeTj0QTtrARw4rroxIIepf2kipn1nw/formResponse?usp=pp_url&amp;entry.1313582257=3086279831&amp;entry.1578404635=Hadir</v>
      </c>
      <c r="R489" s="23" t="s">
        <v>6736</v>
      </c>
      <c r="S489" s="39"/>
      <c r="T489" s="39"/>
      <c r="U489" s="39"/>
      <c r="V489" s="39"/>
    </row>
    <row r="490" ht="22.5" customHeight="1">
      <c r="A490" s="10">
        <v>568.0</v>
      </c>
      <c r="B490" s="36">
        <v>19.0</v>
      </c>
      <c r="C490" s="36" t="s">
        <v>6737</v>
      </c>
      <c r="D490" s="47">
        <v>2.52610267E8</v>
      </c>
      <c r="E490" s="36" t="s">
        <v>6738</v>
      </c>
      <c r="F490" s="36" t="s">
        <v>227</v>
      </c>
      <c r="G490" s="12">
        <v>33.0</v>
      </c>
      <c r="H490" s="48" t="str">
        <f t="shared" si="1"/>
        <v>X-12</v>
      </c>
      <c r="I490" s="19" t="str">
        <f t="shared" si="2"/>
        <v>33 - GC1 X-12</v>
      </c>
      <c r="J490" s="20" t="str">
        <f>VLOOKUP(I490,'Database Grup SCC'!$B$2:$C1382,2,false)</f>
        <v>Ninda (XII)</v>
      </c>
      <c r="K490" s="49" t="s">
        <v>6685</v>
      </c>
      <c r="L490" s="49"/>
      <c r="M490" s="50"/>
      <c r="N490" s="33" t="s">
        <v>6690</v>
      </c>
      <c r="O490" s="34"/>
      <c r="P490" s="34"/>
      <c r="Q490" s="24" t="str">
        <f t="shared" si="3"/>
        <v>https://docs.google.com/forms/d/e/1FAIpQLSeZ-R1GrWlAPkfaThGqxeTj0QTtrARw4rroxIIepf2kipn1nw/formResponse?usp=pp_url&amp;entry.1313582257=3091107524&amp;entry.1578404635=Hadir</v>
      </c>
      <c r="R490" s="23" t="s">
        <v>6739</v>
      </c>
      <c r="S490" s="39"/>
      <c r="T490" s="39"/>
      <c r="U490" s="39"/>
      <c r="V490" s="39"/>
    </row>
    <row r="491" ht="22.5" customHeight="1">
      <c r="A491" s="18">
        <v>569.0</v>
      </c>
      <c r="B491" s="36">
        <v>20.0</v>
      </c>
      <c r="C491" s="36" t="s">
        <v>6740</v>
      </c>
      <c r="D491" s="47">
        <v>2.52610269E8</v>
      </c>
      <c r="E491" s="36" t="s">
        <v>6741</v>
      </c>
      <c r="F491" s="36" t="s">
        <v>220</v>
      </c>
      <c r="G491" s="12">
        <v>33.0</v>
      </c>
      <c r="H491" s="48" t="str">
        <f t="shared" si="1"/>
        <v>X-12</v>
      </c>
      <c r="I491" s="19" t="str">
        <f t="shared" si="2"/>
        <v>33 - BC X-12</v>
      </c>
      <c r="J491" s="20" t="str">
        <f>VLOOKUP(I491,'Database Grup SCC'!$B$2:$C1382,2,false)</f>
        <v>Almeer (XII)</v>
      </c>
      <c r="K491" s="49" t="s">
        <v>6685</v>
      </c>
      <c r="L491" s="49"/>
      <c r="M491" s="50"/>
      <c r="N491" s="33" t="s">
        <v>6686</v>
      </c>
      <c r="O491" s="34"/>
      <c r="P491" s="34"/>
      <c r="Q491" s="24" t="str">
        <f t="shared" si="3"/>
        <v>https://docs.google.com/forms/d/e/1FAIpQLSeZ-R1GrWlAPkfaThGqxeTj0QTtrARw4rroxIIepf2kipn1nw/formResponse?usp=pp_url&amp;entry.1313582257=0103652262&amp;entry.1578404635=Hadir</v>
      </c>
      <c r="R491" s="23" t="s">
        <v>6742</v>
      </c>
      <c r="S491" s="39"/>
      <c r="T491" s="39"/>
      <c r="U491" s="39"/>
      <c r="V491" s="39"/>
    </row>
    <row r="492" ht="22.5" customHeight="1">
      <c r="A492" s="10">
        <v>570.0</v>
      </c>
      <c r="B492" s="36">
        <v>21.0</v>
      </c>
      <c r="C492" s="36" t="s">
        <v>6743</v>
      </c>
      <c r="D492" s="47">
        <v>2.5261027E8</v>
      </c>
      <c r="E492" s="36" t="s">
        <v>6744</v>
      </c>
      <c r="F492" s="36" t="s">
        <v>227</v>
      </c>
      <c r="G492" s="12">
        <v>33.0</v>
      </c>
      <c r="H492" s="48" t="str">
        <f t="shared" si="1"/>
        <v>X-12</v>
      </c>
      <c r="I492" s="19" t="str">
        <f t="shared" si="2"/>
        <v>33 - GC1 X-12</v>
      </c>
      <c r="J492" s="20" t="str">
        <f>VLOOKUP(I492,'Database Grup SCC'!$B$2:$C1382,2,false)</f>
        <v>Ninda (XII)</v>
      </c>
      <c r="K492" s="49" t="s">
        <v>6685</v>
      </c>
      <c r="L492" s="49"/>
      <c r="M492" s="50"/>
      <c r="N492" s="33" t="s">
        <v>6690</v>
      </c>
      <c r="O492" s="34"/>
      <c r="P492" s="34"/>
      <c r="Q492" s="24" t="str">
        <f t="shared" si="3"/>
        <v>https://docs.google.com/forms/d/e/1FAIpQLSeZ-R1GrWlAPkfaThGqxeTj0QTtrARw4rroxIIepf2kipn1nw/formResponse?usp=pp_url&amp;entry.1313582257=0097732804&amp;entry.1578404635=Hadir</v>
      </c>
      <c r="R492" s="23" t="s">
        <v>6745</v>
      </c>
      <c r="S492" s="39"/>
      <c r="T492" s="39"/>
      <c r="U492" s="39"/>
      <c r="V492" s="39"/>
    </row>
    <row r="493" ht="22.5" customHeight="1">
      <c r="A493" s="18">
        <v>571.0</v>
      </c>
      <c r="B493" s="36">
        <v>22.0</v>
      </c>
      <c r="C493" s="36" t="s">
        <v>6746</v>
      </c>
      <c r="D493" s="47">
        <v>2.52610271E8</v>
      </c>
      <c r="E493" s="36" t="s">
        <v>6747</v>
      </c>
      <c r="F493" s="36" t="s">
        <v>220</v>
      </c>
      <c r="G493" s="12">
        <v>33.0</v>
      </c>
      <c r="H493" s="48" t="str">
        <f t="shared" si="1"/>
        <v>X-12</v>
      </c>
      <c r="I493" s="19" t="str">
        <f t="shared" si="2"/>
        <v>33 - BC X-12</v>
      </c>
      <c r="J493" s="20" t="str">
        <f>VLOOKUP(I493,'Database Grup SCC'!$B$2:$C1382,2,false)</f>
        <v>Almeer (XII)</v>
      </c>
      <c r="K493" s="49" t="s">
        <v>6685</v>
      </c>
      <c r="L493" s="49"/>
      <c r="M493" s="50"/>
      <c r="N493" s="33" t="s">
        <v>6686</v>
      </c>
      <c r="O493" s="34"/>
      <c r="P493" s="34"/>
      <c r="Q493" s="24" t="str">
        <f t="shared" si="3"/>
        <v>https://docs.google.com/forms/d/e/1FAIpQLSeZ-R1GrWlAPkfaThGqxeTj0QTtrARw4rroxIIepf2kipn1nw/formResponse?usp=pp_url&amp;entry.1313582257=3093490279&amp;entry.1578404635=Hadir</v>
      </c>
      <c r="R493" s="23" t="s">
        <v>6748</v>
      </c>
      <c r="S493" s="39"/>
      <c r="T493" s="39"/>
      <c r="U493" s="39"/>
      <c r="V493" s="39"/>
    </row>
    <row r="494" ht="22.5" customHeight="1">
      <c r="A494" s="10">
        <v>572.0</v>
      </c>
      <c r="B494" s="36">
        <v>23.0</v>
      </c>
      <c r="C494" s="36" t="s">
        <v>6749</v>
      </c>
      <c r="D494" s="47">
        <v>2.52610296E8</v>
      </c>
      <c r="E494" s="36" t="s">
        <v>6750</v>
      </c>
      <c r="F494" s="36" t="s">
        <v>227</v>
      </c>
      <c r="G494" s="12">
        <v>33.0</v>
      </c>
      <c r="H494" s="48" t="str">
        <f t="shared" si="1"/>
        <v>X-12</v>
      </c>
      <c r="I494" s="19" t="str">
        <f t="shared" si="2"/>
        <v>33 - GC2 X-12</v>
      </c>
      <c r="J494" s="20" t="str">
        <f>VLOOKUP(I494,'Database Grup SCC'!$B$2:$C1382,2,false)</f>
        <v>Fiona (XI)</v>
      </c>
      <c r="K494" s="49" t="s">
        <v>6685</v>
      </c>
      <c r="L494" s="49"/>
      <c r="M494" s="50"/>
      <c r="N494" s="33" t="s">
        <v>6751</v>
      </c>
      <c r="O494" s="34"/>
      <c r="P494" s="34"/>
      <c r="Q494" s="24" t="str">
        <f t="shared" si="3"/>
        <v>https://docs.google.com/forms/d/e/1FAIpQLSeZ-R1GrWlAPkfaThGqxeTj0QTtrARw4rroxIIepf2kipn1nw/formResponse?usp=pp_url&amp;entry.1313582257=0094431854&amp;entry.1578404635=Hadir</v>
      </c>
      <c r="R494" s="23" t="s">
        <v>6752</v>
      </c>
      <c r="S494" s="39"/>
      <c r="T494" s="39"/>
      <c r="U494" s="39"/>
      <c r="V494" s="39"/>
    </row>
    <row r="495" ht="22.5" customHeight="1">
      <c r="A495" s="18">
        <v>573.0</v>
      </c>
      <c r="B495" s="36">
        <v>24.0</v>
      </c>
      <c r="C495" s="36" t="s">
        <v>6753</v>
      </c>
      <c r="D495" s="47">
        <v>2.52610298E8</v>
      </c>
      <c r="E495" s="36" t="s">
        <v>6754</v>
      </c>
      <c r="F495" s="36" t="s">
        <v>220</v>
      </c>
      <c r="G495" s="12">
        <v>33.0</v>
      </c>
      <c r="H495" s="48" t="str">
        <f t="shared" si="1"/>
        <v>X-12</v>
      </c>
      <c r="I495" s="19" t="str">
        <f t="shared" si="2"/>
        <v>33 - BC X-12</v>
      </c>
      <c r="J495" s="20" t="str">
        <f>VLOOKUP(I495,'Database Grup SCC'!$B$2:$C1382,2,false)</f>
        <v>Almeer (XII)</v>
      </c>
      <c r="K495" s="49" t="s">
        <v>6685</v>
      </c>
      <c r="L495" s="49"/>
      <c r="M495" s="50"/>
      <c r="N495" s="33" t="s">
        <v>6686</v>
      </c>
      <c r="O495" s="34"/>
      <c r="P495" s="34"/>
      <c r="Q495" s="24" t="str">
        <f t="shared" si="3"/>
        <v>https://docs.google.com/forms/d/e/1FAIpQLSeZ-R1GrWlAPkfaThGqxeTj0QTtrARw4rroxIIepf2kipn1nw/formResponse?usp=pp_url&amp;entry.1313582257=0103035193&amp;entry.1578404635=Hadir</v>
      </c>
      <c r="R495" s="23" t="s">
        <v>6755</v>
      </c>
      <c r="S495" s="39"/>
      <c r="T495" s="39"/>
      <c r="U495" s="39"/>
      <c r="V495" s="39"/>
    </row>
    <row r="496" ht="22.5" customHeight="1">
      <c r="A496" s="10">
        <v>574.0</v>
      </c>
      <c r="B496" s="36">
        <v>26.0</v>
      </c>
      <c r="C496" s="36" t="s">
        <v>6756</v>
      </c>
      <c r="D496" s="47">
        <v>2.52610307E8</v>
      </c>
      <c r="E496" s="36" t="s">
        <v>6757</v>
      </c>
      <c r="F496" s="36" t="s">
        <v>227</v>
      </c>
      <c r="G496" s="12">
        <v>33.0</v>
      </c>
      <c r="H496" s="48" t="str">
        <f t="shared" si="1"/>
        <v>X-12</v>
      </c>
      <c r="I496" s="19" t="str">
        <f t="shared" si="2"/>
        <v>33 - GC2 X-12</v>
      </c>
      <c r="J496" s="20" t="str">
        <f>VLOOKUP(I496,'Database Grup SCC'!$B$2:$C1382,2,false)</f>
        <v>Fiona (XI)</v>
      </c>
      <c r="K496" s="49" t="s">
        <v>6685</v>
      </c>
      <c r="L496" s="49"/>
      <c r="M496" s="50"/>
      <c r="N496" s="33" t="s">
        <v>6751</v>
      </c>
      <c r="O496" s="34"/>
      <c r="P496" s="34"/>
      <c r="Q496" s="24" t="str">
        <f t="shared" si="3"/>
        <v>https://docs.google.com/forms/d/e/1FAIpQLSeZ-R1GrWlAPkfaThGqxeTj0QTtrARw4rroxIIepf2kipn1nw/formResponse?usp=pp_url&amp;entry.1313582257=0095778047&amp;entry.1578404635=Hadir</v>
      </c>
      <c r="R496" s="23" t="s">
        <v>6758</v>
      </c>
      <c r="S496" s="39"/>
      <c r="T496" s="39"/>
      <c r="U496" s="39"/>
      <c r="V496" s="39"/>
    </row>
    <row r="497" ht="22.5" customHeight="1">
      <c r="A497" s="18">
        <v>575.0</v>
      </c>
      <c r="B497" s="36">
        <v>27.0</v>
      </c>
      <c r="C497" s="36" t="s">
        <v>6759</v>
      </c>
      <c r="D497" s="47">
        <v>2.52610331E8</v>
      </c>
      <c r="E497" s="36" t="s">
        <v>6760</v>
      </c>
      <c r="F497" s="36" t="s">
        <v>220</v>
      </c>
      <c r="G497" s="12">
        <v>33.0</v>
      </c>
      <c r="H497" s="48" t="str">
        <f t="shared" si="1"/>
        <v>X-12</v>
      </c>
      <c r="I497" s="19" t="str">
        <f t="shared" si="2"/>
        <v>33 - BC X-12</v>
      </c>
      <c r="J497" s="20" t="str">
        <f>VLOOKUP(I497,'Database Grup SCC'!$B$2:$C1382,2,false)</f>
        <v>Almeer (XII)</v>
      </c>
      <c r="K497" s="49" t="s">
        <v>6685</v>
      </c>
      <c r="L497" s="49"/>
      <c r="M497" s="50"/>
      <c r="N497" s="33" t="s">
        <v>6686</v>
      </c>
      <c r="O497" s="34"/>
      <c r="P497" s="34"/>
      <c r="Q497" s="24" t="str">
        <f t="shared" si="3"/>
        <v>https://docs.google.com/forms/d/e/1FAIpQLSeZ-R1GrWlAPkfaThGqxeTj0QTtrARw4rroxIIepf2kipn1nw/formResponse?usp=pp_url&amp;entry.1313582257=0103777854&amp;entry.1578404635=Hadir</v>
      </c>
      <c r="R497" s="23" t="s">
        <v>6761</v>
      </c>
      <c r="S497" s="39"/>
      <c r="T497" s="39"/>
      <c r="U497" s="39"/>
      <c r="V497" s="39"/>
    </row>
    <row r="498" ht="22.5" customHeight="1">
      <c r="A498" s="10">
        <v>576.0</v>
      </c>
      <c r="B498" s="36">
        <v>28.0</v>
      </c>
      <c r="C498" s="36" t="s">
        <v>6762</v>
      </c>
      <c r="D498" s="47">
        <v>2.52610339E8</v>
      </c>
      <c r="E498" s="36" t="s">
        <v>6763</v>
      </c>
      <c r="F498" s="36" t="s">
        <v>220</v>
      </c>
      <c r="G498" s="12">
        <v>33.0</v>
      </c>
      <c r="H498" s="48" t="str">
        <f t="shared" si="1"/>
        <v>X-12</v>
      </c>
      <c r="I498" s="19" t="str">
        <f t="shared" si="2"/>
        <v>33 - BC X-12</v>
      </c>
      <c r="J498" s="20" t="str">
        <f>VLOOKUP(I498,'Database Grup SCC'!$B$2:$C1382,2,false)</f>
        <v>Almeer (XII)</v>
      </c>
      <c r="K498" s="49" t="s">
        <v>6685</v>
      </c>
      <c r="L498" s="49"/>
      <c r="M498" s="50"/>
      <c r="N498" s="33" t="s">
        <v>6686</v>
      </c>
      <c r="O498" s="34"/>
      <c r="P498" s="34"/>
      <c r="Q498" s="24" t="str">
        <f t="shared" si="3"/>
        <v>https://docs.google.com/forms/d/e/1FAIpQLSeZ-R1GrWlAPkfaThGqxeTj0QTtrARw4rroxIIepf2kipn1nw/formResponse?usp=pp_url&amp;entry.1313582257=3109116422&amp;entry.1578404635=Hadir</v>
      </c>
      <c r="R498" s="23" t="s">
        <v>6764</v>
      </c>
      <c r="S498" s="39"/>
      <c r="T498" s="39"/>
      <c r="U498" s="39"/>
      <c r="V498" s="39"/>
    </row>
    <row r="499" ht="22.5" customHeight="1">
      <c r="A499" s="18">
        <v>577.0</v>
      </c>
      <c r="B499" s="36">
        <v>29.0</v>
      </c>
      <c r="C499" s="36" t="s">
        <v>6765</v>
      </c>
      <c r="D499" s="47">
        <v>2.52610359E8</v>
      </c>
      <c r="E499" s="36" t="s">
        <v>6766</v>
      </c>
      <c r="F499" s="36" t="s">
        <v>220</v>
      </c>
      <c r="G499" s="12">
        <v>33.0</v>
      </c>
      <c r="H499" s="48" t="str">
        <f t="shared" si="1"/>
        <v>X-12</v>
      </c>
      <c r="I499" s="19" t="str">
        <f t="shared" si="2"/>
        <v>33 - BC X-12</v>
      </c>
      <c r="J499" s="20" t="str">
        <f>VLOOKUP(I499,'Database Grup SCC'!$B$2:$C1382,2,false)</f>
        <v>Almeer (XII)</v>
      </c>
      <c r="K499" s="49" t="s">
        <v>6685</v>
      </c>
      <c r="L499" s="49"/>
      <c r="M499" s="50"/>
      <c r="N499" s="33" t="s">
        <v>6686</v>
      </c>
      <c r="O499" s="34"/>
      <c r="P499" s="34"/>
      <c r="Q499" s="24" t="str">
        <f t="shared" si="3"/>
        <v>https://docs.google.com/forms/d/e/1FAIpQLSeZ-R1GrWlAPkfaThGqxeTj0QTtrARw4rroxIIepf2kipn1nw/formResponse?usp=pp_url&amp;entry.1313582257=0103887571&amp;entry.1578404635=Hadir</v>
      </c>
      <c r="R499" s="23" t="s">
        <v>6767</v>
      </c>
      <c r="S499" s="39"/>
      <c r="T499" s="39"/>
      <c r="U499" s="39"/>
      <c r="V499" s="39"/>
    </row>
    <row r="500" ht="22.5" customHeight="1">
      <c r="A500" s="10">
        <v>578.0</v>
      </c>
      <c r="B500" s="36">
        <v>30.0</v>
      </c>
      <c r="C500" s="36" t="s">
        <v>6768</v>
      </c>
      <c r="D500" s="47">
        <v>2.52610377E8</v>
      </c>
      <c r="E500" s="36" t="s">
        <v>6769</v>
      </c>
      <c r="F500" s="36" t="s">
        <v>220</v>
      </c>
      <c r="G500" s="12">
        <v>33.0</v>
      </c>
      <c r="H500" s="48" t="str">
        <f t="shared" si="1"/>
        <v>X-12</v>
      </c>
      <c r="I500" s="19" t="str">
        <f t="shared" si="2"/>
        <v>33 - BC X-12</v>
      </c>
      <c r="J500" s="20" t="str">
        <f>VLOOKUP(I500,'Database Grup SCC'!$B$2:$C1382,2,false)</f>
        <v>Almeer (XII)</v>
      </c>
      <c r="K500" s="49" t="s">
        <v>6685</v>
      </c>
      <c r="L500" s="49"/>
      <c r="M500" s="50"/>
      <c r="N500" s="33" t="s">
        <v>6686</v>
      </c>
      <c r="O500" s="34"/>
      <c r="P500" s="34"/>
      <c r="Q500" s="24" t="str">
        <f t="shared" si="3"/>
        <v>https://docs.google.com/forms/d/e/1FAIpQLSeZ-R1GrWlAPkfaThGqxeTj0QTtrARw4rroxIIepf2kipn1nw/formResponse?usp=pp_url&amp;entry.1313582257=0102148224&amp;entry.1578404635=Hadir</v>
      </c>
      <c r="R500" s="23" t="s">
        <v>6770</v>
      </c>
      <c r="S500" s="39"/>
      <c r="T500" s="39"/>
      <c r="U500" s="39"/>
      <c r="V500" s="39"/>
    </row>
    <row r="501" ht="22.5" customHeight="1">
      <c r="A501" s="18">
        <v>579.0</v>
      </c>
      <c r="B501" s="36">
        <v>31.0</v>
      </c>
      <c r="C501" s="36" t="s">
        <v>6771</v>
      </c>
      <c r="D501" s="47">
        <v>2.52610387E8</v>
      </c>
      <c r="E501" s="36" t="s">
        <v>6772</v>
      </c>
      <c r="F501" s="36" t="s">
        <v>227</v>
      </c>
      <c r="G501" s="12">
        <v>33.0</v>
      </c>
      <c r="H501" s="48" t="str">
        <f t="shared" si="1"/>
        <v>X-12</v>
      </c>
      <c r="I501" s="19" t="str">
        <f t="shared" si="2"/>
        <v>33 - GC2 X-12</v>
      </c>
      <c r="J501" s="20" t="str">
        <f>VLOOKUP(I501,'Database Grup SCC'!$B$2:$C1382,2,false)</f>
        <v>Fiona (XI)</v>
      </c>
      <c r="K501" s="49" t="s">
        <v>6685</v>
      </c>
      <c r="L501" s="49"/>
      <c r="M501" s="50"/>
      <c r="N501" s="33" t="s">
        <v>6751</v>
      </c>
      <c r="O501" s="34"/>
      <c r="P501" s="34"/>
      <c r="Q501" s="24" t="str">
        <f t="shared" si="3"/>
        <v>https://docs.google.com/forms/d/e/1FAIpQLSeZ-R1GrWlAPkfaThGqxeTj0QTtrARw4rroxIIepf2kipn1nw/formResponse?usp=pp_url&amp;entry.1313582257=0096368920&amp;entry.1578404635=Hadir</v>
      </c>
      <c r="R501" s="23" t="s">
        <v>6773</v>
      </c>
      <c r="S501" s="39"/>
      <c r="T501" s="39"/>
      <c r="U501" s="39"/>
      <c r="V501" s="39"/>
    </row>
    <row r="502" ht="22.5" customHeight="1">
      <c r="A502" s="10">
        <v>580.0</v>
      </c>
      <c r="B502" s="36">
        <v>32.0</v>
      </c>
      <c r="C502" s="36" t="s">
        <v>6774</v>
      </c>
      <c r="D502" s="47">
        <v>2.52610391E8</v>
      </c>
      <c r="E502" s="36" t="s">
        <v>6775</v>
      </c>
      <c r="F502" s="36" t="s">
        <v>227</v>
      </c>
      <c r="G502" s="12">
        <v>33.0</v>
      </c>
      <c r="H502" s="48" t="str">
        <f t="shared" si="1"/>
        <v>X-12</v>
      </c>
      <c r="I502" s="19" t="str">
        <f t="shared" si="2"/>
        <v>33 - XSUMEN1 GC</v>
      </c>
      <c r="J502" s="20" t="str">
        <f>VLOOKUP(I502,'Database Grup SCC'!$B$2:$C1382,2,false)</f>
        <v>Ayun</v>
      </c>
      <c r="K502" s="49" t="s">
        <v>6685</v>
      </c>
      <c r="L502" s="49"/>
      <c r="M502" s="50"/>
      <c r="N502" s="33" t="s">
        <v>5277</v>
      </c>
      <c r="O502" s="34"/>
      <c r="P502" s="34"/>
      <c r="Q502" s="24" t="str">
        <f t="shared" si="3"/>
        <v>https://docs.google.com/forms/d/e/1FAIpQLSeZ-R1GrWlAPkfaThGqxeTj0QTtrARw4rroxIIepf2kipn1nw/formResponse?usp=pp_url&amp;entry.1313582257=0094328074&amp;entry.1578404635=Hadir</v>
      </c>
      <c r="R502" s="23" t="s">
        <v>6776</v>
      </c>
      <c r="S502" s="39"/>
      <c r="T502" s="39"/>
      <c r="U502" s="39"/>
      <c r="V502" s="39"/>
    </row>
    <row r="503" ht="22.5" customHeight="1">
      <c r="A503" s="18">
        <v>581.0</v>
      </c>
      <c r="B503" s="36">
        <v>33.0</v>
      </c>
      <c r="C503" s="36" t="s">
        <v>6777</v>
      </c>
      <c r="D503" s="47">
        <v>2.526104E8</v>
      </c>
      <c r="E503" s="36" t="s">
        <v>6778</v>
      </c>
      <c r="F503" s="36" t="s">
        <v>220</v>
      </c>
      <c r="G503" s="12">
        <v>33.0</v>
      </c>
      <c r="H503" s="48" t="str">
        <f t="shared" si="1"/>
        <v>X-12</v>
      </c>
      <c r="I503" s="19" t="str">
        <f t="shared" si="2"/>
        <v>33 - XSUMEN BC</v>
      </c>
      <c r="J503" s="20" t="str">
        <f>VLOOKUP(I503,'Database Grup SCC'!$B$2:$C1382,2,false)</f>
        <v>Rekhsa</v>
      </c>
      <c r="K503" s="49" t="s">
        <v>6685</v>
      </c>
      <c r="L503" s="49"/>
      <c r="M503" s="50"/>
      <c r="N503" s="33" t="s">
        <v>371</v>
      </c>
      <c r="O503" s="34"/>
      <c r="P503" s="34"/>
      <c r="Q503" s="24" t="str">
        <f t="shared" si="3"/>
        <v>https://docs.google.com/forms/d/e/1FAIpQLSeZ-R1GrWlAPkfaThGqxeTj0QTtrARw4rroxIIepf2kipn1nw/formResponse?usp=pp_url&amp;entry.1313582257=0098429745&amp;entry.1578404635=Hadir</v>
      </c>
      <c r="R503" s="23" t="s">
        <v>6779</v>
      </c>
      <c r="S503" s="39"/>
      <c r="T503" s="39"/>
      <c r="U503" s="39"/>
      <c r="V503" s="39"/>
    </row>
    <row r="504" ht="22.5" customHeight="1">
      <c r="A504" s="10">
        <v>582.0</v>
      </c>
      <c r="B504" s="36">
        <v>34.0</v>
      </c>
      <c r="C504" s="36" t="s">
        <v>6780</v>
      </c>
      <c r="D504" s="47">
        <v>2.52610405E8</v>
      </c>
      <c r="E504" s="36" t="s">
        <v>6781</v>
      </c>
      <c r="F504" s="36" t="s">
        <v>227</v>
      </c>
      <c r="G504" s="12">
        <v>33.0</v>
      </c>
      <c r="H504" s="48" t="str">
        <f t="shared" si="1"/>
        <v>X-12</v>
      </c>
      <c r="I504" s="19" t="str">
        <f t="shared" si="2"/>
        <v>33 - GC2 X-12</v>
      </c>
      <c r="J504" s="20" t="str">
        <f>VLOOKUP(I504,'Database Grup SCC'!$B$2:$C1382,2,false)</f>
        <v>Fiona (XI)</v>
      </c>
      <c r="K504" s="49" t="s">
        <v>6685</v>
      </c>
      <c r="L504" s="49"/>
      <c r="M504" s="50"/>
      <c r="N504" s="33" t="s">
        <v>6751</v>
      </c>
      <c r="O504" s="34"/>
      <c r="P504" s="34"/>
      <c r="Q504" s="24" t="str">
        <f t="shared" si="3"/>
        <v>https://docs.google.com/forms/d/e/1FAIpQLSeZ-R1GrWlAPkfaThGqxeTj0QTtrARw4rroxIIepf2kipn1nw/formResponse?usp=pp_url&amp;entry.1313582257=3102974181&amp;entry.1578404635=Hadir</v>
      </c>
      <c r="R504" s="23" t="s">
        <v>6782</v>
      </c>
      <c r="S504" s="39"/>
      <c r="T504" s="39"/>
      <c r="U504" s="39"/>
      <c r="V504" s="39"/>
    </row>
    <row r="505" ht="22.5" customHeight="1">
      <c r="A505" s="18">
        <v>583.0</v>
      </c>
      <c r="B505" s="36">
        <v>35.0</v>
      </c>
      <c r="C505" s="36" t="s">
        <v>6783</v>
      </c>
      <c r="D505" s="47">
        <v>2.52610407E8</v>
      </c>
      <c r="E505" s="36" t="s">
        <v>6784</v>
      </c>
      <c r="F505" s="36" t="s">
        <v>227</v>
      </c>
      <c r="G505" s="12">
        <v>33.0</v>
      </c>
      <c r="H505" s="48" t="str">
        <f t="shared" si="1"/>
        <v>X-12</v>
      </c>
      <c r="I505" s="19" t="str">
        <f t="shared" si="2"/>
        <v>33 - GC2 X-12</v>
      </c>
      <c r="J505" s="20" t="str">
        <f>VLOOKUP(I505,'Database Grup SCC'!$B$2:$C1382,2,false)</f>
        <v>Fiona (XI)</v>
      </c>
      <c r="K505" s="49" t="s">
        <v>6685</v>
      </c>
      <c r="L505" s="49"/>
      <c r="M505" s="50"/>
      <c r="N505" s="33" t="s">
        <v>6751</v>
      </c>
      <c r="O505" s="34"/>
      <c r="P505" s="34"/>
      <c r="Q505" s="24" t="str">
        <f t="shared" si="3"/>
        <v>https://docs.google.com/forms/d/e/1FAIpQLSeZ-R1GrWlAPkfaThGqxeTj0QTtrARw4rroxIIepf2kipn1nw/formResponse?usp=pp_url&amp;entry.1313582257=0099622136&amp;entry.1578404635=Hadir</v>
      </c>
      <c r="R505" s="23" t="s">
        <v>6785</v>
      </c>
      <c r="S505" s="39"/>
      <c r="T505" s="39"/>
      <c r="U505" s="39"/>
      <c r="V505" s="39"/>
    </row>
    <row r="506" ht="22.5" customHeight="1">
      <c r="A506" s="10">
        <v>584.0</v>
      </c>
      <c r="B506" s="36">
        <v>36.0</v>
      </c>
      <c r="C506" s="36" t="s">
        <v>6786</v>
      </c>
      <c r="D506" s="47">
        <v>2.52610411E8</v>
      </c>
      <c r="E506" s="36" t="s">
        <v>6787</v>
      </c>
      <c r="F506" s="36" t="s">
        <v>227</v>
      </c>
      <c r="G506" s="12">
        <v>33.0</v>
      </c>
      <c r="H506" s="48" t="str">
        <f t="shared" si="1"/>
        <v>X-12</v>
      </c>
      <c r="I506" s="19" t="str">
        <f t="shared" si="2"/>
        <v>33 - GC2 X-12</v>
      </c>
      <c r="J506" s="20" t="str">
        <f>VLOOKUP(I506,'Database Grup SCC'!$B$2:$C1382,2,false)</f>
        <v>Fiona (XI)</v>
      </c>
      <c r="K506" s="49" t="s">
        <v>6685</v>
      </c>
      <c r="L506" s="49"/>
      <c r="M506" s="50"/>
      <c r="N506" s="33" t="s">
        <v>6751</v>
      </c>
      <c r="O506" s="34"/>
      <c r="P506" s="34"/>
      <c r="Q506" s="24" t="str">
        <f t="shared" si="3"/>
        <v>https://docs.google.com/forms/d/e/1FAIpQLSeZ-R1GrWlAPkfaThGqxeTj0QTtrARw4rroxIIepf2kipn1nw/formResponse?usp=pp_url&amp;entry.1313582257=0102898760&amp;entry.1578404635=Hadir</v>
      </c>
      <c r="R506" s="23" t="s">
        <v>6788</v>
      </c>
      <c r="S506" s="39"/>
      <c r="T506" s="39"/>
      <c r="U506" s="39"/>
      <c r="V506" s="39"/>
    </row>
    <row r="507" ht="22.5" customHeight="1">
      <c r="A507" s="18">
        <v>585.0</v>
      </c>
      <c r="B507" s="36">
        <v>39.0</v>
      </c>
      <c r="C507" s="36" t="s">
        <v>6789</v>
      </c>
      <c r="D507" s="47">
        <v>2.52610448E8</v>
      </c>
      <c r="E507" s="36" t="s">
        <v>6790</v>
      </c>
      <c r="F507" s="36" t="s">
        <v>220</v>
      </c>
      <c r="G507" s="12">
        <v>33.0</v>
      </c>
      <c r="H507" s="48" t="str">
        <f t="shared" si="1"/>
        <v>X-12</v>
      </c>
      <c r="I507" s="19" t="str">
        <f t="shared" si="2"/>
        <v>33 - BC X-12</v>
      </c>
      <c r="J507" s="20" t="str">
        <f>VLOOKUP(I507,'Database Grup SCC'!$B$2:$C1382,2,false)</f>
        <v>Almeer (XII)</v>
      </c>
      <c r="K507" s="49" t="s">
        <v>6685</v>
      </c>
      <c r="L507" s="49"/>
      <c r="M507" s="50"/>
      <c r="N507" s="33" t="s">
        <v>6686</v>
      </c>
      <c r="O507" s="34"/>
      <c r="P507" s="34"/>
      <c r="Q507" s="24" t="str">
        <f t="shared" si="3"/>
        <v>https://docs.google.com/forms/d/e/1FAIpQLSeZ-R1GrWlAPkfaThGqxeTj0QTtrARw4rroxIIepf2kipn1nw/formResponse?usp=pp_url&amp;entry.1313582257=0106961567&amp;entry.1578404635=Hadir</v>
      </c>
      <c r="R507" s="23" t="s">
        <v>6791</v>
      </c>
      <c r="S507" s="39"/>
      <c r="T507" s="39"/>
      <c r="U507" s="39"/>
      <c r="V507" s="39"/>
    </row>
    <row r="508" ht="22.5" customHeight="1">
      <c r="A508" s="10">
        <v>586.0</v>
      </c>
      <c r="B508" s="36">
        <v>40.0</v>
      </c>
      <c r="C508" s="36" t="s">
        <v>6792</v>
      </c>
      <c r="D508" s="47">
        <v>2.52610455E8</v>
      </c>
      <c r="E508" s="36" t="s">
        <v>6793</v>
      </c>
      <c r="F508" s="36" t="s">
        <v>220</v>
      </c>
      <c r="G508" s="12">
        <v>33.0</v>
      </c>
      <c r="H508" s="48" t="str">
        <f t="shared" si="1"/>
        <v>X-12</v>
      </c>
      <c r="I508" s="19" t="str">
        <f t="shared" si="2"/>
        <v>33 - BC X-12</v>
      </c>
      <c r="J508" s="20" t="str">
        <f>VLOOKUP(I508,'Database Grup SCC'!$B$2:$C1382,2,false)</f>
        <v>Almeer (XII)</v>
      </c>
      <c r="K508" s="49" t="s">
        <v>6685</v>
      </c>
      <c r="L508" s="49"/>
      <c r="M508" s="50"/>
      <c r="N508" s="33" t="s">
        <v>6686</v>
      </c>
      <c r="O508" s="34"/>
      <c r="P508" s="34"/>
      <c r="Q508" s="24" t="str">
        <f t="shared" si="3"/>
        <v>https://docs.google.com/forms/d/e/1FAIpQLSeZ-R1GrWlAPkfaThGqxeTj0QTtrARw4rroxIIepf2kipn1nw/formResponse?usp=pp_url&amp;entry.1313582257=0105994913&amp;entry.1578404635=Hadir</v>
      </c>
      <c r="R508" s="23" t="s">
        <v>6794</v>
      </c>
      <c r="S508" s="39"/>
      <c r="T508" s="39"/>
      <c r="U508" s="39"/>
      <c r="V508" s="39"/>
    </row>
    <row r="509" ht="22.5" customHeight="1">
      <c r="A509" s="18">
        <v>587.0</v>
      </c>
      <c r="B509" s="36">
        <v>41.0</v>
      </c>
      <c r="C509" s="36" t="s">
        <v>6795</v>
      </c>
      <c r="D509" s="47">
        <v>2.5261049E8</v>
      </c>
      <c r="E509" s="36" t="s">
        <v>6796</v>
      </c>
      <c r="F509" s="36" t="s">
        <v>227</v>
      </c>
      <c r="G509" s="12">
        <v>33.0</v>
      </c>
      <c r="H509" s="48" t="str">
        <f t="shared" si="1"/>
        <v>X-12</v>
      </c>
      <c r="I509" s="19" t="str">
        <f t="shared" si="2"/>
        <v>33 - XSUMEN1 GC</v>
      </c>
      <c r="J509" s="20" t="str">
        <f>VLOOKUP(I509,'Database Grup SCC'!$B$2:$C1382,2,false)</f>
        <v>Ayun</v>
      </c>
      <c r="K509" s="49" t="s">
        <v>6685</v>
      </c>
      <c r="L509" s="49"/>
      <c r="M509" s="50"/>
      <c r="N509" s="33" t="s">
        <v>5277</v>
      </c>
      <c r="O509" s="34"/>
      <c r="P509" s="34"/>
      <c r="Q509" s="24" t="str">
        <f t="shared" si="3"/>
        <v>https://docs.google.com/forms/d/e/1FAIpQLSeZ-R1GrWlAPkfaThGqxeTj0QTtrARw4rroxIIepf2kipn1nw/formResponse?usp=pp_url&amp;entry.1313582257=0093563834&amp;entry.1578404635=Hadir</v>
      </c>
      <c r="R509" s="23" t="s">
        <v>6797</v>
      </c>
      <c r="S509" s="39"/>
      <c r="T509" s="39"/>
      <c r="U509" s="39"/>
      <c r="V509" s="39"/>
    </row>
    <row r="510" ht="22.5" customHeight="1">
      <c r="A510" s="10">
        <v>588.0</v>
      </c>
      <c r="B510" s="36">
        <v>42.0</v>
      </c>
      <c r="C510" s="36" t="s">
        <v>6798</v>
      </c>
      <c r="D510" s="47">
        <v>2.52610494E8</v>
      </c>
      <c r="E510" s="36" t="s">
        <v>6799</v>
      </c>
      <c r="F510" s="36" t="s">
        <v>220</v>
      </c>
      <c r="G510" s="12">
        <v>33.0</v>
      </c>
      <c r="H510" s="48" t="str">
        <f t="shared" si="1"/>
        <v>X-12</v>
      </c>
      <c r="I510" s="19" t="str">
        <f t="shared" si="2"/>
        <v>33 - BC X-12</v>
      </c>
      <c r="J510" s="20" t="str">
        <f>VLOOKUP(I510,'Database Grup SCC'!$B$2:$C1382,2,false)</f>
        <v>Almeer (XII)</v>
      </c>
      <c r="K510" s="49" t="s">
        <v>6685</v>
      </c>
      <c r="L510" s="49"/>
      <c r="M510" s="50"/>
      <c r="N510" s="33" t="s">
        <v>6686</v>
      </c>
      <c r="O510" s="34"/>
      <c r="P510" s="34"/>
      <c r="Q510" s="24" t="str">
        <f t="shared" si="3"/>
        <v>https://docs.google.com/forms/d/e/1FAIpQLSeZ-R1GrWlAPkfaThGqxeTj0QTtrARw4rroxIIepf2kipn1nw/formResponse?usp=pp_url&amp;entry.1313582257=0097303991&amp;entry.1578404635=Hadir</v>
      </c>
      <c r="R510" s="23" t="s">
        <v>6800</v>
      </c>
      <c r="S510" s="39"/>
      <c r="T510" s="39"/>
      <c r="U510" s="39"/>
      <c r="V510" s="39"/>
    </row>
    <row r="511" ht="22.5" customHeight="1">
      <c r="A511" s="18">
        <v>589.0</v>
      </c>
      <c r="B511" s="36">
        <v>43.0</v>
      </c>
      <c r="C511" s="36" t="s">
        <v>6801</v>
      </c>
      <c r="D511" s="47">
        <v>2.52610496E8</v>
      </c>
      <c r="E511" s="36" t="s">
        <v>6802</v>
      </c>
      <c r="F511" s="36" t="s">
        <v>227</v>
      </c>
      <c r="G511" s="12">
        <v>33.0</v>
      </c>
      <c r="H511" s="48" t="str">
        <f t="shared" si="1"/>
        <v>X-12</v>
      </c>
      <c r="I511" s="19" t="str">
        <f t="shared" si="2"/>
        <v>33 - GC2 X-12</v>
      </c>
      <c r="J511" s="20" t="str">
        <f>VLOOKUP(I511,'Database Grup SCC'!$B$2:$C1382,2,false)</f>
        <v>Fiona (XI)</v>
      </c>
      <c r="K511" s="49" t="s">
        <v>6685</v>
      </c>
      <c r="L511" s="49"/>
      <c r="M511" s="50"/>
      <c r="N511" s="33" t="s">
        <v>6751</v>
      </c>
      <c r="O511" s="34"/>
      <c r="P511" s="34"/>
      <c r="Q511" s="24" t="str">
        <f t="shared" si="3"/>
        <v>https://docs.google.com/forms/d/e/1FAIpQLSeZ-R1GrWlAPkfaThGqxeTj0QTtrARw4rroxIIepf2kipn1nw/formResponse?usp=pp_url&amp;entry.1313582257=0098050747&amp;entry.1578404635=Hadir</v>
      </c>
      <c r="R511" s="23" t="s">
        <v>6803</v>
      </c>
      <c r="S511" s="39"/>
      <c r="T511" s="39"/>
      <c r="U511" s="39"/>
      <c r="V511" s="39"/>
    </row>
    <row r="512" ht="22.5" customHeight="1">
      <c r="A512" s="10">
        <v>590.0</v>
      </c>
      <c r="B512" s="36">
        <v>44.0</v>
      </c>
      <c r="C512" s="36" t="s">
        <v>6804</v>
      </c>
      <c r="D512" s="47">
        <v>2.52610502E8</v>
      </c>
      <c r="E512" s="36" t="s">
        <v>6805</v>
      </c>
      <c r="F512" s="36" t="s">
        <v>227</v>
      </c>
      <c r="G512" s="12">
        <v>33.0</v>
      </c>
      <c r="H512" s="48" t="str">
        <f t="shared" si="1"/>
        <v>X-12</v>
      </c>
      <c r="I512" s="19" t="str">
        <f t="shared" si="2"/>
        <v>33 - GC2 X-12</v>
      </c>
      <c r="J512" s="20" t="str">
        <f>VLOOKUP(I512,'Database Grup SCC'!$B$2:$C1382,2,false)</f>
        <v>Fiona (XI)</v>
      </c>
      <c r="K512" s="49" t="s">
        <v>6685</v>
      </c>
      <c r="L512" s="49"/>
      <c r="M512" s="50"/>
      <c r="N512" s="33" t="s">
        <v>6751</v>
      </c>
      <c r="O512" s="34"/>
      <c r="P512" s="34"/>
      <c r="Q512" s="24" t="str">
        <f t="shared" si="3"/>
        <v>https://docs.google.com/forms/d/e/1FAIpQLSeZ-R1GrWlAPkfaThGqxeTj0QTtrARw4rroxIIepf2kipn1nw/formResponse?usp=pp_url&amp;entry.1313582257=0092524998&amp;entry.1578404635=Hadir</v>
      </c>
      <c r="R512" s="23" t="s">
        <v>6806</v>
      </c>
      <c r="S512" s="39"/>
      <c r="T512" s="39"/>
      <c r="U512" s="39"/>
      <c r="V512" s="39"/>
    </row>
    <row r="513" ht="22.5" customHeight="1">
      <c r="A513" s="18">
        <v>591.0</v>
      </c>
      <c r="B513" s="36">
        <v>45.0</v>
      </c>
      <c r="C513" s="36" t="s">
        <v>6807</v>
      </c>
      <c r="D513" s="47">
        <v>2.52610516E8</v>
      </c>
      <c r="E513" s="36" t="s">
        <v>6808</v>
      </c>
      <c r="F513" s="36" t="s">
        <v>227</v>
      </c>
      <c r="G513" s="12">
        <v>33.0</v>
      </c>
      <c r="H513" s="48" t="str">
        <f t="shared" si="1"/>
        <v>X-12</v>
      </c>
      <c r="I513" s="19" t="str">
        <f t="shared" si="2"/>
        <v>33 - GC2 X-12</v>
      </c>
      <c r="J513" s="20" t="str">
        <f>VLOOKUP(I513,'Database Grup SCC'!$B$2:$C1382,2,false)</f>
        <v>Fiona (XI)</v>
      </c>
      <c r="K513" s="49" t="s">
        <v>6685</v>
      </c>
      <c r="L513" s="49"/>
      <c r="M513" s="50"/>
      <c r="N513" s="33" t="s">
        <v>6751</v>
      </c>
      <c r="O513" s="34"/>
      <c r="P513" s="34"/>
      <c r="Q513" s="24" t="str">
        <f t="shared" si="3"/>
        <v>https://docs.google.com/forms/d/e/1FAIpQLSeZ-R1GrWlAPkfaThGqxeTj0QTtrARw4rroxIIepf2kipn1nw/formResponse?usp=pp_url&amp;entry.1313582257=0109344308&amp;entry.1578404635=Hadir</v>
      </c>
      <c r="R513" s="23" t="s">
        <v>6809</v>
      </c>
      <c r="S513" s="39"/>
      <c r="T513" s="39"/>
      <c r="U513" s="39"/>
      <c r="V513" s="39"/>
    </row>
    <row r="514" ht="22.5" customHeight="1">
      <c r="A514" s="10">
        <v>592.0</v>
      </c>
      <c r="B514" s="36">
        <v>46.0</v>
      </c>
      <c r="C514" s="36" t="s">
        <v>6810</v>
      </c>
      <c r="D514" s="47">
        <v>2.52610531E8</v>
      </c>
      <c r="E514" s="36" t="s">
        <v>6811</v>
      </c>
      <c r="F514" s="36" t="s">
        <v>227</v>
      </c>
      <c r="G514" s="12">
        <v>33.0</v>
      </c>
      <c r="H514" s="48" t="str">
        <f t="shared" si="1"/>
        <v>X-12</v>
      </c>
      <c r="I514" s="19" t="str">
        <f t="shared" si="2"/>
        <v>33 - GC2 X-12</v>
      </c>
      <c r="J514" s="20" t="str">
        <f>VLOOKUP(I514,'Database Grup SCC'!$B$2:$C1382,2,false)</f>
        <v>Fiona (XI)</v>
      </c>
      <c r="K514" s="49" t="s">
        <v>6685</v>
      </c>
      <c r="L514" s="49"/>
      <c r="M514" s="50"/>
      <c r="N514" s="33" t="s">
        <v>6751</v>
      </c>
      <c r="O514" s="34"/>
      <c r="P514" s="34"/>
      <c r="Q514" s="24" t="str">
        <f t="shared" si="3"/>
        <v>https://docs.google.com/forms/d/e/1FAIpQLSeZ-R1GrWlAPkfaThGqxeTj0QTtrARw4rroxIIepf2kipn1nw/formResponse?usp=pp_url&amp;entry.1313582257=0101659072&amp;entry.1578404635=Hadir</v>
      </c>
      <c r="R514" s="23" t="s">
        <v>6812</v>
      </c>
      <c r="S514" s="39"/>
      <c r="T514" s="39"/>
      <c r="U514" s="39"/>
      <c r="V514" s="39"/>
    </row>
    <row r="515" ht="22.5" customHeight="1">
      <c r="A515" s="18">
        <v>593.0</v>
      </c>
      <c r="B515" s="36">
        <v>47.0</v>
      </c>
      <c r="C515" s="36" t="s">
        <v>6813</v>
      </c>
      <c r="D515" s="47">
        <v>2.5261055E8</v>
      </c>
      <c r="E515" s="36" t="s">
        <v>6814</v>
      </c>
      <c r="F515" s="36" t="s">
        <v>227</v>
      </c>
      <c r="G515" s="12">
        <v>33.0</v>
      </c>
      <c r="H515" s="48" t="str">
        <f t="shared" si="1"/>
        <v>X-12</v>
      </c>
      <c r="I515" s="19" t="str">
        <f t="shared" si="2"/>
        <v>33 - GC2 X-12</v>
      </c>
      <c r="J515" s="20" t="str">
        <f>VLOOKUP(I515,'Database Grup SCC'!$B$2:$C1382,2,false)</f>
        <v>Fiona (XI)</v>
      </c>
      <c r="K515" s="49" t="s">
        <v>6685</v>
      </c>
      <c r="L515" s="49"/>
      <c r="M515" s="50"/>
      <c r="N515" s="33" t="s">
        <v>6751</v>
      </c>
      <c r="O515" s="34"/>
      <c r="P515" s="34"/>
      <c r="Q515" s="24" t="str">
        <f t="shared" si="3"/>
        <v>https://docs.google.com/forms/d/e/1FAIpQLSeZ-R1GrWlAPkfaThGqxeTj0QTtrARw4rroxIIepf2kipn1nw/formResponse?usp=pp_url&amp;entry.1313582257=0095899359&amp;entry.1578404635=Hadir</v>
      </c>
      <c r="R515" s="23" t="s">
        <v>6815</v>
      </c>
      <c r="S515" s="39"/>
      <c r="T515" s="39"/>
      <c r="U515" s="39"/>
      <c r="V515" s="39"/>
    </row>
    <row r="516" ht="22.5" customHeight="1">
      <c r="A516" s="10">
        <v>594.0</v>
      </c>
      <c r="B516" s="36">
        <v>48.0</v>
      </c>
      <c r="C516" s="36" t="s">
        <v>6816</v>
      </c>
      <c r="D516" s="47">
        <v>2.52610562E8</v>
      </c>
      <c r="E516" s="36" t="s">
        <v>6817</v>
      </c>
      <c r="F516" s="36" t="s">
        <v>227</v>
      </c>
      <c r="G516" s="12">
        <v>33.0</v>
      </c>
      <c r="H516" s="48" t="str">
        <f t="shared" si="1"/>
        <v>X-12</v>
      </c>
      <c r="I516" s="19" t="str">
        <f t="shared" si="2"/>
        <v>33 - GC2 X-12</v>
      </c>
      <c r="J516" s="20" t="str">
        <f>VLOOKUP(I516,'Database Grup SCC'!$B$2:$C1382,2,false)</f>
        <v>Fiona (XI)</v>
      </c>
      <c r="K516" s="49" t="s">
        <v>6685</v>
      </c>
      <c r="L516" s="49"/>
      <c r="M516" s="50"/>
      <c r="N516" s="33" t="s">
        <v>6751</v>
      </c>
      <c r="O516" s="34"/>
      <c r="P516" s="34"/>
      <c r="Q516" s="24" t="str">
        <f t="shared" si="3"/>
        <v>https://docs.google.com/forms/d/e/1FAIpQLSeZ-R1GrWlAPkfaThGqxeTj0QTtrARw4rroxIIepf2kipn1nw/formResponse?usp=pp_url&amp;entry.1313582257=0095810986&amp;entry.1578404635=Hadir</v>
      </c>
      <c r="R516" s="23" t="s">
        <v>6818</v>
      </c>
      <c r="S516" s="39"/>
      <c r="T516" s="39"/>
      <c r="U516" s="39"/>
      <c r="V516" s="39"/>
    </row>
    <row r="517" ht="22.5" customHeight="1">
      <c r="A517" s="12">
        <v>8.0</v>
      </c>
      <c r="B517" s="32">
        <v>1.0</v>
      </c>
      <c r="C517" s="51" t="s">
        <v>6819</v>
      </c>
      <c r="D517" s="52">
        <v>2.42510008E8</v>
      </c>
      <c r="E517" s="32" t="s">
        <v>2994</v>
      </c>
      <c r="F517" s="32" t="s">
        <v>220</v>
      </c>
      <c r="G517" s="12">
        <v>32.0</v>
      </c>
      <c r="H517" s="48" t="str">
        <f t="shared" ref="H517:H948" si="4">L517</f>
        <v>  XI A-1</v>
      </c>
      <c r="I517" s="28" t="str">
        <f t="shared" si="2"/>
        <v>32 - BC X-11</v>
      </c>
      <c r="J517" s="20" t="str">
        <f>VLOOKUP(I517,'Database Grup SCC'!$B$2:$C1382,2,false)</f>
        <v>Dimas</v>
      </c>
      <c r="K517" s="50" t="str">
        <f>VLOOKUP(D517,'Data Siswa Mentah 32 Kelas X'!$C$8:$E1382,3,false)</f>
        <v>X-11</v>
      </c>
      <c r="L517" s="50" t="s">
        <v>6820</v>
      </c>
      <c r="M517" s="50"/>
      <c r="N517" s="33" t="s">
        <v>6821</v>
      </c>
      <c r="O517" s="34"/>
      <c r="P517" s="34"/>
      <c r="Q517" s="24" t="str">
        <f t="shared" si="3"/>
        <v>https://docs.google.com/forms/d/e/1FAIpQLSeZ-R1GrWlAPkfaThGqxeTj0QTtrARw4rroxIIepf2kipn1nw/formResponse?usp=pp_url&amp;entry.1313582257=0082590495&amp;entry.1578404635=Hadir</v>
      </c>
      <c r="R517" s="23" t="s">
        <v>6822</v>
      </c>
      <c r="S517" s="39"/>
      <c r="T517" s="39"/>
      <c r="U517" s="39"/>
      <c r="V517" s="39"/>
    </row>
    <row r="518" ht="22.5" customHeight="1">
      <c r="A518" s="12">
        <v>9.0</v>
      </c>
      <c r="B518" s="32">
        <v>2.0</v>
      </c>
      <c r="C518" s="51" t="s">
        <v>6823</v>
      </c>
      <c r="D518" s="52">
        <v>2.42510011E8</v>
      </c>
      <c r="E518" s="32" t="s">
        <v>3001</v>
      </c>
      <c r="F518" s="32" t="s">
        <v>220</v>
      </c>
      <c r="G518" s="12">
        <v>32.0</v>
      </c>
      <c r="H518" s="48" t="str">
        <f t="shared" si="4"/>
        <v>  XI A-1</v>
      </c>
      <c r="I518" s="28" t="str">
        <f t="shared" si="2"/>
        <v>33 - BC X-7</v>
      </c>
      <c r="J518" s="20" t="str">
        <f>VLOOKUP(I518,'Database Grup SCC'!$B$2:$C1382,2,false)</f>
        <v>Rizza Al-Farisi</v>
      </c>
      <c r="K518" s="50" t="str">
        <f>VLOOKUP(D518,'Data Siswa Mentah 32 Kelas X'!$C$8:$E1382,3,false)</f>
        <v>X-7</v>
      </c>
      <c r="L518" s="50" t="s">
        <v>6820</v>
      </c>
      <c r="M518" s="50"/>
      <c r="N518" s="33" t="s">
        <v>6005</v>
      </c>
      <c r="O518" s="34"/>
      <c r="P518" s="34"/>
      <c r="Q518" s="24" t="str">
        <f t="shared" si="3"/>
        <v>https://docs.google.com/forms/d/e/1FAIpQLSeZ-R1GrWlAPkfaThGqxeTj0QTtrARw4rroxIIepf2kipn1nw/formResponse?usp=pp_url&amp;entry.1313582257=0097313548&amp;entry.1578404635=Hadir</v>
      </c>
      <c r="R518" s="23" t="s">
        <v>6824</v>
      </c>
      <c r="S518" s="39"/>
      <c r="T518" s="39"/>
      <c r="U518" s="39"/>
      <c r="V518" s="39"/>
    </row>
    <row r="519" ht="22.5" customHeight="1">
      <c r="A519" s="12">
        <v>10.0</v>
      </c>
      <c r="B519" s="32">
        <v>3.0</v>
      </c>
      <c r="C519" s="51" t="s">
        <v>6825</v>
      </c>
      <c r="D519" s="52">
        <v>2.42510025E8</v>
      </c>
      <c r="E519" s="32" t="s">
        <v>3006</v>
      </c>
      <c r="F519" s="32" t="s">
        <v>227</v>
      </c>
      <c r="G519" s="12">
        <v>32.0</v>
      </c>
      <c r="H519" s="48" t="str">
        <f t="shared" si="4"/>
        <v>  XI A-1</v>
      </c>
      <c r="I519" s="28" t="str">
        <f t="shared" si="2"/>
        <v>32 - GC X-9</v>
      </c>
      <c r="J519" s="20" t="str">
        <f>VLOOKUP(I519,'Database Grup SCC'!$B$2:$C1382,2,false)</f>
        <v>Athaya</v>
      </c>
      <c r="K519" s="50" t="str">
        <f>VLOOKUP(D519,'Data Siswa Mentah 32 Kelas X'!$C$8:$E1382,3,false)</f>
        <v>X-9</v>
      </c>
      <c r="L519" s="50" t="s">
        <v>6820</v>
      </c>
      <c r="M519" s="50"/>
      <c r="N519" s="33" t="s">
        <v>6826</v>
      </c>
      <c r="O519" s="34"/>
      <c r="P519" s="34"/>
      <c r="Q519" s="12" t="str">
        <f t="shared" si="3"/>
        <v>https://docs.google.com/forms/d/e/1FAIpQLSeZ-R1GrWlAPkfaThGqxeTj0QTtrARw4rroxIIepf2kipn1nw/formResponse?usp=pp_url&amp;entry.1313582257=0094510551 &amp;entry.1578404635=Hadir</v>
      </c>
      <c r="R519" s="23" t="s">
        <v>6827</v>
      </c>
      <c r="S519" s="39"/>
      <c r="T519" s="39"/>
      <c r="U519" s="39"/>
      <c r="V519" s="39"/>
    </row>
    <row r="520" ht="22.5" customHeight="1">
      <c r="A520" s="12">
        <v>11.0</v>
      </c>
      <c r="B520" s="32">
        <v>4.0</v>
      </c>
      <c r="C520" s="51" t="s">
        <v>6828</v>
      </c>
      <c r="D520" s="52">
        <v>2.42510031E8</v>
      </c>
      <c r="E520" s="32" t="s">
        <v>3011</v>
      </c>
      <c r="F520" s="32" t="s">
        <v>227</v>
      </c>
      <c r="G520" s="12">
        <v>32.0</v>
      </c>
      <c r="H520" s="48" t="str">
        <f t="shared" si="4"/>
        <v>  XI A-1</v>
      </c>
      <c r="I520" s="28" t="str">
        <f t="shared" si="2"/>
        <v>32 - GC X-1</v>
      </c>
      <c r="J520" s="20" t="str">
        <f>VLOOKUP(I520,'Database Grup SCC'!$B$2:$C1382,2,false)</f>
        <v>Nia</v>
      </c>
      <c r="K520" s="50" t="str">
        <f>VLOOKUP(D520,'Data Siswa Mentah 32 Kelas X'!$C$8:$E1382,3,false)</f>
        <v>X-1</v>
      </c>
      <c r="L520" s="50" t="s">
        <v>6820</v>
      </c>
      <c r="M520" s="50"/>
      <c r="N520" s="33" t="s">
        <v>6829</v>
      </c>
      <c r="O520" s="34"/>
      <c r="P520" s="34"/>
      <c r="Q520" s="24" t="str">
        <f t="shared" si="3"/>
        <v>https://docs.google.com/forms/d/e/1FAIpQLSeZ-R1GrWlAPkfaThGqxeTj0QTtrARw4rroxIIepf2kipn1nw/formResponse?usp=pp_url&amp;entry.1313582257=0087298416&amp;entry.1578404635=Hadir</v>
      </c>
      <c r="R520" s="23" t="s">
        <v>6830</v>
      </c>
      <c r="S520" s="39"/>
      <c r="T520" s="39"/>
      <c r="U520" s="39"/>
      <c r="V520" s="39"/>
    </row>
    <row r="521" ht="22.5" customHeight="1">
      <c r="A521" s="12">
        <v>12.0</v>
      </c>
      <c r="B521" s="32">
        <v>5.0</v>
      </c>
      <c r="C521" s="51" t="s">
        <v>6831</v>
      </c>
      <c r="D521" s="52">
        <v>2.42510069E8</v>
      </c>
      <c r="E521" s="32" t="s">
        <v>3016</v>
      </c>
      <c r="F521" s="32" t="s">
        <v>227</v>
      </c>
      <c r="G521" s="12">
        <v>32.0</v>
      </c>
      <c r="H521" s="48" t="str">
        <f t="shared" si="4"/>
        <v>  XI A-1</v>
      </c>
      <c r="I521" s="28" t="str">
        <f t="shared" si="2"/>
        <v>32 - GC X-1</v>
      </c>
      <c r="J521" s="20" t="str">
        <f>VLOOKUP(I521,'Database Grup SCC'!$B$2:$C1382,2,false)</f>
        <v>Nia</v>
      </c>
      <c r="K521" s="50" t="str">
        <f>VLOOKUP(D521,'Data Siswa Mentah 32 Kelas X'!$C$8:$E1382,3,false)</f>
        <v>X-1</v>
      </c>
      <c r="L521" s="50" t="s">
        <v>6820</v>
      </c>
      <c r="M521" s="50"/>
      <c r="N521" s="33" t="s">
        <v>6829</v>
      </c>
      <c r="O521" s="34"/>
      <c r="P521" s="34"/>
      <c r="Q521" s="24" t="str">
        <f t="shared" si="3"/>
        <v>https://docs.google.com/forms/d/e/1FAIpQLSeZ-R1GrWlAPkfaThGqxeTj0QTtrARw4rroxIIepf2kipn1nw/formResponse?usp=pp_url&amp;entry.1313582257=0095546511&amp;entry.1578404635=Hadir</v>
      </c>
      <c r="R521" s="23" t="s">
        <v>6832</v>
      </c>
      <c r="S521" s="39"/>
      <c r="T521" s="39"/>
      <c r="U521" s="39"/>
      <c r="V521" s="39"/>
    </row>
    <row r="522" ht="22.5" customHeight="1">
      <c r="A522" s="12">
        <v>13.0</v>
      </c>
      <c r="B522" s="32">
        <v>6.0</v>
      </c>
      <c r="C522" s="32">
        <v>3.086190678E9</v>
      </c>
      <c r="D522" s="52">
        <v>2.42510079E8</v>
      </c>
      <c r="E522" s="32" t="s">
        <v>3021</v>
      </c>
      <c r="F522" s="32" t="s">
        <v>220</v>
      </c>
      <c r="G522" s="12">
        <v>32.0</v>
      </c>
      <c r="H522" s="48" t="str">
        <f t="shared" si="4"/>
        <v>  XI A-1</v>
      </c>
      <c r="I522" s="28" t="str">
        <f t="shared" si="2"/>
        <v>33 - BC X-5</v>
      </c>
      <c r="J522" s="20" t="str">
        <f>VLOOKUP(I522,'Database Grup SCC'!$B$2:$C1382,2,false)</f>
        <v>Topik &amp; Adrian</v>
      </c>
      <c r="K522" s="50" t="str">
        <f>VLOOKUP(D522,'Data Siswa Mentah 32 Kelas X'!$C$8:$E1382,3,false)</f>
        <v>X-5</v>
      </c>
      <c r="L522" s="50" t="s">
        <v>6820</v>
      </c>
      <c r="M522" s="50"/>
      <c r="N522" s="33" t="s">
        <v>5770</v>
      </c>
      <c r="O522" s="34"/>
      <c r="P522" s="34"/>
      <c r="Q522" s="24" t="str">
        <f t="shared" si="3"/>
        <v>https://docs.google.com/forms/d/e/1FAIpQLSeZ-R1GrWlAPkfaThGqxeTj0QTtrARw4rroxIIepf2kipn1nw/formResponse?usp=pp_url&amp;entry.1313582257=3086190678&amp;entry.1578404635=Hadir</v>
      </c>
      <c r="R522" s="23" t="s">
        <v>6833</v>
      </c>
      <c r="S522" s="39"/>
      <c r="T522" s="39"/>
      <c r="U522" s="39"/>
      <c r="V522" s="39"/>
    </row>
    <row r="523" ht="22.5" customHeight="1">
      <c r="A523" s="12">
        <v>14.0</v>
      </c>
      <c r="B523" s="32">
        <v>7.0</v>
      </c>
      <c r="C523" s="51" t="s">
        <v>6834</v>
      </c>
      <c r="D523" s="52">
        <v>2.42510095E8</v>
      </c>
      <c r="E523" s="32" t="s">
        <v>3027</v>
      </c>
      <c r="F523" s="32" t="s">
        <v>227</v>
      </c>
      <c r="G523" s="12">
        <v>32.0</v>
      </c>
      <c r="H523" s="48" t="str">
        <f t="shared" si="4"/>
        <v>  XI A-1</v>
      </c>
      <c r="I523" s="28" t="str">
        <f t="shared" si="2"/>
        <v>32 - GC X-1</v>
      </c>
      <c r="J523" s="20" t="str">
        <f>VLOOKUP(I523,'Database Grup SCC'!$B$2:$C1382,2,false)</f>
        <v>Nia</v>
      </c>
      <c r="K523" s="50" t="str">
        <f>VLOOKUP(D523,'Data Siswa Mentah 32 Kelas X'!$C$8:$E1382,3,false)</f>
        <v>X-1</v>
      </c>
      <c r="L523" s="50" t="s">
        <v>6820</v>
      </c>
      <c r="M523" s="50"/>
      <c r="N523" s="33" t="s">
        <v>6829</v>
      </c>
      <c r="O523" s="34"/>
      <c r="P523" s="34"/>
      <c r="Q523" s="24" t="str">
        <f t="shared" si="3"/>
        <v>https://docs.google.com/forms/d/e/1FAIpQLSeZ-R1GrWlAPkfaThGqxeTj0QTtrARw4rroxIIepf2kipn1nw/formResponse?usp=pp_url&amp;entry.1313582257=0107163370&amp;entry.1578404635=Hadir</v>
      </c>
      <c r="R523" s="23" t="s">
        <v>6835</v>
      </c>
      <c r="S523" s="39"/>
      <c r="T523" s="39"/>
      <c r="U523" s="39"/>
      <c r="V523" s="39"/>
    </row>
    <row r="524" ht="22.5" customHeight="1">
      <c r="A524" s="12">
        <v>15.0</v>
      </c>
      <c r="B524" s="32">
        <v>8.0</v>
      </c>
      <c r="C524" s="32">
        <v>3.092678408E9</v>
      </c>
      <c r="D524" s="52">
        <v>2.42510108E8</v>
      </c>
      <c r="E524" s="32" t="s">
        <v>3032</v>
      </c>
      <c r="F524" s="32" t="s">
        <v>220</v>
      </c>
      <c r="G524" s="12">
        <v>32.0</v>
      </c>
      <c r="H524" s="48" t="str">
        <f t="shared" si="4"/>
        <v>  XI A-1</v>
      </c>
      <c r="I524" s="28" t="str">
        <f t="shared" si="2"/>
        <v>32 - BC X-11</v>
      </c>
      <c r="J524" s="20" t="str">
        <f>VLOOKUP(I524,'Database Grup SCC'!$B$2:$C1382,2,false)</f>
        <v>Dimas</v>
      </c>
      <c r="K524" s="50" t="str">
        <f>VLOOKUP(D524,'Data Siswa Mentah 32 Kelas X'!$C$8:$E1382,3,false)</f>
        <v>X-11</v>
      </c>
      <c r="L524" s="50" t="s">
        <v>6820</v>
      </c>
      <c r="M524" s="50"/>
      <c r="N524" s="33" t="s">
        <v>6821</v>
      </c>
      <c r="O524" s="34"/>
      <c r="P524" s="34"/>
      <c r="Q524" s="24" t="str">
        <f t="shared" si="3"/>
        <v>https://docs.google.com/forms/d/e/1FAIpQLSeZ-R1GrWlAPkfaThGqxeTj0QTtrARw4rroxIIepf2kipn1nw/formResponse?usp=pp_url&amp;entry.1313582257=3092678408&amp;entry.1578404635=Hadir</v>
      </c>
      <c r="R524" s="23" t="s">
        <v>6836</v>
      </c>
      <c r="S524" s="39"/>
      <c r="T524" s="39"/>
      <c r="U524" s="39"/>
      <c r="V524" s="39"/>
    </row>
    <row r="525" ht="22.5" customHeight="1">
      <c r="A525" s="12">
        <v>16.0</v>
      </c>
      <c r="B525" s="32">
        <v>9.0</v>
      </c>
      <c r="C525" s="51" t="s">
        <v>6837</v>
      </c>
      <c r="D525" s="52">
        <v>2.42510111E8</v>
      </c>
      <c r="E525" s="32" t="s">
        <v>3037</v>
      </c>
      <c r="F525" s="32" t="s">
        <v>220</v>
      </c>
      <c r="G525" s="12">
        <v>32.0</v>
      </c>
      <c r="H525" s="48" t="str">
        <f t="shared" si="4"/>
        <v>  XI A-1</v>
      </c>
      <c r="I525" s="28" t="str">
        <f t="shared" si="2"/>
        <v>33 - BC X-10</v>
      </c>
      <c r="J525" s="20" t="str">
        <f>VLOOKUP(I525,'Database Grup SCC'!$B$2:$C1382,2,false)</f>
        <v>Irghi (XII)</v>
      </c>
      <c r="K525" s="50" t="str">
        <f>VLOOKUP(D525,'Data Siswa Mentah 32 Kelas X'!$C$8:$E1382,3,false)</f>
        <v>X-10</v>
      </c>
      <c r="L525" s="50" t="s">
        <v>6820</v>
      </c>
      <c r="M525" s="50"/>
      <c r="N525" s="33" t="s">
        <v>6425</v>
      </c>
      <c r="O525" s="34"/>
      <c r="P525" s="34"/>
      <c r="Q525" s="24" t="str">
        <f t="shared" si="3"/>
        <v>https://docs.google.com/forms/d/e/1FAIpQLSeZ-R1GrWlAPkfaThGqxeTj0QTtrARw4rroxIIepf2kipn1nw/formResponse?usp=pp_url&amp;entry.1313582257=0095504110&amp;entry.1578404635=Hadir</v>
      </c>
      <c r="R525" s="23" t="s">
        <v>6838</v>
      </c>
      <c r="S525" s="39"/>
      <c r="T525" s="39"/>
      <c r="U525" s="39"/>
      <c r="V525" s="39"/>
    </row>
    <row r="526" ht="22.5" customHeight="1">
      <c r="A526" s="12">
        <v>17.0</v>
      </c>
      <c r="B526" s="32">
        <v>10.0</v>
      </c>
      <c r="C526" s="32">
        <v>3.081717964E9</v>
      </c>
      <c r="D526" s="52">
        <v>2.42510114E8</v>
      </c>
      <c r="E526" s="32" t="s">
        <v>3042</v>
      </c>
      <c r="F526" s="32" t="s">
        <v>220</v>
      </c>
      <c r="G526" s="12">
        <v>32.0</v>
      </c>
      <c r="H526" s="48" t="str">
        <f t="shared" si="4"/>
        <v>  XI A-1</v>
      </c>
      <c r="I526" s="28" t="str">
        <f t="shared" si="2"/>
        <v>32 - BC X-1</v>
      </c>
      <c r="J526" s="20" t="str">
        <f>VLOOKUP(I526,'Database Grup SCC'!$B$2:$C1382,2,false)</f>
        <v>Arya</v>
      </c>
      <c r="K526" s="50" t="str">
        <f>VLOOKUP(D526,'Data Siswa Mentah 32 Kelas X'!$C$8:$E1382,3,false)</f>
        <v>X-1</v>
      </c>
      <c r="L526" s="50" t="s">
        <v>6820</v>
      </c>
      <c r="M526" s="50"/>
      <c r="N526" s="33" t="s">
        <v>6839</v>
      </c>
      <c r="O526" s="34"/>
      <c r="P526" s="34"/>
      <c r="Q526" s="24" t="str">
        <f t="shared" si="3"/>
        <v>https://docs.google.com/forms/d/e/1FAIpQLSeZ-R1GrWlAPkfaThGqxeTj0QTtrARw4rroxIIepf2kipn1nw/formResponse?usp=pp_url&amp;entry.1313582257=3081717964&amp;entry.1578404635=Hadir</v>
      </c>
      <c r="R526" s="23" t="s">
        <v>6840</v>
      </c>
      <c r="S526" s="39"/>
      <c r="T526" s="39"/>
      <c r="U526" s="39"/>
      <c r="V526" s="39"/>
    </row>
    <row r="527" ht="22.5" customHeight="1">
      <c r="A527" s="12">
        <v>18.0</v>
      </c>
      <c r="B527" s="32">
        <v>11.0</v>
      </c>
      <c r="C527" s="51" t="s">
        <v>6841</v>
      </c>
      <c r="D527" s="52">
        <v>2.42510116E8</v>
      </c>
      <c r="E527" s="32" t="s">
        <v>3047</v>
      </c>
      <c r="F527" s="32" t="s">
        <v>227</v>
      </c>
      <c r="G527" s="12">
        <v>32.0</v>
      </c>
      <c r="H527" s="48" t="str">
        <f t="shared" si="4"/>
        <v>  XI A-1</v>
      </c>
      <c r="I527" s="28" t="str">
        <f t="shared" si="2"/>
        <v>32 - GC X-7</v>
      </c>
      <c r="J527" s="20" t="str">
        <f>VLOOKUP(I527,'Database Grup SCC'!$B$2:$C1382,2,false)</f>
        <v>Najmi (XII)</v>
      </c>
      <c r="K527" s="50" t="str">
        <f>VLOOKUP(D527,'Data Siswa Mentah 32 Kelas X'!$C$8:$E1382,3,false)</f>
        <v>X-7</v>
      </c>
      <c r="L527" s="50" t="s">
        <v>6820</v>
      </c>
      <c r="M527" s="50"/>
      <c r="N527" s="33" t="s">
        <v>6842</v>
      </c>
      <c r="O527" s="34"/>
      <c r="P527" s="34"/>
      <c r="Q527" s="24" t="str">
        <f t="shared" si="3"/>
        <v>https://docs.google.com/forms/d/e/1FAIpQLSeZ-R1GrWlAPkfaThGqxeTj0QTtrARw4rroxIIepf2kipn1nw/formResponse?usp=pp_url&amp;entry.1313582257=0083076557&amp;entry.1578404635=Hadir</v>
      </c>
      <c r="R527" s="23" t="s">
        <v>6843</v>
      </c>
      <c r="S527" s="39"/>
      <c r="T527" s="39"/>
      <c r="U527" s="39"/>
      <c r="V527" s="39"/>
    </row>
    <row r="528" ht="22.5" customHeight="1">
      <c r="A528" s="12">
        <v>19.0</v>
      </c>
      <c r="B528" s="32">
        <v>12.0</v>
      </c>
      <c r="C528" s="51" t="s">
        <v>6844</v>
      </c>
      <c r="D528" s="52">
        <v>2.42510126E8</v>
      </c>
      <c r="E528" s="32" t="s">
        <v>3052</v>
      </c>
      <c r="F528" s="32" t="s">
        <v>227</v>
      </c>
      <c r="G528" s="12">
        <v>32.0</v>
      </c>
      <c r="H528" s="48" t="str">
        <f t="shared" si="4"/>
        <v>  XI A-1</v>
      </c>
      <c r="I528" s="28" t="str">
        <f t="shared" si="2"/>
        <v>32 - GC X-12</v>
      </c>
      <c r="J528" s="20" t="str">
        <f>VLOOKUP(I528,'Database Grup SCC'!$B$2:$C1382,2,false)</f>
        <v>Farisa (XII)</v>
      </c>
      <c r="K528" s="50" t="str">
        <f>VLOOKUP(D528,'Data Siswa Mentah 32 Kelas X'!$C$8:$E1382,3,false)</f>
        <v>X-12</v>
      </c>
      <c r="L528" s="50" t="s">
        <v>6820</v>
      </c>
      <c r="M528" s="50"/>
      <c r="N528" s="33" t="s">
        <v>6845</v>
      </c>
      <c r="O528" s="34"/>
      <c r="P528" s="34"/>
      <c r="Q528" s="24" t="str">
        <f t="shared" si="3"/>
        <v>https://docs.google.com/forms/d/e/1FAIpQLSeZ-R1GrWlAPkfaThGqxeTj0QTtrARw4rroxIIepf2kipn1nw/formResponse?usp=pp_url&amp;entry.1313582257=0093137843&amp;entry.1578404635=Hadir</v>
      </c>
      <c r="R528" s="23" t="s">
        <v>6846</v>
      </c>
      <c r="S528" s="39"/>
      <c r="T528" s="39"/>
      <c r="U528" s="39"/>
      <c r="V528" s="39"/>
    </row>
    <row r="529" ht="22.5" customHeight="1">
      <c r="A529" s="12">
        <v>20.0</v>
      </c>
      <c r="B529" s="32">
        <v>13.0</v>
      </c>
      <c r="C529" s="32">
        <v>3.09082869E9</v>
      </c>
      <c r="D529" s="52">
        <v>2.42510159E8</v>
      </c>
      <c r="E529" s="32" t="s">
        <v>3057</v>
      </c>
      <c r="F529" s="32" t="s">
        <v>220</v>
      </c>
      <c r="G529" s="12">
        <v>32.0</v>
      </c>
      <c r="H529" s="48" t="str">
        <f t="shared" si="4"/>
        <v>  XI A-1</v>
      </c>
      <c r="I529" s="28" t="str">
        <f t="shared" si="2"/>
        <v>33 - BC X-3</v>
      </c>
      <c r="J529" s="20" t="str">
        <f>VLOOKUP(I529,'Database Grup SCC'!$B$2:$C1382,2,false)</f>
        <v>Angga</v>
      </c>
      <c r="K529" s="50" t="str">
        <f>VLOOKUP(D529,'Data Siswa Mentah 32 Kelas X'!$C$8:$E1382,3,false)</f>
        <v>X-3</v>
      </c>
      <c r="L529" s="50" t="s">
        <v>6820</v>
      </c>
      <c r="M529" s="50"/>
      <c r="N529" s="33" t="s">
        <v>5507</v>
      </c>
      <c r="O529" s="34"/>
      <c r="P529" s="34"/>
      <c r="Q529" s="24" t="str">
        <f t="shared" si="3"/>
        <v>https://docs.google.com/forms/d/e/1FAIpQLSeZ-R1GrWlAPkfaThGqxeTj0QTtrARw4rroxIIepf2kipn1nw/formResponse?usp=pp_url&amp;entry.1313582257=3090828690&amp;entry.1578404635=Hadir</v>
      </c>
      <c r="R529" s="23" t="s">
        <v>6847</v>
      </c>
      <c r="S529" s="39"/>
      <c r="T529" s="39"/>
      <c r="U529" s="39"/>
      <c r="V529" s="39"/>
    </row>
    <row r="530" ht="22.5" customHeight="1">
      <c r="A530" s="12">
        <v>21.0</v>
      </c>
      <c r="B530" s="32">
        <v>14.0</v>
      </c>
      <c r="C530" s="51" t="s">
        <v>6848</v>
      </c>
      <c r="D530" s="52">
        <v>2.42510173E8</v>
      </c>
      <c r="E530" s="32" t="s">
        <v>3063</v>
      </c>
      <c r="F530" s="32" t="s">
        <v>220</v>
      </c>
      <c r="G530" s="12">
        <v>32.0</v>
      </c>
      <c r="H530" s="48" t="str">
        <f t="shared" si="4"/>
        <v>  XI A-1</v>
      </c>
      <c r="I530" s="28" t="str">
        <f t="shared" si="2"/>
        <v>33 - BC X-7</v>
      </c>
      <c r="J530" s="20" t="str">
        <f>VLOOKUP(I530,'Database Grup SCC'!$B$2:$C1382,2,false)</f>
        <v>Rizza Al-Farisi</v>
      </c>
      <c r="K530" s="50" t="str">
        <f>VLOOKUP(D530,'Data Siswa Mentah 32 Kelas X'!$C$8:$E1382,3,false)</f>
        <v>X-7</v>
      </c>
      <c r="L530" s="50" t="s">
        <v>6820</v>
      </c>
      <c r="M530" s="50"/>
      <c r="N530" s="33" t="s">
        <v>6005</v>
      </c>
      <c r="O530" s="34"/>
      <c r="P530" s="34"/>
      <c r="Q530" s="24" t="str">
        <f t="shared" si="3"/>
        <v>https://docs.google.com/forms/d/e/1FAIpQLSeZ-R1GrWlAPkfaThGqxeTj0QTtrARw4rroxIIepf2kipn1nw/formResponse?usp=pp_url&amp;entry.1313582257=0088101729&amp;entry.1578404635=Hadir</v>
      </c>
      <c r="R530" s="23" t="s">
        <v>6849</v>
      </c>
      <c r="S530" s="39"/>
      <c r="T530" s="39"/>
      <c r="U530" s="39"/>
      <c r="V530" s="39"/>
    </row>
    <row r="531" ht="22.5" customHeight="1">
      <c r="A531" s="12">
        <v>22.0</v>
      </c>
      <c r="B531" s="32">
        <v>15.0</v>
      </c>
      <c r="C531" s="51" t="s">
        <v>6850</v>
      </c>
      <c r="D531" s="52">
        <v>2.42510183E8</v>
      </c>
      <c r="E531" s="32" t="s">
        <v>3068</v>
      </c>
      <c r="F531" s="32" t="s">
        <v>227</v>
      </c>
      <c r="G531" s="12">
        <v>32.0</v>
      </c>
      <c r="H531" s="48" t="str">
        <f t="shared" si="4"/>
        <v>  XI A-1</v>
      </c>
      <c r="I531" s="28" t="str">
        <f t="shared" si="2"/>
        <v>32 - GC X-1</v>
      </c>
      <c r="J531" s="20" t="str">
        <f>VLOOKUP(I531,'Database Grup SCC'!$B$2:$C1382,2,false)</f>
        <v>Nia</v>
      </c>
      <c r="K531" s="50" t="str">
        <f>VLOOKUP(D531,'Data Siswa Mentah 32 Kelas X'!$C$8:$E1382,3,false)</f>
        <v>X-1</v>
      </c>
      <c r="L531" s="50" t="s">
        <v>6820</v>
      </c>
      <c r="M531" s="50"/>
      <c r="N531" s="33" t="s">
        <v>6829</v>
      </c>
      <c r="O531" s="34"/>
      <c r="P531" s="34"/>
      <c r="Q531" s="24" t="str">
        <f t="shared" si="3"/>
        <v>https://docs.google.com/forms/d/e/1FAIpQLSeZ-R1GrWlAPkfaThGqxeTj0QTtrARw4rroxIIepf2kipn1nw/formResponse?usp=pp_url&amp;entry.1313582257=0099940887&amp;entry.1578404635=Hadir</v>
      </c>
      <c r="R531" s="23" t="s">
        <v>6851</v>
      </c>
      <c r="S531" s="39"/>
      <c r="T531" s="39"/>
      <c r="U531" s="39"/>
      <c r="V531" s="39"/>
    </row>
    <row r="532" ht="22.5" customHeight="1">
      <c r="A532" s="12">
        <v>23.0</v>
      </c>
      <c r="B532" s="32">
        <v>16.0</v>
      </c>
      <c r="C532" s="51" t="s">
        <v>6852</v>
      </c>
      <c r="D532" s="52">
        <v>2.42510188E8</v>
      </c>
      <c r="E532" s="32" t="s">
        <v>3073</v>
      </c>
      <c r="F532" s="32" t="s">
        <v>227</v>
      </c>
      <c r="G532" s="12">
        <v>32.0</v>
      </c>
      <c r="H532" s="48" t="str">
        <f t="shared" si="4"/>
        <v>  XI A-1</v>
      </c>
      <c r="I532" s="28" t="str">
        <f t="shared" si="2"/>
        <v>32 - GC X-4</v>
      </c>
      <c r="J532" s="20" t="str">
        <f>VLOOKUP(I532,'Database Grup SCC'!$B$2:$C1382,2,false)</f>
        <v>Nadira</v>
      </c>
      <c r="K532" s="50" t="str">
        <f>VLOOKUP(D532,'Data Siswa Mentah 32 Kelas X'!$C$8:$E1382,3,false)</f>
        <v>X-4</v>
      </c>
      <c r="L532" s="50" t="s">
        <v>6820</v>
      </c>
      <c r="M532" s="50"/>
      <c r="N532" s="33" t="s">
        <v>6853</v>
      </c>
      <c r="O532" s="34"/>
      <c r="P532" s="34"/>
      <c r="Q532" s="24" t="str">
        <f t="shared" si="3"/>
        <v>https://docs.google.com/forms/d/e/1FAIpQLSeZ-R1GrWlAPkfaThGqxeTj0QTtrARw4rroxIIepf2kipn1nw/formResponse?usp=pp_url&amp;entry.1313582257=0096213576&amp;entry.1578404635=Hadir</v>
      </c>
      <c r="R532" s="23" t="s">
        <v>6854</v>
      </c>
      <c r="S532" s="39"/>
      <c r="T532" s="39"/>
      <c r="U532" s="39"/>
      <c r="V532" s="39"/>
    </row>
    <row r="533" ht="22.5" customHeight="1">
      <c r="A533" s="12">
        <v>24.0</v>
      </c>
      <c r="B533" s="32">
        <v>17.0</v>
      </c>
      <c r="C533" s="51" t="s">
        <v>6855</v>
      </c>
      <c r="D533" s="52">
        <v>2.42510189E8</v>
      </c>
      <c r="E533" s="32" t="s">
        <v>3078</v>
      </c>
      <c r="F533" s="32" t="s">
        <v>227</v>
      </c>
      <c r="G533" s="12">
        <v>32.0</v>
      </c>
      <c r="H533" s="48" t="str">
        <f t="shared" si="4"/>
        <v>  XI A-1</v>
      </c>
      <c r="I533" s="28" t="str">
        <f t="shared" si="2"/>
        <v>32 - GC X-1</v>
      </c>
      <c r="J533" s="20" t="str">
        <f>VLOOKUP(I533,'Database Grup SCC'!$B$2:$C1382,2,false)</f>
        <v>Nia</v>
      </c>
      <c r="K533" s="50" t="str">
        <f>VLOOKUP(D533,'Data Siswa Mentah 32 Kelas X'!$C$8:$E1382,3,false)</f>
        <v>X-1</v>
      </c>
      <c r="L533" s="50" t="s">
        <v>6820</v>
      </c>
      <c r="M533" s="50"/>
      <c r="N533" s="33" t="s">
        <v>6829</v>
      </c>
      <c r="O533" s="34"/>
      <c r="P533" s="34"/>
      <c r="Q533" s="24" t="str">
        <f t="shared" si="3"/>
        <v>https://docs.google.com/forms/d/e/1FAIpQLSeZ-R1GrWlAPkfaThGqxeTj0QTtrARw4rroxIIepf2kipn1nw/formResponse?usp=pp_url&amp;entry.1313582257=0091012038&amp;entry.1578404635=Hadir</v>
      </c>
      <c r="R533" s="23" t="s">
        <v>6856</v>
      </c>
      <c r="S533" s="39"/>
      <c r="T533" s="39"/>
      <c r="U533" s="39"/>
      <c r="V533" s="39"/>
    </row>
    <row r="534" ht="22.5" customHeight="1">
      <c r="A534" s="12">
        <v>25.0</v>
      </c>
      <c r="B534" s="32">
        <v>18.0</v>
      </c>
      <c r="C534" s="51" t="s">
        <v>6857</v>
      </c>
      <c r="D534" s="52">
        <v>2.42510201E8</v>
      </c>
      <c r="E534" s="32" t="s">
        <v>3083</v>
      </c>
      <c r="F534" s="32" t="s">
        <v>227</v>
      </c>
      <c r="G534" s="12">
        <v>32.0</v>
      </c>
      <c r="H534" s="48" t="str">
        <f t="shared" si="4"/>
        <v>  XI A-1</v>
      </c>
      <c r="I534" s="28" t="str">
        <f t="shared" si="2"/>
        <v>32 - GC X-8</v>
      </c>
      <c r="J534" s="20" t="str">
        <f>VLOOKUP(I534,'Database Grup SCC'!$B$2:$C1382,2,false)</f>
        <v>Amel (XII)</v>
      </c>
      <c r="K534" s="50" t="str">
        <f>VLOOKUP(D534,'Data Siswa Mentah 32 Kelas X'!$C$8:$E1382,3,false)</f>
        <v>X-8</v>
      </c>
      <c r="L534" s="50" t="s">
        <v>6820</v>
      </c>
      <c r="M534" s="50"/>
      <c r="N534" s="33" t="s">
        <v>6858</v>
      </c>
      <c r="O534" s="34"/>
      <c r="P534" s="34"/>
      <c r="Q534" s="24" t="str">
        <f t="shared" si="3"/>
        <v>https://docs.google.com/forms/d/e/1FAIpQLSeZ-R1GrWlAPkfaThGqxeTj0QTtrARw4rroxIIepf2kipn1nw/formResponse?usp=pp_url&amp;entry.1313582257=0097202517&amp;entry.1578404635=Hadir</v>
      </c>
      <c r="R534" s="23" t="s">
        <v>6859</v>
      </c>
      <c r="S534" s="39"/>
      <c r="T534" s="39"/>
      <c r="U534" s="39"/>
      <c r="V534" s="39"/>
    </row>
    <row r="535" ht="22.5" customHeight="1">
      <c r="A535" s="12">
        <v>26.0</v>
      </c>
      <c r="B535" s="32">
        <v>19.0</v>
      </c>
      <c r="C535" s="51" t="s">
        <v>6860</v>
      </c>
      <c r="D535" s="52">
        <v>2.42510206E8</v>
      </c>
      <c r="E535" s="32" t="s">
        <v>3088</v>
      </c>
      <c r="F535" s="32" t="s">
        <v>227</v>
      </c>
      <c r="G535" s="12">
        <v>32.0</v>
      </c>
      <c r="H535" s="48" t="str">
        <f t="shared" si="4"/>
        <v>  XI A-1</v>
      </c>
      <c r="I535" s="28" t="str">
        <f t="shared" si="2"/>
        <v>32 - GC X-4</v>
      </c>
      <c r="J535" s="20" t="str">
        <f>VLOOKUP(I535,'Database Grup SCC'!$B$2:$C1382,2,false)</f>
        <v>Nadira</v>
      </c>
      <c r="K535" s="50" t="str">
        <f>VLOOKUP(D535,'Data Siswa Mentah 32 Kelas X'!$C$8:$E1382,3,false)</f>
        <v>X-4</v>
      </c>
      <c r="L535" s="50" t="s">
        <v>6820</v>
      </c>
      <c r="M535" s="50"/>
      <c r="N535" s="33" t="s">
        <v>6853</v>
      </c>
      <c r="O535" s="34"/>
      <c r="P535" s="34"/>
      <c r="Q535" s="24" t="str">
        <f t="shared" si="3"/>
        <v>https://docs.google.com/forms/d/e/1FAIpQLSeZ-R1GrWlAPkfaThGqxeTj0QTtrARw4rroxIIepf2kipn1nw/formResponse?usp=pp_url&amp;entry.1313582257=0098256549&amp;entry.1578404635=Hadir</v>
      </c>
      <c r="R535" s="23" t="s">
        <v>6861</v>
      </c>
      <c r="S535" s="39"/>
      <c r="T535" s="39"/>
      <c r="U535" s="39"/>
      <c r="V535" s="39"/>
    </row>
    <row r="536" ht="22.5" customHeight="1">
      <c r="A536" s="12">
        <v>27.0</v>
      </c>
      <c r="B536" s="32">
        <v>20.0</v>
      </c>
      <c r="C536" s="51" t="s">
        <v>6862</v>
      </c>
      <c r="D536" s="52">
        <v>2.42510208E8</v>
      </c>
      <c r="E536" s="32" t="s">
        <v>3094</v>
      </c>
      <c r="F536" s="32" t="s">
        <v>227</v>
      </c>
      <c r="G536" s="12">
        <v>32.0</v>
      </c>
      <c r="H536" s="48" t="str">
        <f t="shared" si="4"/>
        <v>  XI A-1</v>
      </c>
      <c r="I536" s="28" t="str">
        <f t="shared" si="2"/>
        <v>32 - GC X-4</v>
      </c>
      <c r="J536" s="20" t="str">
        <f>VLOOKUP(I536,'Database Grup SCC'!$B$2:$C1382,2,false)</f>
        <v>Nadira</v>
      </c>
      <c r="K536" s="50" t="str">
        <f>VLOOKUP(D536,'Data Siswa Mentah 32 Kelas X'!$C$8:$E1382,3,false)</f>
        <v>X-4</v>
      </c>
      <c r="L536" s="50" t="s">
        <v>6820</v>
      </c>
      <c r="M536" s="50"/>
      <c r="N536" s="33" t="s">
        <v>6853</v>
      </c>
      <c r="O536" s="34"/>
      <c r="P536" s="34"/>
      <c r="Q536" s="24" t="str">
        <f t="shared" si="3"/>
        <v>https://docs.google.com/forms/d/e/1FAIpQLSeZ-R1GrWlAPkfaThGqxeTj0QTtrARw4rroxIIepf2kipn1nw/formResponse?usp=pp_url&amp;entry.1313582257=0093623036&amp;entry.1578404635=Hadir</v>
      </c>
      <c r="R536" s="23" t="s">
        <v>6863</v>
      </c>
      <c r="S536" s="39"/>
      <c r="T536" s="39"/>
      <c r="U536" s="39"/>
      <c r="V536" s="39"/>
    </row>
    <row r="537" ht="22.5" customHeight="1">
      <c r="A537" s="12">
        <v>28.0</v>
      </c>
      <c r="B537" s="32">
        <v>21.0</v>
      </c>
      <c r="C537" s="51" t="s">
        <v>6864</v>
      </c>
      <c r="D537" s="52">
        <v>2.42510209E8</v>
      </c>
      <c r="E537" s="32" t="s">
        <v>3099</v>
      </c>
      <c r="F537" s="32" t="s">
        <v>227</v>
      </c>
      <c r="G537" s="12">
        <v>32.0</v>
      </c>
      <c r="H537" s="48" t="str">
        <f t="shared" si="4"/>
        <v>  XI A-1</v>
      </c>
      <c r="I537" s="28" t="str">
        <f t="shared" si="2"/>
        <v>32 - GC X-10</v>
      </c>
      <c r="J537" s="20" t="str">
        <f>VLOOKUP(I537,'Database Grup SCC'!$B$2:$C1382,2,false)</f>
        <v>Athaya</v>
      </c>
      <c r="K537" s="50" t="str">
        <f>VLOOKUP(D537,'Data Siswa Mentah 32 Kelas X'!$C$8:$E1382,3,false)</f>
        <v>X-10</v>
      </c>
      <c r="L537" s="50" t="s">
        <v>6820</v>
      </c>
      <c r="M537" s="50"/>
      <c r="N537" s="33" t="s">
        <v>6865</v>
      </c>
      <c r="O537" s="34"/>
      <c r="P537" s="34"/>
      <c r="Q537" s="24" t="str">
        <f t="shared" si="3"/>
        <v>https://docs.google.com/forms/d/e/1FAIpQLSeZ-R1GrWlAPkfaThGqxeTj0QTtrARw4rroxIIepf2kipn1nw/formResponse?usp=pp_url&amp;entry.1313582257=0083667654&amp;entry.1578404635=Hadir</v>
      </c>
      <c r="R537" s="23" t="s">
        <v>6866</v>
      </c>
      <c r="S537" s="39"/>
      <c r="T537" s="39"/>
      <c r="U537" s="39"/>
      <c r="V537" s="39"/>
    </row>
    <row r="538" ht="22.5" customHeight="1">
      <c r="A538" s="12">
        <v>29.0</v>
      </c>
      <c r="B538" s="32">
        <v>22.0</v>
      </c>
      <c r="C538" s="32">
        <v>3.083447726E9</v>
      </c>
      <c r="D538" s="52">
        <v>2.42510257E8</v>
      </c>
      <c r="E538" s="32" t="s">
        <v>3104</v>
      </c>
      <c r="F538" s="32" t="s">
        <v>220</v>
      </c>
      <c r="G538" s="12">
        <v>32.0</v>
      </c>
      <c r="H538" s="48" t="str">
        <f t="shared" si="4"/>
        <v>  XI A-1</v>
      </c>
      <c r="I538" s="28" t="str">
        <f t="shared" si="2"/>
        <v>32 - BC X-1</v>
      </c>
      <c r="J538" s="20" t="str">
        <f>VLOOKUP(I538,'Database Grup SCC'!$B$2:$C1382,2,false)</f>
        <v>Arya</v>
      </c>
      <c r="K538" s="50" t="str">
        <f>VLOOKUP(D538,'Data Siswa Mentah 32 Kelas X'!$C$8:$E1382,3,false)</f>
        <v>X-1</v>
      </c>
      <c r="L538" s="50" t="s">
        <v>6820</v>
      </c>
      <c r="M538" s="50"/>
      <c r="N538" s="33" t="s">
        <v>6839</v>
      </c>
      <c r="O538" s="34"/>
      <c r="P538" s="34"/>
      <c r="Q538" s="24" t="str">
        <f t="shared" si="3"/>
        <v>https://docs.google.com/forms/d/e/1FAIpQLSeZ-R1GrWlAPkfaThGqxeTj0QTtrARw4rroxIIepf2kipn1nw/formResponse?usp=pp_url&amp;entry.1313582257=3083447726&amp;entry.1578404635=Hadir</v>
      </c>
      <c r="R538" s="23" t="s">
        <v>6867</v>
      </c>
      <c r="S538" s="39"/>
      <c r="T538" s="39"/>
      <c r="U538" s="39"/>
      <c r="V538" s="39"/>
    </row>
    <row r="539" ht="22.5" customHeight="1">
      <c r="A539" s="12">
        <v>30.0</v>
      </c>
      <c r="B539" s="32">
        <v>23.0</v>
      </c>
      <c r="C539" s="51" t="s">
        <v>6868</v>
      </c>
      <c r="D539" s="52">
        <v>2.42510281E8</v>
      </c>
      <c r="E539" s="32" t="s">
        <v>3109</v>
      </c>
      <c r="F539" s="32" t="s">
        <v>220</v>
      </c>
      <c r="G539" s="12">
        <v>32.0</v>
      </c>
      <c r="H539" s="48" t="str">
        <f t="shared" si="4"/>
        <v>  XI A-1</v>
      </c>
      <c r="I539" s="28" t="str">
        <f t="shared" si="2"/>
        <v>32 - BC X-2</v>
      </c>
      <c r="J539" s="20" t="str">
        <f>VLOOKUP(I539,'Database Grup SCC'!$B$2:$C1382,2,false)</f>
        <v>Rafli (XII)</v>
      </c>
      <c r="K539" s="50" t="str">
        <f>VLOOKUP(D539,'Data Siswa Mentah 32 Kelas X'!$C$8:$E1382,3,false)</f>
        <v>X-2</v>
      </c>
      <c r="L539" s="50" t="s">
        <v>6820</v>
      </c>
      <c r="M539" s="50"/>
      <c r="N539" s="33" t="s">
        <v>6869</v>
      </c>
      <c r="O539" s="34"/>
      <c r="P539" s="34"/>
      <c r="Q539" s="24" t="str">
        <f t="shared" si="3"/>
        <v>https://docs.google.com/forms/d/e/1FAIpQLSeZ-R1GrWlAPkfaThGqxeTj0QTtrARw4rroxIIepf2kipn1nw/formResponse?usp=pp_url&amp;entry.1313582257=0098849381&amp;entry.1578404635=Hadir</v>
      </c>
      <c r="R539" s="23" t="s">
        <v>6870</v>
      </c>
      <c r="S539" s="39"/>
      <c r="T539" s="39"/>
      <c r="U539" s="39"/>
      <c r="V539" s="39"/>
    </row>
    <row r="540" ht="22.5" customHeight="1">
      <c r="A540" s="12">
        <v>31.0</v>
      </c>
      <c r="B540" s="32">
        <v>24.0</v>
      </c>
      <c r="C540" s="51" t="s">
        <v>6871</v>
      </c>
      <c r="D540" s="52">
        <v>2.42510291E8</v>
      </c>
      <c r="E540" s="32" t="s">
        <v>3114</v>
      </c>
      <c r="F540" s="32" t="s">
        <v>227</v>
      </c>
      <c r="G540" s="12">
        <v>32.0</v>
      </c>
      <c r="H540" s="48" t="str">
        <f t="shared" si="4"/>
        <v>  XI A-1</v>
      </c>
      <c r="I540" s="28" t="str">
        <f t="shared" si="2"/>
        <v>32 - GC X-5</v>
      </c>
      <c r="J540" s="20" t="str">
        <f>VLOOKUP(I540,'Database Grup SCC'!$B$2:$C1382,2,false)</f>
        <v>Amel</v>
      </c>
      <c r="K540" s="50" t="str">
        <f>VLOOKUP(D540,'Data Siswa Mentah 32 Kelas X'!$C$8:$E1382,3,false)</f>
        <v>X-5</v>
      </c>
      <c r="L540" s="50" t="s">
        <v>6820</v>
      </c>
      <c r="M540" s="50"/>
      <c r="N540" s="33" t="s">
        <v>6872</v>
      </c>
      <c r="O540" s="34"/>
      <c r="P540" s="34"/>
      <c r="Q540" s="24" t="str">
        <f t="shared" si="3"/>
        <v>https://docs.google.com/forms/d/e/1FAIpQLSeZ-R1GrWlAPkfaThGqxeTj0QTtrARw4rroxIIepf2kipn1nw/formResponse?usp=pp_url&amp;entry.1313582257=0097736512&amp;entry.1578404635=Hadir</v>
      </c>
      <c r="R540" s="23" t="s">
        <v>6873</v>
      </c>
      <c r="S540" s="39"/>
      <c r="T540" s="39"/>
      <c r="U540" s="39"/>
      <c r="V540" s="39"/>
    </row>
    <row r="541" ht="22.5" customHeight="1">
      <c r="A541" s="12">
        <v>32.0</v>
      </c>
      <c r="B541" s="32">
        <v>25.0</v>
      </c>
      <c r="C541" s="51" t="s">
        <v>6874</v>
      </c>
      <c r="D541" s="52">
        <v>2.42510323E8</v>
      </c>
      <c r="E541" s="32" t="s">
        <v>3119</v>
      </c>
      <c r="F541" s="32" t="s">
        <v>227</v>
      </c>
      <c r="G541" s="12">
        <v>32.0</v>
      </c>
      <c r="H541" s="48" t="str">
        <f t="shared" si="4"/>
        <v>  XI A-1</v>
      </c>
      <c r="I541" s="28" t="str">
        <f t="shared" si="2"/>
        <v>32 - GC X-8</v>
      </c>
      <c r="J541" s="20" t="str">
        <f>VLOOKUP(I541,'Database Grup SCC'!$B$2:$C1382,2,false)</f>
        <v>Amel (XII)</v>
      </c>
      <c r="K541" s="50" t="str">
        <f>VLOOKUP(D541,'Data Siswa Mentah 32 Kelas X'!$C$8:$E1382,3,false)</f>
        <v>X-8</v>
      </c>
      <c r="L541" s="50" t="s">
        <v>6820</v>
      </c>
      <c r="M541" s="50"/>
      <c r="N541" s="33" t="s">
        <v>6858</v>
      </c>
      <c r="O541" s="34"/>
      <c r="P541" s="34"/>
      <c r="Q541" s="24" t="str">
        <f t="shared" si="3"/>
        <v>https://docs.google.com/forms/d/e/1FAIpQLSeZ-R1GrWlAPkfaThGqxeTj0QTtrARw4rroxIIepf2kipn1nw/formResponse?usp=pp_url&amp;entry.1313582257=0083833819&amp;entry.1578404635=Hadir</v>
      </c>
      <c r="R541" s="23" t="s">
        <v>6875</v>
      </c>
      <c r="S541" s="39"/>
      <c r="T541" s="39"/>
      <c r="U541" s="39"/>
      <c r="V541" s="39"/>
    </row>
    <row r="542" ht="22.5" customHeight="1">
      <c r="A542" s="12">
        <v>33.0</v>
      </c>
      <c r="B542" s="32">
        <v>26.0</v>
      </c>
      <c r="C542" s="51" t="s">
        <v>6876</v>
      </c>
      <c r="D542" s="52">
        <v>2.42510325E8</v>
      </c>
      <c r="E542" s="32" t="s">
        <v>3125</v>
      </c>
      <c r="F542" s="32" t="s">
        <v>227</v>
      </c>
      <c r="G542" s="12">
        <v>32.0</v>
      </c>
      <c r="H542" s="48" t="str">
        <f t="shared" si="4"/>
        <v>  XI A-1</v>
      </c>
      <c r="I542" s="28" t="str">
        <f t="shared" si="2"/>
        <v>32 - GC X-7</v>
      </c>
      <c r="J542" s="20" t="str">
        <f>VLOOKUP(I542,'Database Grup SCC'!$B$2:$C1382,2,false)</f>
        <v>Najmi (XII)</v>
      </c>
      <c r="K542" s="50" t="str">
        <f>VLOOKUP(D542,'Data Siswa Mentah 32 Kelas X'!$C$8:$E1382,3,false)</f>
        <v>X-7</v>
      </c>
      <c r="L542" s="50" t="s">
        <v>6820</v>
      </c>
      <c r="M542" s="50"/>
      <c r="N542" s="33" t="s">
        <v>6842</v>
      </c>
      <c r="O542" s="34"/>
      <c r="P542" s="34"/>
      <c r="Q542" s="24" t="str">
        <f t="shared" si="3"/>
        <v>https://docs.google.com/forms/d/e/1FAIpQLSeZ-R1GrWlAPkfaThGqxeTj0QTtrARw4rroxIIepf2kipn1nw/formResponse?usp=pp_url&amp;entry.1313582257=0094989387&amp;entry.1578404635=Hadir</v>
      </c>
      <c r="R542" s="23" t="s">
        <v>6877</v>
      </c>
      <c r="S542" s="39"/>
      <c r="T542" s="39"/>
      <c r="U542" s="39"/>
      <c r="V542" s="39"/>
    </row>
    <row r="543" ht="22.5" customHeight="1">
      <c r="A543" s="12">
        <v>34.0</v>
      </c>
      <c r="B543" s="32">
        <v>27.0</v>
      </c>
      <c r="C543" s="51" t="s">
        <v>6878</v>
      </c>
      <c r="D543" s="52">
        <v>2.42510336E8</v>
      </c>
      <c r="E543" s="32" t="s">
        <v>3130</v>
      </c>
      <c r="F543" s="32" t="s">
        <v>227</v>
      </c>
      <c r="G543" s="12">
        <v>32.0</v>
      </c>
      <c r="H543" s="48" t="str">
        <f t="shared" si="4"/>
        <v>  XI A-1</v>
      </c>
      <c r="I543" s="28" t="str">
        <f t="shared" si="2"/>
        <v>32 - GC X-3</v>
      </c>
      <c r="J543" s="20" t="str">
        <f>VLOOKUP(I543,'Database Grup SCC'!$B$2:$C1382,2,false)</f>
        <v>Devi</v>
      </c>
      <c r="K543" s="50" t="str">
        <f>VLOOKUP(D543,'Data Siswa Mentah 32 Kelas X'!$C$8:$E1382,3,false)</f>
        <v>X-3</v>
      </c>
      <c r="L543" s="50" t="s">
        <v>6820</v>
      </c>
      <c r="M543" s="50"/>
      <c r="N543" s="33" t="s">
        <v>6879</v>
      </c>
      <c r="O543" s="34"/>
      <c r="P543" s="34"/>
      <c r="Q543" s="24" t="str">
        <f t="shared" si="3"/>
        <v>https://docs.google.com/forms/d/e/1FAIpQLSeZ-R1GrWlAPkfaThGqxeTj0QTtrARw4rroxIIepf2kipn1nw/formResponse?usp=pp_url&amp;entry.1313582257=0091033788&amp;entry.1578404635=Hadir</v>
      </c>
      <c r="R543" s="23" t="s">
        <v>6880</v>
      </c>
      <c r="S543" s="39"/>
      <c r="T543" s="39"/>
      <c r="U543" s="39"/>
      <c r="V543" s="39"/>
    </row>
    <row r="544" ht="22.5" customHeight="1">
      <c r="A544" s="12">
        <v>35.0</v>
      </c>
      <c r="B544" s="32">
        <v>28.0</v>
      </c>
      <c r="C544" s="32">
        <v>3.098805753E9</v>
      </c>
      <c r="D544" s="52">
        <v>2.42510342E8</v>
      </c>
      <c r="E544" s="32" t="s">
        <v>3135</v>
      </c>
      <c r="F544" s="32" t="s">
        <v>227</v>
      </c>
      <c r="G544" s="12">
        <v>32.0</v>
      </c>
      <c r="H544" s="48" t="str">
        <f t="shared" si="4"/>
        <v>  XI A-1</v>
      </c>
      <c r="I544" s="28" t="str">
        <f t="shared" si="2"/>
        <v>32 - GC X-5</v>
      </c>
      <c r="J544" s="20" t="str">
        <f>VLOOKUP(I544,'Database Grup SCC'!$B$2:$C1382,2,false)</f>
        <v>Amel</v>
      </c>
      <c r="K544" s="50" t="str">
        <f>VLOOKUP(D544,'Data Siswa Mentah 32 Kelas X'!$C$8:$E1382,3,false)</f>
        <v>X-5</v>
      </c>
      <c r="L544" s="50" t="s">
        <v>6820</v>
      </c>
      <c r="M544" s="50"/>
      <c r="N544" s="33" t="s">
        <v>6872</v>
      </c>
      <c r="O544" s="34"/>
      <c r="P544" s="34"/>
      <c r="Q544" s="24" t="str">
        <f t="shared" si="3"/>
        <v>https://docs.google.com/forms/d/e/1FAIpQLSeZ-R1GrWlAPkfaThGqxeTj0QTtrARw4rroxIIepf2kipn1nw/formResponse?usp=pp_url&amp;entry.1313582257=3098805753&amp;entry.1578404635=Hadir</v>
      </c>
      <c r="R544" s="23" t="s">
        <v>6881</v>
      </c>
      <c r="S544" s="39"/>
      <c r="T544" s="39"/>
      <c r="U544" s="39"/>
      <c r="V544" s="39"/>
    </row>
    <row r="545" ht="22.5" customHeight="1">
      <c r="A545" s="12">
        <v>36.0</v>
      </c>
      <c r="B545" s="32">
        <v>29.0</v>
      </c>
      <c r="C545" s="51" t="s">
        <v>6882</v>
      </c>
      <c r="D545" s="52">
        <v>2.42510388E8</v>
      </c>
      <c r="E545" s="32" t="s">
        <v>3140</v>
      </c>
      <c r="F545" s="32" t="s">
        <v>227</v>
      </c>
      <c r="G545" s="12">
        <v>32.0</v>
      </c>
      <c r="H545" s="48" t="str">
        <f t="shared" si="4"/>
        <v>  XI A-1</v>
      </c>
      <c r="I545" s="28" t="str">
        <f t="shared" si="2"/>
        <v>32 - GC X-11</v>
      </c>
      <c r="J545" s="20" t="str">
        <f>VLOOKUP(I545,'Database Grup SCC'!$B$2:$C1382,2,false)</f>
        <v>Kia (XII)</v>
      </c>
      <c r="K545" s="50" t="str">
        <f>VLOOKUP(D545,'Data Siswa Mentah 32 Kelas X'!$C$8:$E1382,3,false)</f>
        <v>X-11</v>
      </c>
      <c r="L545" s="50" t="s">
        <v>6820</v>
      </c>
      <c r="M545" s="50"/>
      <c r="N545" s="33" t="s">
        <v>6883</v>
      </c>
      <c r="O545" s="34"/>
      <c r="P545" s="34"/>
      <c r="Q545" s="24" t="str">
        <f t="shared" si="3"/>
        <v>https://docs.google.com/forms/d/e/1FAIpQLSeZ-R1GrWlAPkfaThGqxeTj0QTtrARw4rroxIIepf2kipn1nw/formResponse?usp=pp_url&amp;entry.1313582257=0092827580&amp;entry.1578404635=Hadir</v>
      </c>
      <c r="R545" s="23" t="s">
        <v>6884</v>
      </c>
      <c r="S545" s="39"/>
      <c r="T545" s="39"/>
      <c r="U545" s="39"/>
      <c r="V545" s="39"/>
    </row>
    <row r="546" ht="22.5" customHeight="1">
      <c r="A546" s="12">
        <v>37.0</v>
      </c>
      <c r="B546" s="32">
        <v>30.0</v>
      </c>
      <c r="C546" s="51" t="s">
        <v>6885</v>
      </c>
      <c r="D546" s="52">
        <v>2.42510406E8</v>
      </c>
      <c r="E546" s="32" t="s">
        <v>3145</v>
      </c>
      <c r="F546" s="32" t="s">
        <v>220</v>
      </c>
      <c r="G546" s="12">
        <v>32.0</v>
      </c>
      <c r="H546" s="48" t="str">
        <f t="shared" si="4"/>
        <v>  XI A-1</v>
      </c>
      <c r="I546" s="28" t="str">
        <f t="shared" si="2"/>
        <v>32 - BC X-11</v>
      </c>
      <c r="J546" s="20" t="str">
        <f>VLOOKUP(I546,'Database Grup SCC'!$B$2:$C1382,2,false)</f>
        <v>Dimas</v>
      </c>
      <c r="K546" s="50" t="str">
        <f>VLOOKUP(D546,'Data Siswa Mentah 32 Kelas X'!$C$8:$E1382,3,false)</f>
        <v>X-11</v>
      </c>
      <c r="L546" s="50" t="s">
        <v>6820</v>
      </c>
      <c r="M546" s="50"/>
      <c r="N546" s="33" t="s">
        <v>6821</v>
      </c>
      <c r="O546" s="34"/>
      <c r="P546" s="34"/>
      <c r="Q546" s="24" t="str">
        <f t="shared" si="3"/>
        <v>https://docs.google.com/forms/d/e/1FAIpQLSeZ-R1GrWlAPkfaThGqxeTj0QTtrARw4rroxIIepf2kipn1nw/formResponse?usp=pp_url&amp;entry.1313582257=0084290235&amp;entry.1578404635=Hadir</v>
      </c>
      <c r="R546" s="23" t="s">
        <v>6886</v>
      </c>
      <c r="S546" s="39"/>
      <c r="T546" s="39"/>
      <c r="U546" s="39"/>
      <c r="V546" s="39"/>
    </row>
    <row r="547" ht="22.5" customHeight="1">
      <c r="A547" s="12">
        <v>38.0</v>
      </c>
      <c r="B547" s="32">
        <v>31.0</v>
      </c>
      <c r="C547" s="51" t="s">
        <v>6885</v>
      </c>
      <c r="D547" s="52">
        <v>2.42510406E8</v>
      </c>
      <c r="E547" s="32" t="s">
        <v>3150</v>
      </c>
      <c r="F547" s="32" t="s">
        <v>227</v>
      </c>
      <c r="G547" s="12">
        <v>32.0</v>
      </c>
      <c r="H547" s="48" t="str">
        <f t="shared" si="4"/>
        <v>  XI A-1</v>
      </c>
      <c r="I547" s="28" t="str">
        <f t="shared" si="2"/>
        <v>32 - GC X-11</v>
      </c>
      <c r="J547" s="20" t="str">
        <f>VLOOKUP(I547,'Database Grup SCC'!$B$2:$C1382,2,false)</f>
        <v>Kia (XII)</v>
      </c>
      <c r="K547" s="50" t="str">
        <f>VLOOKUP(D547,'Data Siswa Mentah 32 Kelas X'!$C$8:$E1382,3,false)</f>
        <v>X-11</v>
      </c>
      <c r="L547" s="50" t="s">
        <v>6820</v>
      </c>
      <c r="M547" s="50"/>
      <c r="N547" s="33" t="s">
        <v>6883</v>
      </c>
      <c r="O547" s="34"/>
      <c r="P547" s="34"/>
      <c r="Q547" s="24" t="str">
        <f t="shared" si="3"/>
        <v>https://docs.google.com/forms/d/e/1FAIpQLSeZ-R1GrWlAPkfaThGqxeTj0QTtrARw4rroxIIepf2kipn1nw/formResponse?usp=pp_url&amp;entry.1313582257=0084290235&amp;entry.1578404635=Hadir</v>
      </c>
      <c r="R547" s="23" t="s">
        <v>6886</v>
      </c>
      <c r="S547" s="39"/>
      <c r="T547" s="39"/>
      <c r="U547" s="39"/>
      <c r="V547" s="39"/>
    </row>
    <row r="548" ht="22.5" customHeight="1">
      <c r="A548" s="12">
        <v>39.0</v>
      </c>
      <c r="B548" s="32">
        <v>32.0</v>
      </c>
      <c r="C548" s="51" t="s">
        <v>6887</v>
      </c>
      <c r="D548" s="52">
        <v>2.42510414E8</v>
      </c>
      <c r="E548" s="32" t="s">
        <v>3156</v>
      </c>
      <c r="F548" s="32" t="s">
        <v>227</v>
      </c>
      <c r="G548" s="12">
        <v>32.0</v>
      </c>
      <c r="H548" s="48" t="str">
        <f t="shared" si="4"/>
        <v>  XI A-1</v>
      </c>
      <c r="I548" s="28" t="str">
        <f t="shared" si="2"/>
        <v>32 - GC X-7</v>
      </c>
      <c r="J548" s="20" t="str">
        <f>VLOOKUP(I548,'Database Grup SCC'!$B$2:$C1382,2,false)</f>
        <v>Najmi (XII)</v>
      </c>
      <c r="K548" s="50" t="str">
        <f>VLOOKUP(D548,'Data Siswa Mentah 32 Kelas X'!$C$8:$E1382,3,false)</f>
        <v>X-7</v>
      </c>
      <c r="L548" s="50" t="s">
        <v>6820</v>
      </c>
      <c r="M548" s="50"/>
      <c r="N548" s="33" t="s">
        <v>6842</v>
      </c>
      <c r="O548" s="34"/>
      <c r="P548" s="34"/>
      <c r="Q548" s="24" t="str">
        <f t="shared" si="3"/>
        <v>https://docs.google.com/forms/d/e/1FAIpQLSeZ-R1GrWlAPkfaThGqxeTj0QTtrARw4rroxIIepf2kipn1nw/formResponse?usp=pp_url&amp;entry.1313582257=0093286737&amp;entry.1578404635=Hadir</v>
      </c>
      <c r="R548" s="23" t="s">
        <v>6888</v>
      </c>
      <c r="S548" s="39"/>
      <c r="T548" s="39"/>
      <c r="U548" s="39"/>
      <c r="V548" s="39"/>
    </row>
    <row r="549" ht="22.5" customHeight="1">
      <c r="A549" s="12">
        <v>40.0</v>
      </c>
      <c r="B549" s="32">
        <v>33.0</v>
      </c>
      <c r="C549" s="51" t="s">
        <v>6889</v>
      </c>
      <c r="D549" s="52">
        <v>2.42510416E8</v>
      </c>
      <c r="E549" s="32" t="s">
        <v>3161</v>
      </c>
      <c r="F549" s="32" t="s">
        <v>227</v>
      </c>
      <c r="G549" s="12">
        <v>32.0</v>
      </c>
      <c r="H549" s="48" t="str">
        <f t="shared" si="4"/>
        <v>  XI A-1</v>
      </c>
      <c r="I549" s="28" t="str">
        <f t="shared" si="2"/>
        <v>32 - GC X-7</v>
      </c>
      <c r="J549" s="20" t="str">
        <f>VLOOKUP(I549,'Database Grup SCC'!$B$2:$C1382,2,false)</f>
        <v>Najmi (XII)</v>
      </c>
      <c r="K549" s="50" t="str">
        <f>VLOOKUP(D549,'Data Siswa Mentah 32 Kelas X'!$C$8:$E1382,3,false)</f>
        <v>X-7</v>
      </c>
      <c r="L549" s="50" t="s">
        <v>6820</v>
      </c>
      <c r="M549" s="50"/>
      <c r="N549" s="33" t="s">
        <v>6842</v>
      </c>
      <c r="O549" s="34"/>
      <c r="P549" s="34"/>
      <c r="Q549" s="24" t="str">
        <f t="shared" si="3"/>
        <v>https://docs.google.com/forms/d/e/1FAIpQLSeZ-R1GrWlAPkfaThGqxeTj0QTtrARw4rroxIIepf2kipn1nw/formResponse?usp=pp_url&amp;entry.1313582257=0091061057&amp;entry.1578404635=Hadir</v>
      </c>
      <c r="R549" s="23" t="s">
        <v>6890</v>
      </c>
      <c r="S549" s="39"/>
      <c r="T549" s="39"/>
      <c r="U549" s="39"/>
      <c r="V549" s="39"/>
    </row>
    <row r="550" ht="22.5" customHeight="1">
      <c r="A550" s="12">
        <v>41.0</v>
      </c>
      <c r="B550" s="32">
        <v>34.0</v>
      </c>
      <c r="C550" s="51" t="s">
        <v>6891</v>
      </c>
      <c r="D550" s="52">
        <v>2.42510426E8</v>
      </c>
      <c r="E550" s="32" t="s">
        <v>3166</v>
      </c>
      <c r="F550" s="32" t="s">
        <v>227</v>
      </c>
      <c r="G550" s="12">
        <v>32.0</v>
      </c>
      <c r="H550" s="48" t="str">
        <f t="shared" si="4"/>
        <v>  XI A-1</v>
      </c>
      <c r="I550" s="28" t="str">
        <f t="shared" si="2"/>
        <v>32 - GC X-11</v>
      </c>
      <c r="J550" s="20" t="str">
        <f>VLOOKUP(I550,'Database Grup SCC'!$B$2:$C1382,2,false)</f>
        <v>Kia (XII)</v>
      </c>
      <c r="K550" s="50" t="str">
        <f>VLOOKUP(D550,'Data Siswa Mentah 32 Kelas X'!$C$8:$E1382,3,false)</f>
        <v>X-11</v>
      </c>
      <c r="L550" s="50" t="s">
        <v>6820</v>
      </c>
      <c r="M550" s="50"/>
      <c r="N550" s="33" t="s">
        <v>6883</v>
      </c>
      <c r="O550" s="34"/>
      <c r="P550" s="34"/>
      <c r="Q550" s="24" t="str">
        <f t="shared" si="3"/>
        <v>https://docs.google.com/forms/d/e/1FAIpQLSeZ-R1GrWlAPkfaThGqxeTj0QTtrARw4rroxIIepf2kipn1nw/formResponse?usp=pp_url&amp;entry.1313582257=0095163025&amp;entry.1578404635=Hadir</v>
      </c>
      <c r="R550" s="23" t="s">
        <v>6892</v>
      </c>
      <c r="S550" s="39"/>
      <c r="T550" s="39"/>
      <c r="U550" s="39"/>
      <c r="V550" s="39"/>
    </row>
    <row r="551" ht="22.5" customHeight="1">
      <c r="A551" s="12">
        <v>42.0</v>
      </c>
      <c r="B551" s="32">
        <v>35.0</v>
      </c>
      <c r="C551" s="51" t="s">
        <v>6893</v>
      </c>
      <c r="D551" s="52">
        <v>2.4251043E8</v>
      </c>
      <c r="E551" s="32" t="s">
        <v>3172</v>
      </c>
      <c r="F551" s="32" t="s">
        <v>227</v>
      </c>
      <c r="G551" s="12">
        <v>32.0</v>
      </c>
      <c r="H551" s="48" t="str">
        <f t="shared" si="4"/>
        <v>  XI A-1</v>
      </c>
      <c r="I551" s="28" t="str">
        <f t="shared" si="2"/>
        <v>32 - GC X-5</v>
      </c>
      <c r="J551" s="20" t="str">
        <f>VLOOKUP(I551,'Database Grup SCC'!$B$2:$C1382,2,false)</f>
        <v>Amel</v>
      </c>
      <c r="K551" s="50" t="str">
        <f>VLOOKUP(D551,'Data Siswa Mentah 32 Kelas X'!$C$8:$E1382,3,false)</f>
        <v>X-5</v>
      </c>
      <c r="L551" s="50" t="s">
        <v>6820</v>
      </c>
      <c r="M551" s="50"/>
      <c r="N551" s="33" t="s">
        <v>6872</v>
      </c>
      <c r="O551" s="34"/>
      <c r="P551" s="34"/>
      <c r="Q551" s="24" t="str">
        <f t="shared" si="3"/>
        <v>https://docs.google.com/forms/d/e/1FAIpQLSeZ-R1GrWlAPkfaThGqxeTj0QTtrARw4rroxIIepf2kipn1nw/formResponse?usp=pp_url&amp;entry.1313582257=0082747470&amp;entry.1578404635=Hadir</v>
      </c>
      <c r="R551" s="23" t="s">
        <v>6894</v>
      </c>
      <c r="S551" s="39"/>
      <c r="T551" s="39"/>
      <c r="U551" s="39"/>
      <c r="V551" s="39"/>
    </row>
    <row r="552" ht="22.5" customHeight="1">
      <c r="A552" s="12">
        <v>43.0</v>
      </c>
      <c r="B552" s="32">
        <v>36.0</v>
      </c>
      <c r="C552" s="51" t="s">
        <v>6895</v>
      </c>
      <c r="D552" s="52">
        <v>2.42510432E8</v>
      </c>
      <c r="E552" s="32" t="s">
        <v>3177</v>
      </c>
      <c r="F552" s="32" t="s">
        <v>227</v>
      </c>
      <c r="G552" s="12">
        <v>32.0</v>
      </c>
      <c r="H552" s="48" t="str">
        <f t="shared" si="4"/>
        <v>  XI A-1</v>
      </c>
      <c r="I552" s="28" t="str">
        <f t="shared" si="2"/>
        <v>32 - GC X-1</v>
      </c>
      <c r="J552" s="20" t="str">
        <f>VLOOKUP(I552,'Database Grup SCC'!$B$2:$C1382,2,false)</f>
        <v>Nia</v>
      </c>
      <c r="K552" s="50" t="str">
        <f>VLOOKUP(D552,'Data Siswa Mentah 32 Kelas X'!$C$8:$E1382,3,false)</f>
        <v>X-1</v>
      </c>
      <c r="L552" s="50" t="s">
        <v>6820</v>
      </c>
      <c r="M552" s="50"/>
      <c r="N552" s="33" t="s">
        <v>6829</v>
      </c>
      <c r="O552" s="34"/>
      <c r="P552" s="34"/>
      <c r="Q552" s="24" t="str">
        <f t="shared" si="3"/>
        <v>https://docs.google.com/forms/d/e/1FAIpQLSeZ-R1GrWlAPkfaThGqxeTj0QTtrARw4rroxIIepf2kipn1nw/formResponse?usp=pp_url&amp;entry.1313582257=0085011294&amp;entry.1578404635=Hadir</v>
      </c>
      <c r="R552" s="23" t="s">
        <v>6896</v>
      </c>
      <c r="S552" s="39"/>
      <c r="T552" s="39"/>
      <c r="U552" s="39"/>
      <c r="V552" s="39"/>
    </row>
    <row r="553" ht="22.5" customHeight="1">
      <c r="A553" s="12">
        <v>55.0</v>
      </c>
      <c r="B553" s="32">
        <v>1.0</v>
      </c>
      <c r="C553" s="53" t="s">
        <v>6897</v>
      </c>
      <c r="D553" s="52">
        <v>2.42510005E8</v>
      </c>
      <c r="E553" s="32" t="s">
        <v>3182</v>
      </c>
      <c r="F553" s="32" t="s">
        <v>227</v>
      </c>
      <c r="G553" s="12">
        <v>32.0</v>
      </c>
      <c r="H553" s="48" t="str">
        <f t="shared" si="4"/>
        <v>  XI A-2</v>
      </c>
      <c r="I553" s="28" t="str">
        <f t="shared" si="2"/>
        <v>32 - GC X-1</v>
      </c>
      <c r="J553" s="20" t="str">
        <f>VLOOKUP(I553,'Database Grup SCC'!$B$2:$C1382,2,false)</f>
        <v>Nia</v>
      </c>
      <c r="K553" s="50" t="str">
        <f>VLOOKUP(D553,'Data Siswa Mentah 32 Kelas X'!$C$8:$E1382,3,false)</f>
        <v>X-1</v>
      </c>
      <c r="L553" s="50" t="s">
        <v>6898</v>
      </c>
      <c r="M553" s="50"/>
      <c r="N553" s="33" t="s">
        <v>6829</v>
      </c>
      <c r="O553" s="34"/>
      <c r="P553" s="34"/>
      <c r="Q553" s="24" t="str">
        <f t="shared" si="3"/>
        <v>https://docs.google.com/forms/d/e/1FAIpQLSeZ-R1GrWlAPkfaThGqxeTj0QTtrARw4rroxIIepf2kipn1nw/formResponse?usp=pp_url&amp;entry.1313582257=0092385645&amp;entry.1578404635=Hadir</v>
      </c>
      <c r="R553" s="23" t="s">
        <v>6899</v>
      </c>
      <c r="S553" s="39"/>
      <c r="T553" s="39"/>
      <c r="U553" s="39"/>
      <c r="V553" s="39"/>
    </row>
    <row r="554" ht="22.5" customHeight="1">
      <c r="A554" s="12">
        <v>56.0</v>
      </c>
      <c r="B554" s="32">
        <v>2.0</v>
      </c>
      <c r="C554" s="53" t="s">
        <v>6900</v>
      </c>
      <c r="D554" s="52">
        <v>2.42510007E8</v>
      </c>
      <c r="E554" s="32" t="s">
        <v>3188</v>
      </c>
      <c r="F554" s="32" t="s">
        <v>220</v>
      </c>
      <c r="G554" s="12">
        <v>32.0</v>
      </c>
      <c r="H554" s="48" t="str">
        <f t="shared" si="4"/>
        <v>  XI A-2</v>
      </c>
      <c r="I554" s="28" t="str">
        <f t="shared" si="2"/>
        <v>33 - BC X-10</v>
      </c>
      <c r="J554" s="20" t="str">
        <f>VLOOKUP(I554,'Database Grup SCC'!$B$2:$C1382,2,false)</f>
        <v>Irghi (XII)</v>
      </c>
      <c r="K554" s="50" t="str">
        <f>VLOOKUP(D554,'Data Siswa Mentah 32 Kelas X'!$C$8:$E1382,3,false)</f>
        <v>X-10</v>
      </c>
      <c r="L554" s="50" t="s">
        <v>6898</v>
      </c>
      <c r="M554" s="50"/>
      <c r="N554" s="33" t="s">
        <v>6425</v>
      </c>
      <c r="O554" s="34"/>
      <c r="P554" s="34"/>
      <c r="Q554" s="24" t="str">
        <f t="shared" si="3"/>
        <v>https://docs.google.com/forms/d/e/1FAIpQLSeZ-R1GrWlAPkfaThGqxeTj0QTtrARw4rroxIIepf2kipn1nw/formResponse?usp=pp_url&amp;entry.1313582257=0083638898&amp;entry.1578404635=Hadir</v>
      </c>
      <c r="R554" s="23" t="s">
        <v>6901</v>
      </c>
      <c r="S554" s="39"/>
      <c r="T554" s="39"/>
      <c r="U554" s="39"/>
      <c r="V554" s="39"/>
    </row>
    <row r="555" ht="22.5" customHeight="1">
      <c r="A555" s="12">
        <v>57.0</v>
      </c>
      <c r="B555" s="32">
        <v>3.0</v>
      </c>
      <c r="C555" s="53" t="s">
        <v>6902</v>
      </c>
      <c r="D555" s="52">
        <v>2.42510018E8</v>
      </c>
      <c r="E555" s="32" t="s">
        <v>3193</v>
      </c>
      <c r="F555" s="32" t="s">
        <v>227</v>
      </c>
      <c r="G555" s="12">
        <v>32.0</v>
      </c>
      <c r="H555" s="48" t="str">
        <f t="shared" si="4"/>
        <v>  XI A-2</v>
      </c>
      <c r="I555" s="28" t="str">
        <f t="shared" si="2"/>
        <v>32 - GC X-9</v>
      </c>
      <c r="J555" s="20" t="str">
        <f>VLOOKUP(I555,'Database Grup SCC'!$B$2:$C1382,2,false)</f>
        <v>Athaya</v>
      </c>
      <c r="K555" s="50" t="str">
        <f>VLOOKUP(D555,'Data Siswa Mentah 32 Kelas X'!$C$8:$E1382,3,false)</f>
        <v>X-9</v>
      </c>
      <c r="L555" s="50" t="s">
        <v>6898</v>
      </c>
      <c r="M555" s="50"/>
      <c r="N555" s="33" t="s">
        <v>6826</v>
      </c>
      <c r="O555" s="34"/>
      <c r="P555" s="34"/>
      <c r="Q555" s="24" t="str">
        <f t="shared" si="3"/>
        <v>https://docs.google.com/forms/d/e/1FAIpQLSeZ-R1GrWlAPkfaThGqxeTj0QTtrARw4rroxIIepf2kipn1nw/formResponse?usp=pp_url&amp;entry.1313582257=0083581318&amp;entry.1578404635=Hadir</v>
      </c>
      <c r="R555" s="23" t="s">
        <v>6903</v>
      </c>
      <c r="S555" s="39"/>
      <c r="T555" s="39"/>
      <c r="U555" s="39"/>
      <c r="V555" s="39"/>
    </row>
    <row r="556" ht="22.5" customHeight="1">
      <c r="A556" s="12">
        <v>58.0</v>
      </c>
      <c r="B556" s="32">
        <v>4.0</v>
      </c>
      <c r="C556" s="53" t="s">
        <v>6904</v>
      </c>
      <c r="D556" s="52">
        <v>2.42510028E8</v>
      </c>
      <c r="E556" s="32" t="s">
        <v>3199</v>
      </c>
      <c r="F556" s="32" t="s">
        <v>227</v>
      </c>
      <c r="G556" s="12">
        <v>32.0</v>
      </c>
      <c r="H556" s="48" t="str">
        <f t="shared" si="4"/>
        <v>  XI A-2</v>
      </c>
      <c r="I556" s="28" t="str">
        <f t="shared" si="2"/>
        <v>32 - GC X-7</v>
      </c>
      <c r="J556" s="20" t="str">
        <f>VLOOKUP(I556,'Database Grup SCC'!$B$2:$C1382,2,false)</f>
        <v>Najmi (XII)</v>
      </c>
      <c r="K556" s="50" t="str">
        <f>VLOOKUP(D556,'Data Siswa Mentah 32 Kelas X'!$C$8:$E1382,3,false)</f>
        <v>X-7</v>
      </c>
      <c r="L556" s="50" t="s">
        <v>6898</v>
      </c>
      <c r="M556" s="50"/>
      <c r="N556" s="33" t="s">
        <v>6842</v>
      </c>
      <c r="O556" s="34"/>
      <c r="P556" s="34"/>
      <c r="Q556" s="24" t="str">
        <f t="shared" si="3"/>
        <v>https://docs.google.com/forms/d/e/1FAIpQLSeZ-R1GrWlAPkfaThGqxeTj0QTtrARw4rroxIIepf2kipn1nw/formResponse?usp=pp_url&amp;entry.1313582257=0086733881&amp;entry.1578404635=Hadir</v>
      </c>
      <c r="R556" s="23" t="s">
        <v>6905</v>
      </c>
      <c r="S556" s="39"/>
      <c r="T556" s="39"/>
      <c r="U556" s="39"/>
      <c r="V556" s="39"/>
    </row>
    <row r="557" ht="22.5" customHeight="1">
      <c r="A557" s="12">
        <v>59.0</v>
      </c>
      <c r="B557" s="32">
        <v>5.0</v>
      </c>
      <c r="C557" s="53" t="s">
        <v>6906</v>
      </c>
      <c r="D557" s="52">
        <v>2.42510037E8</v>
      </c>
      <c r="E557" s="32" t="s">
        <v>3204</v>
      </c>
      <c r="F557" s="32" t="s">
        <v>227</v>
      </c>
      <c r="G557" s="12">
        <v>32.0</v>
      </c>
      <c r="H557" s="48" t="str">
        <f t="shared" si="4"/>
        <v>  XI A-2</v>
      </c>
      <c r="I557" s="28" t="str">
        <f t="shared" si="2"/>
        <v>32 - GC X-7</v>
      </c>
      <c r="J557" s="20" t="str">
        <f>VLOOKUP(I557,'Database Grup SCC'!$B$2:$C1382,2,false)</f>
        <v>Najmi (XII)</v>
      </c>
      <c r="K557" s="50" t="str">
        <f>VLOOKUP(D557,'Data Siswa Mentah 32 Kelas X'!$C$8:$E1382,3,false)</f>
        <v>X-7</v>
      </c>
      <c r="L557" s="50" t="s">
        <v>6898</v>
      </c>
      <c r="M557" s="50"/>
      <c r="N557" s="33" t="s">
        <v>6842</v>
      </c>
      <c r="O557" s="34"/>
      <c r="P557" s="34"/>
      <c r="Q557" s="24" t="str">
        <f t="shared" si="3"/>
        <v>https://docs.google.com/forms/d/e/1FAIpQLSeZ-R1GrWlAPkfaThGqxeTj0QTtrARw4rroxIIepf2kipn1nw/formResponse?usp=pp_url&amp;entry.1313582257=0098621054&amp;entry.1578404635=Hadir</v>
      </c>
      <c r="R557" s="23" t="s">
        <v>6907</v>
      </c>
      <c r="S557" s="39"/>
      <c r="T557" s="39"/>
      <c r="U557" s="39"/>
      <c r="V557" s="39"/>
    </row>
    <row r="558" ht="22.5" customHeight="1">
      <c r="A558" s="12">
        <v>60.0</v>
      </c>
      <c r="B558" s="32">
        <v>6.0</v>
      </c>
      <c r="C558" s="53" t="s">
        <v>6908</v>
      </c>
      <c r="D558" s="52">
        <v>2.42510046E8</v>
      </c>
      <c r="E558" s="32" t="s">
        <v>3209</v>
      </c>
      <c r="F558" s="32" t="s">
        <v>227</v>
      </c>
      <c r="G558" s="12">
        <v>32.0</v>
      </c>
      <c r="H558" s="48" t="str">
        <f t="shared" si="4"/>
        <v>  XI A-2</v>
      </c>
      <c r="I558" s="28" t="str">
        <f t="shared" si="2"/>
        <v>32 - GC X-5</v>
      </c>
      <c r="J558" s="20" t="str">
        <f>VLOOKUP(I558,'Database Grup SCC'!$B$2:$C1382,2,false)</f>
        <v>Amel</v>
      </c>
      <c r="K558" s="50" t="str">
        <f>VLOOKUP(D558,'Data Siswa Mentah 32 Kelas X'!$C$8:$E1382,3,false)</f>
        <v>X-5</v>
      </c>
      <c r="L558" s="50" t="s">
        <v>6898</v>
      </c>
      <c r="M558" s="50"/>
      <c r="N558" s="33" t="s">
        <v>6872</v>
      </c>
      <c r="O558" s="34"/>
      <c r="P558" s="34"/>
      <c r="Q558" s="24" t="str">
        <f t="shared" si="3"/>
        <v>https://docs.google.com/forms/d/e/1FAIpQLSeZ-R1GrWlAPkfaThGqxeTj0QTtrARw4rroxIIepf2kipn1nw/formResponse?usp=pp_url&amp;entry.1313582257=0092707821&amp;entry.1578404635=Hadir</v>
      </c>
      <c r="R558" s="23" t="s">
        <v>6909</v>
      </c>
      <c r="S558" s="39"/>
      <c r="T558" s="39"/>
      <c r="U558" s="39"/>
      <c r="V558" s="39"/>
    </row>
    <row r="559" ht="22.5" customHeight="1">
      <c r="A559" s="12">
        <v>61.0</v>
      </c>
      <c r="B559" s="32">
        <v>7.0</v>
      </c>
      <c r="C559" s="53" t="s">
        <v>6910</v>
      </c>
      <c r="D559" s="52">
        <v>2.42510052E8</v>
      </c>
      <c r="E559" s="32" t="s">
        <v>3213</v>
      </c>
      <c r="F559" s="32" t="s">
        <v>227</v>
      </c>
      <c r="G559" s="12">
        <v>32.0</v>
      </c>
      <c r="H559" s="48" t="str">
        <f t="shared" si="4"/>
        <v>  XI A-2</v>
      </c>
      <c r="I559" s="28" t="str">
        <f t="shared" si="2"/>
        <v>32 - GC X-4</v>
      </c>
      <c r="J559" s="20" t="str">
        <f>VLOOKUP(I559,'Database Grup SCC'!$B$2:$C1382,2,false)</f>
        <v>Nadira</v>
      </c>
      <c r="K559" s="50" t="str">
        <f>VLOOKUP(D559,'Data Siswa Mentah 32 Kelas X'!$C$8:$E1382,3,false)</f>
        <v>X-4</v>
      </c>
      <c r="L559" s="50" t="s">
        <v>6898</v>
      </c>
      <c r="M559" s="50"/>
      <c r="N559" s="33" t="s">
        <v>6853</v>
      </c>
      <c r="O559" s="34"/>
      <c r="P559" s="34"/>
      <c r="Q559" s="24" t="str">
        <f t="shared" si="3"/>
        <v>https://docs.google.com/forms/d/e/1FAIpQLSeZ-R1GrWlAPkfaThGqxeTj0QTtrARw4rroxIIepf2kipn1nw/formResponse?usp=pp_url&amp;entry.1313582257=0083016159&amp;entry.1578404635=Hadir</v>
      </c>
      <c r="R559" s="23" t="s">
        <v>6911</v>
      </c>
      <c r="S559" s="39"/>
      <c r="T559" s="39"/>
      <c r="U559" s="39"/>
      <c r="V559" s="39"/>
    </row>
    <row r="560" ht="22.5" customHeight="1">
      <c r="A560" s="12">
        <v>62.0</v>
      </c>
      <c r="B560" s="32">
        <v>8.0</v>
      </c>
      <c r="C560" s="53" t="s">
        <v>6912</v>
      </c>
      <c r="D560" s="52">
        <v>2.42510064E8</v>
      </c>
      <c r="E560" s="32" t="s">
        <v>3218</v>
      </c>
      <c r="F560" s="32" t="s">
        <v>227</v>
      </c>
      <c r="G560" s="12">
        <v>32.0</v>
      </c>
      <c r="H560" s="48" t="str">
        <f t="shared" si="4"/>
        <v>  XI A-2</v>
      </c>
      <c r="I560" s="28" t="str">
        <f t="shared" si="2"/>
        <v>32 - GC X-8</v>
      </c>
      <c r="J560" s="20" t="str">
        <f>VLOOKUP(I560,'Database Grup SCC'!$B$2:$C1382,2,false)</f>
        <v>Amel (XII)</v>
      </c>
      <c r="K560" s="50" t="str">
        <f>VLOOKUP(D560,'Data Siswa Mentah 32 Kelas X'!$C$8:$E1382,3,false)</f>
        <v>X-8</v>
      </c>
      <c r="L560" s="50" t="s">
        <v>6898</v>
      </c>
      <c r="M560" s="50"/>
      <c r="N560" s="33" t="s">
        <v>6858</v>
      </c>
      <c r="O560" s="34"/>
      <c r="P560" s="34"/>
      <c r="Q560" s="24" t="str">
        <f t="shared" si="3"/>
        <v>https://docs.google.com/forms/d/e/1FAIpQLSeZ-R1GrWlAPkfaThGqxeTj0QTtrARw4rroxIIepf2kipn1nw/formResponse?usp=pp_url&amp;entry.1313582257=0083641645&amp;entry.1578404635=Hadir</v>
      </c>
      <c r="R560" s="23" t="s">
        <v>6913</v>
      </c>
      <c r="S560" s="39"/>
      <c r="T560" s="39"/>
      <c r="U560" s="39"/>
      <c r="V560" s="39"/>
    </row>
    <row r="561" ht="22.5" customHeight="1">
      <c r="A561" s="12">
        <v>63.0</v>
      </c>
      <c r="B561" s="32">
        <v>9.0</v>
      </c>
      <c r="C561" s="53" t="s">
        <v>6914</v>
      </c>
      <c r="D561" s="52">
        <v>2.42510104E8</v>
      </c>
      <c r="E561" s="32" t="s">
        <v>3223</v>
      </c>
      <c r="F561" s="32" t="s">
        <v>220</v>
      </c>
      <c r="G561" s="12">
        <v>32.0</v>
      </c>
      <c r="H561" s="48" t="str">
        <f t="shared" si="4"/>
        <v>  XI A-2</v>
      </c>
      <c r="I561" s="28" t="str">
        <f t="shared" si="2"/>
        <v>33 - BC X-5</v>
      </c>
      <c r="J561" s="20" t="str">
        <f>VLOOKUP(I561,'Database Grup SCC'!$B$2:$C1382,2,false)</f>
        <v>Topik &amp; Adrian</v>
      </c>
      <c r="K561" s="50" t="str">
        <f>VLOOKUP(D561,'Data Siswa Mentah 32 Kelas X'!$C$8:$E1382,3,false)</f>
        <v>X-5</v>
      </c>
      <c r="L561" s="50" t="s">
        <v>6898</v>
      </c>
      <c r="M561" s="50"/>
      <c r="N561" s="33" t="s">
        <v>5770</v>
      </c>
      <c r="O561" s="34"/>
      <c r="P561" s="34"/>
      <c r="Q561" s="24" t="str">
        <f t="shared" si="3"/>
        <v>https://docs.google.com/forms/d/e/1FAIpQLSeZ-R1GrWlAPkfaThGqxeTj0QTtrARw4rroxIIepf2kipn1nw/formResponse?usp=pp_url&amp;entry.1313582257=0093262366&amp;entry.1578404635=Hadir</v>
      </c>
      <c r="R561" s="23" t="s">
        <v>6915</v>
      </c>
      <c r="S561" s="39"/>
      <c r="T561" s="39"/>
      <c r="U561" s="39"/>
      <c r="V561" s="39"/>
    </row>
    <row r="562" ht="22.5" customHeight="1">
      <c r="A562" s="12">
        <v>64.0</v>
      </c>
      <c r="B562" s="32">
        <v>10.0</v>
      </c>
      <c r="C562" s="53" t="s">
        <v>6916</v>
      </c>
      <c r="D562" s="52">
        <v>2.42510117E8</v>
      </c>
      <c r="E562" s="32" t="s">
        <v>3229</v>
      </c>
      <c r="F562" s="32" t="s">
        <v>227</v>
      </c>
      <c r="G562" s="12">
        <v>32.0</v>
      </c>
      <c r="H562" s="48" t="str">
        <f t="shared" si="4"/>
        <v>  XI A-2</v>
      </c>
      <c r="I562" s="28" t="str">
        <f t="shared" si="2"/>
        <v>32 - GC X-11</v>
      </c>
      <c r="J562" s="20" t="str">
        <f>VLOOKUP(I562,'Database Grup SCC'!$B$2:$C1382,2,false)</f>
        <v>Kia (XII)</v>
      </c>
      <c r="K562" s="50" t="str">
        <f>VLOOKUP(D562,'Data Siswa Mentah 32 Kelas X'!$C$8:$E1382,3,false)</f>
        <v>X-11</v>
      </c>
      <c r="L562" s="50" t="s">
        <v>6898</v>
      </c>
      <c r="M562" s="50"/>
      <c r="N562" s="33" t="s">
        <v>6883</v>
      </c>
      <c r="O562" s="34"/>
      <c r="P562" s="34"/>
      <c r="Q562" s="24" t="str">
        <f t="shared" si="3"/>
        <v>https://docs.google.com/forms/d/e/1FAIpQLSeZ-R1GrWlAPkfaThGqxeTj0QTtrARw4rroxIIepf2kipn1nw/formResponse?usp=pp_url&amp;entry.1313582257=0096851574&amp;entry.1578404635=Hadir</v>
      </c>
      <c r="R562" s="23" t="s">
        <v>6917</v>
      </c>
      <c r="S562" s="39"/>
      <c r="T562" s="39"/>
      <c r="U562" s="39"/>
      <c r="V562" s="39"/>
    </row>
    <row r="563" ht="22.5" customHeight="1">
      <c r="A563" s="12">
        <v>65.0</v>
      </c>
      <c r="B563" s="32">
        <v>11.0</v>
      </c>
      <c r="C563" s="53" t="s">
        <v>6918</v>
      </c>
      <c r="D563" s="52">
        <v>2.42510129E8</v>
      </c>
      <c r="E563" s="32" t="s">
        <v>3234</v>
      </c>
      <c r="F563" s="32" t="s">
        <v>227</v>
      </c>
      <c r="G563" s="12">
        <v>32.0</v>
      </c>
      <c r="H563" s="48" t="str">
        <f t="shared" si="4"/>
        <v>  XI A-2</v>
      </c>
      <c r="I563" s="28" t="str">
        <f t="shared" si="2"/>
        <v>32 - GC X-5</v>
      </c>
      <c r="J563" s="20" t="str">
        <f>VLOOKUP(I563,'Database Grup SCC'!$B$2:$C1382,2,false)</f>
        <v>Amel</v>
      </c>
      <c r="K563" s="50" t="str">
        <f>VLOOKUP(D563,'Data Siswa Mentah 32 Kelas X'!$C$8:$E1382,3,false)</f>
        <v>X-5</v>
      </c>
      <c r="L563" s="50" t="s">
        <v>6898</v>
      </c>
      <c r="M563" s="50"/>
      <c r="N563" s="33" t="s">
        <v>6872</v>
      </c>
      <c r="O563" s="34"/>
      <c r="P563" s="34"/>
      <c r="Q563" s="24" t="str">
        <f t="shared" si="3"/>
        <v>https://docs.google.com/forms/d/e/1FAIpQLSeZ-R1GrWlAPkfaThGqxeTj0QTtrARw4rroxIIepf2kipn1nw/formResponse?usp=pp_url&amp;entry.1313582257=0092622229&amp;entry.1578404635=Hadir</v>
      </c>
      <c r="R563" s="23" t="s">
        <v>6919</v>
      </c>
      <c r="S563" s="39"/>
      <c r="T563" s="39"/>
      <c r="U563" s="39"/>
      <c r="V563" s="39"/>
    </row>
    <row r="564" ht="22.5" customHeight="1">
      <c r="A564" s="12">
        <v>66.0</v>
      </c>
      <c r="B564" s="32">
        <v>12.0</v>
      </c>
      <c r="C564" s="53" t="s">
        <v>6920</v>
      </c>
      <c r="D564" s="52">
        <v>2.42510141E8</v>
      </c>
      <c r="E564" s="32" t="s">
        <v>3239</v>
      </c>
      <c r="F564" s="32" t="s">
        <v>227</v>
      </c>
      <c r="G564" s="12">
        <v>32.0</v>
      </c>
      <c r="H564" s="48" t="str">
        <f t="shared" si="4"/>
        <v>  XI A-2</v>
      </c>
      <c r="I564" s="28" t="str">
        <f t="shared" si="2"/>
        <v>32 - GC X-2</v>
      </c>
      <c r="J564" s="20" t="str">
        <f>VLOOKUP(I564,'Database Grup SCC'!$B$2:$C1382,2,false)</f>
        <v>Iga</v>
      </c>
      <c r="K564" s="50" t="str">
        <f>VLOOKUP(D564,'Data Siswa Mentah 32 Kelas X'!$C$8:$E1382,3,false)</f>
        <v>X-2</v>
      </c>
      <c r="L564" s="50" t="s">
        <v>6898</v>
      </c>
      <c r="M564" s="50"/>
      <c r="N564" s="33" t="s">
        <v>6921</v>
      </c>
      <c r="O564" s="34"/>
      <c r="P564" s="34"/>
      <c r="Q564" s="24" t="str">
        <f t="shared" si="3"/>
        <v>https://docs.google.com/forms/d/e/1FAIpQLSeZ-R1GrWlAPkfaThGqxeTj0QTtrARw4rroxIIepf2kipn1nw/formResponse?usp=pp_url&amp;entry.1313582257=0081916428&amp;entry.1578404635=Hadir</v>
      </c>
      <c r="R564" s="23" t="s">
        <v>6922</v>
      </c>
      <c r="S564" s="39"/>
      <c r="T564" s="39"/>
      <c r="U564" s="39"/>
      <c r="V564" s="39"/>
    </row>
    <row r="565" ht="22.5" customHeight="1">
      <c r="A565" s="12">
        <v>67.0</v>
      </c>
      <c r="B565" s="32">
        <v>13.0</v>
      </c>
      <c r="C565" s="53" t="s">
        <v>6923</v>
      </c>
      <c r="D565" s="52">
        <v>2.42510144E8</v>
      </c>
      <c r="E565" s="32" t="s">
        <v>3244</v>
      </c>
      <c r="F565" s="32" t="s">
        <v>227</v>
      </c>
      <c r="G565" s="12">
        <v>32.0</v>
      </c>
      <c r="H565" s="48" t="str">
        <f t="shared" si="4"/>
        <v>  XI A-2</v>
      </c>
      <c r="I565" s="28" t="str">
        <f t="shared" si="2"/>
        <v>32 - GC X-6</v>
      </c>
      <c r="J565" s="20" t="str">
        <f>VLOOKUP(I565,'Database Grup SCC'!$B$2:$C1382,2,false)</f>
        <v>Zalika</v>
      </c>
      <c r="K565" s="50" t="str">
        <f>VLOOKUP(D565,'Data Siswa Mentah 32 Kelas X'!$C$8:$E1382,3,false)</f>
        <v>X-6</v>
      </c>
      <c r="L565" s="50" t="s">
        <v>6898</v>
      </c>
      <c r="M565" s="50"/>
      <c r="N565" s="33" t="s">
        <v>6924</v>
      </c>
      <c r="O565" s="34"/>
      <c r="P565" s="34"/>
      <c r="Q565" s="24" t="str">
        <f t="shared" si="3"/>
        <v>https://docs.google.com/forms/d/e/1FAIpQLSeZ-R1GrWlAPkfaThGqxeTj0QTtrARw4rroxIIepf2kipn1nw/formResponse?usp=pp_url&amp;entry.1313582257=0095691756&amp;entry.1578404635=Hadir</v>
      </c>
      <c r="R565" s="23" t="s">
        <v>6925</v>
      </c>
      <c r="S565" s="39"/>
      <c r="T565" s="39"/>
      <c r="U565" s="39"/>
      <c r="V565" s="39"/>
    </row>
    <row r="566" ht="22.5" customHeight="1">
      <c r="A566" s="12">
        <v>68.0</v>
      </c>
      <c r="B566" s="32">
        <v>14.0</v>
      </c>
      <c r="C566" s="53" t="s">
        <v>6926</v>
      </c>
      <c r="D566" s="52">
        <v>2.42510153E8</v>
      </c>
      <c r="E566" s="32" t="s">
        <v>3249</v>
      </c>
      <c r="F566" s="32" t="s">
        <v>220</v>
      </c>
      <c r="G566" s="12">
        <v>32.0</v>
      </c>
      <c r="H566" s="48" t="str">
        <f t="shared" si="4"/>
        <v>  XI A-2</v>
      </c>
      <c r="I566" s="28" t="str">
        <f t="shared" si="2"/>
        <v>32 - BC X-11</v>
      </c>
      <c r="J566" s="20" t="str">
        <f>VLOOKUP(I566,'Database Grup SCC'!$B$2:$C1382,2,false)</f>
        <v>Dimas</v>
      </c>
      <c r="K566" s="50" t="str">
        <f>VLOOKUP(D566,'Data Siswa Mentah 32 Kelas X'!$C$8:$E1382,3,false)</f>
        <v>X-11</v>
      </c>
      <c r="L566" s="50" t="s">
        <v>6898</v>
      </c>
      <c r="M566" s="50"/>
      <c r="N566" s="33" t="s">
        <v>6821</v>
      </c>
      <c r="O566" s="34"/>
      <c r="P566" s="34"/>
      <c r="Q566" s="24" t="str">
        <f t="shared" si="3"/>
        <v>https://docs.google.com/forms/d/e/1FAIpQLSeZ-R1GrWlAPkfaThGqxeTj0QTtrARw4rroxIIepf2kipn1nw/formResponse?usp=pp_url&amp;entry.1313582257=0082539116&amp;entry.1578404635=Hadir</v>
      </c>
      <c r="R566" s="23" t="s">
        <v>6927</v>
      </c>
      <c r="S566" s="39"/>
      <c r="T566" s="39"/>
      <c r="U566" s="39"/>
      <c r="V566" s="39"/>
    </row>
    <row r="567" ht="22.5" customHeight="1">
      <c r="A567" s="12">
        <v>69.0</v>
      </c>
      <c r="B567" s="32">
        <v>15.0</v>
      </c>
      <c r="C567" s="53" t="s">
        <v>6928</v>
      </c>
      <c r="D567" s="52">
        <v>2.4251016E8</v>
      </c>
      <c r="E567" s="32" t="s">
        <v>3255</v>
      </c>
      <c r="F567" s="32" t="s">
        <v>220</v>
      </c>
      <c r="G567" s="12">
        <v>32.0</v>
      </c>
      <c r="H567" s="48" t="str">
        <f t="shared" si="4"/>
        <v>  XI A-2</v>
      </c>
      <c r="I567" s="28" t="str">
        <f t="shared" si="2"/>
        <v>33 - BC X-3</v>
      </c>
      <c r="J567" s="20" t="str">
        <f>VLOOKUP(I567,'Database Grup SCC'!$B$2:$C1382,2,false)</f>
        <v>Angga</v>
      </c>
      <c r="K567" s="50" t="str">
        <f>VLOOKUP(D567,'Data Siswa Mentah 32 Kelas X'!$C$8:$E1382,3,false)</f>
        <v>X-3</v>
      </c>
      <c r="L567" s="50" t="s">
        <v>6898</v>
      </c>
      <c r="M567" s="50"/>
      <c r="N567" s="33" t="s">
        <v>5507</v>
      </c>
      <c r="O567" s="34"/>
      <c r="P567" s="34"/>
      <c r="Q567" s="24" t="str">
        <f t="shared" si="3"/>
        <v>https://docs.google.com/forms/d/e/1FAIpQLSeZ-R1GrWlAPkfaThGqxeTj0QTtrARw4rroxIIepf2kipn1nw/formResponse?usp=pp_url&amp;entry.1313582257=0099310873&amp;entry.1578404635=Hadir</v>
      </c>
      <c r="R567" s="23" t="s">
        <v>6929</v>
      </c>
      <c r="S567" s="39"/>
      <c r="T567" s="39"/>
      <c r="U567" s="39"/>
      <c r="V567" s="39"/>
    </row>
    <row r="568" ht="22.5" customHeight="1">
      <c r="A568" s="12">
        <v>70.0</v>
      </c>
      <c r="B568" s="32">
        <v>16.0</v>
      </c>
      <c r="C568" s="53" t="s">
        <v>6930</v>
      </c>
      <c r="D568" s="52">
        <v>2.42510162E8</v>
      </c>
      <c r="E568" s="32" t="s">
        <v>3260</v>
      </c>
      <c r="F568" s="32" t="s">
        <v>220</v>
      </c>
      <c r="G568" s="12">
        <v>32.0</v>
      </c>
      <c r="H568" s="48" t="str">
        <f t="shared" si="4"/>
        <v>  XI A-2</v>
      </c>
      <c r="I568" s="28" t="str">
        <f t="shared" si="2"/>
        <v>33 - BC X-6</v>
      </c>
      <c r="J568" s="20" t="str">
        <f>VLOOKUP(I568,'Database Grup SCC'!$B$2:$C1382,2,false)</f>
        <v>Rizki Putra</v>
      </c>
      <c r="K568" s="50" t="str">
        <f>VLOOKUP(D568,'Data Siswa Mentah 32 Kelas X'!$C$8:$E1382,3,false)</f>
        <v>X-6</v>
      </c>
      <c r="L568" s="50" t="s">
        <v>6898</v>
      </c>
      <c r="M568" s="50"/>
      <c r="N568" s="33" t="s">
        <v>5926</v>
      </c>
      <c r="O568" s="34"/>
      <c r="P568" s="34"/>
      <c r="Q568" s="24" t="str">
        <f t="shared" si="3"/>
        <v>https://docs.google.com/forms/d/e/1FAIpQLSeZ-R1GrWlAPkfaThGqxeTj0QTtrARw4rroxIIepf2kipn1nw/formResponse?usp=pp_url&amp;entry.1313582257=0099954531&amp;entry.1578404635=Hadir</v>
      </c>
      <c r="R568" s="23" t="s">
        <v>6931</v>
      </c>
      <c r="S568" s="39"/>
      <c r="T568" s="39"/>
      <c r="U568" s="39"/>
      <c r="V568" s="39"/>
    </row>
    <row r="569" ht="22.5" customHeight="1">
      <c r="A569" s="12">
        <v>71.0</v>
      </c>
      <c r="B569" s="32">
        <v>17.0</v>
      </c>
      <c r="C569" s="53" t="s">
        <v>6932</v>
      </c>
      <c r="D569" s="52">
        <v>2.42510227E8</v>
      </c>
      <c r="E569" s="32" t="s">
        <v>3265</v>
      </c>
      <c r="F569" s="32" t="s">
        <v>227</v>
      </c>
      <c r="G569" s="12">
        <v>32.0</v>
      </c>
      <c r="H569" s="48" t="str">
        <f t="shared" si="4"/>
        <v>  XI A-2</v>
      </c>
      <c r="I569" s="28" t="str">
        <f t="shared" si="2"/>
        <v>32 - GC X-12</v>
      </c>
      <c r="J569" s="20" t="str">
        <f>VLOOKUP(I569,'Database Grup SCC'!$B$2:$C1382,2,false)</f>
        <v>Farisa (XII)</v>
      </c>
      <c r="K569" s="50" t="str">
        <f>VLOOKUP(D569,'Data Siswa Mentah 32 Kelas X'!$C$8:$E1382,3,false)</f>
        <v>X-12</v>
      </c>
      <c r="L569" s="50" t="s">
        <v>6898</v>
      </c>
      <c r="M569" s="50"/>
      <c r="N569" s="33" t="s">
        <v>6845</v>
      </c>
      <c r="O569" s="34"/>
      <c r="P569" s="34"/>
      <c r="Q569" s="24" t="str">
        <f t="shared" si="3"/>
        <v>https://docs.google.com/forms/d/e/1FAIpQLSeZ-R1GrWlAPkfaThGqxeTj0QTtrARw4rroxIIepf2kipn1nw/formResponse?usp=pp_url&amp;entry.1313582257=0094260903&amp;entry.1578404635=Hadir</v>
      </c>
      <c r="R569" s="23" t="s">
        <v>6933</v>
      </c>
      <c r="S569" s="39"/>
      <c r="T569" s="39"/>
      <c r="U569" s="39"/>
      <c r="V569" s="39"/>
    </row>
    <row r="570" ht="22.5" customHeight="1">
      <c r="A570" s="12">
        <v>72.0</v>
      </c>
      <c r="B570" s="32">
        <v>18.0</v>
      </c>
      <c r="C570" s="53" t="s">
        <v>6934</v>
      </c>
      <c r="D570" s="52">
        <v>2.42510238E8</v>
      </c>
      <c r="E570" s="32" t="s">
        <v>3270</v>
      </c>
      <c r="F570" s="32" t="s">
        <v>220</v>
      </c>
      <c r="G570" s="12">
        <v>32.0</v>
      </c>
      <c r="H570" s="48" t="str">
        <f t="shared" si="4"/>
        <v>  XI A-2</v>
      </c>
      <c r="I570" s="28" t="str">
        <f t="shared" si="2"/>
        <v>33 - BC X-9</v>
      </c>
      <c r="J570" s="20" t="str">
        <f>VLOOKUP(I570,'Database Grup SCC'!$B$2:$C1382,2,false)</f>
        <v>Veril (XII)</v>
      </c>
      <c r="K570" s="50" t="str">
        <f>VLOOKUP(D570,'Data Siswa Mentah 32 Kelas X'!$C$8:$E1382,3,false)</f>
        <v>X-9</v>
      </c>
      <c r="L570" s="50" t="s">
        <v>6898</v>
      </c>
      <c r="M570" s="50"/>
      <c r="N570" s="33" t="s">
        <v>6296</v>
      </c>
      <c r="O570" s="34"/>
      <c r="P570" s="34"/>
      <c r="Q570" s="24" t="str">
        <f t="shared" si="3"/>
        <v>https://docs.google.com/forms/d/e/1FAIpQLSeZ-R1GrWlAPkfaThGqxeTj0QTtrARw4rroxIIepf2kipn1nw/formResponse?usp=pp_url&amp;entry.1313582257=0089204896&amp;entry.1578404635=Hadir</v>
      </c>
      <c r="R570" s="23" t="s">
        <v>6935</v>
      </c>
      <c r="S570" s="39"/>
      <c r="T570" s="39"/>
      <c r="U570" s="39"/>
      <c r="V570" s="39"/>
    </row>
    <row r="571" ht="22.5" customHeight="1">
      <c r="A571" s="12">
        <v>73.0</v>
      </c>
      <c r="B571" s="32">
        <v>19.0</v>
      </c>
      <c r="C571" s="53" t="s">
        <v>6936</v>
      </c>
      <c r="D571" s="52">
        <v>2.42510261E8</v>
      </c>
      <c r="E571" s="32" t="s">
        <v>3275</v>
      </c>
      <c r="F571" s="32" t="s">
        <v>220</v>
      </c>
      <c r="G571" s="12">
        <v>32.0</v>
      </c>
      <c r="H571" s="48" t="str">
        <f t="shared" si="4"/>
        <v>  XI A-2</v>
      </c>
      <c r="I571" s="28" t="str">
        <f t="shared" si="2"/>
        <v>33 - BC X-4</v>
      </c>
      <c r="J571" s="20" t="str">
        <f>VLOOKUP(I571,'Database Grup SCC'!$B$2:$C1382,2,false)</f>
        <v>Arumbinang</v>
      </c>
      <c r="K571" s="50" t="str">
        <f>VLOOKUP(D571,'Data Siswa Mentah 32 Kelas X'!$C$8:$E1382,3,false)</f>
        <v>X-4</v>
      </c>
      <c r="L571" s="50" t="s">
        <v>6898</v>
      </c>
      <c r="M571" s="50"/>
      <c r="N571" s="33" t="s">
        <v>5628</v>
      </c>
      <c r="O571" s="34"/>
      <c r="P571" s="34"/>
      <c r="Q571" s="24" t="str">
        <f t="shared" si="3"/>
        <v>https://docs.google.com/forms/d/e/1FAIpQLSeZ-R1GrWlAPkfaThGqxeTj0QTtrARw4rroxIIepf2kipn1nw/formResponse?usp=pp_url&amp;entry.1313582257=0091447390&amp;entry.1578404635=Hadir</v>
      </c>
      <c r="R571" s="23" t="s">
        <v>6937</v>
      </c>
      <c r="S571" s="39"/>
      <c r="T571" s="39"/>
      <c r="U571" s="39"/>
      <c r="V571" s="39"/>
    </row>
    <row r="572" ht="22.5" customHeight="1">
      <c r="A572" s="12">
        <v>74.0</v>
      </c>
      <c r="B572" s="32">
        <v>20.0</v>
      </c>
      <c r="C572" s="53" t="s">
        <v>6938</v>
      </c>
      <c r="D572" s="52">
        <v>2.42510274E8</v>
      </c>
      <c r="E572" s="32" t="s">
        <v>3280</v>
      </c>
      <c r="F572" s="32" t="s">
        <v>220</v>
      </c>
      <c r="G572" s="12">
        <v>32.0</v>
      </c>
      <c r="H572" s="48" t="str">
        <f t="shared" si="4"/>
        <v>  XI A-2</v>
      </c>
      <c r="I572" s="28" t="str">
        <f t="shared" si="2"/>
        <v>32 - BC X-1</v>
      </c>
      <c r="J572" s="20" t="str">
        <f>VLOOKUP(I572,'Database Grup SCC'!$B$2:$C1382,2,false)</f>
        <v>Arya</v>
      </c>
      <c r="K572" s="50" t="str">
        <f>VLOOKUP(D572,'Data Siswa Mentah 32 Kelas X'!$C$8:$E1382,3,false)</f>
        <v>X-1</v>
      </c>
      <c r="L572" s="50" t="s">
        <v>6898</v>
      </c>
      <c r="M572" s="50"/>
      <c r="N572" s="33" t="s">
        <v>6839</v>
      </c>
      <c r="O572" s="34"/>
      <c r="P572" s="34"/>
      <c r="Q572" s="24" t="str">
        <f t="shared" si="3"/>
        <v>https://docs.google.com/forms/d/e/1FAIpQLSeZ-R1GrWlAPkfaThGqxeTj0QTtrARw4rroxIIepf2kipn1nw/formResponse?usp=pp_url&amp;entry.1313582257=3092211203&amp;entry.1578404635=Hadir</v>
      </c>
      <c r="R572" s="23" t="s">
        <v>6939</v>
      </c>
      <c r="S572" s="39"/>
      <c r="T572" s="39"/>
      <c r="U572" s="39"/>
      <c r="V572" s="39"/>
    </row>
    <row r="573" ht="22.5" customHeight="1">
      <c r="A573" s="12">
        <v>75.0</v>
      </c>
      <c r="B573" s="32">
        <v>21.0</v>
      </c>
      <c r="C573" s="53" t="s">
        <v>6940</v>
      </c>
      <c r="D573" s="52">
        <v>2.42510283E8</v>
      </c>
      <c r="E573" s="32" t="s">
        <v>3286</v>
      </c>
      <c r="F573" s="32" t="s">
        <v>227</v>
      </c>
      <c r="G573" s="12">
        <v>32.0</v>
      </c>
      <c r="H573" s="48" t="str">
        <f t="shared" si="4"/>
        <v>  XI A-2</v>
      </c>
      <c r="I573" s="28" t="str">
        <f t="shared" si="2"/>
        <v>32 - GC X-6</v>
      </c>
      <c r="J573" s="20" t="str">
        <f>VLOOKUP(I573,'Database Grup SCC'!$B$2:$C1382,2,false)</f>
        <v>Zalika</v>
      </c>
      <c r="K573" s="50" t="str">
        <f>VLOOKUP(D573,'Data Siswa Mentah 32 Kelas X'!$C$8:$E1382,3,false)</f>
        <v>X-6</v>
      </c>
      <c r="L573" s="50" t="s">
        <v>6898</v>
      </c>
      <c r="M573" s="50"/>
      <c r="N573" s="33" t="s">
        <v>6924</v>
      </c>
      <c r="O573" s="34"/>
      <c r="P573" s="34"/>
      <c r="Q573" s="24" t="str">
        <f t="shared" si="3"/>
        <v>https://docs.google.com/forms/d/e/1FAIpQLSeZ-R1GrWlAPkfaThGqxeTj0QTtrARw4rroxIIepf2kipn1nw/formResponse?usp=pp_url&amp;entry.1313582257=0095657800&amp;entry.1578404635=Hadir</v>
      </c>
      <c r="R573" s="23" t="s">
        <v>6941</v>
      </c>
      <c r="S573" s="39"/>
      <c r="T573" s="39"/>
      <c r="U573" s="39"/>
      <c r="V573" s="39"/>
    </row>
    <row r="574" ht="22.5" customHeight="1">
      <c r="A574" s="12">
        <v>76.0</v>
      </c>
      <c r="B574" s="32">
        <v>22.0</v>
      </c>
      <c r="C574" s="53" t="s">
        <v>6942</v>
      </c>
      <c r="D574" s="52">
        <v>2.42510304E8</v>
      </c>
      <c r="E574" s="32" t="s">
        <v>3291</v>
      </c>
      <c r="F574" s="32" t="s">
        <v>227</v>
      </c>
      <c r="G574" s="12">
        <v>32.0</v>
      </c>
      <c r="H574" s="48" t="str">
        <f t="shared" si="4"/>
        <v>  XI A-2</v>
      </c>
      <c r="I574" s="28" t="str">
        <f t="shared" si="2"/>
        <v>32 - GC X-1</v>
      </c>
      <c r="J574" s="20" t="str">
        <f>VLOOKUP(I574,'Database Grup SCC'!$B$2:$C1382,2,false)</f>
        <v>Nia</v>
      </c>
      <c r="K574" s="50" t="str">
        <f>VLOOKUP(D574,'Data Siswa Mentah 32 Kelas X'!$C$8:$E1382,3,false)</f>
        <v>X-1</v>
      </c>
      <c r="L574" s="50" t="s">
        <v>6898</v>
      </c>
      <c r="M574" s="50"/>
      <c r="N574" s="33" t="s">
        <v>6829</v>
      </c>
      <c r="O574" s="34"/>
      <c r="P574" s="34"/>
      <c r="Q574" s="24" t="str">
        <f t="shared" si="3"/>
        <v>https://docs.google.com/forms/d/e/1FAIpQLSeZ-R1GrWlAPkfaThGqxeTj0QTtrARw4rroxIIepf2kipn1nw/formResponse?usp=pp_url&amp;entry.1313582257=0082650076&amp;entry.1578404635=Hadir</v>
      </c>
      <c r="R574" s="23" t="s">
        <v>6943</v>
      </c>
      <c r="S574" s="39"/>
      <c r="T574" s="39"/>
      <c r="U574" s="39"/>
      <c r="V574" s="39"/>
    </row>
    <row r="575" ht="22.5" customHeight="1">
      <c r="A575" s="12">
        <v>77.0</v>
      </c>
      <c r="B575" s="32">
        <v>23.0</v>
      </c>
      <c r="C575" s="53" t="s">
        <v>6944</v>
      </c>
      <c r="D575" s="52">
        <v>2.42510306E8</v>
      </c>
      <c r="E575" s="32" t="s">
        <v>3296</v>
      </c>
      <c r="F575" s="32" t="s">
        <v>227</v>
      </c>
      <c r="G575" s="12">
        <v>32.0</v>
      </c>
      <c r="H575" s="48" t="str">
        <f t="shared" si="4"/>
        <v>  XI A-2</v>
      </c>
      <c r="I575" s="28" t="str">
        <f t="shared" si="2"/>
        <v>32 - GC X-6</v>
      </c>
      <c r="J575" s="20" t="str">
        <f>VLOOKUP(I575,'Database Grup SCC'!$B$2:$C1382,2,false)</f>
        <v>Zalika</v>
      </c>
      <c r="K575" s="50" t="str">
        <f>VLOOKUP(D575,'Data Siswa Mentah 32 Kelas X'!$C$8:$E1382,3,false)</f>
        <v>X-6</v>
      </c>
      <c r="L575" s="50" t="s">
        <v>6898</v>
      </c>
      <c r="M575" s="50"/>
      <c r="N575" s="33" t="s">
        <v>6924</v>
      </c>
      <c r="O575" s="34"/>
      <c r="P575" s="34"/>
      <c r="Q575" s="24" t="str">
        <f t="shared" si="3"/>
        <v>https://docs.google.com/forms/d/e/1FAIpQLSeZ-R1GrWlAPkfaThGqxeTj0QTtrARw4rroxIIepf2kipn1nw/formResponse?usp=pp_url&amp;entry.1313582257=0095420383&amp;entry.1578404635=Hadir</v>
      </c>
      <c r="R575" s="23" t="s">
        <v>6945</v>
      </c>
      <c r="S575" s="39"/>
      <c r="T575" s="39"/>
      <c r="U575" s="39"/>
      <c r="V575" s="39"/>
    </row>
    <row r="576" ht="22.5" customHeight="1">
      <c r="A576" s="12">
        <v>78.0</v>
      </c>
      <c r="B576" s="32">
        <v>24.0</v>
      </c>
      <c r="C576" s="53" t="s">
        <v>6946</v>
      </c>
      <c r="D576" s="52">
        <v>2.42510308E8</v>
      </c>
      <c r="E576" s="32" t="s">
        <v>3301</v>
      </c>
      <c r="F576" s="32" t="s">
        <v>227</v>
      </c>
      <c r="G576" s="12">
        <v>32.0</v>
      </c>
      <c r="H576" s="48" t="str">
        <f t="shared" si="4"/>
        <v>  XI A-2</v>
      </c>
      <c r="I576" s="28" t="str">
        <f t="shared" si="2"/>
        <v>32 - GC X-12</v>
      </c>
      <c r="J576" s="20" t="str">
        <f>VLOOKUP(I576,'Database Grup SCC'!$B$2:$C1382,2,false)</f>
        <v>Farisa (XII)</v>
      </c>
      <c r="K576" s="50" t="str">
        <f>VLOOKUP(D576,'Data Siswa Mentah 32 Kelas X'!$C$8:$E1382,3,false)</f>
        <v>X-12</v>
      </c>
      <c r="L576" s="50" t="s">
        <v>6898</v>
      </c>
      <c r="M576" s="50"/>
      <c r="N576" s="33" t="s">
        <v>6845</v>
      </c>
      <c r="O576" s="34"/>
      <c r="P576" s="34"/>
      <c r="Q576" s="24" t="str">
        <f t="shared" si="3"/>
        <v>https://docs.google.com/forms/d/e/1FAIpQLSeZ-R1GrWlAPkfaThGqxeTj0QTtrARw4rroxIIepf2kipn1nw/formResponse?usp=pp_url&amp;entry.1313582257=3097669813&amp;entry.1578404635=Hadir</v>
      </c>
      <c r="R576" s="23" t="s">
        <v>6947</v>
      </c>
      <c r="S576" s="39"/>
      <c r="T576" s="39"/>
      <c r="U576" s="39"/>
      <c r="V576" s="39"/>
    </row>
    <row r="577" ht="22.5" customHeight="1">
      <c r="A577" s="12">
        <v>79.0</v>
      </c>
      <c r="B577" s="32">
        <v>25.0</v>
      </c>
      <c r="C577" s="53" t="s">
        <v>6948</v>
      </c>
      <c r="D577" s="52">
        <v>2.4251031E8</v>
      </c>
      <c r="E577" s="32" t="s">
        <v>3306</v>
      </c>
      <c r="F577" s="32" t="s">
        <v>227</v>
      </c>
      <c r="G577" s="12">
        <v>32.0</v>
      </c>
      <c r="H577" s="48" t="str">
        <f t="shared" si="4"/>
        <v>  XI A-2</v>
      </c>
      <c r="I577" s="28" t="str">
        <f t="shared" si="2"/>
        <v>32 - GC X-2</v>
      </c>
      <c r="J577" s="20" t="str">
        <f>VLOOKUP(I577,'Database Grup SCC'!$B$2:$C1382,2,false)</f>
        <v>Iga</v>
      </c>
      <c r="K577" s="50" t="str">
        <f>VLOOKUP(D577,'Data Siswa Mentah 32 Kelas X'!$C$8:$E1382,3,false)</f>
        <v>X-2</v>
      </c>
      <c r="L577" s="50" t="s">
        <v>6898</v>
      </c>
      <c r="M577" s="50"/>
      <c r="N577" s="33" t="s">
        <v>6921</v>
      </c>
      <c r="O577" s="34"/>
      <c r="P577" s="34"/>
      <c r="Q577" s="24" t="str">
        <f t="shared" si="3"/>
        <v>https://docs.google.com/forms/d/e/1FAIpQLSeZ-R1GrWlAPkfaThGqxeTj0QTtrARw4rroxIIepf2kipn1nw/formResponse?usp=pp_url&amp;entry.1313582257=0086704012&amp;entry.1578404635=Hadir</v>
      </c>
      <c r="R577" s="23" t="s">
        <v>6949</v>
      </c>
      <c r="S577" s="39"/>
      <c r="T577" s="39"/>
      <c r="U577" s="39"/>
      <c r="V577" s="39"/>
    </row>
    <row r="578" ht="22.5" customHeight="1">
      <c r="A578" s="12">
        <v>80.0</v>
      </c>
      <c r="B578" s="32">
        <v>26.0</v>
      </c>
      <c r="C578" s="53" t="s">
        <v>6950</v>
      </c>
      <c r="D578" s="52">
        <v>2.42510329E8</v>
      </c>
      <c r="E578" s="32" t="s">
        <v>3311</v>
      </c>
      <c r="F578" s="32" t="s">
        <v>220</v>
      </c>
      <c r="G578" s="12">
        <v>32.0</v>
      </c>
      <c r="H578" s="48" t="str">
        <f t="shared" si="4"/>
        <v>  XI A-2</v>
      </c>
      <c r="I578" s="28" t="str">
        <f t="shared" si="2"/>
        <v>32 - BC X-12</v>
      </c>
      <c r="J578" s="20" t="str">
        <f>VLOOKUP(I578,'Database Grup SCC'!$B$2:$C1382,2,false)</f>
        <v>Syafiq</v>
      </c>
      <c r="K578" s="50" t="str">
        <f>VLOOKUP(D578,'Data Siswa Mentah 32 Kelas X'!$C$8:$E1382,3,false)</f>
        <v>X-12</v>
      </c>
      <c r="L578" s="50" t="s">
        <v>6898</v>
      </c>
      <c r="M578" s="50"/>
      <c r="N578" s="33" t="s">
        <v>6951</v>
      </c>
      <c r="O578" s="34"/>
      <c r="P578" s="34"/>
      <c r="Q578" s="24" t="str">
        <f t="shared" si="3"/>
        <v>https://docs.google.com/forms/d/e/1FAIpQLSeZ-R1GrWlAPkfaThGqxeTj0QTtrARw4rroxIIepf2kipn1nw/formResponse?usp=pp_url&amp;entry.1313582257=0095788052&amp;entry.1578404635=Hadir</v>
      </c>
      <c r="R578" s="23" t="s">
        <v>6952</v>
      </c>
      <c r="S578" s="39"/>
      <c r="T578" s="39"/>
      <c r="U578" s="39"/>
      <c r="V578" s="39"/>
    </row>
    <row r="579" ht="22.5" customHeight="1">
      <c r="A579" s="12">
        <v>81.0</v>
      </c>
      <c r="B579" s="32">
        <v>27.0</v>
      </c>
      <c r="C579" s="53" t="s">
        <v>6953</v>
      </c>
      <c r="D579" s="52">
        <v>2.42510338E8</v>
      </c>
      <c r="E579" s="32" t="s">
        <v>3316</v>
      </c>
      <c r="F579" s="32" t="s">
        <v>227</v>
      </c>
      <c r="G579" s="12">
        <v>32.0</v>
      </c>
      <c r="H579" s="48" t="str">
        <f t="shared" si="4"/>
        <v>  XI A-2</v>
      </c>
      <c r="I579" s="28" t="str">
        <f t="shared" si="2"/>
        <v>32 - GC X-12</v>
      </c>
      <c r="J579" s="20" t="str">
        <f>VLOOKUP(I579,'Database Grup SCC'!$B$2:$C1382,2,false)</f>
        <v>Farisa (XII)</v>
      </c>
      <c r="K579" s="50" t="str">
        <f>VLOOKUP(D579,'Data Siswa Mentah 32 Kelas X'!$C$8:$E1382,3,false)</f>
        <v>X-12</v>
      </c>
      <c r="L579" s="50" t="s">
        <v>6898</v>
      </c>
      <c r="M579" s="50"/>
      <c r="N579" s="33" t="s">
        <v>6845</v>
      </c>
      <c r="O579" s="34"/>
      <c r="P579" s="34"/>
      <c r="Q579" s="24" t="str">
        <f t="shared" si="3"/>
        <v>https://docs.google.com/forms/d/e/1FAIpQLSeZ-R1GrWlAPkfaThGqxeTj0QTtrARw4rroxIIepf2kipn1nw/formResponse?usp=pp_url&amp;entry.1313582257=0094946777&amp;entry.1578404635=Hadir</v>
      </c>
      <c r="R579" s="23" t="s">
        <v>6954</v>
      </c>
      <c r="S579" s="39"/>
      <c r="T579" s="39"/>
      <c r="U579" s="39"/>
      <c r="V579" s="39"/>
    </row>
    <row r="580" ht="22.5" customHeight="1">
      <c r="A580" s="12">
        <v>82.0</v>
      </c>
      <c r="B580" s="32">
        <v>28.0</v>
      </c>
      <c r="C580" s="53" t="s">
        <v>6955</v>
      </c>
      <c r="D580" s="52">
        <v>2.42510354E8</v>
      </c>
      <c r="E580" s="32" t="s">
        <v>3321</v>
      </c>
      <c r="F580" s="32" t="s">
        <v>220</v>
      </c>
      <c r="G580" s="12">
        <v>32.0</v>
      </c>
      <c r="H580" s="48" t="str">
        <f t="shared" si="4"/>
        <v>  XI A-2</v>
      </c>
      <c r="I580" s="28" t="str">
        <f t="shared" si="2"/>
        <v>33 - BC X-8</v>
      </c>
      <c r="J580" s="20" t="str">
        <f>VLOOKUP(I580,'Database Grup SCC'!$B$2:$C1382,2,false)</f>
        <v>Teguh</v>
      </c>
      <c r="K580" s="50" t="str">
        <f>VLOOKUP(D580,'Data Siswa Mentah 32 Kelas X'!$C$8:$E1382,3,false)</f>
        <v>X-8</v>
      </c>
      <c r="L580" s="50" t="s">
        <v>6898</v>
      </c>
      <c r="M580" s="50"/>
      <c r="N580" s="33" t="s">
        <v>6166</v>
      </c>
      <c r="O580" s="34"/>
      <c r="P580" s="34"/>
      <c r="Q580" s="24" t="str">
        <f t="shared" si="3"/>
        <v>https://docs.google.com/forms/d/e/1FAIpQLSeZ-R1GrWlAPkfaThGqxeTj0QTtrARw4rroxIIepf2kipn1nw/formResponse?usp=pp_url&amp;entry.1313582257=0097830870&amp;entry.1578404635=Hadir</v>
      </c>
      <c r="R580" s="23" t="s">
        <v>6956</v>
      </c>
      <c r="S580" s="39"/>
      <c r="T580" s="39"/>
      <c r="U580" s="39"/>
      <c r="V580" s="39"/>
    </row>
    <row r="581" ht="22.5" customHeight="1">
      <c r="A581" s="12">
        <v>83.0</v>
      </c>
      <c r="B581" s="32">
        <v>29.0</v>
      </c>
      <c r="C581" s="53" t="s">
        <v>6957</v>
      </c>
      <c r="D581" s="52">
        <v>2.42510355E8</v>
      </c>
      <c r="E581" s="32" t="s">
        <v>3326</v>
      </c>
      <c r="F581" s="32" t="s">
        <v>227</v>
      </c>
      <c r="G581" s="12">
        <v>32.0</v>
      </c>
      <c r="H581" s="48" t="str">
        <f t="shared" si="4"/>
        <v>  XI A-2</v>
      </c>
      <c r="I581" s="28" t="str">
        <f t="shared" si="2"/>
        <v>32 - GC X-5</v>
      </c>
      <c r="J581" s="20" t="str">
        <f>VLOOKUP(I581,'Database Grup SCC'!$B$2:$C1382,2,false)</f>
        <v>Amel</v>
      </c>
      <c r="K581" s="50" t="str">
        <f>VLOOKUP(D581,'Data Siswa Mentah 32 Kelas X'!$C$8:$E1382,3,false)</f>
        <v>X-5</v>
      </c>
      <c r="L581" s="50" t="s">
        <v>6898</v>
      </c>
      <c r="M581" s="50"/>
      <c r="N581" s="33" t="s">
        <v>6872</v>
      </c>
      <c r="O581" s="34"/>
      <c r="P581" s="34"/>
      <c r="Q581" s="24" t="str">
        <f t="shared" si="3"/>
        <v>https://docs.google.com/forms/d/e/1FAIpQLSeZ-R1GrWlAPkfaThGqxeTj0QTtrARw4rroxIIepf2kipn1nw/formResponse?usp=pp_url&amp;entry.1313582257=0092343794&amp;entry.1578404635=Hadir</v>
      </c>
      <c r="R581" s="23" t="s">
        <v>6958</v>
      </c>
      <c r="S581" s="39"/>
      <c r="T581" s="39"/>
      <c r="U581" s="39"/>
      <c r="V581" s="39"/>
    </row>
    <row r="582" ht="22.5" customHeight="1">
      <c r="A582" s="12">
        <v>84.0</v>
      </c>
      <c r="B582" s="32">
        <v>30.0</v>
      </c>
      <c r="C582" s="53" t="s">
        <v>6959</v>
      </c>
      <c r="D582" s="52">
        <v>2.42510366E8</v>
      </c>
      <c r="E582" s="32" t="s">
        <v>3332</v>
      </c>
      <c r="F582" s="32" t="s">
        <v>227</v>
      </c>
      <c r="G582" s="12">
        <v>32.0</v>
      </c>
      <c r="H582" s="48" t="str">
        <f t="shared" si="4"/>
        <v>  XI A-2</v>
      </c>
      <c r="I582" s="28" t="str">
        <f t="shared" si="2"/>
        <v>32 - GC X-12</v>
      </c>
      <c r="J582" s="20" t="str">
        <f>VLOOKUP(I582,'Database Grup SCC'!$B$2:$C1382,2,false)</f>
        <v>Farisa (XII)</v>
      </c>
      <c r="K582" s="50" t="str">
        <f>VLOOKUP(D582,'Data Siswa Mentah 32 Kelas X'!$C$8:$E1382,3,false)</f>
        <v>X-12</v>
      </c>
      <c r="L582" s="50" t="s">
        <v>6898</v>
      </c>
      <c r="M582" s="50"/>
      <c r="N582" s="33" t="s">
        <v>6845</v>
      </c>
      <c r="O582" s="34"/>
      <c r="P582" s="34"/>
      <c r="Q582" s="24" t="str">
        <f t="shared" si="3"/>
        <v>https://docs.google.com/forms/d/e/1FAIpQLSeZ-R1GrWlAPkfaThGqxeTj0QTtrARw4rroxIIepf2kipn1nw/formResponse?usp=pp_url&amp;entry.1313582257=0095556013&amp;entry.1578404635=Hadir</v>
      </c>
      <c r="R582" s="23" t="s">
        <v>6960</v>
      </c>
      <c r="S582" s="39"/>
      <c r="T582" s="39"/>
      <c r="U582" s="39"/>
      <c r="V582" s="39"/>
    </row>
    <row r="583" ht="22.5" customHeight="1">
      <c r="A583" s="12">
        <v>85.0</v>
      </c>
      <c r="B583" s="32">
        <v>31.0</v>
      </c>
      <c r="C583" s="53" t="s">
        <v>6961</v>
      </c>
      <c r="D583" s="52">
        <v>2.42510374E8</v>
      </c>
      <c r="E583" s="32" t="s">
        <v>3337</v>
      </c>
      <c r="F583" s="32" t="s">
        <v>227</v>
      </c>
      <c r="G583" s="12">
        <v>32.0</v>
      </c>
      <c r="H583" s="48" t="str">
        <f t="shared" si="4"/>
        <v>  XI A-2</v>
      </c>
      <c r="I583" s="28" t="str">
        <f t="shared" si="2"/>
        <v>32 - GC X-4</v>
      </c>
      <c r="J583" s="20" t="str">
        <f>VLOOKUP(I583,'Database Grup SCC'!$B$2:$C1382,2,false)</f>
        <v>Nadira</v>
      </c>
      <c r="K583" s="50" t="str">
        <f>VLOOKUP(D583,'Data Siswa Mentah 32 Kelas X'!$C$8:$E1382,3,false)</f>
        <v>X-4</v>
      </c>
      <c r="L583" s="50" t="s">
        <v>6898</v>
      </c>
      <c r="M583" s="50"/>
      <c r="N583" s="33" t="s">
        <v>6853</v>
      </c>
      <c r="O583" s="34"/>
      <c r="P583" s="34"/>
      <c r="Q583" s="24" t="str">
        <f t="shared" si="3"/>
        <v>https://docs.google.com/forms/d/e/1FAIpQLSeZ-R1GrWlAPkfaThGqxeTj0QTtrARw4rroxIIepf2kipn1nw/formResponse?usp=pp_url&amp;entry.1313582257=0094079262&amp;entry.1578404635=Hadir</v>
      </c>
      <c r="R583" s="23" t="s">
        <v>6962</v>
      </c>
      <c r="S583" s="39"/>
      <c r="T583" s="39"/>
      <c r="U583" s="39"/>
      <c r="V583" s="39"/>
    </row>
    <row r="584" ht="22.5" customHeight="1">
      <c r="A584" s="12">
        <v>86.0</v>
      </c>
      <c r="B584" s="32">
        <v>32.0</v>
      </c>
      <c r="C584" s="53" t="s">
        <v>6963</v>
      </c>
      <c r="D584" s="52">
        <v>2.42510377E8</v>
      </c>
      <c r="E584" s="32" t="s">
        <v>3342</v>
      </c>
      <c r="F584" s="32" t="s">
        <v>227</v>
      </c>
      <c r="G584" s="12">
        <v>32.0</v>
      </c>
      <c r="H584" s="48" t="str">
        <f t="shared" si="4"/>
        <v>  XI A-2</v>
      </c>
      <c r="I584" s="28" t="str">
        <f t="shared" si="2"/>
        <v>32 - GC X-2</v>
      </c>
      <c r="J584" s="20" t="str">
        <f>VLOOKUP(I584,'Database Grup SCC'!$B$2:$C1382,2,false)</f>
        <v>Iga</v>
      </c>
      <c r="K584" s="50" t="str">
        <f>VLOOKUP(D584,'Data Siswa Mentah 32 Kelas X'!$C$8:$E1382,3,false)</f>
        <v>X-2</v>
      </c>
      <c r="L584" s="50" t="s">
        <v>6898</v>
      </c>
      <c r="M584" s="50"/>
      <c r="N584" s="33" t="s">
        <v>6921</v>
      </c>
      <c r="O584" s="34"/>
      <c r="P584" s="34"/>
      <c r="Q584" s="24" t="str">
        <f t="shared" si="3"/>
        <v>https://docs.google.com/forms/d/e/1FAIpQLSeZ-R1GrWlAPkfaThGqxeTj0QTtrARw4rroxIIepf2kipn1nw/formResponse?usp=pp_url&amp;entry.1313582257=0072787144&amp;entry.1578404635=Hadir</v>
      </c>
      <c r="R584" s="23" t="s">
        <v>6964</v>
      </c>
      <c r="S584" s="39"/>
      <c r="T584" s="39"/>
      <c r="U584" s="39"/>
      <c r="V584" s="39"/>
    </row>
    <row r="585" ht="22.5" customHeight="1">
      <c r="A585" s="12">
        <v>87.0</v>
      </c>
      <c r="B585" s="32">
        <v>33.0</v>
      </c>
      <c r="C585" s="53" t="s">
        <v>6965</v>
      </c>
      <c r="D585" s="52">
        <v>2.42510387E8</v>
      </c>
      <c r="E585" s="32" t="s">
        <v>3347</v>
      </c>
      <c r="F585" s="32" t="s">
        <v>227</v>
      </c>
      <c r="G585" s="12">
        <v>32.0</v>
      </c>
      <c r="H585" s="48" t="str">
        <f t="shared" si="4"/>
        <v>  XI A-2</v>
      </c>
      <c r="I585" s="28" t="str">
        <f t="shared" si="2"/>
        <v>32 - GC X-1</v>
      </c>
      <c r="J585" s="20" t="str">
        <f>VLOOKUP(I585,'Database Grup SCC'!$B$2:$C1382,2,false)</f>
        <v>Nia</v>
      </c>
      <c r="K585" s="50" t="str">
        <f>VLOOKUP(D585,'Data Siswa Mentah 32 Kelas X'!$C$8:$E1382,3,false)</f>
        <v>X-1</v>
      </c>
      <c r="L585" s="50" t="s">
        <v>6898</v>
      </c>
      <c r="M585" s="50"/>
      <c r="N585" s="33" t="s">
        <v>6829</v>
      </c>
      <c r="O585" s="34"/>
      <c r="P585" s="34"/>
      <c r="Q585" s="24" t="str">
        <f t="shared" si="3"/>
        <v>https://docs.google.com/forms/d/e/1FAIpQLSeZ-R1GrWlAPkfaThGqxeTj0QTtrARw4rroxIIepf2kipn1nw/formResponse?usp=pp_url&amp;entry.1313582257=0096304229&amp;entry.1578404635=Hadir</v>
      </c>
      <c r="R585" s="23" t="s">
        <v>6966</v>
      </c>
      <c r="S585" s="39"/>
      <c r="T585" s="39"/>
      <c r="U585" s="39"/>
      <c r="V585" s="39"/>
    </row>
    <row r="586" ht="22.5" customHeight="1">
      <c r="A586" s="12">
        <v>88.0</v>
      </c>
      <c r="B586" s="32">
        <v>34.0</v>
      </c>
      <c r="C586" s="53" t="s">
        <v>6967</v>
      </c>
      <c r="D586" s="52">
        <v>2.4251039E8</v>
      </c>
      <c r="E586" s="32" t="s">
        <v>3352</v>
      </c>
      <c r="F586" s="32" t="s">
        <v>227</v>
      </c>
      <c r="G586" s="12">
        <v>32.0</v>
      </c>
      <c r="H586" s="48" t="str">
        <f t="shared" si="4"/>
        <v>  XI A-2</v>
      </c>
      <c r="I586" s="28" t="str">
        <f t="shared" si="2"/>
        <v>32 - GC X-12</v>
      </c>
      <c r="J586" s="20" t="str">
        <f>VLOOKUP(I586,'Database Grup SCC'!$B$2:$C1382,2,false)</f>
        <v>Farisa (XII)</v>
      </c>
      <c r="K586" s="50" t="str">
        <f>VLOOKUP(D586,'Data Siswa Mentah 32 Kelas X'!$C$8:$E1382,3,false)</f>
        <v>X-12</v>
      </c>
      <c r="L586" s="50" t="s">
        <v>6898</v>
      </c>
      <c r="M586" s="50"/>
      <c r="N586" s="33" t="s">
        <v>6845</v>
      </c>
      <c r="O586" s="34"/>
      <c r="P586" s="34"/>
      <c r="Q586" s="24" t="str">
        <f t="shared" si="3"/>
        <v>https://docs.google.com/forms/d/e/1FAIpQLSeZ-R1GrWlAPkfaThGqxeTj0QTtrARw4rroxIIepf2kipn1nw/formResponse?usp=pp_url&amp;entry.1313582257=0093907013&amp;entry.1578404635=Hadir</v>
      </c>
      <c r="R586" s="23" t="s">
        <v>6968</v>
      </c>
      <c r="S586" s="39"/>
      <c r="T586" s="39"/>
      <c r="U586" s="39"/>
      <c r="V586" s="39"/>
    </row>
    <row r="587" ht="22.5" customHeight="1">
      <c r="A587" s="12">
        <v>89.0</v>
      </c>
      <c r="B587" s="32">
        <v>35.0</v>
      </c>
      <c r="C587" s="53" t="s">
        <v>6969</v>
      </c>
      <c r="D587" s="52">
        <v>2.42510404E8</v>
      </c>
      <c r="E587" s="32" t="s">
        <v>3357</v>
      </c>
      <c r="F587" s="32" t="s">
        <v>220</v>
      </c>
      <c r="G587" s="12">
        <v>32.0</v>
      </c>
      <c r="H587" s="48" t="str">
        <f t="shared" si="4"/>
        <v>  XI A-2</v>
      </c>
      <c r="I587" s="28" t="str">
        <f t="shared" si="2"/>
        <v>33 - BC X-7</v>
      </c>
      <c r="J587" s="20" t="str">
        <f>VLOOKUP(I587,'Database Grup SCC'!$B$2:$C1382,2,false)</f>
        <v>Rizza Al-Farisi</v>
      </c>
      <c r="K587" s="50" t="str">
        <f>VLOOKUP(D587,'Data Siswa Mentah 32 Kelas X'!$C$8:$E1382,3,false)</f>
        <v>X-7</v>
      </c>
      <c r="L587" s="50" t="s">
        <v>6898</v>
      </c>
      <c r="M587" s="50"/>
      <c r="N587" s="33" t="s">
        <v>6005</v>
      </c>
      <c r="O587" s="34"/>
      <c r="P587" s="34"/>
      <c r="Q587" s="24" t="str">
        <f t="shared" si="3"/>
        <v>https://docs.google.com/forms/d/e/1FAIpQLSeZ-R1GrWlAPkfaThGqxeTj0QTtrARw4rroxIIepf2kipn1nw/formResponse?usp=pp_url&amp;entry.1313582257=0084548048&amp;entry.1578404635=Hadir</v>
      </c>
      <c r="R587" s="23" t="s">
        <v>6970</v>
      </c>
      <c r="S587" s="39"/>
      <c r="T587" s="39"/>
      <c r="U587" s="39"/>
      <c r="V587" s="39"/>
    </row>
    <row r="588" ht="22.5" customHeight="1">
      <c r="A588" s="12">
        <v>90.0</v>
      </c>
      <c r="B588" s="32">
        <v>36.0</v>
      </c>
      <c r="C588" s="53" t="s">
        <v>6971</v>
      </c>
      <c r="D588" s="52">
        <v>2.42510412E8</v>
      </c>
      <c r="E588" s="32" t="s">
        <v>3363</v>
      </c>
      <c r="F588" s="32" t="s">
        <v>227</v>
      </c>
      <c r="G588" s="12">
        <v>32.0</v>
      </c>
      <c r="H588" s="48" t="str">
        <f t="shared" si="4"/>
        <v>  XI A-2</v>
      </c>
      <c r="I588" s="28" t="str">
        <f t="shared" si="2"/>
        <v>32 - GC X-2</v>
      </c>
      <c r="J588" s="20" t="str">
        <f>VLOOKUP(I588,'Database Grup SCC'!$B$2:$C1382,2,false)</f>
        <v>Iga</v>
      </c>
      <c r="K588" s="50" t="str">
        <f>VLOOKUP(D588,'Data Siswa Mentah 32 Kelas X'!$C$8:$E1382,3,false)</f>
        <v>X-2</v>
      </c>
      <c r="L588" s="50" t="s">
        <v>6898</v>
      </c>
      <c r="M588" s="50"/>
      <c r="N588" s="33" t="s">
        <v>6921</v>
      </c>
      <c r="O588" s="34"/>
      <c r="P588" s="34"/>
      <c r="Q588" s="24" t="str">
        <f t="shared" si="3"/>
        <v>https://docs.google.com/forms/d/e/1FAIpQLSeZ-R1GrWlAPkfaThGqxeTj0QTtrARw4rroxIIepf2kipn1nw/formResponse?usp=pp_url&amp;entry.1313582257=0094935892&amp;entry.1578404635=Hadir</v>
      </c>
      <c r="R588" s="23" t="s">
        <v>6972</v>
      </c>
      <c r="S588" s="39"/>
      <c r="T588" s="39"/>
      <c r="U588" s="39"/>
      <c r="V588" s="39"/>
    </row>
    <row r="589" ht="22.5" customHeight="1">
      <c r="A589" s="12">
        <v>102.0</v>
      </c>
      <c r="B589" s="32">
        <v>1.0</v>
      </c>
      <c r="C589" s="53" t="s">
        <v>6973</v>
      </c>
      <c r="D589" s="52">
        <v>2.4251001E8</v>
      </c>
      <c r="E589" s="32" t="s">
        <v>3368</v>
      </c>
      <c r="F589" s="32" t="s">
        <v>220</v>
      </c>
      <c r="G589" s="12">
        <v>32.0</v>
      </c>
      <c r="H589" s="48" t="str">
        <f t="shared" si="4"/>
        <v>  XI B-1</v>
      </c>
      <c r="I589" s="28" t="str">
        <f t="shared" si="2"/>
        <v>33 - BC X-3</v>
      </c>
      <c r="J589" s="20" t="str">
        <f>VLOOKUP(I589,'Database Grup SCC'!$B$2:$C1382,2,false)</f>
        <v>Angga</v>
      </c>
      <c r="K589" s="50" t="str">
        <f>VLOOKUP(D589,'Data Siswa Mentah 32 Kelas X'!$C$8:$E1382,3,false)</f>
        <v>X-3</v>
      </c>
      <c r="L589" s="50" t="s">
        <v>6974</v>
      </c>
      <c r="M589" s="50"/>
      <c r="N589" s="33" t="s">
        <v>5507</v>
      </c>
      <c r="O589" s="34"/>
      <c r="P589" s="34"/>
      <c r="Q589" s="24" t="str">
        <f t="shared" si="3"/>
        <v>https://docs.google.com/forms/d/e/1FAIpQLSeZ-R1GrWlAPkfaThGqxeTj0QTtrARw4rroxIIepf2kipn1nw/formResponse?usp=pp_url&amp;entry.1313582257=0085027044&amp;entry.1578404635=Hadir</v>
      </c>
      <c r="R589" s="23" t="s">
        <v>6975</v>
      </c>
      <c r="S589" s="39"/>
      <c r="T589" s="39"/>
      <c r="U589" s="39"/>
      <c r="V589" s="39"/>
    </row>
    <row r="590" ht="22.5" customHeight="1">
      <c r="A590" s="12">
        <v>103.0</v>
      </c>
      <c r="B590" s="32">
        <v>2.0</v>
      </c>
      <c r="C590" s="53" t="s">
        <v>6976</v>
      </c>
      <c r="D590" s="52">
        <v>2.42510027E8</v>
      </c>
      <c r="E590" s="32" t="s">
        <v>3374</v>
      </c>
      <c r="F590" s="32" t="s">
        <v>227</v>
      </c>
      <c r="G590" s="12">
        <v>32.0</v>
      </c>
      <c r="H590" s="48" t="str">
        <f t="shared" si="4"/>
        <v>  XI B-1</v>
      </c>
      <c r="I590" s="28" t="str">
        <f t="shared" si="2"/>
        <v>32 - GC X-5</v>
      </c>
      <c r="J590" s="20" t="str">
        <f>VLOOKUP(I590,'Database Grup SCC'!$B$2:$C1382,2,false)</f>
        <v>Amel</v>
      </c>
      <c r="K590" s="50" t="str">
        <f>VLOOKUP(D590,'Data Siswa Mentah 32 Kelas X'!$C$8:$E1382,3,false)</f>
        <v>X-5</v>
      </c>
      <c r="L590" s="50" t="s">
        <v>6974</v>
      </c>
      <c r="M590" s="50"/>
      <c r="N590" s="33" t="s">
        <v>6872</v>
      </c>
      <c r="O590" s="34"/>
      <c r="P590" s="34"/>
      <c r="Q590" s="24" t="str">
        <f t="shared" si="3"/>
        <v>https://docs.google.com/forms/d/e/1FAIpQLSeZ-R1GrWlAPkfaThGqxeTj0QTtrARw4rroxIIepf2kipn1nw/formResponse?usp=pp_url&amp;entry.1313582257=0081265372&amp;entry.1578404635=Hadir</v>
      </c>
      <c r="R590" s="23" t="s">
        <v>6977</v>
      </c>
      <c r="S590" s="39"/>
      <c r="T590" s="39"/>
      <c r="U590" s="39"/>
      <c r="V590" s="39"/>
    </row>
    <row r="591" ht="22.5" customHeight="1">
      <c r="A591" s="12">
        <v>104.0</v>
      </c>
      <c r="B591" s="32">
        <v>3.0</v>
      </c>
      <c r="C591" s="53" t="s">
        <v>6978</v>
      </c>
      <c r="D591" s="52">
        <v>2.42510041E8</v>
      </c>
      <c r="E591" s="32" t="s">
        <v>3379</v>
      </c>
      <c r="F591" s="32" t="s">
        <v>220</v>
      </c>
      <c r="G591" s="12">
        <v>32.0</v>
      </c>
      <c r="H591" s="48" t="str">
        <f t="shared" si="4"/>
        <v>  XI B-1</v>
      </c>
      <c r="I591" s="28" t="str">
        <f t="shared" si="2"/>
        <v>33 - BC X-6</v>
      </c>
      <c r="J591" s="20" t="str">
        <f>VLOOKUP(I591,'Database Grup SCC'!$B$2:$C1382,2,false)</f>
        <v>Rizki Putra</v>
      </c>
      <c r="K591" s="50" t="str">
        <f>VLOOKUP(D591,'Data Siswa Mentah 32 Kelas X'!$C$8:$E1382,3,false)</f>
        <v>X-6</v>
      </c>
      <c r="L591" s="50" t="s">
        <v>6974</v>
      </c>
      <c r="M591" s="50"/>
      <c r="N591" s="33" t="s">
        <v>5926</v>
      </c>
      <c r="O591" s="34"/>
      <c r="P591" s="34"/>
      <c r="Q591" s="24" t="str">
        <f t="shared" si="3"/>
        <v>https://docs.google.com/forms/d/e/1FAIpQLSeZ-R1GrWlAPkfaThGqxeTj0QTtrARw4rroxIIepf2kipn1nw/formResponse?usp=pp_url&amp;entry.1313582257=0092697249&amp;entry.1578404635=Hadir</v>
      </c>
      <c r="R591" s="23" t="s">
        <v>6979</v>
      </c>
      <c r="S591" s="39"/>
      <c r="T591" s="39"/>
      <c r="U591" s="39"/>
      <c r="V591" s="39"/>
    </row>
    <row r="592" ht="22.5" customHeight="1">
      <c r="A592" s="12">
        <v>105.0</v>
      </c>
      <c r="B592" s="32">
        <v>4.0</v>
      </c>
      <c r="C592" s="53" t="s">
        <v>6980</v>
      </c>
      <c r="D592" s="52">
        <v>2.4251007E8</v>
      </c>
      <c r="E592" s="32" t="s">
        <v>3384</v>
      </c>
      <c r="F592" s="32" t="s">
        <v>227</v>
      </c>
      <c r="G592" s="12">
        <v>32.0</v>
      </c>
      <c r="H592" s="48" t="str">
        <f t="shared" si="4"/>
        <v>  XI B-1</v>
      </c>
      <c r="I592" s="28" t="str">
        <f t="shared" si="2"/>
        <v>32 - GC X-7</v>
      </c>
      <c r="J592" s="20" t="str">
        <f>VLOOKUP(I592,'Database Grup SCC'!$B$2:$C1382,2,false)</f>
        <v>Najmi (XII)</v>
      </c>
      <c r="K592" s="50" t="str">
        <f>VLOOKUP(D592,'Data Siswa Mentah 32 Kelas X'!$C$8:$E1382,3,false)</f>
        <v>X-7</v>
      </c>
      <c r="L592" s="50" t="s">
        <v>6974</v>
      </c>
      <c r="M592" s="50"/>
      <c r="N592" s="33" t="s">
        <v>6842</v>
      </c>
      <c r="O592" s="34"/>
      <c r="P592" s="34"/>
      <c r="Q592" s="24" t="str">
        <f t="shared" si="3"/>
        <v>https://docs.google.com/forms/d/e/1FAIpQLSeZ-R1GrWlAPkfaThGqxeTj0QTtrARw4rroxIIepf2kipn1nw/formResponse?usp=pp_url&amp;entry.1313582257=0085437129&amp;entry.1578404635=Hadir</v>
      </c>
      <c r="R592" s="23" t="s">
        <v>6981</v>
      </c>
      <c r="S592" s="39"/>
      <c r="T592" s="39"/>
      <c r="U592" s="39"/>
      <c r="V592" s="39"/>
    </row>
    <row r="593" ht="22.5" customHeight="1">
      <c r="A593" s="12">
        <v>106.0</v>
      </c>
      <c r="B593" s="32">
        <v>5.0</v>
      </c>
      <c r="C593" s="53" t="s">
        <v>6982</v>
      </c>
      <c r="D593" s="52">
        <v>2.42510113E8</v>
      </c>
      <c r="E593" s="32" t="s">
        <v>3389</v>
      </c>
      <c r="F593" s="32" t="s">
        <v>227</v>
      </c>
      <c r="G593" s="12">
        <v>32.0</v>
      </c>
      <c r="H593" s="48" t="str">
        <f t="shared" si="4"/>
        <v>  XI B-1</v>
      </c>
      <c r="I593" s="28" t="str">
        <f t="shared" si="2"/>
        <v>32 - GC X-8</v>
      </c>
      <c r="J593" s="20" t="str">
        <f>VLOOKUP(I593,'Database Grup SCC'!$B$2:$C1382,2,false)</f>
        <v>Amel (XII)</v>
      </c>
      <c r="K593" s="50" t="str">
        <f>VLOOKUP(D593,'Data Siswa Mentah 32 Kelas X'!$C$8:$E1382,3,false)</f>
        <v>X-8</v>
      </c>
      <c r="L593" s="50" t="s">
        <v>6974</v>
      </c>
      <c r="M593" s="50"/>
      <c r="N593" s="33" t="s">
        <v>6858</v>
      </c>
      <c r="O593" s="34"/>
      <c r="P593" s="34"/>
      <c r="Q593" s="24" t="str">
        <f t="shared" si="3"/>
        <v>https://docs.google.com/forms/d/e/1FAIpQLSeZ-R1GrWlAPkfaThGqxeTj0QTtrARw4rroxIIepf2kipn1nw/formResponse?usp=pp_url&amp;entry.1313582257=0098656322&amp;entry.1578404635=Hadir</v>
      </c>
      <c r="R593" s="23" t="s">
        <v>6983</v>
      </c>
      <c r="S593" s="39"/>
      <c r="T593" s="39"/>
      <c r="U593" s="39"/>
      <c r="V593" s="39"/>
    </row>
    <row r="594" ht="22.5" customHeight="1">
      <c r="A594" s="12">
        <v>107.0</v>
      </c>
      <c r="B594" s="32">
        <v>6.0</v>
      </c>
      <c r="C594" s="53" t="s">
        <v>6984</v>
      </c>
      <c r="D594" s="52">
        <v>2.4251012E8</v>
      </c>
      <c r="E594" s="32" t="s">
        <v>3395</v>
      </c>
      <c r="F594" s="32" t="s">
        <v>227</v>
      </c>
      <c r="G594" s="12">
        <v>32.0</v>
      </c>
      <c r="H594" s="48" t="str">
        <f t="shared" si="4"/>
        <v>  XI B-1</v>
      </c>
      <c r="I594" s="28" t="str">
        <f t="shared" si="2"/>
        <v>32 - GC X-7</v>
      </c>
      <c r="J594" s="20" t="str">
        <f>VLOOKUP(I594,'Database Grup SCC'!$B$2:$C1382,2,false)</f>
        <v>Najmi (XII)</v>
      </c>
      <c r="K594" s="50" t="str">
        <f>VLOOKUP(D594,'Data Siswa Mentah 32 Kelas X'!$C$8:$E1382,3,false)</f>
        <v>X-7</v>
      </c>
      <c r="L594" s="50" t="s">
        <v>6974</v>
      </c>
      <c r="M594" s="50"/>
      <c r="N594" s="33" t="s">
        <v>6842</v>
      </c>
      <c r="O594" s="34"/>
      <c r="P594" s="34"/>
      <c r="Q594" s="24" t="str">
        <f t="shared" si="3"/>
        <v>https://docs.google.com/forms/d/e/1FAIpQLSeZ-R1GrWlAPkfaThGqxeTj0QTtrARw4rroxIIepf2kipn1nw/formResponse?usp=pp_url&amp;entry.1313582257=0096763243&amp;entry.1578404635=Hadir</v>
      </c>
      <c r="R594" s="23" t="s">
        <v>6985</v>
      </c>
      <c r="S594" s="39"/>
      <c r="T594" s="39"/>
      <c r="U594" s="39"/>
      <c r="V594" s="39"/>
    </row>
    <row r="595" ht="22.5" customHeight="1">
      <c r="A595" s="12">
        <v>108.0</v>
      </c>
      <c r="B595" s="32">
        <v>7.0</v>
      </c>
      <c r="C595" s="53" t="s">
        <v>6986</v>
      </c>
      <c r="D595" s="52">
        <v>2.42510136E8</v>
      </c>
      <c r="E595" s="32" t="s">
        <v>3400</v>
      </c>
      <c r="F595" s="32" t="s">
        <v>227</v>
      </c>
      <c r="G595" s="12">
        <v>32.0</v>
      </c>
      <c r="H595" s="48" t="str">
        <f t="shared" si="4"/>
        <v>  XI B-1</v>
      </c>
      <c r="I595" s="28" t="str">
        <f t="shared" si="2"/>
        <v>32 - GC X-2</v>
      </c>
      <c r="J595" s="20" t="str">
        <f>VLOOKUP(I595,'Database Grup SCC'!$B$2:$C1382,2,false)</f>
        <v>Iga</v>
      </c>
      <c r="K595" s="50" t="str">
        <f>VLOOKUP(D595,'Data Siswa Mentah 32 Kelas X'!$C$8:$E1382,3,false)</f>
        <v>X-2</v>
      </c>
      <c r="L595" s="50" t="s">
        <v>6974</v>
      </c>
      <c r="M595" s="50"/>
      <c r="N595" s="33" t="s">
        <v>6921</v>
      </c>
      <c r="O595" s="34"/>
      <c r="P595" s="34"/>
      <c r="Q595" s="24" t="str">
        <f t="shared" si="3"/>
        <v>https://docs.google.com/forms/d/e/1FAIpQLSeZ-R1GrWlAPkfaThGqxeTj0QTtrARw4rroxIIepf2kipn1nw/formResponse?usp=pp_url&amp;entry.1313582257=0098951883&amp;entry.1578404635=Hadir</v>
      </c>
      <c r="R595" s="23" t="s">
        <v>6987</v>
      </c>
      <c r="S595" s="39"/>
      <c r="T595" s="39"/>
      <c r="U595" s="39"/>
      <c r="V595" s="39"/>
    </row>
    <row r="596" ht="22.5" customHeight="1">
      <c r="A596" s="12">
        <v>109.0</v>
      </c>
      <c r="B596" s="32">
        <v>8.0</v>
      </c>
      <c r="C596" s="53" t="s">
        <v>6988</v>
      </c>
      <c r="D596" s="52">
        <v>2.4251018E8</v>
      </c>
      <c r="E596" s="32" t="s">
        <v>3405</v>
      </c>
      <c r="F596" s="32" t="s">
        <v>220</v>
      </c>
      <c r="G596" s="12">
        <v>32.0</v>
      </c>
      <c r="H596" s="48" t="str">
        <f t="shared" si="4"/>
        <v>  XI B-1</v>
      </c>
      <c r="I596" s="28" t="str">
        <f t="shared" si="2"/>
        <v>33 - BC X-10</v>
      </c>
      <c r="J596" s="20" t="str">
        <f>VLOOKUP(I596,'Database Grup SCC'!$B$2:$C1382,2,false)</f>
        <v>Irghi (XII)</v>
      </c>
      <c r="K596" s="50" t="str">
        <f>VLOOKUP(D596,'Data Siswa Mentah 32 Kelas X'!$C$8:$E1382,3,false)</f>
        <v>X-10</v>
      </c>
      <c r="L596" s="50" t="s">
        <v>6974</v>
      </c>
      <c r="M596" s="50"/>
      <c r="N596" s="33" t="s">
        <v>6425</v>
      </c>
      <c r="O596" s="34"/>
      <c r="P596" s="34"/>
      <c r="Q596" s="24" t="str">
        <f t="shared" si="3"/>
        <v>https://docs.google.com/forms/d/e/1FAIpQLSeZ-R1GrWlAPkfaThGqxeTj0QTtrARw4rroxIIepf2kipn1nw/formResponse?usp=pp_url&amp;entry.1313582257=0094722345&amp;entry.1578404635=Hadir</v>
      </c>
      <c r="R596" s="23" t="s">
        <v>6989</v>
      </c>
      <c r="S596" s="39"/>
      <c r="T596" s="39"/>
      <c r="U596" s="39"/>
      <c r="V596" s="39"/>
    </row>
    <row r="597" ht="22.5" customHeight="1">
      <c r="A597" s="12">
        <v>110.0</v>
      </c>
      <c r="B597" s="32">
        <v>9.0</v>
      </c>
      <c r="C597" s="53" t="s">
        <v>6990</v>
      </c>
      <c r="D597" s="52">
        <v>2.42510184E8</v>
      </c>
      <c r="E597" s="32" t="s">
        <v>3410</v>
      </c>
      <c r="F597" s="32" t="s">
        <v>227</v>
      </c>
      <c r="G597" s="12">
        <v>32.0</v>
      </c>
      <c r="H597" s="48" t="str">
        <f t="shared" si="4"/>
        <v>  XI B-1</v>
      </c>
      <c r="I597" s="28" t="str">
        <f t="shared" si="2"/>
        <v>32 - GC X-8</v>
      </c>
      <c r="J597" s="20" t="str">
        <f>VLOOKUP(I597,'Database Grup SCC'!$B$2:$C1382,2,false)</f>
        <v>Amel (XII)</v>
      </c>
      <c r="K597" s="50" t="str">
        <f>VLOOKUP(D597,'Data Siswa Mentah 32 Kelas X'!$C$8:$E1382,3,false)</f>
        <v>X-8</v>
      </c>
      <c r="L597" s="50" t="s">
        <v>6974</v>
      </c>
      <c r="M597" s="50"/>
      <c r="N597" s="33" t="s">
        <v>6858</v>
      </c>
      <c r="O597" s="34"/>
      <c r="P597" s="34"/>
      <c r="Q597" s="24" t="str">
        <f t="shared" si="3"/>
        <v>https://docs.google.com/forms/d/e/1FAIpQLSeZ-R1GrWlAPkfaThGqxeTj0QTtrARw4rroxIIepf2kipn1nw/formResponse?usp=pp_url&amp;entry.1313582257=0097193046&amp;entry.1578404635=Hadir</v>
      </c>
      <c r="R597" s="23" t="s">
        <v>6991</v>
      </c>
      <c r="S597" s="39"/>
      <c r="T597" s="39"/>
      <c r="U597" s="39"/>
      <c r="V597" s="39"/>
    </row>
    <row r="598" ht="22.5" customHeight="1">
      <c r="A598" s="12">
        <v>111.0</v>
      </c>
      <c r="B598" s="32">
        <v>10.0</v>
      </c>
      <c r="C598" s="53" t="s">
        <v>6992</v>
      </c>
      <c r="D598" s="52">
        <v>2.42510187E8</v>
      </c>
      <c r="E598" s="32" t="s">
        <v>3415</v>
      </c>
      <c r="F598" s="32" t="s">
        <v>227</v>
      </c>
      <c r="G598" s="12">
        <v>32.0</v>
      </c>
      <c r="H598" s="48" t="str">
        <f t="shared" si="4"/>
        <v>  XI B-1</v>
      </c>
      <c r="I598" s="28" t="str">
        <f t="shared" si="2"/>
        <v>32 - GC X-11</v>
      </c>
      <c r="J598" s="20" t="str">
        <f>VLOOKUP(I598,'Database Grup SCC'!$B$2:$C1382,2,false)</f>
        <v>Kia (XII)</v>
      </c>
      <c r="K598" s="50" t="str">
        <f>VLOOKUP(D598,'Data Siswa Mentah 32 Kelas X'!$C$8:$E1382,3,false)</f>
        <v>X-11</v>
      </c>
      <c r="L598" s="50" t="s">
        <v>6974</v>
      </c>
      <c r="M598" s="50"/>
      <c r="N598" s="33" t="s">
        <v>6883</v>
      </c>
      <c r="O598" s="34"/>
      <c r="P598" s="34"/>
      <c r="Q598" s="24" t="str">
        <f t="shared" si="3"/>
        <v>https://docs.google.com/forms/d/e/1FAIpQLSeZ-R1GrWlAPkfaThGqxeTj0QTtrARw4rroxIIepf2kipn1nw/formResponse?usp=pp_url&amp;entry.1313582257=0093505380&amp;entry.1578404635=Hadir</v>
      </c>
      <c r="R598" s="23" t="s">
        <v>6993</v>
      </c>
      <c r="S598" s="39"/>
      <c r="T598" s="39"/>
      <c r="U598" s="39"/>
      <c r="V598" s="39"/>
    </row>
    <row r="599" ht="22.5" customHeight="1">
      <c r="A599" s="12">
        <v>112.0</v>
      </c>
      <c r="B599" s="32">
        <v>11.0</v>
      </c>
      <c r="C599" s="53" t="s">
        <v>6994</v>
      </c>
      <c r="D599" s="52">
        <v>2.42510193E8</v>
      </c>
      <c r="E599" s="32" t="s">
        <v>3421</v>
      </c>
      <c r="F599" s="32" t="s">
        <v>227</v>
      </c>
      <c r="G599" s="12">
        <v>32.0</v>
      </c>
      <c r="H599" s="48" t="str">
        <f t="shared" si="4"/>
        <v>  XI B-1</v>
      </c>
      <c r="I599" s="28" t="str">
        <f t="shared" si="2"/>
        <v>32 - GC X-9</v>
      </c>
      <c r="J599" s="20" t="str">
        <f>VLOOKUP(I599,'Database Grup SCC'!$B$2:$C1382,2,false)</f>
        <v>Athaya</v>
      </c>
      <c r="K599" s="50" t="str">
        <f>VLOOKUP(D599,'Data Siswa Mentah 32 Kelas X'!$C$8:$E1382,3,false)</f>
        <v>X-9</v>
      </c>
      <c r="L599" s="50" t="s">
        <v>6974</v>
      </c>
      <c r="M599" s="50"/>
      <c r="N599" s="33" t="s">
        <v>6826</v>
      </c>
      <c r="O599" s="34"/>
      <c r="P599" s="34"/>
      <c r="Q599" s="24" t="str">
        <f t="shared" si="3"/>
        <v>https://docs.google.com/forms/d/e/1FAIpQLSeZ-R1GrWlAPkfaThGqxeTj0QTtrARw4rroxIIepf2kipn1nw/formResponse?usp=pp_url&amp;entry.1313582257=0084361496&amp;entry.1578404635=Hadir</v>
      </c>
      <c r="R599" s="23" t="s">
        <v>6995</v>
      </c>
      <c r="S599" s="39"/>
      <c r="T599" s="39"/>
      <c r="U599" s="39"/>
      <c r="V599" s="39"/>
    </row>
    <row r="600" ht="22.5" customHeight="1">
      <c r="A600" s="12">
        <v>113.0</v>
      </c>
      <c r="B600" s="32">
        <v>12.0</v>
      </c>
      <c r="C600" s="53" t="s">
        <v>6996</v>
      </c>
      <c r="D600" s="52">
        <v>2.42510197E8</v>
      </c>
      <c r="E600" s="32" t="s">
        <v>3426</v>
      </c>
      <c r="F600" s="32" t="s">
        <v>227</v>
      </c>
      <c r="G600" s="12">
        <v>32.0</v>
      </c>
      <c r="H600" s="48" t="str">
        <f t="shared" si="4"/>
        <v>  XI B-1</v>
      </c>
      <c r="I600" s="28" t="str">
        <f t="shared" si="2"/>
        <v>32 - GC X-7</v>
      </c>
      <c r="J600" s="20" t="str">
        <f>VLOOKUP(I600,'Database Grup SCC'!$B$2:$C1382,2,false)</f>
        <v>Najmi (XII)</v>
      </c>
      <c r="K600" s="50" t="str">
        <f>VLOOKUP(D600,'Data Siswa Mentah 32 Kelas X'!$C$8:$E1382,3,false)</f>
        <v>X-7</v>
      </c>
      <c r="L600" s="50" t="s">
        <v>6974</v>
      </c>
      <c r="M600" s="50"/>
      <c r="N600" s="33" t="s">
        <v>6842</v>
      </c>
      <c r="O600" s="34"/>
      <c r="P600" s="34"/>
      <c r="Q600" s="24" t="str">
        <f t="shared" si="3"/>
        <v>https://docs.google.com/forms/d/e/1FAIpQLSeZ-R1GrWlAPkfaThGqxeTj0QTtrARw4rroxIIepf2kipn1nw/formResponse?usp=pp_url&amp;entry.1313582257=0093778675&amp;entry.1578404635=Hadir</v>
      </c>
      <c r="R600" s="23" t="s">
        <v>6997</v>
      </c>
      <c r="S600" s="39"/>
      <c r="T600" s="39"/>
      <c r="U600" s="39"/>
      <c r="V600" s="39"/>
    </row>
    <row r="601" ht="22.5" customHeight="1">
      <c r="A601" s="12">
        <v>114.0</v>
      </c>
      <c r="B601" s="32">
        <v>13.0</v>
      </c>
      <c r="C601" s="53" t="s">
        <v>6998</v>
      </c>
      <c r="D601" s="52">
        <v>2.42510213E8</v>
      </c>
      <c r="E601" s="32" t="s">
        <v>3431</v>
      </c>
      <c r="F601" s="32" t="s">
        <v>227</v>
      </c>
      <c r="G601" s="12">
        <v>32.0</v>
      </c>
      <c r="H601" s="48" t="str">
        <f t="shared" si="4"/>
        <v>  XI B-1</v>
      </c>
      <c r="I601" s="28" t="str">
        <f t="shared" si="2"/>
        <v>32 - GC X-3</v>
      </c>
      <c r="J601" s="20" t="str">
        <f>VLOOKUP(I601,'Database Grup SCC'!$B$2:$C1382,2,false)</f>
        <v>Devi</v>
      </c>
      <c r="K601" s="50" t="str">
        <f>VLOOKUP(D601,'Data Siswa Mentah 32 Kelas X'!$C$8:$E1382,3,false)</f>
        <v>X-3</v>
      </c>
      <c r="L601" s="50" t="s">
        <v>6974</v>
      </c>
      <c r="M601" s="50"/>
      <c r="N601" s="33" t="s">
        <v>6879</v>
      </c>
      <c r="O601" s="34"/>
      <c r="P601" s="34"/>
      <c r="Q601" s="24" t="str">
        <f t="shared" si="3"/>
        <v>https://docs.google.com/forms/d/e/1FAIpQLSeZ-R1GrWlAPkfaThGqxeTj0QTtrARw4rroxIIepf2kipn1nw/formResponse?usp=pp_url&amp;entry.1313582257=0094698679&amp;entry.1578404635=Hadir</v>
      </c>
      <c r="R601" s="23" t="s">
        <v>6999</v>
      </c>
      <c r="S601" s="39"/>
      <c r="T601" s="39"/>
      <c r="U601" s="39"/>
      <c r="V601" s="39"/>
    </row>
    <row r="602" ht="22.5" customHeight="1">
      <c r="A602" s="12">
        <v>115.0</v>
      </c>
      <c r="B602" s="32">
        <v>14.0</v>
      </c>
      <c r="C602" s="53" t="s">
        <v>7000</v>
      </c>
      <c r="D602" s="52">
        <v>2.42510216E8</v>
      </c>
      <c r="E602" s="32" t="s">
        <v>3436</v>
      </c>
      <c r="F602" s="32" t="s">
        <v>227</v>
      </c>
      <c r="G602" s="12">
        <v>32.0</v>
      </c>
      <c r="H602" s="48" t="str">
        <f t="shared" si="4"/>
        <v>  XI B-1</v>
      </c>
      <c r="I602" s="28" t="str">
        <f t="shared" si="2"/>
        <v>32 - GC X-3</v>
      </c>
      <c r="J602" s="20" t="str">
        <f>VLOOKUP(I602,'Database Grup SCC'!$B$2:$C1382,2,false)</f>
        <v>Devi</v>
      </c>
      <c r="K602" s="50" t="str">
        <f>VLOOKUP(D602,'Data Siswa Mentah 32 Kelas X'!$C$8:$E1382,3,false)</f>
        <v>X-3</v>
      </c>
      <c r="L602" s="50" t="s">
        <v>6974</v>
      </c>
      <c r="M602" s="50"/>
      <c r="N602" s="33" t="s">
        <v>6879</v>
      </c>
      <c r="O602" s="34"/>
      <c r="P602" s="34"/>
      <c r="Q602" s="24" t="str">
        <f t="shared" si="3"/>
        <v>https://docs.google.com/forms/d/e/1FAIpQLSeZ-R1GrWlAPkfaThGqxeTj0QTtrARw4rroxIIepf2kipn1nw/formResponse?usp=pp_url&amp;entry.1313582257=3095285309&amp;entry.1578404635=Hadir</v>
      </c>
      <c r="R602" s="23" t="s">
        <v>7001</v>
      </c>
      <c r="S602" s="39"/>
      <c r="T602" s="39"/>
      <c r="U602" s="39"/>
      <c r="V602" s="39"/>
    </row>
    <row r="603" ht="22.5" customHeight="1">
      <c r="A603" s="12">
        <v>116.0</v>
      </c>
      <c r="B603" s="32">
        <v>15.0</v>
      </c>
      <c r="C603" s="53" t="s">
        <v>7002</v>
      </c>
      <c r="D603" s="52">
        <v>2.42510222E8</v>
      </c>
      <c r="E603" s="32" t="s">
        <v>3441</v>
      </c>
      <c r="F603" s="32" t="s">
        <v>227</v>
      </c>
      <c r="G603" s="12">
        <v>32.0</v>
      </c>
      <c r="H603" s="48" t="str">
        <f t="shared" si="4"/>
        <v>  XI B-1</v>
      </c>
      <c r="I603" s="28" t="str">
        <f t="shared" si="2"/>
        <v>32 - GC X-9</v>
      </c>
      <c r="J603" s="20" t="str">
        <f>VLOOKUP(I603,'Database Grup SCC'!$B$2:$C1382,2,false)</f>
        <v>Athaya</v>
      </c>
      <c r="K603" s="50" t="str">
        <f>VLOOKUP(D603,'Data Siswa Mentah 32 Kelas X'!$C$8:$E1382,3,false)</f>
        <v>X-9</v>
      </c>
      <c r="L603" s="50" t="s">
        <v>6974</v>
      </c>
      <c r="M603" s="50"/>
      <c r="N603" s="33" t="s">
        <v>6826</v>
      </c>
      <c r="O603" s="34"/>
      <c r="P603" s="34"/>
      <c r="Q603" s="24" t="str">
        <f t="shared" si="3"/>
        <v>https://docs.google.com/forms/d/e/1FAIpQLSeZ-R1GrWlAPkfaThGqxeTj0QTtrARw4rroxIIepf2kipn1nw/formResponse?usp=pp_url&amp;entry.1313582257=0081476668&amp;entry.1578404635=Hadir</v>
      </c>
      <c r="R603" s="23" t="s">
        <v>7003</v>
      </c>
      <c r="S603" s="39"/>
      <c r="T603" s="39"/>
      <c r="U603" s="39"/>
      <c r="V603" s="39"/>
    </row>
    <row r="604" ht="22.5" customHeight="1">
      <c r="A604" s="12">
        <v>117.0</v>
      </c>
      <c r="B604" s="32">
        <v>16.0</v>
      </c>
      <c r="C604" s="53" t="s">
        <v>7004</v>
      </c>
      <c r="D604" s="52">
        <v>2.4251023E8</v>
      </c>
      <c r="E604" s="32" t="s">
        <v>3447</v>
      </c>
      <c r="F604" s="32" t="s">
        <v>227</v>
      </c>
      <c r="G604" s="12">
        <v>32.0</v>
      </c>
      <c r="H604" s="48" t="str">
        <f t="shared" si="4"/>
        <v>  XI B-1</v>
      </c>
      <c r="I604" s="28" t="str">
        <f t="shared" si="2"/>
        <v>32 - GC X-9</v>
      </c>
      <c r="J604" s="20" t="str">
        <f>VLOOKUP(I604,'Database Grup SCC'!$B$2:$C1382,2,false)</f>
        <v>Athaya</v>
      </c>
      <c r="K604" s="50" t="str">
        <f>VLOOKUP(D604,'Data Siswa Mentah 32 Kelas X'!$C$8:$E1382,3,false)</f>
        <v>X-9</v>
      </c>
      <c r="L604" s="50" t="s">
        <v>6974</v>
      </c>
      <c r="M604" s="50"/>
      <c r="N604" s="33" t="s">
        <v>6826</v>
      </c>
      <c r="O604" s="34"/>
      <c r="P604" s="34"/>
      <c r="Q604" s="24" t="str">
        <f t="shared" si="3"/>
        <v>https://docs.google.com/forms/d/e/1FAIpQLSeZ-R1GrWlAPkfaThGqxeTj0QTtrARw4rroxIIepf2kipn1nw/formResponse?usp=pp_url&amp;entry.1313582257=0098908539&amp;entry.1578404635=Hadir</v>
      </c>
      <c r="R604" s="23" t="s">
        <v>7005</v>
      </c>
      <c r="S604" s="39"/>
      <c r="T604" s="39"/>
      <c r="U604" s="39"/>
      <c r="V604" s="39"/>
    </row>
    <row r="605" ht="22.5" customHeight="1">
      <c r="A605" s="12">
        <v>118.0</v>
      </c>
      <c r="B605" s="32">
        <v>17.0</v>
      </c>
      <c r="C605" s="53" t="s">
        <v>7006</v>
      </c>
      <c r="D605" s="52">
        <v>2.42510231E8</v>
      </c>
      <c r="E605" s="32" t="s">
        <v>3452</v>
      </c>
      <c r="F605" s="32" t="s">
        <v>227</v>
      </c>
      <c r="G605" s="12">
        <v>32.0</v>
      </c>
      <c r="H605" s="48" t="str">
        <f t="shared" si="4"/>
        <v>  XI B-1</v>
      </c>
      <c r="I605" s="28" t="str">
        <f t="shared" si="2"/>
        <v>32 - GC X-5</v>
      </c>
      <c r="J605" s="20" t="str">
        <f>VLOOKUP(I605,'Database Grup SCC'!$B$2:$C1382,2,false)</f>
        <v>Amel</v>
      </c>
      <c r="K605" s="50" t="str">
        <f>VLOOKUP(D605,'Data Siswa Mentah 32 Kelas X'!$C$8:$E1382,3,false)</f>
        <v>X-5</v>
      </c>
      <c r="L605" s="50" t="s">
        <v>6974</v>
      </c>
      <c r="M605" s="50"/>
      <c r="N605" s="33" t="s">
        <v>6872</v>
      </c>
      <c r="O605" s="34"/>
      <c r="P605" s="34"/>
      <c r="Q605" s="24" t="str">
        <f t="shared" si="3"/>
        <v>https://docs.google.com/forms/d/e/1FAIpQLSeZ-R1GrWlAPkfaThGqxeTj0QTtrARw4rroxIIepf2kipn1nw/formResponse?usp=pp_url&amp;entry.1313582257=3095174589&amp;entry.1578404635=Hadir</v>
      </c>
      <c r="R605" s="23" t="s">
        <v>7007</v>
      </c>
      <c r="S605" s="39"/>
      <c r="T605" s="39"/>
      <c r="U605" s="39"/>
      <c r="V605" s="39"/>
    </row>
    <row r="606" ht="22.5" customHeight="1">
      <c r="A606" s="12">
        <v>119.0</v>
      </c>
      <c r="B606" s="32">
        <v>18.0</v>
      </c>
      <c r="C606" s="53" t="s">
        <v>7008</v>
      </c>
      <c r="D606" s="52">
        <v>2.42510232E8</v>
      </c>
      <c r="E606" s="32" t="s">
        <v>3457</v>
      </c>
      <c r="F606" s="32" t="s">
        <v>227</v>
      </c>
      <c r="G606" s="12">
        <v>32.0</v>
      </c>
      <c r="H606" s="48" t="str">
        <f t="shared" si="4"/>
        <v>  XI B-1</v>
      </c>
      <c r="I606" s="28" t="str">
        <f t="shared" si="2"/>
        <v>32 - GC X-9</v>
      </c>
      <c r="J606" s="20" t="str">
        <f>VLOOKUP(I606,'Database Grup SCC'!$B$2:$C1382,2,false)</f>
        <v>Athaya</v>
      </c>
      <c r="K606" s="50" t="str">
        <f>VLOOKUP(D606,'Data Siswa Mentah 32 Kelas X'!$C$8:$E1382,3,false)</f>
        <v>X-9</v>
      </c>
      <c r="L606" s="50" t="s">
        <v>6974</v>
      </c>
      <c r="M606" s="50"/>
      <c r="N606" s="33" t="s">
        <v>6826</v>
      </c>
      <c r="O606" s="34"/>
      <c r="P606" s="34"/>
      <c r="Q606" s="24" t="str">
        <f t="shared" si="3"/>
        <v>https://docs.google.com/forms/d/e/1FAIpQLSeZ-R1GrWlAPkfaThGqxeTj0QTtrARw4rroxIIepf2kipn1nw/formResponse?usp=pp_url&amp;entry.1313582257=0099030651&amp;entry.1578404635=Hadir</v>
      </c>
      <c r="R606" s="23" t="s">
        <v>7009</v>
      </c>
      <c r="S606" s="39"/>
      <c r="T606" s="39"/>
      <c r="U606" s="39"/>
      <c r="V606" s="39"/>
    </row>
    <row r="607" ht="22.5" customHeight="1">
      <c r="A607" s="12">
        <v>120.0</v>
      </c>
      <c r="B607" s="32">
        <v>19.0</v>
      </c>
      <c r="C607" s="53" t="s">
        <v>7010</v>
      </c>
      <c r="D607" s="52">
        <v>2.42510233E8</v>
      </c>
      <c r="E607" s="32" t="s">
        <v>3462</v>
      </c>
      <c r="F607" s="32" t="s">
        <v>227</v>
      </c>
      <c r="G607" s="12">
        <v>32.0</v>
      </c>
      <c r="H607" s="48" t="str">
        <f t="shared" si="4"/>
        <v>  XI B-1</v>
      </c>
      <c r="I607" s="28" t="str">
        <f t="shared" si="2"/>
        <v>32 - GC X-12</v>
      </c>
      <c r="J607" s="20" t="str">
        <f>VLOOKUP(I607,'Database Grup SCC'!$B$2:$C1382,2,false)</f>
        <v>Farisa (XII)</v>
      </c>
      <c r="K607" s="50" t="str">
        <f>VLOOKUP(D607,'Data Siswa Mentah 32 Kelas X'!$C$8:$E1382,3,false)</f>
        <v>X-12</v>
      </c>
      <c r="L607" s="50" t="s">
        <v>6974</v>
      </c>
      <c r="M607" s="50"/>
      <c r="N607" s="33" t="s">
        <v>6845</v>
      </c>
      <c r="O607" s="34"/>
      <c r="P607" s="34"/>
      <c r="Q607" s="24" t="str">
        <f t="shared" si="3"/>
        <v>https://docs.google.com/forms/d/e/1FAIpQLSeZ-R1GrWlAPkfaThGqxeTj0QTtrARw4rroxIIepf2kipn1nw/formResponse?usp=pp_url&amp;entry.1313582257=0098437864&amp;entry.1578404635=Hadir</v>
      </c>
      <c r="R607" s="23" t="s">
        <v>7011</v>
      </c>
      <c r="S607" s="39"/>
      <c r="T607" s="39"/>
      <c r="U607" s="39"/>
      <c r="V607" s="39"/>
    </row>
    <row r="608" ht="22.5" customHeight="1">
      <c r="A608" s="12">
        <v>121.0</v>
      </c>
      <c r="B608" s="32">
        <v>20.0</v>
      </c>
      <c r="C608" s="53" t="s">
        <v>7012</v>
      </c>
      <c r="D608" s="52">
        <v>2.42510244E8</v>
      </c>
      <c r="E608" s="32" t="s">
        <v>3468</v>
      </c>
      <c r="F608" s="32" t="s">
        <v>220</v>
      </c>
      <c r="G608" s="12">
        <v>32.0</v>
      </c>
      <c r="H608" s="48" t="str">
        <f t="shared" si="4"/>
        <v>  XI B-1</v>
      </c>
      <c r="I608" s="28" t="str">
        <f t="shared" si="2"/>
        <v>33 - BC X-6</v>
      </c>
      <c r="J608" s="20" t="str">
        <f>VLOOKUP(I608,'Database Grup SCC'!$B$2:$C1382,2,false)</f>
        <v>Rizki Putra</v>
      </c>
      <c r="K608" s="50" t="str">
        <f>VLOOKUP(D608,'Data Siswa Mentah 32 Kelas X'!$C$8:$E1382,3,false)</f>
        <v>X-6</v>
      </c>
      <c r="L608" s="50" t="s">
        <v>6974</v>
      </c>
      <c r="M608" s="50"/>
      <c r="N608" s="33" t="s">
        <v>5926</v>
      </c>
      <c r="O608" s="34"/>
      <c r="P608" s="34"/>
      <c r="Q608" s="24" t="str">
        <f t="shared" si="3"/>
        <v>https://docs.google.com/forms/d/e/1FAIpQLSeZ-R1GrWlAPkfaThGqxeTj0QTtrARw4rroxIIepf2kipn1nw/formResponse?usp=pp_url&amp;entry.1313582257=0088976294&amp;entry.1578404635=Hadir</v>
      </c>
      <c r="R608" s="23" t="s">
        <v>7013</v>
      </c>
      <c r="S608" s="39"/>
      <c r="T608" s="39"/>
      <c r="U608" s="39"/>
      <c r="V608" s="39"/>
    </row>
    <row r="609" ht="22.5" customHeight="1">
      <c r="A609" s="12">
        <v>122.0</v>
      </c>
      <c r="B609" s="32">
        <v>21.0</v>
      </c>
      <c r="C609" s="53" t="s">
        <v>7014</v>
      </c>
      <c r="D609" s="52">
        <v>2.42510278E8</v>
      </c>
      <c r="E609" s="32" t="s">
        <v>3473</v>
      </c>
      <c r="F609" s="32" t="s">
        <v>220</v>
      </c>
      <c r="G609" s="12">
        <v>32.0</v>
      </c>
      <c r="H609" s="48" t="str">
        <f t="shared" si="4"/>
        <v>  XI B-1</v>
      </c>
      <c r="I609" s="28" t="str">
        <f t="shared" si="2"/>
        <v>33 - BC X-8</v>
      </c>
      <c r="J609" s="20" t="str">
        <f>VLOOKUP(I609,'Database Grup SCC'!$B$2:$C1382,2,false)</f>
        <v>Teguh</v>
      </c>
      <c r="K609" s="50" t="str">
        <f>VLOOKUP(D609,'Data Siswa Mentah 32 Kelas X'!$C$8:$E1382,3,false)</f>
        <v>X-8</v>
      </c>
      <c r="L609" s="50" t="s">
        <v>6974</v>
      </c>
      <c r="M609" s="50"/>
      <c r="N609" s="33" t="s">
        <v>6166</v>
      </c>
      <c r="O609" s="34"/>
      <c r="P609" s="34"/>
      <c r="Q609" s="24" t="str">
        <f t="shared" si="3"/>
        <v>https://docs.google.com/forms/d/e/1FAIpQLSeZ-R1GrWlAPkfaThGqxeTj0QTtrARw4rroxIIepf2kipn1nw/formResponse?usp=pp_url&amp;entry.1313582257=0094412664&amp;entry.1578404635=Hadir</v>
      </c>
      <c r="R609" s="23" t="s">
        <v>7015</v>
      </c>
      <c r="S609" s="39"/>
      <c r="T609" s="39"/>
      <c r="U609" s="39"/>
      <c r="V609" s="39"/>
    </row>
    <row r="610" ht="22.5" customHeight="1">
      <c r="A610" s="12">
        <v>123.0</v>
      </c>
      <c r="B610" s="32">
        <v>22.0</v>
      </c>
      <c r="C610" s="53" t="s">
        <v>7016</v>
      </c>
      <c r="D610" s="52">
        <v>2.42510286E8</v>
      </c>
      <c r="E610" s="32" t="s">
        <v>3478</v>
      </c>
      <c r="F610" s="32" t="s">
        <v>227</v>
      </c>
      <c r="G610" s="12">
        <v>32.0</v>
      </c>
      <c r="H610" s="48" t="str">
        <f t="shared" si="4"/>
        <v>  XI B-1</v>
      </c>
      <c r="I610" s="28" t="str">
        <f t="shared" si="2"/>
        <v>32 - GC X-6</v>
      </c>
      <c r="J610" s="20" t="str">
        <f>VLOOKUP(I610,'Database Grup SCC'!$B$2:$C1382,2,false)</f>
        <v>Zalika</v>
      </c>
      <c r="K610" s="50" t="str">
        <f>VLOOKUP(D610,'Data Siswa Mentah 32 Kelas X'!$C$8:$E1382,3,false)</f>
        <v>X-6</v>
      </c>
      <c r="L610" s="50" t="s">
        <v>6974</v>
      </c>
      <c r="M610" s="50"/>
      <c r="N610" s="33" t="s">
        <v>6924</v>
      </c>
      <c r="O610" s="34"/>
      <c r="P610" s="34"/>
      <c r="Q610" s="24" t="str">
        <f t="shared" si="3"/>
        <v>https://docs.google.com/forms/d/e/1FAIpQLSeZ-R1GrWlAPkfaThGqxeTj0QTtrARw4rroxIIepf2kipn1nw/formResponse?usp=pp_url&amp;entry.1313582257=0091524851&amp;entry.1578404635=Hadir</v>
      </c>
      <c r="R610" s="23" t="s">
        <v>7017</v>
      </c>
      <c r="S610" s="39"/>
      <c r="T610" s="39"/>
      <c r="U610" s="39"/>
      <c r="V610" s="39"/>
    </row>
    <row r="611" ht="22.5" customHeight="1">
      <c r="A611" s="12">
        <v>124.0</v>
      </c>
      <c r="B611" s="32">
        <v>23.0</v>
      </c>
      <c r="C611" s="53" t="s">
        <v>7018</v>
      </c>
      <c r="D611" s="52">
        <v>2.42510297E8</v>
      </c>
      <c r="E611" s="32" t="s">
        <v>3483</v>
      </c>
      <c r="F611" s="32" t="s">
        <v>227</v>
      </c>
      <c r="G611" s="12">
        <v>32.0</v>
      </c>
      <c r="H611" s="48" t="str">
        <f t="shared" si="4"/>
        <v>  XI B-1</v>
      </c>
      <c r="I611" s="28" t="str">
        <f t="shared" si="2"/>
        <v>32 - GC X-5</v>
      </c>
      <c r="J611" s="20" t="str">
        <f>VLOOKUP(I611,'Database Grup SCC'!$B$2:$C1382,2,false)</f>
        <v>Amel</v>
      </c>
      <c r="K611" s="50" t="str">
        <f>VLOOKUP(D611,'Data Siswa Mentah 32 Kelas X'!$C$8:$E1382,3,false)</f>
        <v>X-5</v>
      </c>
      <c r="L611" s="50" t="s">
        <v>6974</v>
      </c>
      <c r="M611" s="50"/>
      <c r="N611" s="33" t="s">
        <v>6872</v>
      </c>
      <c r="O611" s="34"/>
      <c r="P611" s="34"/>
      <c r="Q611" s="24" t="str">
        <f t="shared" si="3"/>
        <v>https://docs.google.com/forms/d/e/1FAIpQLSeZ-R1GrWlAPkfaThGqxeTj0QTtrARw4rroxIIepf2kipn1nw/formResponse?usp=pp_url&amp;entry.1313582257=3099271994&amp;entry.1578404635=Hadir</v>
      </c>
      <c r="R611" s="23" t="s">
        <v>7019</v>
      </c>
      <c r="S611" s="39"/>
      <c r="T611" s="39"/>
      <c r="U611" s="39"/>
      <c r="V611" s="39"/>
    </row>
    <row r="612" ht="22.5" customHeight="1">
      <c r="A612" s="12">
        <v>125.0</v>
      </c>
      <c r="B612" s="32">
        <v>24.0</v>
      </c>
      <c r="C612" s="53" t="s">
        <v>7020</v>
      </c>
      <c r="D612" s="52">
        <v>2.42510298E8</v>
      </c>
      <c r="E612" s="32" t="s">
        <v>3489</v>
      </c>
      <c r="F612" s="32" t="s">
        <v>227</v>
      </c>
      <c r="G612" s="12">
        <v>32.0</v>
      </c>
      <c r="H612" s="48" t="str">
        <f t="shared" si="4"/>
        <v>  XI B-1</v>
      </c>
      <c r="I612" s="28" t="str">
        <f t="shared" si="2"/>
        <v>32 - GC X-9</v>
      </c>
      <c r="J612" s="20" t="str">
        <f>VLOOKUP(I612,'Database Grup SCC'!$B$2:$C1382,2,false)</f>
        <v>Athaya</v>
      </c>
      <c r="K612" s="50" t="str">
        <f>VLOOKUP(D612,'Data Siswa Mentah 32 Kelas X'!$C$8:$E1382,3,false)</f>
        <v>X-9</v>
      </c>
      <c r="L612" s="50" t="s">
        <v>6974</v>
      </c>
      <c r="M612" s="50"/>
      <c r="N612" s="33" t="s">
        <v>6826</v>
      </c>
      <c r="O612" s="34"/>
      <c r="P612" s="34"/>
      <c r="Q612" s="24" t="str">
        <f t="shared" si="3"/>
        <v>https://docs.google.com/forms/d/e/1FAIpQLSeZ-R1GrWlAPkfaThGqxeTj0QTtrARw4rroxIIepf2kipn1nw/formResponse?usp=pp_url&amp;entry.1313582257=0083974334&amp;entry.1578404635=Hadir</v>
      </c>
      <c r="R612" s="23" t="s">
        <v>7021</v>
      </c>
      <c r="S612" s="39"/>
      <c r="T612" s="39"/>
      <c r="U612" s="39"/>
      <c r="V612" s="39"/>
    </row>
    <row r="613" ht="22.5" customHeight="1">
      <c r="A613" s="12">
        <v>126.0</v>
      </c>
      <c r="B613" s="32">
        <v>25.0</v>
      </c>
      <c r="C613" s="53" t="s">
        <v>7022</v>
      </c>
      <c r="D613" s="52">
        <v>2.42510313E8</v>
      </c>
      <c r="E613" s="32" t="s">
        <v>3494</v>
      </c>
      <c r="F613" s="32" t="s">
        <v>227</v>
      </c>
      <c r="G613" s="12">
        <v>32.0</v>
      </c>
      <c r="H613" s="48" t="str">
        <f t="shared" si="4"/>
        <v>  XI B-1</v>
      </c>
      <c r="I613" s="28" t="str">
        <f t="shared" si="2"/>
        <v>32 - GC X-12</v>
      </c>
      <c r="J613" s="20" t="str">
        <f>VLOOKUP(I613,'Database Grup SCC'!$B$2:$C1382,2,false)</f>
        <v>Farisa (XII)</v>
      </c>
      <c r="K613" s="50" t="str">
        <f>VLOOKUP(D613,'Data Siswa Mentah 32 Kelas X'!$C$8:$E1382,3,false)</f>
        <v>X-12</v>
      </c>
      <c r="L613" s="50" t="s">
        <v>6974</v>
      </c>
      <c r="M613" s="50"/>
      <c r="N613" s="33" t="s">
        <v>6845</v>
      </c>
      <c r="O613" s="34"/>
      <c r="P613" s="34"/>
      <c r="Q613" s="24" t="str">
        <f t="shared" si="3"/>
        <v>https://docs.google.com/forms/d/e/1FAIpQLSeZ-R1GrWlAPkfaThGqxeTj0QTtrARw4rroxIIepf2kipn1nw/formResponse?usp=pp_url&amp;entry.1313582257=0084584228&amp;entry.1578404635=Hadir</v>
      </c>
      <c r="R613" s="23" t="s">
        <v>7023</v>
      </c>
      <c r="S613" s="39"/>
      <c r="T613" s="39"/>
      <c r="U613" s="39"/>
      <c r="V613" s="39"/>
    </row>
    <row r="614" ht="22.5" customHeight="1">
      <c r="A614" s="12">
        <v>127.0</v>
      </c>
      <c r="B614" s="32">
        <v>26.0</v>
      </c>
      <c r="C614" s="53" t="s">
        <v>7024</v>
      </c>
      <c r="D614" s="52">
        <v>2.42510328E8</v>
      </c>
      <c r="E614" s="32" t="s">
        <v>3499</v>
      </c>
      <c r="F614" s="32" t="s">
        <v>227</v>
      </c>
      <c r="G614" s="12">
        <v>32.0</v>
      </c>
      <c r="H614" s="48" t="str">
        <f t="shared" si="4"/>
        <v>  XI B-1</v>
      </c>
      <c r="I614" s="28" t="str">
        <f t="shared" si="2"/>
        <v>32 - GC X-10</v>
      </c>
      <c r="J614" s="20" t="str">
        <f>VLOOKUP(I614,'Database Grup SCC'!$B$2:$C1382,2,false)</f>
        <v>Athaya</v>
      </c>
      <c r="K614" s="50" t="str">
        <f>VLOOKUP(D614,'Data Siswa Mentah 32 Kelas X'!$C$8:$E1382,3,false)</f>
        <v>X-10</v>
      </c>
      <c r="L614" s="50" t="s">
        <v>6974</v>
      </c>
      <c r="M614" s="50"/>
      <c r="N614" s="33" t="s">
        <v>6865</v>
      </c>
      <c r="O614" s="34"/>
      <c r="P614" s="34"/>
      <c r="Q614" s="24" t="str">
        <f t="shared" si="3"/>
        <v>https://docs.google.com/forms/d/e/1FAIpQLSeZ-R1GrWlAPkfaThGqxeTj0QTtrARw4rroxIIepf2kipn1nw/formResponse?usp=pp_url&amp;entry.1313582257=0093556204&amp;entry.1578404635=Hadir</v>
      </c>
      <c r="R614" s="23" t="s">
        <v>7025</v>
      </c>
      <c r="S614" s="39"/>
      <c r="T614" s="39"/>
      <c r="U614" s="39"/>
      <c r="V614" s="39"/>
    </row>
    <row r="615" ht="22.5" customHeight="1">
      <c r="A615" s="12">
        <v>128.0</v>
      </c>
      <c r="B615" s="32">
        <v>27.0</v>
      </c>
      <c r="C615" s="53" t="s">
        <v>7026</v>
      </c>
      <c r="D615" s="52">
        <v>2.42510343E8</v>
      </c>
      <c r="E615" s="32" t="s">
        <v>3504</v>
      </c>
      <c r="F615" s="32" t="s">
        <v>227</v>
      </c>
      <c r="G615" s="12">
        <v>32.0</v>
      </c>
      <c r="H615" s="48" t="str">
        <f t="shared" si="4"/>
        <v>  XI B-1</v>
      </c>
      <c r="I615" s="28" t="str">
        <f t="shared" si="2"/>
        <v>32 - GC X-10</v>
      </c>
      <c r="J615" s="20" t="str">
        <f>VLOOKUP(I615,'Database Grup SCC'!$B$2:$C1382,2,false)</f>
        <v>Athaya</v>
      </c>
      <c r="K615" s="50" t="str">
        <f>VLOOKUP(D615,'Data Siswa Mentah 32 Kelas X'!$C$8:$E1382,3,false)</f>
        <v>X-10</v>
      </c>
      <c r="L615" s="50" t="s">
        <v>6974</v>
      </c>
      <c r="M615" s="50"/>
      <c r="N615" s="33" t="s">
        <v>6865</v>
      </c>
      <c r="O615" s="34"/>
      <c r="P615" s="34"/>
      <c r="Q615" s="24" t="str">
        <f t="shared" si="3"/>
        <v>https://docs.google.com/forms/d/e/1FAIpQLSeZ-R1GrWlAPkfaThGqxeTj0QTtrARw4rroxIIepf2kipn1nw/formResponse?usp=pp_url&amp;entry.1313582257=0099332666&amp;entry.1578404635=Hadir</v>
      </c>
      <c r="R615" s="23" t="s">
        <v>7027</v>
      </c>
      <c r="S615" s="39"/>
      <c r="T615" s="39"/>
      <c r="U615" s="39"/>
      <c r="V615" s="39"/>
    </row>
    <row r="616" ht="22.5" customHeight="1">
      <c r="A616" s="12">
        <v>129.0</v>
      </c>
      <c r="B616" s="32">
        <v>28.0</v>
      </c>
      <c r="C616" s="53" t="s">
        <v>7028</v>
      </c>
      <c r="D616" s="52">
        <v>2.4251035E8</v>
      </c>
      <c r="E616" s="32" t="s">
        <v>3509</v>
      </c>
      <c r="F616" s="32" t="s">
        <v>220</v>
      </c>
      <c r="G616" s="12">
        <v>32.0</v>
      </c>
      <c r="H616" s="48" t="str">
        <f t="shared" si="4"/>
        <v>  XI B-1</v>
      </c>
      <c r="I616" s="28" t="str">
        <f t="shared" si="2"/>
        <v>32 - BC X-12</v>
      </c>
      <c r="J616" s="20" t="str">
        <f>VLOOKUP(I616,'Database Grup SCC'!$B$2:$C1382,2,false)</f>
        <v>Syafiq</v>
      </c>
      <c r="K616" s="50" t="str">
        <f>VLOOKUP(D616,'Data Siswa Mentah 32 Kelas X'!$C$8:$E1382,3,false)</f>
        <v>X-12</v>
      </c>
      <c r="L616" s="50" t="s">
        <v>6974</v>
      </c>
      <c r="M616" s="50"/>
      <c r="N616" s="33" t="s">
        <v>6951</v>
      </c>
      <c r="O616" s="34"/>
      <c r="P616" s="34"/>
      <c r="Q616" s="24" t="str">
        <f t="shared" si="3"/>
        <v>https://docs.google.com/forms/d/e/1FAIpQLSeZ-R1GrWlAPkfaThGqxeTj0QTtrARw4rroxIIepf2kipn1nw/formResponse?usp=pp_url&amp;entry.1313582257=0087745551&amp;entry.1578404635=Hadir</v>
      </c>
      <c r="R616" s="23" t="s">
        <v>7029</v>
      </c>
      <c r="S616" s="39"/>
      <c r="T616" s="39"/>
      <c r="U616" s="39"/>
      <c r="V616" s="39"/>
    </row>
    <row r="617" ht="22.5" customHeight="1">
      <c r="A617" s="12">
        <v>130.0</v>
      </c>
      <c r="B617" s="32">
        <v>29.0</v>
      </c>
      <c r="C617" s="53" t="s">
        <v>7030</v>
      </c>
      <c r="D617" s="52">
        <v>2.42510371E8</v>
      </c>
      <c r="E617" s="32" t="s">
        <v>3515</v>
      </c>
      <c r="F617" s="32" t="s">
        <v>220</v>
      </c>
      <c r="G617" s="12">
        <v>32.0</v>
      </c>
      <c r="H617" s="48" t="str">
        <f t="shared" si="4"/>
        <v>  XI B-1</v>
      </c>
      <c r="I617" s="28" t="str">
        <f t="shared" si="2"/>
        <v>33 - BC X-7</v>
      </c>
      <c r="J617" s="20" t="str">
        <f>VLOOKUP(I617,'Database Grup SCC'!$B$2:$C1382,2,false)</f>
        <v>Rizza Al-Farisi</v>
      </c>
      <c r="K617" s="50" t="str">
        <f>VLOOKUP(D617,'Data Siswa Mentah 32 Kelas X'!$C$8:$E1382,3,false)</f>
        <v>X-7</v>
      </c>
      <c r="L617" s="50" t="s">
        <v>6974</v>
      </c>
      <c r="M617" s="50"/>
      <c r="N617" s="33" t="s">
        <v>6005</v>
      </c>
      <c r="O617" s="34"/>
      <c r="P617" s="34"/>
      <c r="Q617" s="24" t="str">
        <f t="shared" si="3"/>
        <v>https://docs.google.com/forms/d/e/1FAIpQLSeZ-R1GrWlAPkfaThGqxeTj0QTtrARw4rroxIIepf2kipn1nw/formResponse?usp=pp_url&amp;entry.1313582257=0085930059&amp;entry.1578404635=Hadir</v>
      </c>
      <c r="R617" s="23" t="s">
        <v>7031</v>
      </c>
      <c r="S617" s="39"/>
      <c r="T617" s="39"/>
      <c r="U617" s="39"/>
      <c r="V617" s="39"/>
    </row>
    <row r="618" ht="22.5" customHeight="1">
      <c r="A618" s="12">
        <v>131.0</v>
      </c>
      <c r="B618" s="32">
        <v>30.0</v>
      </c>
      <c r="C618" s="53" t="s">
        <v>7032</v>
      </c>
      <c r="D618" s="52">
        <v>2.42510373E8</v>
      </c>
      <c r="E618" s="32" t="s">
        <v>3520</v>
      </c>
      <c r="F618" s="32" t="s">
        <v>227</v>
      </c>
      <c r="G618" s="12">
        <v>32.0</v>
      </c>
      <c r="H618" s="48" t="str">
        <f t="shared" si="4"/>
        <v>  XI B-1</v>
      </c>
      <c r="I618" s="28" t="str">
        <f t="shared" si="2"/>
        <v>32 - GC X-10</v>
      </c>
      <c r="J618" s="20" t="str">
        <f>VLOOKUP(I618,'Database Grup SCC'!$B$2:$C1382,2,false)</f>
        <v>Athaya</v>
      </c>
      <c r="K618" s="50" t="str">
        <f>VLOOKUP(D618,'Data Siswa Mentah 32 Kelas X'!$C$8:$E1382,3,false)</f>
        <v>X-10</v>
      </c>
      <c r="L618" s="50" t="s">
        <v>6974</v>
      </c>
      <c r="M618" s="50"/>
      <c r="N618" s="33" t="s">
        <v>6865</v>
      </c>
      <c r="O618" s="34"/>
      <c r="P618" s="34"/>
      <c r="Q618" s="24" t="str">
        <f t="shared" si="3"/>
        <v>https://docs.google.com/forms/d/e/1FAIpQLSeZ-R1GrWlAPkfaThGqxeTj0QTtrARw4rroxIIepf2kipn1nw/formResponse?usp=pp_url&amp;entry.1313582257=0096344538&amp;entry.1578404635=Hadir</v>
      </c>
      <c r="R618" s="23" t="s">
        <v>7033</v>
      </c>
      <c r="S618" s="39"/>
      <c r="T618" s="39"/>
      <c r="U618" s="39"/>
      <c r="V618" s="39"/>
    </row>
    <row r="619" ht="22.5" customHeight="1">
      <c r="A619" s="12">
        <v>132.0</v>
      </c>
      <c r="B619" s="32">
        <v>31.0</v>
      </c>
      <c r="C619" s="53" t="s">
        <v>7034</v>
      </c>
      <c r="D619" s="54">
        <v>2.42510395E8</v>
      </c>
      <c r="E619" s="32" t="s">
        <v>3525</v>
      </c>
      <c r="F619" s="32" t="s">
        <v>227</v>
      </c>
      <c r="G619" s="12">
        <v>32.0</v>
      </c>
      <c r="H619" s="48" t="str">
        <f t="shared" si="4"/>
        <v>  XI B-1</v>
      </c>
      <c r="I619" s="28" t="str">
        <f t="shared" si="2"/>
        <v>32 - GC X-7</v>
      </c>
      <c r="J619" s="20" t="str">
        <f>VLOOKUP(I619,'Database Grup SCC'!$B$2:$C1382,2,false)</f>
        <v>Najmi (XII)</v>
      </c>
      <c r="K619" s="50" t="str">
        <f>VLOOKUP(D619,'Data Siswa Mentah 32 Kelas X'!$C$8:$E1382,3,false)</f>
        <v>X-7</v>
      </c>
      <c r="L619" s="50" t="s">
        <v>6974</v>
      </c>
      <c r="M619" s="50"/>
      <c r="N619" s="33" t="s">
        <v>6842</v>
      </c>
      <c r="O619" s="34"/>
      <c r="P619" s="34"/>
      <c r="Q619" s="24" t="str">
        <f t="shared" si="3"/>
        <v>https://docs.google.com/forms/d/e/1FAIpQLSeZ-R1GrWlAPkfaThGqxeTj0QTtrARw4rroxIIepf2kipn1nw/formResponse?usp=pp_url&amp;entry.1313582257=0096480588&amp;entry.1578404635=Hadir</v>
      </c>
      <c r="R619" s="23" t="s">
        <v>7035</v>
      </c>
      <c r="S619" s="39"/>
      <c r="T619" s="39"/>
      <c r="U619" s="39"/>
      <c r="V619" s="39"/>
    </row>
    <row r="620" ht="22.5" customHeight="1">
      <c r="A620" s="12">
        <v>133.0</v>
      </c>
      <c r="B620" s="32">
        <v>32.0</v>
      </c>
      <c r="C620" s="53" t="s">
        <v>7036</v>
      </c>
      <c r="D620" s="52">
        <v>2.42510405E8</v>
      </c>
      <c r="E620" s="32" t="s">
        <v>3530</v>
      </c>
      <c r="F620" s="32" t="s">
        <v>220</v>
      </c>
      <c r="G620" s="12">
        <v>32.0</v>
      </c>
      <c r="H620" s="48" t="str">
        <f t="shared" si="4"/>
        <v>  XI B-1</v>
      </c>
      <c r="I620" s="28" t="str">
        <f t="shared" si="2"/>
        <v>33 - BC X-8</v>
      </c>
      <c r="J620" s="20" t="str">
        <f>VLOOKUP(I620,'Database Grup SCC'!$B$2:$C1382,2,false)</f>
        <v>Teguh</v>
      </c>
      <c r="K620" s="50" t="str">
        <f>VLOOKUP(D620,'Data Siswa Mentah 32 Kelas X'!$C$8:$E1382,3,false)</f>
        <v>X-8</v>
      </c>
      <c r="L620" s="50" t="s">
        <v>6974</v>
      </c>
      <c r="M620" s="50"/>
      <c r="N620" s="33" t="s">
        <v>6166</v>
      </c>
      <c r="O620" s="34"/>
      <c r="P620" s="34"/>
      <c r="Q620" s="24" t="str">
        <f t="shared" si="3"/>
        <v>https://docs.google.com/forms/d/e/1FAIpQLSeZ-R1GrWlAPkfaThGqxeTj0QTtrARw4rroxIIepf2kipn1nw/formResponse?usp=pp_url&amp;entry.1313582257=0094958254&amp;entry.1578404635=Hadir</v>
      </c>
      <c r="R620" s="23" t="s">
        <v>7037</v>
      </c>
      <c r="S620" s="39"/>
      <c r="T620" s="39"/>
      <c r="U620" s="39"/>
      <c r="V620" s="39"/>
    </row>
    <row r="621" ht="22.5" customHeight="1">
      <c r="A621" s="12">
        <v>134.0</v>
      </c>
      <c r="B621" s="32">
        <v>33.0</v>
      </c>
      <c r="C621" s="53" t="s">
        <v>7038</v>
      </c>
      <c r="D621" s="52">
        <v>2.42510408E8</v>
      </c>
      <c r="E621" s="32" t="s">
        <v>3535</v>
      </c>
      <c r="F621" s="32" t="s">
        <v>227</v>
      </c>
      <c r="G621" s="12">
        <v>32.0</v>
      </c>
      <c r="H621" s="48" t="str">
        <f t="shared" si="4"/>
        <v>  XI B-1</v>
      </c>
      <c r="I621" s="28" t="str">
        <f t="shared" si="2"/>
        <v>32 - GC X-12</v>
      </c>
      <c r="J621" s="20" t="str">
        <f>VLOOKUP(I621,'Database Grup SCC'!$B$2:$C1382,2,false)</f>
        <v>Farisa (XII)</v>
      </c>
      <c r="K621" s="50" t="str">
        <f>VLOOKUP(D621,'Data Siswa Mentah 32 Kelas X'!$C$8:$E1382,3,false)</f>
        <v>X-12</v>
      </c>
      <c r="L621" s="50" t="s">
        <v>6974</v>
      </c>
      <c r="M621" s="50"/>
      <c r="N621" s="33" t="s">
        <v>6845</v>
      </c>
      <c r="O621" s="34"/>
      <c r="P621" s="34"/>
      <c r="Q621" s="24" t="str">
        <f t="shared" si="3"/>
        <v>https://docs.google.com/forms/d/e/1FAIpQLSeZ-R1GrWlAPkfaThGqxeTj0QTtrARw4rroxIIepf2kipn1nw/formResponse?usp=pp_url&amp;entry.1313582257=0085108715&amp;entry.1578404635=Hadir</v>
      </c>
      <c r="R621" s="23" t="s">
        <v>7039</v>
      </c>
      <c r="S621" s="39"/>
      <c r="T621" s="39"/>
      <c r="U621" s="39"/>
      <c r="V621" s="39"/>
    </row>
    <row r="622" ht="22.5" customHeight="1">
      <c r="A622" s="12">
        <v>135.0</v>
      </c>
      <c r="B622" s="32">
        <v>34.0</v>
      </c>
      <c r="C622" s="53" t="s">
        <v>7040</v>
      </c>
      <c r="D622" s="52">
        <v>2.42510409E8</v>
      </c>
      <c r="E622" s="32" t="s">
        <v>3541</v>
      </c>
      <c r="F622" s="32" t="s">
        <v>227</v>
      </c>
      <c r="G622" s="12">
        <v>32.0</v>
      </c>
      <c r="H622" s="48" t="str">
        <f t="shared" si="4"/>
        <v>  XI B-1</v>
      </c>
      <c r="I622" s="28" t="str">
        <f t="shared" si="2"/>
        <v>32 - GC X-9</v>
      </c>
      <c r="J622" s="20" t="str">
        <f>VLOOKUP(I622,'Database Grup SCC'!$B$2:$C1382,2,false)</f>
        <v>Athaya</v>
      </c>
      <c r="K622" s="50" t="str">
        <f>VLOOKUP(D622,'Data Siswa Mentah 32 Kelas X'!$C$8:$E1382,3,false)</f>
        <v>X-9</v>
      </c>
      <c r="L622" s="50" t="s">
        <v>6974</v>
      </c>
      <c r="M622" s="50"/>
      <c r="N622" s="33" t="s">
        <v>6826</v>
      </c>
      <c r="O622" s="34"/>
      <c r="P622" s="34"/>
      <c r="Q622" s="24" t="str">
        <f t="shared" si="3"/>
        <v>https://docs.google.com/forms/d/e/1FAIpQLSeZ-R1GrWlAPkfaThGqxeTj0QTtrARw4rroxIIepf2kipn1nw/formResponse?usp=pp_url&amp;entry.1313582257=0089237233&amp;entry.1578404635=Hadir</v>
      </c>
      <c r="R622" s="23" t="s">
        <v>7041</v>
      </c>
      <c r="S622" s="39"/>
      <c r="T622" s="39"/>
      <c r="U622" s="39"/>
      <c r="V622" s="39"/>
    </row>
    <row r="623" ht="22.5" customHeight="1">
      <c r="A623" s="12">
        <v>136.0</v>
      </c>
      <c r="B623" s="32">
        <v>35.0</v>
      </c>
      <c r="C623" s="53" t="s">
        <v>7042</v>
      </c>
      <c r="D623" s="52">
        <v>2.42510417E8</v>
      </c>
      <c r="E623" s="32" t="s">
        <v>3546</v>
      </c>
      <c r="F623" s="32" t="s">
        <v>227</v>
      </c>
      <c r="G623" s="12">
        <v>32.0</v>
      </c>
      <c r="H623" s="48" t="str">
        <f t="shared" si="4"/>
        <v>  XI B-1</v>
      </c>
      <c r="I623" s="28" t="str">
        <f t="shared" si="2"/>
        <v>32 - GC X-12</v>
      </c>
      <c r="J623" s="20" t="str">
        <f>VLOOKUP(I623,'Database Grup SCC'!$B$2:$C1382,2,false)</f>
        <v>Farisa (XII)</v>
      </c>
      <c r="K623" s="50" t="str">
        <f>VLOOKUP(D623,'Data Siswa Mentah 32 Kelas X'!$C$8:$E1382,3,false)</f>
        <v>X-12</v>
      </c>
      <c r="L623" s="50" t="s">
        <v>6974</v>
      </c>
      <c r="M623" s="50"/>
      <c r="N623" s="33" t="s">
        <v>6845</v>
      </c>
      <c r="O623" s="34"/>
      <c r="P623" s="34"/>
      <c r="Q623" s="24" t="str">
        <f t="shared" si="3"/>
        <v>https://docs.google.com/forms/d/e/1FAIpQLSeZ-R1GrWlAPkfaThGqxeTj0QTtrARw4rroxIIepf2kipn1nw/formResponse?usp=pp_url&amp;entry.1313582257=0098438052&amp;entry.1578404635=Hadir</v>
      </c>
      <c r="R623" s="23" t="s">
        <v>7043</v>
      </c>
      <c r="S623" s="39"/>
      <c r="T623" s="39"/>
      <c r="U623" s="39"/>
      <c r="V623" s="39"/>
    </row>
    <row r="624" ht="22.5" customHeight="1">
      <c r="A624" s="12">
        <v>137.0</v>
      </c>
      <c r="B624" s="32">
        <v>36.0</v>
      </c>
      <c r="C624" s="53" t="s">
        <v>7044</v>
      </c>
      <c r="D624" s="52">
        <v>2.42510421E8</v>
      </c>
      <c r="E624" s="32" t="s">
        <v>3551</v>
      </c>
      <c r="F624" s="32" t="s">
        <v>227</v>
      </c>
      <c r="G624" s="12">
        <v>32.0</v>
      </c>
      <c r="H624" s="48" t="str">
        <f t="shared" si="4"/>
        <v>  XI B-1</v>
      </c>
      <c r="I624" s="28" t="str">
        <f t="shared" si="2"/>
        <v>32 - GC X-11</v>
      </c>
      <c r="J624" s="20" t="str">
        <f>VLOOKUP(I624,'Database Grup SCC'!$B$2:$C1382,2,false)</f>
        <v>Kia (XII)</v>
      </c>
      <c r="K624" s="50" t="str">
        <f>VLOOKUP(D624,'Data Siswa Mentah 32 Kelas X'!$C$8:$E1382,3,false)</f>
        <v>X-11</v>
      </c>
      <c r="L624" s="50" t="s">
        <v>6974</v>
      </c>
      <c r="M624" s="50"/>
      <c r="N624" s="33" t="s">
        <v>6883</v>
      </c>
      <c r="O624" s="34"/>
      <c r="P624" s="34"/>
      <c r="Q624" s="24" t="str">
        <f t="shared" si="3"/>
        <v>https://docs.google.com/forms/d/e/1FAIpQLSeZ-R1GrWlAPkfaThGqxeTj0QTtrARw4rroxIIepf2kipn1nw/formResponse?usp=pp_url&amp;entry.1313582257=0082801587&amp;entry.1578404635=Hadir</v>
      </c>
      <c r="R624" s="23" t="s">
        <v>7045</v>
      </c>
      <c r="S624" s="39"/>
      <c r="T624" s="39"/>
      <c r="U624" s="39"/>
      <c r="V624" s="39"/>
    </row>
    <row r="625" ht="22.5" customHeight="1">
      <c r="A625" s="12">
        <v>149.0</v>
      </c>
      <c r="B625" s="32">
        <v>1.0</v>
      </c>
      <c r="C625" s="55" t="s">
        <v>7046</v>
      </c>
      <c r="D625" s="56">
        <v>2.42510017E8</v>
      </c>
      <c r="E625" s="32" t="s">
        <v>3556</v>
      </c>
      <c r="F625" s="32" t="s">
        <v>227</v>
      </c>
      <c r="G625" s="12">
        <v>32.0</v>
      </c>
      <c r="H625" s="48" t="str">
        <f t="shared" si="4"/>
        <v>  XI B-2</v>
      </c>
      <c r="I625" s="28" t="str">
        <f t="shared" si="2"/>
        <v>32 - GC X-11</v>
      </c>
      <c r="J625" s="20" t="str">
        <f>VLOOKUP(I625,'Database Grup SCC'!$B$2:$C1382,2,false)</f>
        <v>Kia (XII)</v>
      </c>
      <c r="K625" s="50" t="str">
        <f>VLOOKUP(D625,'Data Siswa Mentah 32 Kelas X'!$C$8:$E1382,3,false)</f>
        <v>X-11</v>
      </c>
      <c r="L625" s="50" t="s">
        <v>7047</v>
      </c>
      <c r="M625" s="50"/>
      <c r="N625" s="33" t="s">
        <v>6883</v>
      </c>
      <c r="O625" s="34"/>
      <c r="P625" s="34"/>
      <c r="Q625" s="24" t="str">
        <f t="shared" si="3"/>
        <v>https://docs.google.com/forms/d/e/1FAIpQLSeZ-R1GrWlAPkfaThGqxeTj0QTtrARw4rroxIIepf2kipn1nw/formResponse?usp=pp_url&amp;entry.1313582257=0091989218&amp;entry.1578404635=Hadir</v>
      </c>
      <c r="R625" s="23" t="s">
        <v>7048</v>
      </c>
      <c r="S625" s="39"/>
      <c r="T625" s="39"/>
      <c r="U625" s="39"/>
      <c r="V625" s="39"/>
    </row>
    <row r="626" ht="22.5" customHeight="1">
      <c r="A626" s="12">
        <v>150.0</v>
      </c>
      <c r="B626" s="32">
        <v>2.0</v>
      </c>
      <c r="C626" s="55" t="s">
        <v>7049</v>
      </c>
      <c r="D626" s="56">
        <v>2.52611568E8</v>
      </c>
      <c r="E626" s="32" t="s">
        <v>3562</v>
      </c>
      <c r="F626" s="32" t="s">
        <v>227</v>
      </c>
      <c r="G626" s="12">
        <v>32.0</v>
      </c>
      <c r="H626" s="48" t="str">
        <f t="shared" si="4"/>
        <v>  XI B-2</v>
      </c>
      <c r="I626" s="28" t="str">
        <f t="shared" si="2"/>
        <v/>
      </c>
      <c r="J626" s="20" t="str">
        <f>VLOOKUP(I626,'Database Grup SCC'!$B$2:$C1382,2,false)</f>
        <v>#N/A</v>
      </c>
      <c r="K626" s="50" t="s">
        <v>7050</v>
      </c>
      <c r="L626" s="50" t="s">
        <v>7047</v>
      </c>
      <c r="M626" s="50"/>
      <c r="N626" s="35"/>
      <c r="O626" s="34"/>
      <c r="P626" s="34"/>
      <c r="Q626" s="24" t="str">
        <f t="shared" si="3"/>
        <v>https://docs.google.com/forms/d/e/1FAIpQLSeZ-R1GrWlAPkfaThGqxeTj0QTtrARw4rroxIIepf2kipn1nw/formResponse?usp=pp_url&amp;entry.1313582257=0087766031&amp;entry.1578404635=Hadir</v>
      </c>
      <c r="R626" s="23" t="s">
        <v>7051</v>
      </c>
      <c r="S626" s="39"/>
      <c r="T626" s="39"/>
      <c r="U626" s="39"/>
      <c r="V626" s="39"/>
    </row>
    <row r="627" ht="22.5" customHeight="1">
      <c r="A627" s="12">
        <v>151.0</v>
      </c>
      <c r="B627" s="32">
        <v>3.0</v>
      </c>
      <c r="C627" s="55" t="s">
        <v>7052</v>
      </c>
      <c r="D627" s="56">
        <v>2.42510023E8</v>
      </c>
      <c r="E627" s="32" t="s">
        <v>3568</v>
      </c>
      <c r="F627" s="32" t="s">
        <v>227</v>
      </c>
      <c r="G627" s="12">
        <v>32.0</v>
      </c>
      <c r="H627" s="48" t="str">
        <f t="shared" si="4"/>
        <v>  XI B-2</v>
      </c>
      <c r="I627" s="28" t="str">
        <f t="shared" si="2"/>
        <v>32 - GC X-5</v>
      </c>
      <c r="J627" s="20" t="str">
        <f>VLOOKUP(I627,'Database Grup SCC'!$B$2:$C1382,2,false)</f>
        <v>Amel</v>
      </c>
      <c r="K627" s="50" t="str">
        <f>VLOOKUP(D627,'Data Siswa Mentah 32 Kelas X'!$C$8:$E1382,3,false)</f>
        <v>X-5</v>
      </c>
      <c r="L627" s="50" t="s">
        <v>7047</v>
      </c>
      <c r="M627" s="50"/>
      <c r="N627" s="33" t="s">
        <v>6872</v>
      </c>
      <c r="O627" s="34"/>
      <c r="P627" s="34"/>
      <c r="Q627" s="24" t="str">
        <f t="shared" si="3"/>
        <v>https://docs.google.com/forms/d/e/1FAIpQLSeZ-R1GrWlAPkfaThGqxeTj0QTtrARw4rroxIIepf2kipn1nw/formResponse?usp=pp_url&amp;entry.1313582257=0098715904&amp;entry.1578404635=Hadir</v>
      </c>
      <c r="R627" s="23" t="s">
        <v>7053</v>
      </c>
      <c r="S627" s="39"/>
      <c r="T627" s="39"/>
      <c r="U627" s="39"/>
      <c r="V627" s="39"/>
    </row>
    <row r="628" ht="22.5" customHeight="1">
      <c r="A628" s="12">
        <v>152.0</v>
      </c>
      <c r="B628" s="32">
        <v>4.0</v>
      </c>
      <c r="C628" s="55" t="s">
        <v>7054</v>
      </c>
      <c r="D628" s="56">
        <v>2.42510042E8</v>
      </c>
      <c r="E628" s="32" t="s">
        <v>3573</v>
      </c>
      <c r="F628" s="32" t="s">
        <v>220</v>
      </c>
      <c r="G628" s="12">
        <v>32.0</v>
      </c>
      <c r="H628" s="48" t="str">
        <f t="shared" si="4"/>
        <v>  XI B-2</v>
      </c>
      <c r="I628" s="28" t="str">
        <f t="shared" si="2"/>
        <v>33 - BC X-5</v>
      </c>
      <c r="J628" s="20" t="str">
        <f>VLOOKUP(I628,'Database Grup SCC'!$B$2:$C1382,2,false)</f>
        <v>Topik &amp; Adrian</v>
      </c>
      <c r="K628" s="50" t="str">
        <f>VLOOKUP(D628,'Data Siswa Mentah 32 Kelas X'!$C$8:$E1382,3,false)</f>
        <v>X-5</v>
      </c>
      <c r="L628" s="50" t="s">
        <v>7047</v>
      </c>
      <c r="M628" s="50"/>
      <c r="N628" s="33" t="s">
        <v>5770</v>
      </c>
      <c r="O628" s="34"/>
      <c r="P628" s="34"/>
      <c r="Q628" s="24" t="str">
        <f t="shared" si="3"/>
        <v>https://docs.google.com/forms/d/e/1FAIpQLSeZ-R1GrWlAPkfaThGqxeTj0QTtrARw4rroxIIepf2kipn1nw/formResponse?usp=pp_url&amp;entry.1313582257=0081501338&amp;entry.1578404635=Hadir</v>
      </c>
      <c r="R628" s="23" t="s">
        <v>7055</v>
      </c>
      <c r="S628" s="39"/>
      <c r="T628" s="39"/>
      <c r="U628" s="39"/>
      <c r="V628" s="39"/>
    </row>
    <row r="629" ht="22.5" customHeight="1">
      <c r="A629" s="12">
        <v>153.0</v>
      </c>
      <c r="B629" s="32">
        <v>5.0</v>
      </c>
      <c r="C629" s="55" t="s">
        <v>7056</v>
      </c>
      <c r="D629" s="56">
        <v>2.42510086E8</v>
      </c>
      <c r="E629" s="32" t="s">
        <v>3578</v>
      </c>
      <c r="F629" s="32" t="s">
        <v>227</v>
      </c>
      <c r="G629" s="12">
        <v>32.0</v>
      </c>
      <c r="H629" s="48" t="str">
        <f t="shared" si="4"/>
        <v>  XI B-2</v>
      </c>
      <c r="I629" s="28" t="str">
        <f t="shared" si="2"/>
        <v>32 - GC X-10</v>
      </c>
      <c r="J629" s="20" t="str">
        <f>VLOOKUP(I629,'Database Grup SCC'!$B$2:$C1382,2,false)</f>
        <v>Athaya</v>
      </c>
      <c r="K629" s="50" t="str">
        <f>VLOOKUP(D629,'Data Siswa Mentah 32 Kelas X'!$C$8:$E1382,3,false)</f>
        <v>X-10</v>
      </c>
      <c r="L629" s="50" t="s">
        <v>7047</v>
      </c>
      <c r="M629" s="50"/>
      <c r="N629" s="33" t="s">
        <v>6865</v>
      </c>
      <c r="O629" s="34"/>
      <c r="P629" s="34"/>
      <c r="Q629" s="24" t="str">
        <f t="shared" si="3"/>
        <v>https://docs.google.com/forms/d/e/1FAIpQLSeZ-R1GrWlAPkfaThGqxeTj0QTtrARw4rroxIIepf2kipn1nw/formResponse?usp=pp_url&amp;entry.1313582257=0085534034&amp;entry.1578404635=Hadir</v>
      </c>
      <c r="R629" s="23" t="s">
        <v>7057</v>
      </c>
      <c r="S629" s="39"/>
      <c r="T629" s="39"/>
      <c r="U629" s="39"/>
      <c r="V629" s="39"/>
    </row>
    <row r="630" ht="22.5" customHeight="1">
      <c r="A630" s="12">
        <v>154.0</v>
      </c>
      <c r="B630" s="32">
        <v>6.0</v>
      </c>
      <c r="C630" s="55" t="s">
        <v>7058</v>
      </c>
      <c r="D630" s="56">
        <v>2.42510091E8</v>
      </c>
      <c r="E630" s="32" t="s">
        <v>3583</v>
      </c>
      <c r="F630" s="32" t="s">
        <v>227</v>
      </c>
      <c r="G630" s="12">
        <v>32.0</v>
      </c>
      <c r="H630" s="48" t="str">
        <f t="shared" si="4"/>
        <v>  XI B-2</v>
      </c>
      <c r="I630" s="28" t="str">
        <f t="shared" si="2"/>
        <v>32 - GC X-10</v>
      </c>
      <c r="J630" s="20" t="str">
        <f>VLOOKUP(I630,'Database Grup SCC'!$B$2:$C1382,2,false)</f>
        <v>Athaya</v>
      </c>
      <c r="K630" s="50" t="str">
        <f>VLOOKUP(D630,'Data Siswa Mentah 32 Kelas X'!$C$8:$E1382,3,false)</f>
        <v>X-10</v>
      </c>
      <c r="L630" s="50" t="s">
        <v>7047</v>
      </c>
      <c r="M630" s="50"/>
      <c r="N630" s="33" t="s">
        <v>6865</v>
      </c>
      <c r="O630" s="34"/>
      <c r="P630" s="34"/>
      <c r="Q630" s="24" t="str">
        <f t="shared" si="3"/>
        <v>https://docs.google.com/forms/d/e/1FAIpQLSeZ-R1GrWlAPkfaThGqxeTj0QTtrARw4rroxIIepf2kipn1nw/formResponse?usp=pp_url&amp;entry.1313582257=0084745418&amp;entry.1578404635=Hadir</v>
      </c>
      <c r="R630" s="23" t="s">
        <v>7059</v>
      </c>
      <c r="S630" s="39"/>
      <c r="T630" s="39"/>
      <c r="U630" s="39"/>
      <c r="V630" s="39"/>
    </row>
    <row r="631" ht="22.5" customHeight="1">
      <c r="A631" s="12">
        <v>155.0</v>
      </c>
      <c r="B631" s="32">
        <v>7.0</v>
      </c>
      <c r="C631" s="55" t="s">
        <v>7060</v>
      </c>
      <c r="D631" s="56">
        <v>2.42510102E8</v>
      </c>
      <c r="E631" s="32" t="s">
        <v>3588</v>
      </c>
      <c r="F631" s="32" t="s">
        <v>227</v>
      </c>
      <c r="G631" s="12">
        <v>32.0</v>
      </c>
      <c r="H631" s="48" t="str">
        <f t="shared" si="4"/>
        <v>  XI B-2</v>
      </c>
      <c r="I631" s="28" t="str">
        <f t="shared" si="2"/>
        <v>32 - GC X-3</v>
      </c>
      <c r="J631" s="20" t="str">
        <f>VLOOKUP(I631,'Database Grup SCC'!$B$2:$C1382,2,false)</f>
        <v>Devi</v>
      </c>
      <c r="K631" s="50" t="str">
        <f>VLOOKUP(D631,'Data Siswa Mentah 32 Kelas X'!$C$8:$E1382,3,false)</f>
        <v>X-3</v>
      </c>
      <c r="L631" s="50" t="s">
        <v>7047</v>
      </c>
      <c r="M631" s="50"/>
      <c r="N631" s="33" t="s">
        <v>6879</v>
      </c>
      <c r="O631" s="34"/>
      <c r="P631" s="34"/>
      <c r="Q631" s="24" t="str">
        <f t="shared" si="3"/>
        <v>https://docs.google.com/forms/d/e/1FAIpQLSeZ-R1GrWlAPkfaThGqxeTj0QTtrARw4rroxIIepf2kipn1nw/formResponse?usp=pp_url&amp;entry.1313582257=0095136014&amp;entry.1578404635=Hadir</v>
      </c>
      <c r="R631" s="23" t="s">
        <v>7061</v>
      </c>
      <c r="S631" s="39"/>
      <c r="T631" s="39"/>
      <c r="U631" s="39"/>
      <c r="V631" s="39"/>
    </row>
    <row r="632" ht="22.5" customHeight="1">
      <c r="A632" s="12">
        <v>156.0</v>
      </c>
      <c r="B632" s="32">
        <v>8.0</v>
      </c>
      <c r="C632" s="55" t="s">
        <v>7062</v>
      </c>
      <c r="D632" s="56">
        <v>2.42510133E8</v>
      </c>
      <c r="E632" s="32" t="s">
        <v>3594</v>
      </c>
      <c r="F632" s="32" t="s">
        <v>227</v>
      </c>
      <c r="G632" s="12">
        <v>32.0</v>
      </c>
      <c r="H632" s="48" t="str">
        <f t="shared" si="4"/>
        <v>  XI B-2</v>
      </c>
      <c r="I632" s="28" t="str">
        <f t="shared" si="2"/>
        <v>32 - GC X-3</v>
      </c>
      <c r="J632" s="20" t="str">
        <f>VLOOKUP(I632,'Database Grup SCC'!$B$2:$C1382,2,false)</f>
        <v>Devi</v>
      </c>
      <c r="K632" s="50" t="str">
        <f>VLOOKUP(D632,'Data Siswa Mentah 32 Kelas X'!$C$8:$E1382,3,false)</f>
        <v>X-3</v>
      </c>
      <c r="L632" s="50" t="s">
        <v>7047</v>
      </c>
      <c r="M632" s="50"/>
      <c r="N632" s="33" t="s">
        <v>6879</v>
      </c>
      <c r="O632" s="34"/>
      <c r="P632" s="34"/>
      <c r="Q632" s="24" t="str">
        <f t="shared" si="3"/>
        <v>https://docs.google.com/forms/d/e/1FAIpQLSeZ-R1GrWlAPkfaThGqxeTj0QTtrARw4rroxIIepf2kipn1nw/formResponse?usp=pp_url&amp;entry.1313582257=0098889247&amp;entry.1578404635=Hadir</v>
      </c>
      <c r="R632" s="23" t="s">
        <v>7063</v>
      </c>
      <c r="S632" s="39"/>
      <c r="T632" s="39"/>
      <c r="U632" s="39"/>
      <c r="V632" s="39"/>
    </row>
    <row r="633" ht="22.5" customHeight="1">
      <c r="A633" s="12">
        <v>157.0</v>
      </c>
      <c r="B633" s="32">
        <v>9.0</v>
      </c>
      <c r="C633" s="55" t="s">
        <v>7064</v>
      </c>
      <c r="D633" s="56">
        <v>2.42510134E8</v>
      </c>
      <c r="E633" s="32" t="s">
        <v>3599</v>
      </c>
      <c r="F633" s="32" t="s">
        <v>227</v>
      </c>
      <c r="G633" s="12">
        <v>32.0</v>
      </c>
      <c r="H633" s="48" t="str">
        <f t="shared" si="4"/>
        <v>  XI B-2</v>
      </c>
      <c r="I633" s="28" t="str">
        <f t="shared" si="2"/>
        <v>32 - GC X-10</v>
      </c>
      <c r="J633" s="20" t="str">
        <f>VLOOKUP(I633,'Database Grup SCC'!$B$2:$C1382,2,false)</f>
        <v>Athaya</v>
      </c>
      <c r="K633" s="50" t="str">
        <f>VLOOKUP(D633,'Data Siswa Mentah 32 Kelas X'!$C$8:$E1382,3,false)</f>
        <v>X-10</v>
      </c>
      <c r="L633" s="50" t="s">
        <v>7047</v>
      </c>
      <c r="M633" s="50"/>
      <c r="N633" s="33" t="s">
        <v>6865</v>
      </c>
      <c r="O633" s="34"/>
      <c r="P633" s="34"/>
      <c r="Q633" s="24" t="str">
        <f t="shared" si="3"/>
        <v>https://docs.google.com/forms/d/e/1FAIpQLSeZ-R1GrWlAPkfaThGqxeTj0QTtrARw4rroxIIepf2kipn1nw/formResponse?usp=pp_url&amp;entry.1313582257=0094252138&amp;entry.1578404635=Hadir</v>
      </c>
      <c r="R633" s="23" t="s">
        <v>7065</v>
      </c>
      <c r="S633" s="39"/>
      <c r="T633" s="39"/>
      <c r="U633" s="39"/>
      <c r="V633" s="39"/>
    </row>
    <row r="634" ht="22.5" customHeight="1">
      <c r="A634" s="12">
        <v>158.0</v>
      </c>
      <c r="B634" s="32">
        <v>10.0</v>
      </c>
      <c r="C634" s="55" t="s">
        <v>7066</v>
      </c>
      <c r="D634" s="56">
        <v>2.42510135E8</v>
      </c>
      <c r="E634" s="32" t="s">
        <v>3605</v>
      </c>
      <c r="F634" s="32" t="s">
        <v>227</v>
      </c>
      <c r="G634" s="12">
        <v>32.0</v>
      </c>
      <c r="H634" s="48" t="str">
        <f t="shared" si="4"/>
        <v>  XI B-2</v>
      </c>
      <c r="I634" s="28" t="str">
        <f t="shared" si="2"/>
        <v>32 - GC X-4</v>
      </c>
      <c r="J634" s="20" t="str">
        <f>VLOOKUP(I634,'Database Grup SCC'!$B$2:$C1382,2,false)</f>
        <v>Nadira</v>
      </c>
      <c r="K634" s="50" t="str">
        <f>VLOOKUP(D634,'Data Siswa Mentah 32 Kelas X'!$C$8:$E1382,3,false)</f>
        <v>X-4</v>
      </c>
      <c r="L634" s="50" t="s">
        <v>7047</v>
      </c>
      <c r="M634" s="50"/>
      <c r="N634" s="33" t="s">
        <v>6853</v>
      </c>
      <c r="O634" s="34"/>
      <c r="P634" s="34"/>
      <c r="Q634" s="24" t="str">
        <f t="shared" si="3"/>
        <v>https://docs.google.com/forms/d/e/1FAIpQLSeZ-R1GrWlAPkfaThGqxeTj0QTtrARw4rroxIIepf2kipn1nw/formResponse?usp=pp_url&amp;entry.1313582257=0086688060&amp;entry.1578404635=Hadir</v>
      </c>
      <c r="R634" s="23" t="s">
        <v>7067</v>
      </c>
      <c r="S634" s="39"/>
      <c r="T634" s="39"/>
      <c r="U634" s="39"/>
      <c r="V634" s="39"/>
    </row>
    <row r="635" ht="22.5" customHeight="1">
      <c r="A635" s="12">
        <v>159.0</v>
      </c>
      <c r="B635" s="32">
        <v>11.0</v>
      </c>
      <c r="C635" s="55" t="s">
        <v>7068</v>
      </c>
      <c r="D635" s="56">
        <v>2.42510142E8</v>
      </c>
      <c r="E635" s="32" t="s">
        <v>3610</v>
      </c>
      <c r="F635" s="32" t="s">
        <v>227</v>
      </c>
      <c r="G635" s="12">
        <v>32.0</v>
      </c>
      <c r="H635" s="48" t="str">
        <f t="shared" si="4"/>
        <v>  XI B-2</v>
      </c>
      <c r="I635" s="28" t="str">
        <f t="shared" si="2"/>
        <v>32 - GC X-5</v>
      </c>
      <c r="J635" s="20" t="str">
        <f>VLOOKUP(I635,'Database Grup SCC'!$B$2:$C1382,2,false)</f>
        <v>Amel</v>
      </c>
      <c r="K635" s="50" t="str">
        <f>VLOOKUP(D635,'Data Siswa Mentah 32 Kelas X'!$C$8:$E1382,3,false)</f>
        <v>X-5</v>
      </c>
      <c r="L635" s="50" t="s">
        <v>7047</v>
      </c>
      <c r="M635" s="50"/>
      <c r="N635" s="33" t="s">
        <v>6872</v>
      </c>
      <c r="O635" s="34"/>
      <c r="P635" s="34"/>
      <c r="Q635" s="24" t="str">
        <f t="shared" si="3"/>
        <v>https://docs.google.com/forms/d/e/1FAIpQLSeZ-R1GrWlAPkfaThGqxeTj0QTtrARw4rroxIIepf2kipn1nw/formResponse?usp=pp_url&amp;entry.1313582257=0092223653&amp;entry.1578404635=Hadir</v>
      </c>
      <c r="R635" s="23" t="s">
        <v>7069</v>
      </c>
      <c r="S635" s="39"/>
      <c r="T635" s="39"/>
      <c r="U635" s="39"/>
      <c r="V635" s="39"/>
    </row>
    <row r="636" ht="22.5" customHeight="1">
      <c r="A636" s="12">
        <v>160.0</v>
      </c>
      <c r="B636" s="32">
        <v>12.0</v>
      </c>
      <c r="C636" s="55" t="s">
        <v>7070</v>
      </c>
      <c r="D636" s="56">
        <v>2.42510165E8</v>
      </c>
      <c r="E636" s="32" t="s">
        <v>3615</v>
      </c>
      <c r="F636" s="32" t="s">
        <v>227</v>
      </c>
      <c r="G636" s="12">
        <v>32.0</v>
      </c>
      <c r="H636" s="48" t="str">
        <f t="shared" si="4"/>
        <v>  XI B-2</v>
      </c>
      <c r="I636" s="28" t="str">
        <f t="shared" si="2"/>
        <v>32 - GC X-7</v>
      </c>
      <c r="J636" s="20" t="str">
        <f>VLOOKUP(I636,'Database Grup SCC'!$B$2:$C1382,2,false)</f>
        <v>Najmi (XII)</v>
      </c>
      <c r="K636" s="50" t="str">
        <f>VLOOKUP(D636,'Data Siswa Mentah 32 Kelas X'!$C$8:$E1382,3,false)</f>
        <v>X-7</v>
      </c>
      <c r="L636" s="50" t="s">
        <v>7047</v>
      </c>
      <c r="M636" s="50"/>
      <c r="N636" s="33" t="s">
        <v>6842</v>
      </c>
      <c r="O636" s="34"/>
      <c r="P636" s="34"/>
      <c r="Q636" s="24" t="str">
        <f t="shared" si="3"/>
        <v>https://docs.google.com/forms/d/e/1FAIpQLSeZ-R1GrWlAPkfaThGqxeTj0QTtrARw4rroxIIepf2kipn1nw/formResponse?usp=pp_url&amp;entry.1313582257=0085278931&amp;entry.1578404635=Hadir</v>
      </c>
      <c r="R636" s="23" t="s">
        <v>7071</v>
      </c>
      <c r="S636" s="39"/>
      <c r="T636" s="39"/>
      <c r="U636" s="39"/>
      <c r="V636" s="39"/>
    </row>
    <row r="637" ht="22.5" customHeight="1">
      <c r="A637" s="12">
        <v>161.0</v>
      </c>
      <c r="B637" s="32">
        <v>13.0</v>
      </c>
      <c r="C637" s="55" t="s">
        <v>7072</v>
      </c>
      <c r="D637" s="56">
        <v>2.42510167E8</v>
      </c>
      <c r="E637" s="32" t="s">
        <v>3620</v>
      </c>
      <c r="F637" s="32" t="s">
        <v>227</v>
      </c>
      <c r="G637" s="12">
        <v>32.0</v>
      </c>
      <c r="H637" s="48" t="str">
        <f t="shared" si="4"/>
        <v>  XI B-2</v>
      </c>
      <c r="I637" s="28" t="str">
        <f t="shared" si="2"/>
        <v>32 - GC X-10</v>
      </c>
      <c r="J637" s="20" t="str">
        <f>VLOOKUP(I637,'Database Grup SCC'!$B$2:$C1382,2,false)</f>
        <v>Athaya</v>
      </c>
      <c r="K637" s="50" t="str">
        <f>VLOOKUP(D637,'Data Siswa Mentah 32 Kelas X'!$C$8:$E1382,3,false)</f>
        <v>X-10</v>
      </c>
      <c r="L637" s="50" t="s">
        <v>7047</v>
      </c>
      <c r="M637" s="50"/>
      <c r="N637" s="33" t="s">
        <v>6865</v>
      </c>
      <c r="O637" s="34"/>
      <c r="P637" s="34"/>
      <c r="Q637" s="24" t="str">
        <f t="shared" si="3"/>
        <v>https://docs.google.com/forms/d/e/1FAIpQLSeZ-R1GrWlAPkfaThGqxeTj0QTtrARw4rroxIIepf2kipn1nw/formResponse?usp=pp_url&amp;entry.1313582257=0084614966&amp;entry.1578404635=Hadir</v>
      </c>
      <c r="R637" s="23" t="s">
        <v>7073</v>
      </c>
      <c r="S637" s="39"/>
      <c r="T637" s="39"/>
      <c r="U637" s="39"/>
      <c r="V637" s="39"/>
    </row>
    <row r="638" ht="22.5" customHeight="1">
      <c r="A638" s="12">
        <v>162.0</v>
      </c>
      <c r="B638" s="32">
        <v>14.0</v>
      </c>
      <c r="C638" s="55" t="s">
        <v>7074</v>
      </c>
      <c r="D638" s="56">
        <v>2.42510169E8</v>
      </c>
      <c r="E638" s="32" t="s">
        <v>3625</v>
      </c>
      <c r="F638" s="32" t="s">
        <v>227</v>
      </c>
      <c r="G638" s="12">
        <v>32.0</v>
      </c>
      <c r="H638" s="48" t="str">
        <f t="shared" si="4"/>
        <v>  XI B-2</v>
      </c>
      <c r="I638" s="28" t="str">
        <f t="shared" si="2"/>
        <v>32 - GC X-10</v>
      </c>
      <c r="J638" s="20" t="str">
        <f>VLOOKUP(I638,'Database Grup SCC'!$B$2:$C1382,2,false)</f>
        <v>Athaya</v>
      </c>
      <c r="K638" s="50" t="str">
        <f>VLOOKUP(D638,'Data Siswa Mentah 32 Kelas X'!$C$8:$E1382,3,false)</f>
        <v>X-10</v>
      </c>
      <c r="L638" s="50" t="s">
        <v>7047</v>
      </c>
      <c r="M638" s="50"/>
      <c r="N638" s="33" t="s">
        <v>6865</v>
      </c>
      <c r="O638" s="34"/>
      <c r="P638" s="34"/>
      <c r="Q638" s="24" t="str">
        <f t="shared" si="3"/>
        <v>https://docs.google.com/forms/d/e/1FAIpQLSeZ-R1GrWlAPkfaThGqxeTj0QTtrARw4rroxIIepf2kipn1nw/formResponse?usp=pp_url&amp;entry.1313582257=0097408336&amp;entry.1578404635=Hadir</v>
      </c>
      <c r="R638" s="23" t="s">
        <v>7075</v>
      </c>
      <c r="S638" s="39"/>
      <c r="T638" s="39"/>
      <c r="U638" s="39"/>
      <c r="V638" s="39"/>
    </row>
    <row r="639" ht="22.5" customHeight="1">
      <c r="A639" s="12">
        <v>163.0</v>
      </c>
      <c r="B639" s="32">
        <v>15.0</v>
      </c>
      <c r="C639" s="55" t="s">
        <v>7076</v>
      </c>
      <c r="D639" s="56">
        <v>2.42510171E8</v>
      </c>
      <c r="E639" s="32" t="s">
        <v>3631</v>
      </c>
      <c r="F639" s="32" t="s">
        <v>220</v>
      </c>
      <c r="G639" s="12">
        <v>32.0</v>
      </c>
      <c r="H639" s="48" t="str">
        <f t="shared" si="4"/>
        <v>  XI B-2</v>
      </c>
      <c r="I639" s="28" t="str">
        <f t="shared" si="2"/>
        <v>33 - BC X-8</v>
      </c>
      <c r="J639" s="20" t="str">
        <f>VLOOKUP(I639,'Database Grup SCC'!$B$2:$C1382,2,false)</f>
        <v>Teguh</v>
      </c>
      <c r="K639" s="50" t="str">
        <f>VLOOKUP(D639,'Data Siswa Mentah 32 Kelas X'!$C$8:$E1382,3,false)</f>
        <v>X-8</v>
      </c>
      <c r="L639" s="50" t="s">
        <v>7047</v>
      </c>
      <c r="M639" s="50"/>
      <c r="N639" s="33" t="s">
        <v>6166</v>
      </c>
      <c r="O639" s="34"/>
      <c r="P639" s="34"/>
      <c r="Q639" s="24" t="str">
        <f t="shared" si="3"/>
        <v>https://docs.google.com/forms/d/e/1FAIpQLSeZ-R1GrWlAPkfaThGqxeTj0QTtrARw4rroxIIepf2kipn1nw/formResponse?usp=pp_url&amp;entry.1313582257=3094028221&amp;entry.1578404635=Hadir</v>
      </c>
      <c r="R639" s="23" t="s">
        <v>7077</v>
      </c>
      <c r="S639" s="39"/>
      <c r="T639" s="39"/>
      <c r="U639" s="39"/>
      <c r="V639" s="39"/>
    </row>
    <row r="640" ht="22.5" customHeight="1">
      <c r="A640" s="12">
        <v>164.0</v>
      </c>
      <c r="B640" s="32">
        <v>16.0</v>
      </c>
      <c r="C640" s="55" t="s">
        <v>7078</v>
      </c>
      <c r="D640" s="56">
        <v>2.42510176E8</v>
      </c>
      <c r="E640" s="32" t="s">
        <v>3636</v>
      </c>
      <c r="F640" s="32" t="s">
        <v>227</v>
      </c>
      <c r="G640" s="12">
        <v>32.0</v>
      </c>
      <c r="H640" s="48" t="str">
        <f t="shared" si="4"/>
        <v>  XI B-2</v>
      </c>
      <c r="I640" s="28" t="str">
        <f t="shared" si="2"/>
        <v>32 - GC X-4</v>
      </c>
      <c r="J640" s="20" t="str">
        <f>VLOOKUP(I640,'Database Grup SCC'!$B$2:$C1382,2,false)</f>
        <v>Nadira</v>
      </c>
      <c r="K640" s="50" t="str">
        <f>VLOOKUP(D640,'Data Siswa Mentah 32 Kelas X'!$C$8:$E1382,3,false)</f>
        <v>X-4</v>
      </c>
      <c r="L640" s="50" t="s">
        <v>7047</v>
      </c>
      <c r="M640" s="50"/>
      <c r="N640" s="33" t="s">
        <v>6853</v>
      </c>
      <c r="O640" s="34"/>
      <c r="P640" s="34"/>
      <c r="Q640" s="24" t="str">
        <f t="shared" si="3"/>
        <v>https://docs.google.com/forms/d/e/1FAIpQLSeZ-R1GrWlAPkfaThGqxeTj0QTtrARw4rroxIIepf2kipn1nw/formResponse?usp=pp_url&amp;entry.1313582257=0094995394&amp;entry.1578404635=Hadir</v>
      </c>
      <c r="R640" s="23" t="s">
        <v>7079</v>
      </c>
      <c r="S640" s="39"/>
      <c r="T640" s="39"/>
      <c r="U640" s="39"/>
      <c r="V640" s="39"/>
    </row>
    <row r="641" ht="22.5" customHeight="1">
      <c r="A641" s="12">
        <v>165.0</v>
      </c>
      <c r="B641" s="32">
        <v>17.0</v>
      </c>
      <c r="C641" s="55" t="s">
        <v>7080</v>
      </c>
      <c r="D641" s="56">
        <v>2.42510185E8</v>
      </c>
      <c r="E641" s="32" t="s">
        <v>3641</v>
      </c>
      <c r="F641" s="32" t="s">
        <v>227</v>
      </c>
      <c r="G641" s="12">
        <v>32.0</v>
      </c>
      <c r="H641" s="48" t="str">
        <f t="shared" si="4"/>
        <v>  XI B-2</v>
      </c>
      <c r="I641" s="28" t="str">
        <f t="shared" si="2"/>
        <v>32 - GC X-1</v>
      </c>
      <c r="J641" s="20" t="str">
        <f>VLOOKUP(I641,'Database Grup SCC'!$B$2:$C1382,2,false)</f>
        <v>Nia</v>
      </c>
      <c r="K641" s="50" t="str">
        <f>VLOOKUP(D641,'Data Siswa Mentah 32 Kelas X'!$C$8:$E1382,3,false)</f>
        <v>X-1</v>
      </c>
      <c r="L641" s="50" t="s">
        <v>7047</v>
      </c>
      <c r="M641" s="50"/>
      <c r="N641" s="33" t="s">
        <v>6829</v>
      </c>
      <c r="O641" s="34"/>
      <c r="P641" s="34"/>
      <c r="Q641" s="24" t="str">
        <f t="shared" si="3"/>
        <v>https://docs.google.com/forms/d/e/1FAIpQLSeZ-R1GrWlAPkfaThGqxeTj0QTtrARw4rroxIIepf2kipn1nw/formResponse?usp=pp_url&amp;entry.1313582257=0081936585&amp;entry.1578404635=Hadir</v>
      </c>
      <c r="R641" s="23" t="s">
        <v>7081</v>
      </c>
      <c r="S641" s="39"/>
      <c r="T641" s="39"/>
      <c r="U641" s="39"/>
      <c r="V641" s="39"/>
    </row>
    <row r="642" ht="22.5" customHeight="1">
      <c r="A642" s="12">
        <v>166.0</v>
      </c>
      <c r="B642" s="32">
        <v>18.0</v>
      </c>
      <c r="C642" s="55" t="s">
        <v>7082</v>
      </c>
      <c r="D642" s="56">
        <v>2.42510191E8</v>
      </c>
      <c r="E642" s="32" t="s">
        <v>3646</v>
      </c>
      <c r="F642" s="32" t="s">
        <v>227</v>
      </c>
      <c r="G642" s="12">
        <v>32.0</v>
      </c>
      <c r="H642" s="48" t="str">
        <f t="shared" si="4"/>
        <v>  XI B-2</v>
      </c>
      <c r="I642" s="28" t="str">
        <f t="shared" si="2"/>
        <v>32 - GC X-2</v>
      </c>
      <c r="J642" s="20" t="str">
        <f>VLOOKUP(I642,'Database Grup SCC'!$B$2:$C1382,2,false)</f>
        <v>Iga</v>
      </c>
      <c r="K642" s="50" t="str">
        <f>VLOOKUP(D642,'Data Siswa Mentah 32 Kelas X'!$C$8:$E1382,3,false)</f>
        <v>X-2</v>
      </c>
      <c r="L642" s="50" t="s">
        <v>7047</v>
      </c>
      <c r="M642" s="50"/>
      <c r="N642" s="33" t="s">
        <v>6921</v>
      </c>
      <c r="O642" s="34"/>
      <c r="P642" s="34"/>
      <c r="Q642" s="24" t="str">
        <f t="shared" si="3"/>
        <v>https://docs.google.com/forms/d/e/1FAIpQLSeZ-R1GrWlAPkfaThGqxeTj0QTtrARw4rroxIIepf2kipn1nw/formResponse?usp=pp_url&amp;entry.1313582257=0098191015&amp;entry.1578404635=Hadir</v>
      </c>
      <c r="R642" s="23" t="s">
        <v>7083</v>
      </c>
      <c r="S642" s="39"/>
      <c r="T642" s="39"/>
      <c r="U642" s="39"/>
      <c r="V642" s="39"/>
    </row>
    <row r="643" ht="22.5" customHeight="1">
      <c r="A643" s="12">
        <v>167.0</v>
      </c>
      <c r="B643" s="32">
        <v>19.0</v>
      </c>
      <c r="C643" s="55" t="s">
        <v>7084</v>
      </c>
      <c r="D643" s="56">
        <v>2.42510199E8</v>
      </c>
      <c r="E643" s="32" t="s">
        <v>3651</v>
      </c>
      <c r="F643" s="32" t="s">
        <v>227</v>
      </c>
      <c r="G643" s="12">
        <v>32.0</v>
      </c>
      <c r="H643" s="48" t="str">
        <f t="shared" si="4"/>
        <v>  XI B-2</v>
      </c>
      <c r="I643" s="28" t="str">
        <f t="shared" si="2"/>
        <v>32 - GC X-9</v>
      </c>
      <c r="J643" s="20" t="str">
        <f>VLOOKUP(I643,'Database Grup SCC'!$B$2:$C1382,2,false)</f>
        <v>Athaya</v>
      </c>
      <c r="K643" s="50" t="str">
        <f>VLOOKUP(D643,'Data Siswa Mentah 32 Kelas X'!$C$8:$E1382,3,false)</f>
        <v>X-9</v>
      </c>
      <c r="L643" s="50" t="s">
        <v>7047</v>
      </c>
      <c r="M643" s="50"/>
      <c r="N643" s="33" t="s">
        <v>6826</v>
      </c>
      <c r="O643" s="34"/>
      <c r="P643" s="34"/>
      <c r="Q643" s="24" t="str">
        <f t="shared" si="3"/>
        <v>https://docs.google.com/forms/d/e/1FAIpQLSeZ-R1GrWlAPkfaThGqxeTj0QTtrARw4rroxIIepf2kipn1nw/formResponse?usp=pp_url&amp;entry.1313582257=0094057771&amp;entry.1578404635=Hadir</v>
      </c>
      <c r="R643" s="23" t="s">
        <v>7085</v>
      </c>
      <c r="S643" s="39"/>
      <c r="T643" s="39"/>
      <c r="U643" s="39"/>
      <c r="V643" s="39"/>
    </row>
    <row r="644" ht="22.5" customHeight="1">
      <c r="A644" s="12">
        <v>168.0</v>
      </c>
      <c r="B644" s="32">
        <v>20.0</v>
      </c>
      <c r="C644" s="55" t="s">
        <v>7086</v>
      </c>
      <c r="D644" s="56">
        <v>2.42510207E8</v>
      </c>
      <c r="E644" s="32" t="s">
        <v>3657</v>
      </c>
      <c r="F644" s="32" t="s">
        <v>220</v>
      </c>
      <c r="G644" s="12">
        <v>32.0</v>
      </c>
      <c r="H644" s="48" t="str">
        <f t="shared" si="4"/>
        <v>  XI B-2</v>
      </c>
      <c r="I644" s="28" t="str">
        <f t="shared" si="2"/>
        <v>33 - BC X-3</v>
      </c>
      <c r="J644" s="20" t="str">
        <f>VLOOKUP(I644,'Database Grup SCC'!$B$2:$C1382,2,false)</f>
        <v>Angga</v>
      </c>
      <c r="K644" s="50" t="str">
        <f>VLOOKUP(D644,'Data Siswa Mentah 32 Kelas X'!$C$8:$E1382,3,false)</f>
        <v>X-3</v>
      </c>
      <c r="L644" s="50" t="s">
        <v>7047</v>
      </c>
      <c r="M644" s="50"/>
      <c r="N644" s="33" t="s">
        <v>5507</v>
      </c>
      <c r="O644" s="34"/>
      <c r="P644" s="34"/>
      <c r="Q644" s="24" t="str">
        <f t="shared" si="3"/>
        <v>https://docs.google.com/forms/d/e/1FAIpQLSeZ-R1GrWlAPkfaThGqxeTj0QTtrARw4rroxIIepf2kipn1nw/formResponse?usp=pp_url&amp;entry.1313582257=0095872117&amp;entry.1578404635=Hadir</v>
      </c>
      <c r="R644" s="23" t="s">
        <v>7087</v>
      </c>
      <c r="S644" s="39"/>
      <c r="T644" s="39"/>
      <c r="U644" s="39"/>
      <c r="V644" s="39"/>
    </row>
    <row r="645" ht="22.5" customHeight="1">
      <c r="A645" s="12">
        <v>169.0</v>
      </c>
      <c r="B645" s="32">
        <v>21.0</v>
      </c>
      <c r="C645" s="55" t="s">
        <v>7088</v>
      </c>
      <c r="D645" s="56">
        <v>2.42510239E8</v>
      </c>
      <c r="E645" s="32" t="s">
        <v>3662</v>
      </c>
      <c r="F645" s="32" t="s">
        <v>220</v>
      </c>
      <c r="G645" s="12">
        <v>32.0</v>
      </c>
      <c r="H645" s="48" t="str">
        <f t="shared" si="4"/>
        <v>  XI B-2</v>
      </c>
      <c r="I645" s="28" t="str">
        <f t="shared" si="2"/>
        <v>33 - BC X-9</v>
      </c>
      <c r="J645" s="20" t="str">
        <f>VLOOKUP(I645,'Database Grup SCC'!$B$2:$C1382,2,false)</f>
        <v>Veril (XII)</v>
      </c>
      <c r="K645" s="50" t="str">
        <f>VLOOKUP(D645,'Data Siswa Mentah 32 Kelas X'!$C$8:$E1382,3,false)</f>
        <v>X-9</v>
      </c>
      <c r="L645" s="50" t="s">
        <v>7047</v>
      </c>
      <c r="M645" s="50"/>
      <c r="N645" s="33" t="s">
        <v>6296</v>
      </c>
      <c r="O645" s="34"/>
      <c r="P645" s="34"/>
      <c r="Q645" s="24" t="str">
        <f t="shared" si="3"/>
        <v>https://docs.google.com/forms/d/e/1FAIpQLSeZ-R1GrWlAPkfaThGqxeTj0QTtrARw4rroxIIepf2kipn1nw/formResponse?usp=pp_url&amp;entry.1313582257=0098268916&amp;entry.1578404635=Hadir</v>
      </c>
      <c r="R645" s="23" t="s">
        <v>7089</v>
      </c>
      <c r="S645" s="39"/>
      <c r="T645" s="39"/>
      <c r="U645" s="39"/>
      <c r="V645" s="39"/>
    </row>
    <row r="646" ht="22.5" customHeight="1">
      <c r="A646" s="12">
        <v>170.0</v>
      </c>
      <c r="B646" s="32">
        <v>22.0</v>
      </c>
      <c r="C646" s="55" t="s">
        <v>7090</v>
      </c>
      <c r="D646" s="56">
        <v>2.42510241E8</v>
      </c>
      <c r="E646" s="32" t="s">
        <v>3667</v>
      </c>
      <c r="F646" s="32" t="s">
        <v>220</v>
      </c>
      <c r="G646" s="12">
        <v>32.0</v>
      </c>
      <c r="H646" s="48" t="str">
        <f t="shared" si="4"/>
        <v>  XI B-2</v>
      </c>
      <c r="I646" s="28" t="str">
        <f t="shared" si="2"/>
        <v>33 - BC X-8</v>
      </c>
      <c r="J646" s="20" t="str">
        <f>VLOOKUP(I646,'Database Grup SCC'!$B$2:$C1382,2,false)</f>
        <v>Teguh</v>
      </c>
      <c r="K646" s="50" t="str">
        <f>VLOOKUP(D646,'Data Siswa Mentah 32 Kelas X'!$C$8:$E1382,3,false)</f>
        <v>X-8</v>
      </c>
      <c r="L646" s="50" t="s">
        <v>7047</v>
      </c>
      <c r="M646" s="50"/>
      <c r="N646" s="33" t="s">
        <v>6166</v>
      </c>
      <c r="O646" s="34"/>
      <c r="P646" s="34"/>
      <c r="Q646" s="24" t="str">
        <f t="shared" si="3"/>
        <v>https://docs.google.com/forms/d/e/1FAIpQLSeZ-R1GrWlAPkfaThGqxeTj0QTtrARw4rroxIIepf2kipn1nw/formResponse?usp=pp_url&amp;entry.1313582257=0086508497&amp;entry.1578404635=Hadir</v>
      </c>
      <c r="R646" s="23" t="s">
        <v>7091</v>
      </c>
      <c r="S646" s="39"/>
      <c r="T646" s="39"/>
      <c r="U646" s="39"/>
      <c r="V646" s="39"/>
    </row>
    <row r="647" ht="22.5" customHeight="1">
      <c r="A647" s="12">
        <v>171.0</v>
      </c>
      <c r="B647" s="32">
        <v>23.0</v>
      </c>
      <c r="C647" s="55" t="s">
        <v>7092</v>
      </c>
      <c r="D647" s="56">
        <v>2.42510254E8</v>
      </c>
      <c r="E647" s="32" t="s">
        <v>3672</v>
      </c>
      <c r="F647" s="32" t="s">
        <v>220</v>
      </c>
      <c r="G647" s="12">
        <v>32.0</v>
      </c>
      <c r="H647" s="48" t="str">
        <f t="shared" si="4"/>
        <v>  XI B-2</v>
      </c>
      <c r="I647" s="28" t="str">
        <f t="shared" si="2"/>
        <v>33 - BC X-3</v>
      </c>
      <c r="J647" s="20" t="str">
        <f>VLOOKUP(I647,'Database Grup SCC'!$B$2:$C1382,2,false)</f>
        <v>Angga</v>
      </c>
      <c r="K647" s="50" t="str">
        <f>VLOOKUP(D647,'Data Siswa Mentah 32 Kelas X'!$C$8:$E1382,3,false)</f>
        <v>X-3</v>
      </c>
      <c r="L647" s="50" t="s">
        <v>7047</v>
      </c>
      <c r="M647" s="50"/>
      <c r="N647" s="33" t="s">
        <v>5507</v>
      </c>
      <c r="O647" s="34"/>
      <c r="P647" s="34"/>
      <c r="Q647" s="24" t="str">
        <f t="shared" si="3"/>
        <v>https://docs.google.com/forms/d/e/1FAIpQLSeZ-R1GrWlAPkfaThGqxeTj0QTtrARw4rroxIIepf2kipn1nw/formResponse?usp=pp_url&amp;entry.1313582257=0091626296&amp;entry.1578404635=Hadir</v>
      </c>
      <c r="R647" s="23" t="s">
        <v>7093</v>
      </c>
      <c r="S647" s="39"/>
      <c r="T647" s="39"/>
      <c r="U647" s="39"/>
      <c r="V647" s="39"/>
    </row>
    <row r="648" ht="22.5" customHeight="1">
      <c r="A648" s="12">
        <v>172.0</v>
      </c>
      <c r="B648" s="32">
        <v>24.0</v>
      </c>
      <c r="C648" s="55" t="s">
        <v>7094</v>
      </c>
      <c r="D648" s="56">
        <v>2.42510282E8</v>
      </c>
      <c r="E648" s="32" t="s">
        <v>3677</v>
      </c>
      <c r="F648" s="32" t="s">
        <v>227</v>
      </c>
      <c r="G648" s="12">
        <v>32.0</v>
      </c>
      <c r="H648" s="48" t="str">
        <f t="shared" si="4"/>
        <v>  XI B-2</v>
      </c>
      <c r="I648" s="28" t="str">
        <f t="shared" si="2"/>
        <v>32 - GC X-5</v>
      </c>
      <c r="J648" s="20" t="str">
        <f>VLOOKUP(I648,'Database Grup SCC'!$B$2:$C1382,2,false)</f>
        <v>Amel</v>
      </c>
      <c r="K648" s="50" t="str">
        <f>VLOOKUP(D648,'Data Siswa Mentah 32 Kelas X'!$C$8:$E1382,3,false)</f>
        <v>X-5</v>
      </c>
      <c r="L648" s="50" t="s">
        <v>7047</v>
      </c>
      <c r="M648" s="50"/>
      <c r="N648" s="33" t="s">
        <v>6872</v>
      </c>
      <c r="O648" s="34"/>
      <c r="P648" s="34"/>
      <c r="Q648" s="24" t="str">
        <f t="shared" si="3"/>
        <v>https://docs.google.com/forms/d/e/1FAIpQLSeZ-R1GrWlAPkfaThGqxeTj0QTtrARw4rroxIIepf2kipn1nw/formResponse?usp=pp_url&amp;entry.1313582257=3092559431&amp;entry.1578404635=Hadir</v>
      </c>
      <c r="R648" s="23" t="s">
        <v>7095</v>
      </c>
      <c r="S648" s="39"/>
      <c r="T648" s="39"/>
      <c r="U648" s="39"/>
      <c r="V648" s="39"/>
    </row>
    <row r="649" ht="22.5" customHeight="1">
      <c r="A649" s="12">
        <v>173.0</v>
      </c>
      <c r="B649" s="32">
        <v>25.0</v>
      </c>
      <c r="C649" s="55" t="s">
        <v>7096</v>
      </c>
      <c r="D649" s="56">
        <v>2.42510301E8</v>
      </c>
      <c r="E649" s="32" t="s">
        <v>3681</v>
      </c>
      <c r="F649" s="32" t="s">
        <v>227</v>
      </c>
      <c r="G649" s="12">
        <v>32.0</v>
      </c>
      <c r="H649" s="48" t="str">
        <f t="shared" si="4"/>
        <v>  XI B-2</v>
      </c>
      <c r="I649" s="28" t="str">
        <f t="shared" si="2"/>
        <v>32 - GC X-4</v>
      </c>
      <c r="J649" s="20" t="str">
        <f>VLOOKUP(I649,'Database Grup SCC'!$B$2:$C1382,2,false)</f>
        <v>Nadira</v>
      </c>
      <c r="K649" s="50" t="str">
        <f>VLOOKUP(D649,'Data Siswa Mentah 32 Kelas X'!$C$8:$E1382,3,false)</f>
        <v>X-4</v>
      </c>
      <c r="L649" s="50" t="s">
        <v>7047</v>
      </c>
      <c r="M649" s="50"/>
      <c r="N649" s="33" t="s">
        <v>6853</v>
      </c>
      <c r="O649" s="34"/>
      <c r="P649" s="34"/>
      <c r="Q649" s="24" t="str">
        <f t="shared" si="3"/>
        <v>https://docs.google.com/forms/d/e/1FAIpQLSeZ-R1GrWlAPkfaThGqxeTj0QTtrARw4rroxIIepf2kipn1nw/formResponse?usp=pp_url&amp;entry.1313582257=0083634869&amp;entry.1578404635=Hadir</v>
      </c>
      <c r="R649" s="23" t="s">
        <v>7097</v>
      </c>
      <c r="S649" s="39"/>
      <c r="T649" s="39"/>
      <c r="U649" s="39"/>
      <c r="V649" s="39"/>
    </row>
    <row r="650" ht="22.5" customHeight="1">
      <c r="A650" s="12">
        <v>174.0</v>
      </c>
      <c r="B650" s="32">
        <v>26.0</v>
      </c>
      <c r="C650" s="55" t="s">
        <v>7098</v>
      </c>
      <c r="D650" s="56">
        <v>2.42510312E8</v>
      </c>
      <c r="E650" s="32" t="s">
        <v>3687</v>
      </c>
      <c r="F650" s="32" t="s">
        <v>227</v>
      </c>
      <c r="G650" s="12">
        <v>32.0</v>
      </c>
      <c r="H650" s="48" t="str">
        <f t="shared" si="4"/>
        <v>  XI B-2</v>
      </c>
      <c r="I650" s="28" t="str">
        <f t="shared" si="2"/>
        <v>32 - GC X-11</v>
      </c>
      <c r="J650" s="20" t="str">
        <f>VLOOKUP(I650,'Database Grup SCC'!$B$2:$C1382,2,false)</f>
        <v>Kia (XII)</v>
      </c>
      <c r="K650" s="50" t="str">
        <f>VLOOKUP(D650,'Data Siswa Mentah 32 Kelas X'!$C$8:$E1382,3,false)</f>
        <v>X-11</v>
      </c>
      <c r="L650" s="50" t="s">
        <v>7047</v>
      </c>
      <c r="M650" s="50"/>
      <c r="N650" s="33" t="s">
        <v>6883</v>
      </c>
      <c r="O650" s="34"/>
      <c r="P650" s="34"/>
      <c r="Q650" s="24" t="str">
        <f t="shared" si="3"/>
        <v>https://docs.google.com/forms/d/e/1FAIpQLSeZ-R1GrWlAPkfaThGqxeTj0QTtrARw4rroxIIepf2kipn1nw/formResponse?usp=pp_url&amp;entry.1313582257=0091257095&amp;entry.1578404635=Hadir</v>
      </c>
      <c r="R650" s="23" t="s">
        <v>7099</v>
      </c>
      <c r="S650" s="39"/>
      <c r="T650" s="39"/>
      <c r="U650" s="39"/>
      <c r="V650" s="39"/>
    </row>
    <row r="651" ht="22.5" customHeight="1">
      <c r="A651" s="12">
        <v>175.0</v>
      </c>
      <c r="B651" s="32">
        <v>27.0</v>
      </c>
      <c r="C651" s="55" t="s">
        <v>7100</v>
      </c>
      <c r="D651" s="56">
        <v>2.42510321E8</v>
      </c>
      <c r="E651" s="32" t="s">
        <v>3692</v>
      </c>
      <c r="F651" s="32" t="s">
        <v>227</v>
      </c>
      <c r="G651" s="12">
        <v>32.0</v>
      </c>
      <c r="H651" s="48" t="str">
        <f t="shared" si="4"/>
        <v>  XI B-2</v>
      </c>
      <c r="I651" s="28" t="str">
        <f t="shared" si="2"/>
        <v>32 - GC X-11</v>
      </c>
      <c r="J651" s="20" t="str">
        <f>VLOOKUP(I651,'Database Grup SCC'!$B$2:$C1382,2,false)</f>
        <v>Kia (XII)</v>
      </c>
      <c r="K651" s="50" t="str">
        <f>VLOOKUP(D651,'Data Siswa Mentah 32 Kelas X'!$C$8:$E1382,3,false)</f>
        <v>X-11</v>
      </c>
      <c r="L651" s="50" t="s">
        <v>7047</v>
      </c>
      <c r="M651" s="50"/>
      <c r="N651" s="33" t="s">
        <v>6883</v>
      </c>
      <c r="O651" s="34"/>
      <c r="P651" s="34"/>
      <c r="Q651" s="24" t="str">
        <f t="shared" si="3"/>
        <v>https://docs.google.com/forms/d/e/1FAIpQLSeZ-R1GrWlAPkfaThGqxeTj0QTtrARw4rroxIIepf2kipn1nw/formResponse?usp=pp_url&amp;entry.1313582257=0093570911&amp;entry.1578404635=Hadir</v>
      </c>
      <c r="R651" s="23" t="s">
        <v>7101</v>
      </c>
      <c r="S651" s="39"/>
      <c r="T651" s="39"/>
      <c r="U651" s="39"/>
      <c r="V651" s="39"/>
    </row>
    <row r="652" ht="22.5" customHeight="1">
      <c r="A652" s="12">
        <v>176.0</v>
      </c>
      <c r="B652" s="32">
        <v>28.0</v>
      </c>
      <c r="C652" s="55" t="s">
        <v>7102</v>
      </c>
      <c r="D652" s="56">
        <v>2.42510324E8</v>
      </c>
      <c r="E652" s="32" t="s">
        <v>3697</v>
      </c>
      <c r="F652" s="32" t="s">
        <v>220</v>
      </c>
      <c r="G652" s="12">
        <v>32.0</v>
      </c>
      <c r="H652" s="48" t="str">
        <f t="shared" si="4"/>
        <v>  XI B-2</v>
      </c>
      <c r="I652" s="28" t="str">
        <f t="shared" si="2"/>
        <v>33 - BC X-7</v>
      </c>
      <c r="J652" s="20" t="str">
        <f>VLOOKUP(I652,'Database Grup SCC'!$B$2:$C1382,2,false)</f>
        <v>Rizza Al-Farisi</v>
      </c>
      <c r="K652" s="50" t="str">
        <f>VLOOKUP(D652,'Data Siswa Mentah 32 Kelas X'!$C$8:$E1382,3,false)</f>
        <v>X-7</v>
      </c>
      <c r="L652" s="50" t="s">
        <v>7047</v>
      </c>
      <c r="M652" s="50"/>
      <c r="N652" s="33" t="s">
        <v>6005</v>
      </c>
      <c r="O652" s="34"/>
      <c r="P652" s="34"/>
      <c r="Q652" s="24" t="str">
        <f t="shared" si="3"/>
        <v>https://docs.google.com/forms/d/e/1FAIpQLSeZ-R1GrWlAPkfaThGqxeTj0QTtrARw4rroxIIepf2kipn1nw/formResponse?usp=pp_url&amp;entry.1313582257=0099524653&amp;entry.1578404635=Hadir</v>
      </c>
      <c r="R652" s="23" t="s">
        <v>7103</v>
      </c>
      <c r="S652" s="39"/>
      <c r="T652" s="39"/>
      <c r="U652" s="39"/>
      <c r="V652" s="39"/>
    </row>
    <row r="653" ht="22.5" customHeight="1">
      <c r="A653" s="12">
        <v>177.0</v>
      </c>
      <c r="B653" s="32">
        <v>29.0</v>
      </c>
      <c r="C653" s="55" t="s">
        <v>7104</v>
      </c>
      <c r="D653" s="56">
        <v>2.42510341E8</v>
      </c>
      <c r="E653" s="32" t="s">
        <v>3702</v>
      </c>
      <c r="F653" s="32" t="s">
        <v>227</v>
      </c>
      <c r="G653" s="12">
        <v>32.0</v>
      </c>
      <c r="H653" s="48" t="str">
        <f t="shared" si="4"/>
        <v>  XI B-2</v>
      </c>
      <c r="I653" s="28" t="str">
        <f t="shared" si="2"/>
        <v>32 - GC X-1</v>
      </c>
      <c r="J653" s="20" t="str">
        <f>VLOOKUP(I653,'Database Grup SCC'!$B$2:$C1382,2,false)</f>
        <v>Nia</v>
      </c>
      <c r="K653" s="50" t="str">
        <f>VLOOKUP(D653,'Data Siswa Mentah 32 Kelas X'!$C$8:$E1382,3,false)</f>
        <v>X-1</v>
      </c>
      <c r="L653" s="50" t="s">
        <v>7047</v>
      </c>
      <c r="M653" s="50"/>
      <c r="N653" s="33" t="s">
        <v>6829</v>
      </c>
      <c r="O653" s="34"/>
      <c r="P653" s="34"/>
      <c r="Q653" s="24" t="str">
        <f t="shared" si="3"/>
        <v>https://docs.google.com/forms/d/e/1FAIpQLSeZ-R1GrWlAPkfaThGqxeTj0QTtrARw4rroxIIepf2kipn1nw/formResponse?usp=pp_url&amp;entry.1313582257=0096689975&amp;entry.1578404635=Hadir</v>
      </c>
      <c r="R653" s="23" t="s">
        <v>7105</v>
      </c>
      <c r="S653" s="39"/>
      <c r="T653" s="39"/>
      <c r="U653" s="39"/>
      <c r="V653" s="39"/>
    </row>
    <row r="654" ht="22.5" customHeight="1">
      <c r="A654" s="12">
        <v>178.0</v>
      </c>
      <c r="B654" s="32">
        <v>30.0</v>
      </c>
      <c r="C654" s="55" t="s">
        <v>7106</v>
      </c>
      <c r="D654" s="56">
        <v>2.42510346E8</v>
      </c>
      <c r="E654" s="32" t="s">
        <v>3707</v>
      </c>
      <c r="F654" s="32" t="s">
        <v>227</v>
      </c>
      <c r="G654" s="12">
        <v>32.0</v>
      </c>
      <c r="H654" s="48" t="str">
        <f t="shared" si="4"/>
        <v>  XI B-2</v>
      </c>
      <c r="I654" s="28" t="str">
        <f t="shared" si="2"/>
        <v>32 - GC X-6</v>
      </c>
      <c r="J654" s="20" t="str">
        <f>VLOOKUP(I654,'Database Grup SCC'!$B$2:$C1382,2,false)</f>
        <v>Zalika</v>
      </c>
      <c r="K654" s="50" t="str">
        <f>VLOOKUP(D654,'Data Siswa Mentah 32 Kelas X'!$C$8:$E1382,3,false)</f>
        <v>X-6</v>
      </c>
      <c r="L654" s="50" t="s">
        <v>7047</v>
      </c>
      <c r="M654" s="50"/>
      <c r="N654" s="33" t="s">
        <v>6924</v>
      </c>
      <c r="O654" s="34"/>
      <c r="P654" s="34"/>
      <c r="Q654" s="24" t="str">
        <f t="shared" si="3"/>
        <v>https://docs.google.com/forms/d/e/1FAIpQLSeZ-R1GrWlAPkfaThGqxeTj0QTtrARw4rroxIIepf2kipn1nw/formResponse?usp=pp_url&amp;entry.1313582257=0087172262&amp;entry.1578404635=Hadir</v>
      </c>
      <c r="R654" s="23" t="s">
        <v>7107</v>
      </c>
      <c r="S654" s="39"/>
      <c r="T654" s="39"/>
      <c r="U654" s="39"/>
      <c r="V654" s="39"/>
    </row>
    <row r="655" ht="22.5" customHeight="1">
      <c r="A655" s="12">
        <v>179.0</v>
      </c>
      <c r="B655" s="32">
        <v>31.0</v>
      </c>
      <c r="C655" s="55" t="s">
        <v>7108</v>
      </c>
      <c r="D655" s="56">
        <v>2.42510348E8</v>
      </c>
      <c r="E655" s="32" t="s">
        <v>3713</v>
      </c>
      <c r="F655" s="32" t="s">
        <v>220</v>
      </c>
      <c r="G655" s="12">
        <v>32.0</v>
      </c>
      <c r="H655" s="48" t="str">
        <f t="shared" si="4"/>
        <v>  XI B-2</v>
      </c>
      <c r="I655" s="28" t="str">
        <f t="shared" si="2"/>
        <v>32 - BC X-11</v>
      </c>
      <c r="J655" s="20" t="str">
        <f>VLOOKUP(I655,'Database Grup SCC'!$B$2:$C1382,2,false)</f>
        <v>Dimas</v>
      </c>
      <c r="K655" s="50" t="str">
        <f>VLOOKUP(D655,'Data Siswa Mentah 32 Kelas X'!$C$8:$E1382,3,false)</f>
        <v>X-11</v>
      </c>
      <c r="L655" s="50" t="s">
        <v>7047</v>
      </c>
      <c r="M655" s="50"/>
      <c r="N655" s="33" t="s">
        <v>6821</v>
      </c>
      <c r="O655" s="34"/>
      <c r="P655" s="34"/>
      <c r="Q655" s="24" t="str">
        <f t="shared" si="3"/>
        <v>https://docs.google.com/forms/d/e/1FAIpQLSeZ-R1GrWlAPkfaThGqxeTj0QTtrARw4rroxIIepf2kipn1nw/formResponse?usp=pp_url&amp;entry.1313582257=0089992734&amp;entry.1578404635=Hadir</v>
      </c>
      <c r="R655" s="23" t="s">
        <v>7109</v>
      </c>
      <c r="S655" s="39"/>
      <c r="T655" s="39"/>
      <c r="U655" s="39"/>
      <c r="V655" s="39"/>
    </row>
    <row r="656" ht="22.5" customHeight="1">
      <c r="A656" s="12">
        <v>180.0</v>
      </c>
      <c r="B656" s="32">
        <v>32.0</v>
      </c>
      <c r="C656" s="55" t="s">
        <v>7110</v>
      </c>
      <c r="D656" s="56">
        <v>2.42510349E8</v>
      </c>
      <c r="E656" s="32" t="s">
        <v>3718</v>
      </c>
      <c r="F656" s="32" t="s">
        <v>227</v>
      </c>
      <c r="G656" s="12">
        <v>32.0</v>
      </c>
      <c r="H656" s="48" t="str">
        <f t="shared" si="4"/>
        <v>  XI B-2</v>
      </c>
      <c r="I656" s="28" t="str">
        <f t="shared" si="2"/>
        <v>32 - GC X-1</v>
      </c>
      <c r="J656" s="20" t="str">
        <f>VLOOKUP(I656,'Database Grup SCC'!$B$2:$C1382,2,false)</f>
        <v>Nia</v>
      </c>
      <c r="K656" s="50" t="str">
        <f>VLOOKUP(D656,'Data Siswa Mentah 32 Kelas X'!$C$8:$E1382,3,false)</f>
        <v>X-1</v>
      </c>
      <c r="L656" s="50" t="s">
        <v>7047</v>
      </c>
      <c r="M656" s="50"/>
      <c r="N656" s="33" t="s">
        <v>6829</v>
      </c>
      <c r="O656" s="34"/>
      <c r="P656" s="34"/>
      <c r="Q656" s="24" t="str">
        <f t="shared" si="3"/>
        <v>https://docs.google.com/forms/d/e/1FAIpQLSeZ-R1GrWlAPkfaThGqxeTj0QTtrARw4rroxIIepf2kipn1nw/formResponse?usp=pp_url&amp;entry.1313582257=0094272879&amp;entry.1578404635=Hadir</v>
      </c>
      <c r="R656" s="23" t="s">
        <v>7111</v>
      </c>
      <c r="S656" s="39"/>
      <c r="T656" s="39"/>
      <c r="U656" s="39"/>
      <c r="V656" s="39"/>
    </row>
    <row r="657" ht="22.5" customHeight="1">
      <c r="A657" s="12">
        <v>181.0</v>
      </c>
      <c r="B657" s="32">
        <v>33.0</v>
      </c>
      <c r="C657" s="55" t="s">
        <v>7112</v>
      </c>
      <c r="D657" s="56">
        <v>2.42510362E8</v>
      </c>
      <c r="E657" s="32" t="s">
        <v>3723</v>
      </c>
      <c r="F657" s="32" t="s">
        <v>227</v>
      </c>
      <c r="G657" s="12">
        <v>32.0</v>
      </c>
      <c r="H657" s="48" t="str">
        <f t="shared" si="4"/>
        <v>  XI B-2</v>
      </c>
      <c r="I657" s="28" t="str">
        <f t="shared" si="2"/>
        <v>32 - GC X-10</v>
      </c>
      <c r="J657" s="20" t="str">
        <f>VLOOKUP(I657,'Database Grup SCC'!$B$2:$C1382,2,false)</f>
        <v>Athaya</v>
      </c>
      <c r="K657" s="50" t="str">
        <f>VLOOKUP(D657,'Data Siswa Mentah 32 Kelas X'!$C$8:$E1382,3,false)</f>
        <v>X-10</v>
      </c>
      <c r="L657" s="50" t="s">
        <v>7047</v>
      </c>
      <c r="M657" s="50"/>
      <c r="N657" s="33" t="s">
        <v>6865</v>
      </c>
      <c r="O657" s="34"/>
      <c r="P657" s="34"/>
      <c r="Q657" s="24" t="str">
        <f t="shared" si="3"/>
        <v>https://docs.google.com/forms/d/e/1FAIpQLSeZ-R1GrWlAPkfaThGqxeTj0QTtrARw4rroxIIepf2kipn1nw/formResponse?usp=pp_url&amp;entry.1313582257=0094686903&amp;entry.1578404635=Hadir</v>
      </c>
      <c r="R657" s="23" t="s">
        <v>7113</v>
      </c>
      <c r="S657" s="39"/>
      <c r="T657" s="39"/>
      <c r="U657" s="39"/>
      <c r="V657" s="39"/>
    </row>
    <row r="658" ht="22.5" customHeight="1">
      <c r="A658" s="12">
        <v>182.0</v>
      </c>
      <c r="B658" s="32">
        <v>34.0</v>
      </c>
      <c r="C658" s="55" t="s">
        <v>7114</v>
      </c>
      <c r="D658" s="56">
        <v>2.42510382E8</v>
      </c>
      <c r="E658" s="32" t="s">
        <v>3728</v>
      </c>
      <c r="F658" s="32" t="s">
        <v>227</v>
      </c>
      <c r="G658" s="12">
        <v>32.0</v>
      </c>
      <c r="H658" s="48" t="str">
        <f t="shared" si="4"/>
        <v>  XI B-2</v>
      </c>
      <c r="I658" s="28" t="str">
        <f t="shared" si="2"/>
        <v>32 - GC X-12</v>
      </c>
      <c r="J658" s="20" t="str">
        <f>VLOOKUP(I658,'Database Grup SCC'!$B$2:$C1382,2,false)</f>
        <v>Farisa (XII)</v>
      </c>
      <c r="K658" s="50" t="str">
        <f>VLOOKUP(D658,'Data Siswa Mentah 32 Kelas X'!$C$8:$E1382,3,false)</f>
        <v>X-12</v>
      </c>
      <c r="L658" s="50" t="s">
        <v>7047</v>
      </c>
      <c r="M658" s="50"/>
      <c r="N658" s="33" t="s">
        <v>6845</v>
      </c>
      <c r="O658" s="34"/>
      <c r="P658" s="34"/>
      <c r="Q658" s="24" t="str">
        <f t="shared" si="3"/>
        <v>https://docs.google.com/forms/d/e/1FAIpQLSeZ-R1GrWlAPkfaThGqxeTj0QTtrARw4rroxIIepf2kipn1nw/formResponse?usp=pp_url&amp;entry.1313582257=0096820534&amp;entry.1578404635=Hadir</v>
      </c>
      <c r="R658" s="23" t="s">
        <v>7115</v>
      </c>
      <c r="S658" s="39"/>
      <c r="T658" s="39"/>
      <c r="U658" s="39"/>
      <c r="V658" s="39"/>
    </row>
    <row r="659" ht="22.5" customHeight="1">
      <c r="A659" s="12">
        <v>183.0</v>
      </c>
      <c r="B659" s="32">
        <v>35.0</v>
      </c>
      <c r="C659" s="55" t="s">
        <v>7116</v>
      </c>
      <c r="D659" s="56">
        <v>2.42510392E8</v>
      </c>
      <c r="E659" s="32" t="s">
        <v>3733</v>
      </c>
      <c r="F659" s="32" t="s">
        <v>227</v>
      </c>
      <c r="G659" s="12">
        <v>32.0</v>
      </c>
      <c r="H659" s="48" t="str">
        <f t="shared" si="4"/>
        <v>  XI B-2</v>
      </c>
      <c r="I659" s="28" t="str">
        <f t="shared" si="2"/>
        <v>32 - GC X-8</v>
      </c>
      <c r="J659" s="20" t="str">
        <f>VLOOKUP(I659,'Database Grup SCC'!$B$2:$C1382,2,false)</f>
        <v>Amel (XII)</v>
      </c>
      <c r="K659" s="50" t="str">
        <f>VLOOKUP(D659,'Data Siswa Mentah 32 Kelas X'!$C$8:$E1382,3,false)</f>
        <v>X-8</v>
      </c>
      <c r="L659" s="50" t="s">
        <v>7047</v>
      </c>
      <c r="M659" s="50"/>
      <c r="N659" s="33" t="s">
        <v>6858</v>
      </c>
      <c r="O659" s="34"/>
      <c r="P659" s="34"/>
      <c r="Q659" s="24" t="str">
        <f t="shared" si="3"/>
        <v>https://docs.google.com/forms/d/e/1FAIpQLSeZ-R1GrWlAPkfaThGqxeTj0QTtrARw4rroxIIepf2kipn1nw/formResponse?usp=pp_url&amp;entry.1313582257=0091356987&amp;entry.1578404635=Hadir</v>
      </c>
      <c r="R659" s="23" t="s">
        <v>7117</v>
      </c>
      <c r="S659" s="39"/>
      <c r="T659" s="39"/>
      <c r="U659" s="39"/>
      <c r="V659" s="39"/>
    </row>
    <row r="660" ht="22.5" customHeight="1">
      <c r="A660" s="12">
        <v>184.0</v>
      </c>
      <c r="B660" s="32">
        <v>36.0</v>
      </c>
      <c r="C660" s="55" t="s">
        <v>7118</v>
      </c>
      <c r="D660" s="56">
        <v>2.4251042E8</v>
      </c>
      <c r="E660" s="32" t="s">
        <v>3739</v>
      </c>
      <c r="F660" s="32" t="s">
        <v>227</v>
      </c>
      <c r="G660" s="12">
        <v>32.0</v>
      </c>
      <c r="H660" s="48" t="str">
        <f t="shared" si="4"/>
        <v>  XI B-2</v>
      </c>
      <c r="I660" s="28" t="str">
        <f t="shared" si="2"/>
        <v>32 - GC X-9</v>
      </c>
      <c r="J660" s="20" t="str">
        <f>VLOOKUP(I660,'Database Grup SCC'!$B$2:$C1382,2,false)</f>
        <v>Athaya</v>
      </c>
      <c r="K660" s="50" t="str">
        <f>VLOOKUP(D660,'Data Siswa Mentah 32 Kelas X'!$C$8:$E1382,3,false)</f>
        <v>X-9</v>
      </c>
      <c r="L660" s="50" t="s">
        <v>7047</v>
      </c>
      <c r="M660" s="50"/>
      <c r="N660" s="33" t="s">
        <v>6826</v>
      </c>
      <c r="O660" s="34"/>
      <c r="P660" s="34"/>
      <c r="Q660" s="24" t="str">
        <f t="shared" si="3"/>
        <v>https://docs.google.com/forms/d/e/1FAIpQLSeZ-R1GrWlAPkfaThGqxeTj0QTtrARw4rroxIIepf2kipn1nw/formResponse?usp=pp_url&amp;entry.1313582257=0084616257&amp;entry.1578404635=Hadir</v>
      </c>
      <c r="R660" s="23" t="s">
        <v>7119</v>
      </c>
      <c r="S660" s="39"/>
      <c r="T660" s="39"/>
      <c r="U660" s="39"/>
      <c r="V660" s="39"/>
    </row>
    <row r="661" ht="22.5" customHeight="1">
      <c r="A661" s="12">
        <v>196.0</v>
      </c>
      <c r="B661" s="32">
        <v>1.0</v>
      </c>
      <c r="C661" s="55" t="s">
        <v>7120</v>
      </c>
      <c r="D661" s="56">
        <v>2.42510001E8</v>
      </c>
      <c r="E661" s="32" t="s">
        <v>3744</v>
      </c>
      <c r="F661" s="32" t="s">
        <v>220</v>
      </c>
      <c r="G661" s="12">
        <v>32.0</v>
      </c>
      <c r="H661" s="48" t="str">
        <f t="shared" si="4"/>
        <v>  XI C</v>
      </c>
      <c r="I661" s="28" t="str">
        <f t="shared" si="2"/>
        <v>33 - BC X-9</v>
      </c>
      <c r="J661" s="20" t="str">
        <f>VLOOKUP(I661,'Database Grup SCC'!$B$2:$C1382,2,false)</f>
        <v>Veril (XII)</v>
      </c>
      <c r="K661" s="50" t="str">
        <f>VLOOKUP(D661,'Data Siswa Mentah 32 Kelas X'!$C$8:$E1382,3,false)</f>
        <v>X-9</v>
      </c>
      <c r="L661" s="50" t="s">
        <v>7121</v>
      </c>
      <c r="M661" s="50"/>
      <c r="N661" s="33" t="s">
        <v>6296</v>
      </c>
      <c r="O661" s="34"/>
      <c r="P661" s="34"/>
      <c r="Q661" s="24" t="str">
        <f t="shared" si="3"/>
        <v>https://docs.google.com/forms/d/e/1FAIpQLSeZ-R1GrWlAPkfaThGqxeTj0QTtrARw4rroxIIepf2kipn1nw/formResponse?usp=pp_url&amp;entry.1313582257=0097029152&amp;entry.1578404635=Hadir</v>
      </c>
      <c r="R661" s="23" t="s">
        <v>7122</v>
      </c>
      <c r="S661" s="39"/>
      <c r="T661" s="39"/>
      <c r="U661" s="39"/>
      <c r="V661" s="39"/>
    </row>
    <row r="662" ht="22.5" customHeight="1">
      <c r="A662" s="12">
        <v>197.0</v>
      </c>
      <c r="B662" s="32">
        <v>2.0</v>
      </c>
      <c r="C662" s="55" t="s">
        <v>7123</v>
      </c>
      <c r="D662" s="56">
        <v>2.42510014E8</v>
      </c>
      <c r="E662" s="32" t="s">
        <v>3751</v>
      </c>
      <c r="F662" s="32" t="s">
        <v>227</v>
      </c>
      <c r="G662" s="12">
        <v>32.0</v>
      </c>
      <c r="H662" s="48" t="str">
        <f t="shared" si="4"/>
        <v>  XI C</v>
      </c>
      <c r="I662" s="28" t="str">
        <f t="shared" si="2"/>
        <v>32 - GC X-2</v>
      </c>
      <c r="J662" s="20" t="str">
        <f>VLOOKUP(I662,'Database Grup SCC'!$B$2:$C1382,2,false)</f>
        <v>Iga</v>
      </c>
      <c r="K662" s="50" t="str">
        <f>VLOOKUP(D662,'Data Siswa Mentah 32 Kelas X'!$C$8:$E1382,3,false)</f>
        <v>X-2</v>
      </c>
      <c r="L662" s="50" t="s">
        <v>7121</v>
      </c>
      <c r="M662" s="50"/>
      <c r="N662" s="33" t="s">
        <v>6921</v>
      </c>
      <c r="O662" s="34"/>
      <c r="P662" s="34"/>
      <c r="Q662" s="24" t="str">
        <f t="shared" si="3"/>
        <v>https://docs.google.com/forms/d/e/1FAIpQLSeZ-R1GrWlAPkfaThGqxeTj0QTtrARw4rroxIIepf2kipn1nw/formResponse?usp=pp_url&amp;entry.1313582257=0096738562&amp;entry.1578404635=Hadir</v>
      </c>
      <c r="R662" s="23" t="s">
        <v>7124</v>
      </c>
      <c r="S662" s="39"/>
      <c r="T662" s="39"/>
      <c r="U662" s="39"/>
      <c r="V662" s="39"/>
    </row>
    <row r="663" ht="22.5" customHeight="1">
      <c r="A663" s="12">
        <v>198.0</v>
      </c>
      <c r="B663" s="32">
        <v>3.0</v>
      </c>
      <c r="C663" s="55" t="s">
        <v>7125</v>
      </c>
      <c r="D663" s="56">
        <v>2.42510019E8</v>
      </c>
      <c r="E663" s="32" t="s">
        <v>3756</v>
      </c>
      <c r="F663" s="32" t="s">
        <v>220</v>
      </c>
      <c r="G663" s="12">
        <v>32.0</v>
      </c>
      <c r="H663" s="48" t="str">
        <f t="shared" si="4"/>
        <v>  XI C</v>
      </c>
      <c r="I663" s="28" t="str">
        <f t="shared" si="2"/>
        <v>33 - BC X-6</v>
      </c>
      <c r="J663" s="20" t="str">
        <f>VLOOKUP(I663,'Database Grup SCC'!$B$2:$C1382,2,false)</f>
        <v>Rizki Putra</v>
      </c>
      <c r="K663" s="50" t="str">
        <f>VLOOKUP(D663,'Data Siswa Mentah 32 Kelas X'!$C$8:$E1382,3,false)</f>
        <v>X-6</v>
      </c>
      <c r="L663" s="50" t="s">
        <v>7121</v>
      </c>
      <c r="M663" s="50"/>
      <c r="N663" s="33" t="s">
        <v>5926</v>
      </c>
      <c r="O663" s="34"/>
      <c r="P663" s="34"/>
      <c r="Q663" s="24" t="str">
        <f t="shared" si="3"/>
        <v>https://docs.google.com/forms/d/e/1FAIpQLSeZ-R1GrWlAPkfaThGqxeTj0QTtrARw4rroxIIepf2kipn1nw/formResponse?usp=pp_url&amp;entry.1313582257=0099375029&amp;entry.1578404635=Hadir</v>
      </c>
      <c r="R663" s="23" t="s">
        <v>7126</v>
      </c>
      <c r="S663" s="39"/>
      <c r="T663" s="39"/>
      <c r="U663" s="39"/>
      <c r="V663" s="39"/>
    </row>
    <row r="664" ht="22.5" customHeight="1">
      <c r="A664" s="12">
        <v>199.0</v>
      </c>
      <c r="B664" s="32">
        <v>4.0</v>
      </c>
      <c r="C664" s="55" t="s">
        <v>7127</v>
      </c>
      <c r="D664" s="56">
        <v>2.42510024E8</v>
      </c>
      <c r="E664" s="32" t="s">
        <v>3761</v>
      </c>
      <c r="F664" s="32" t="s">
        <v>220</v>
      </c>
      <c r="G664" s="12">
        <v>32.0</v>
      </c>
      <c r="H664" s="48" t="str">
        <f t="shared" si="4"/>
        <v>  XI C</v>
      </c>
      <c r="I664" s="28" t="str">
        <f t="shared" si="2"/>
        <v>33 - BC X-8</v>
      </c>
      <c r="J664" s="20" t="str">
        <f>VLOOKUP(I664,'Database Grup SCC'!$B$2:$C1382,2,false)</f>
        <v>Teguh</v>
      </c>
      <c r="K664" s="50" t="str">
        <f>VLOOKUP(D664,'Data Siswa Mentah 32 Kelas X'!$C$8:$E1382,3,false)</f>
        <v>X-8</v>
      </c>
      <c r="L664" s="50" t="s">
        <v>7121</v>
      </c>
      <c r="M664" s="50"/>
      <c r="N664" s="33" t="s">
        <v>6166</v>
      </c>
      <c r="O664" s="34"/>
      <c r="P664" s="34"/>
      <c r="Q664" s="24" t="str">
        <f t="shared" si="3"/>
        <v>https://docs.google.com/forms/d/e/1FAIpQLSeZ-R1GrWlAPkfaThGqxeTj0QTtrARw4rroxIIepf2kipn1nw/formResponse?usp=pp_url&amp;entry.1313582257=0085348468&amp;entry.1578404635=Hadir</v>
      </c>
      <c r="R664" s="23" t="s">
        <v>7128</v>
      </c>
      <c r="S664" s="39"/>
      <c r="T664" s="39"/>
      <c r="U664" s="39"/>
      <c r="V664" s="39"/>
    </row>
    <row r="665" ht="22.5" customHeight="1">
      <c r="A665" s="12">
        <v>200.0</v>
      </c>
      <c r="B665" s="32">
        <v>5.0</v>
      </c>
      <c r="C665" s="55" t="s">
        <v>7129</v>
      </c>
      <c r="D665" s="56">
        <v>2.42510036E8</v>
      </c>
      <c r="E665" s="32" t="s">
        <v>3766</v>
      </c>
      <c r="F665" s="32" t="s">
        <v>227</v>
      </c>
      <c r="G665" s="12">
        <v>32.0</v>
      </c>
      <c r="H665" s="48" t="str">
        <f t="shared" si="4"/>
        <v>  XI C</v>
      </c>
      <c r="I665" s="28" t="str">
        <f t="shared" si="2"/>
        <v>32 - GC X-12</v>
      </c>
      <c r="J665" s="20" t="str">
        <f>VLOOKUP(I665,'Database Grup SCC'!$B$2:$C1382,2,false)</f>
        <v>Farisa (XII)</v>
      </c>
      <c r="K665" s="50" t="str">
        <f>VLOOKUP(D665,'Data Siswa Mentah 32 Kelas X'!$C$8:$E1382,3,false)</f>
        <v>X-12</v>
      </c>
      <c r="L665" s="50" t="s">
        <v>7121</v>
      </c>
      <c r="M665" s="50"/>
      <c r="N665" s="33" t="s">
        <v>6845</v>
      </c>
      <c r="O665" s="34"/>
      <c r="P665" s="34"/>
      <c r="Q665" s="24" t="str">
        <f t="shared" si="3"/>
        <v>https://docs.google.com/forms/d/e/1FAIpQLSeZ-R1GrWlAPkfaThGqxeTj0QTtrARw4rroxIIepf2kipn1nw/formResponse?usp=pp_url&amp;entry.1313582257=0095154966&amp;entry.1578404635=Hadir</v>
      </c>
      <c r="R665" s="23" t="s">
        <v>7130</v>
      </c>
      <c r="S665" s="39"/>
      <c r="T665" s="39"/>
      <c r="U665" s="39"/>
      <c r="V665" s="39"/>
    </row>
    <row r="666" ht="22.5" customHeight="1">
      <c r="A666" s="12">
        <v>201.0</v>
      </c>
      <c r="B666" s="32">
        <v>6.0</v>
      </c>
      <c r="C666" s="55" t="s">
        <v>7131</v>
      </c>
      <c r="D666" s="56">
        <v>2.42510044E8</v>
      </c>
      <c r="E666" s="32" t="s">
        <v>3771</v>
      </c>
      <c r="F666" s="32" t="s">
        <v>227</v>
      </c>
      <c r="G666" s="12">
        <v>32.0</v>
      </c>
      <c r="H666" s="48" t="str">
        <f t="shared" si="4"/>
        <v>  XI C</v>
      </c>
      <c r="I666" s="28" t="str">
        <f t="shared" si="2"/>
        <v>32 - GC X-10</v>
      </c>
      <c r="J666" s="20" t="str">
        <f>VLOOKUP(I666,'Database Grup SCC'!$B$2:$C1382,2,false)</f>
        <v>Athaya</v>
      </c>
      <c r="K666" s="50" t="str">
        <f>VLOOKUP(D666,'Data Siswa Mentah 32 Kelas X'!$C$8:$E1382,3,false)</f>
        <v>X-10</v>
      </c>
      <c r="L666" s="50" t="s">
        <v>7121</v>
      </c>
      <c r="M666" s="50"/>
      <c r="N666" s="33" t="s">
        <v>6865</v>
      </c>
      <c r="O666" s="34"/>
      <c r="P666" s="34"/>
      <c r="Q666" s="24" t="str">
        <f t="shared" si="3"/>
        <v>https://docs.google.com/forms/d/e/1FAIpQLSeZ-R1GrWlAPkfaThGqxeTj0QTtrARw4rroxIIepf2kipn1nw/formResponse?usp=pp_url&amp;entry.1313582257=0096990480&amp;entry.1578404635=Hadir</v>
      </c>
      <c r="R666" s="23" t="s">
        <v>7132</v>
      </c>
      <c r="S666" s="39"/>
      <c r="T666" s="39"/>
      <c r="U666" s="39"/>
      <c r="V666" s="39"/>
    </row>
    <row r="667" ht="22.5" customHeight="1">
      <c r="A667" s="12">
        <v>202.0</v>
      </c>
      <c r="B667" s="32">
        <v>7.0</v>
      </c>
      <c r="C667" s="55" t="s">
        <v>7133</v>
      </c>
      <c r="D667" s="56">
        <v>2.42510054E8</v>
      </c>
      <c r="E667" s="32" t="s">
        <v>3776</v>
      </c>
      <c r="F667" s="32" t="s">
        <v>220</v>
      </c>
      <c r="G667" s="12">
        <v>32.0</v>
      </c>
      <c r="H667" s="48" t="str">
        <f t="shared" si="4"/>
        <v>  XI C</v>
      </c>
      <c r="I667" s="28" t="str">
        <f t="shared" si="2"/>
        <v>33 - BC X-10</v>
      </c>
      <c r="J667" s="20" t="str">
        <f>VLOOKUP(I667,'Database Grup SCC'!$B$2:$C1382,2,false)</f>
        <v>Irghi (XII)</v>
      </c>
      <c r="K667" s="50" t="str">
        <f>VLOOKUP(D667,'Data Siswa Mentah 32 Kelas X'!$C$8:$E1382,3,false)</f>
        <v>X-10</v>
      </c>
      <c r="L667" s="50" t="s">
        <v>7121</v>
      </c>
      <c r="M667" s="50"/>
      <c r="N667" s="33" t="s">
        <v>6425</v>
      </c>
      <c r="O667" s="34"/>
      <c r="P667" s="34"/>
      <c r="Q667" s="24" t="str">
        <f t="shared" si="3"/>
        <v>https://docs.google.com/forms/d/e/1FAIpQLSeZ-R1GrWlAPkfaThGqxeTj0QTtrARw4rroxIIepf2kipn1nw/formResponse?usp=pp_url&amp;entry.1313582257=0081271561&amp;entry.1578404635=Hadir</v>
      </c>
      <c r="R667" s="23" t="s">
        <v>7134</v>
      </c>
      <c r="S667" s="39"/>
      <c r="T667" s="39"/>
      <c r="U667" s="39"/>
      <c r="V667" s="39"/>
    </row>
    <row r="668" ht="22.5" customHeight="1">
      <c r="A668" s="12">
        <v>203.0</v>
      </c>
      <c r="B668" s="32">
        <v>8.0</v>
      </c>
      <c r="C668" s="55" t="s">
        <v>7135</v>
      </c>
      <c r="D668" s="56">
        <v>2.42510071E8</v>
      </c>
      <c r="E668" s="32" t="s">
        <v>3782</v>
      </c>
      <c r="F668" s="32" t="s">
        <v>227</v>
      </c>
      <c r="G668" s="12">
        <v>32.0</v>
      </c>
      <c r="H668" s="48" t="str">
        <f t="shared" si="4"/>
        <v>  XI C</v>
      </c>
      <c r="I668" s="28" t="str">
        <f t="shared" si="2"/>
        <v>32 - GC X-7</v>
      </c>
      <c r="J668" s="20" t="str">
        <f>VLOOKUP(I668,'Database Grup SCC'!$B$2:$C1382,2,false)</f>
        <v>Najmi (XII)</v>
      </c>
      <c r="K668" s="50" t="str">
        <f>VLOOKUP(D668,'Data Siswa Mentah 32 Kelas X'!$C$8:$E1382,3,false)</f>
        <v>X-7</v>
      </c>
      <c r="L668" s="50" t="s">
        <v>7121</v>
      </c>
      <c r="M668" s="50"/>
      <c r="N668" s="33" t="s">
        <v>6842</v>
      </c>
      <c r="O668" s="34"/>
      <c r="P668" s="34"/>
      <c r="Q668" s="24" t="str">
        <f t="shared" si="3"/>
        <v>https://docs.google.com/forms/d/e/1FAIpQLSeZ-R1GrWlAPkfaThGqxeTj0QTtrARw4rroxIIepf2kipn1nw/formResponse?usp=pp_url&amp;entry.1313582257=0099561898&amp;entry.1578404635=Hadir</v>
      </c>
      <c r="R668" s="23" t="s">
        <v>7136</v>
      </c>
      <c r="S668" s="39"/>
      <c r="T668" s="39"/>
      <c r="U668" s="39"/>
      <c r="V668" s="39"/>
    </row>
    <row r="669" ht="22.5" customHeight="1">
      <c r="A669" s="12">
        <v>204.0</v>
      </c>
      <c r="B669" s="32">
        <v>9.0</v>
      </c>
      <c r="C669" s="55" t="s">
        <v>7137</v>
      </c>
      <c r="D669" s="56">
        <v>2.42510088E8</v>
      </c>
      <c r="E669" s="32" t="s">
        <v>3787</v>
      </c>
      <c r="F669" s="32" t="s">
        <v>227</v>
      </c>
      <c r="G669" s="12">
        <v>32.0</v>
      </c>
      <c r="H669" s="48" t="str">
        <f t="shared" si="4"/>
        <v>  XI C</v>
      </c>
      <c r="I669" s="28" t="str">
        <f t="shared" si="2"/>
        <v>32 - GC X-12</v>
      </c>
      <c r="J669" s="20" t="str">
        <f>VLOOKUP(I669,'Database Grup SCC'!$B$2:$C1382,2,false)</f>
        <v>Farisa (XII)</v>
      </c>
      <c r="K669" s="50" t="str">
        <f>VLOOKUP(D669,'Data Siswa Mentah 32 Kelas X'!$C$8:$E1382,3,false)</f>
        <v>X-12</v>
      </c>
      <c r="L669" s="50" t="s">
        <v>7121</v>
      </c>
      <c r="M669" s="50"/>
      <c r="N669" s="33" t="s">
        <v>6845</v>
      </c>
      <c r="O669" s="34"/>
      <c r="P669" s="34"/>
      <c r="Q669" s="24" t="str">
        <f t="shared" si="3"/>
        <v>https://docs.google.com/forms/d/e/1FAIpQLSeZ-R1GrWlAPkfaThGqxeTj0QTtrARw4rroxIIepf2kipn1nw/formResponse?usp=pp_url&amp;entry.1313582257=0091681862&amp;entry.1578404635=Hadir</v>
      </c>
      <c r="R669" s="23" t="s">
        <v>7138</v>
      </c>
      <c r="S669" s="39"/>
      <c r="T669" s="39"/>
      <c r="U669" s="39"/>
      <c r="V669" s="39"/>
    </row>
    <row r="670" ht="22.5" customHeight="1">
      <c r="A670" s="12">
        <v>205.0</v>
      </c>
      <c r="B670" s="32">
        <v>10.0</v>
      </c>
      <c r="C670" s="55" t="s">
        <v>7139</v>
      </c>
      <c r="D670" s="56">
        <v>2.42510161E8</v>
      </c>
      <c r="E670" s="32" t="s">
        <v>3792</v>
      </c>
      <c r="F670" s="32" t="s">
        <v>227</v>
      </c>
      <c r="G670" s="12">
        <v>32.0</v>
      </c>
      <c r="H670" s="48" t="str">
        <f t="shared" si="4"/>
        <v>  XI C</v>
      </c>
      <c r="I670" s="28" t="str">
        <f t="shared" si="2"/>
        <v>32 - GC X-6</v>
      </c>
      <c r="J670" s="20" t="str">
        <f>VLOOKUP(I670,'Database Grup SCC'!$B$2:$C1382,2,false)</f>
        <v>Zalika</v>
      </c>
      <c r="K670" s="50" t="str">
        <f>VLOOKUP(D670,'Data Siswa Mentah 32 Kelas X'!$C$8:$E1382,3,false)</f>
        <v>X-6</v>
      </c>
      <c r="L670" s="50" t="s">
        <v>7121</v>
      </c>
      <c r="M670" s="50"/>
      <c r="N670" s="33" t="s">
        <v>6924</v>
      </c>
      <c r="O670" s="34"/>
      <c r="P670" s="34"/>
      <c r="Q670" s="24" t="str">
        <f t="shared" si="3"/>
        <v>https://docs.google.com/forms/d/e/1FAIpQLSeZ-R1GrWlAPkfaThGqxeTj0QTtrARw4rroxIIepf2kipn1nw/formResponse?usp=pp_url&amp;entry.1313582257=0098451979&amp;entry.1578404635=Hadir</v>
      </c>
      <c r="R670" s="23" t="s">
        <v>7140</v>
      </c>
      <c r="S670" s="39"/>
      <c r="T670" s="39"/>
      <c r="U670" s="39"/>
      <c r="V670" s="39"/>
    </row>
    <row r="671" ht="22.5" customHeight="1">
      <c r="A671" s="12">
        <v>206.0</v>
      </c>
      <c r="B671" s="32">
        <v>11.0</v>
      </c>
      <c r="C671" s="55" t="s">
        <v>7141</v>
      </c>
      <c r="D671" s="56">
        <v>2.425102E8</v>
      </c>
      <c r="E671" s="32" t="s">
        <v>3797</v>
      </c>
      <c r="F671" s="32" t="s">
        <v>227</v>
      </c>
      <c r="G671" s="12">
        <v>32.0</v>
      </c>
      <c r="H671" s="48" t="str">
        <f t="shared" si="4"/>
        <v>  XI C</v>
      </c>
      <c r="I671" s="28" t="str">
        <f t="shared" si="2"/>
        <v>32 - GC X-11</v>
      </c>
      <c r="J671" s="20" t="str">
        <f>VLOOKUP(I671,'Database Grup SCC'!$B$2:$C1382,2,false)</f>
        <v>Kia (XII)</v>
      </c>
      <c r="K671" s="50" t="str">
        <f>VLOOKUP(D671,'Data Siswa Mentah 32 Kelas X'!$C$8:$E1382,3,false)</f>
        <v>X-11</v>
      </c>
      <c r="L671" s="50" t="s">
        <v>7121</v>
      </c>
      <c r="M671" s="50"/>
      <c r="N671" s="33" t="s">
        <v>6883</v>
      </c>
      <c r="O671" s="34"/>
      <c r="P671" s="34"/>
      <c r="Q671" s="24" t="str">
        <f t="shared" si="3"/>
        <v>https://docs.google.com/forms/d/e/1FAIpQLSeZ-R1GrWlAPkfaThGqxeTj0QTtrARw4rroxIIepf2kipn1nw/formResponse?usp=pp_url&amp;entry.1313582257=0084845522&amp;entry.1578404635=Hadir</v>
      </c>
      <c r="R671" s="23" t="s">
        <v>7142</v>
      </c>
      <c r="S671" s="39"/>
      <c r="T671" s="39"/>
      <c r="U671" s="39"/>
      <c r="V671" s="39"/>
    </row>
    <row r="672" ht="22.5" customHeight="1">
      <c r="A672" s="12">
        <v>207.0</v>
      </c>
      <c r="B672" s="32">
        <v>12.0</v>
      </c>
      <c r="C672" s="55" t="s">
        <v>7143</v>
      </c>
      <c r="D672" s="56">
        <v>2.52611571E8</v>
      </c>
      <c r="E672" s="32" t="s">
        <v>3802</v>
      </c>
      <c r="F672" s="32" t="s">
        <v>227</v>
      </c>
      <c r="G672" s="12">
        <v>32.0</v>
      </c>
      <c r="H672" s="48" t="str">
        <f t="shared" si="4"/>
        <v>  XI C</v>
      </c>
      <c r="I672" s="28" t="str">
        <f t="shared" si="2"/>
        <v/>
      </c>
      <c r="J672" s="20" t="str">
        <f>VLOOKUP(I672,'Database Grup SCC'!$B$2:$C1382,2,false)</f>
        <v>#N/A</v>
      </c>
      <c r="K672" s="50" t="s">
        <v>7050</v>
      </c>
      <c r="L672" s="50" t="s">
        <v>7121</v>
      </c>
      <c r="M672" s="50"/>
      <c r="N672" s="35"/>
      <c r="O672" s="34"/>
      <c r="P672" s="34"/>
      <c r="Q672" s="24" t="str">
        <f t="shared" si="3"/>
        <v>https://docs.google.com/forms/d/e/1FAIpQLSeZ-R1GrWlAPkfaThGqxeTj0QTtrARw4rroxIIepf2kipn1nw/formResponse?usp=pp_url&amp;entry.1313582257=0083434779&amp;entry.1578404635=Hadir</v>
      </c>
      <c r="R672" s="23" t="s">
        <v>7144</v>
      </c>
      <c r="S672" s="39"/>
      <c r="T672" s="39"/>
      <c r="U672" s="39"/>
      <c r="V672" s="39"/>
    </row>
    <row r="673" ht="22.5" customHeight="1">
      <c r="A673" s="12">
        <v>208.0</v>
      </c>
      <c r="B673" s="32">
        <v>13.0</v>
      </c>
      <c r="C673" s="55" t="s">
        <v>7145</v>
      </c>
      <c r="D673" s="56">
        <v>2.42510212E8</v>
      </c>
      <c r="E673" s="32" t="s">
        <v>3808</v>
      </c>
      <c r="F673" s="32" t="s">
        <v>227</v>
      </c>
      <c r="G673" s="12">
        <v>32.0</v>
      </c>
      <c r="H673" s="48" t="str">
        <f t="shared" si="4"/>
        <v>  XI C</v>
      </c>
      <c r="I673" s="28" t="str">
        <f t="shared" si="2"/>
        <v>32 - GC X-4</v>
      </c>
      <c r="J673" s="20" t="str">
        <f>VLOOKUP(I673,'Database Grup SCC'!$B$2:$C1382,2,false)</f>
        <v>Nadira</v>
      </c>
      <c r="K673" s="50" t="str">
        <f>VLOOKUP(D673,'Data Siswa Mentah 32 Kelas X'!$C$8:$E1382,3,false)</f>
        <v>X-4</v>
      </c>
      <c r="L673" s="50" t="s">
        <v>7121</v>
      </c>
      <c r="M673" s="50"/>
      <c r="N673" s="33" t="s">
        <v>6853</v>
      </c>
      <c r="O673" s="34"/>
      <c r="P673" s="34"/>
      <c r="Q673" s="24" t="str">
        <f t="shared" si="3"/>
        <v>https://docs.google.com/forms/d/e/1FAIpQLSeZ-R1GrWlAPkfaThGqxeTj0QTtrARw4rroxIIepf2kipn1nw/formResponse?usp=pp_url&amp;entry.1313582257=0094551974&amp;entry.1578404635=Hadir</v>
      </c>
      <c r="R673" s="23" t="s">
        <v>7146</v>
      </c>
      <c r="S673" s="39"/>
      <c r="T673" s="39"/>
      <c r="U673" s="39"/>
      <c r="V673" s="39"/>
    </row>
    <row r="674" ht="22.5" customHeight="1">
      <c r="A674" s="12">
        <v>209.0</v>
      </c>
      <c r="B674" s="32">
        <v>14.0</v>
      </c>
      <c r="C674" s="55" t="s">
        <v>7147</v>
      </c>
      <c r="D674" s="56">
        <v>2.4251022E8</v>
      </c>
      <c r="E674" s="32" t="s">
        <v>3813</v>
      </c>
      <c r="F674" s="32" t="s">
        <v>227</v>
      </c>
      <c r="G674" s="12">
        <v>32.0</v>
      </c>
      <c r="H674" s="48" t="str">
        <f t="shared" si="4"/>
        <v>  XI C</v>
      </c>
      <c r="I674" s="28" t="str">
        <f t="shared" si="2"/>
        <v>32 - GC X-9</v>
      </c>
      <c r="J674" s="20" t="str">
        <f>VLOOKUP(I674,'Database Grup SCC'!$B$2:$C1382,2,false)</f>
        <v>Athaya</v>
      </c>
      <c r="K674" s="50" t="str">
        <f>VLOOKUP(D674,'Data Siswa Mentah 32 Kelas X'!$C$8:$E1382,3,false)</f>
        <v>X-9</v>
      </c>
      <c r="L674" s="50" t="s">
        <v>7121</v>
      </c>
      <c r="M674" s="50"/>
      <c r="N674" s="33" t="s">
        <v>6826</v>
      </c>
      <c r="O674" s="34"/>
      <c r="P674" s="34"/>
      <c r="Q674" s="24" t="str">
        <f t="shared" si="3"/>
        <v>https://docs.google.com/forms/d/e/1FAIpQLSeZ-R1GrWlAPkfaThGqxeTj0QTtrARw4rroxIIepf2kipn1nw/formResponse?usp=pp_url&amp;entry.1313582257=0081855086&amp;entry.1578404635=Hadir</v>
      </c>
      <c r="R674" s="23" t="s">
        <v>7148</v>
      </c>
      <c r="S674" s="39"/>
      <c r="T674" s="39"/>
      <c r="U674" s="39"/>
      <c r="V674" s="39"/>
    </row>
    <row r="675" ht="22.5" customHeight="1">
      <c r="A675" s="12">
        <v>210.0</v>
      </c>
      <c r="B675" s="32">
        <v>15.0</v>
      </c>
      <c r="C675" s="55" t="s">
        <v>7149</v>
      </c>
      <c r="D675" s="56">
        <v>2.42510221E8</v>
      </c>
      <c r="E675" s="32" t="s">
        <v>3817</v>
      </c>
      <c r="F675" s="32" t="s">
        <v>227</v>
      </c>
      <c r="G675" s="12">
        <v>32.0</v>
      </c>
      <c r="H675" s="48" t="str">
        <f t="shared" si="4"/>
        <v>  XI C</v>
      </c>
      <c r="I675" s="28" t="str">
        <f t="shared" si="2"/>
        <v>32 - GC X-12</v>
      </c>
      <c r="J675" s="20" t="str">
        <f>VLOOKUP(I675,'Database Grup SCC'!$B$2:$C1382,2,false)</f>
        <v>Farisa (XII)</v>
      </c>
      <c r="K675" s="50" t="str">
        <f>VLOOKUP(D675,'Data Siswa Mentah 32 Kelas X'!$C$8:$E1382,3,false)</f>
        <v>X-12</v>
      </c>
      <c r="L675" s="50" t="s">
        <v>7121</v>
      </c>
      <c r="M675" s="50"/>
      <c r="N675" s="33" t="s">
        <v>6845</v>
      </c>
      <c r="O675" s="34"/>
      <c r="P675" s="34"/>
      <c r="Q675" s="24" t="str">
        <f t="shared" si="3"/>
        <v>https://docs.google.com/forms/d/e/1FAIpQLSeZ-R1GrWlAPkfaThGqxeTj0QTtrARw4rroxIIepf2kipn1nw/formResponse?usp=pp_url&amp;entry.1313582257=0083951567&amp;entry.1578404635=Hadir</v>
      </c>
      <c r="R675" s="23" t="s">
        <v>7150</v>
      </c>
      <c r="S675" s="39"/>
      <c r="T675" s="39"/>
      <c r="U675" s="39"/>
      <c r="V675" s="39"/>
    </row>
    <row r="676" ht="22.5" customHeight="1">
      <c r="A676" s="12">
        <v>211.0</v>
      </c>
      <c r="B676" s="32">
        <v>16.0</v>
      </c>
      <c r="C676" s="55" t="s">
        <v>7151</v>
      </c>
      <c r="D676" s="56">
        <v>2.42510251E8</v>
      </c>
      <c r="E676" s="32" t="s">
        <v>3822</v>
      </c>
      <c r="F676" s="32" t="s">
        <v>220</v>
      </c>
      <c r="G676" s="12">
        <v>32.0</v>
      </c>
      <c r="H676" s="48" t="str">
        <f t="shared" si="4"/>
        <v>  XI C</v>
      </c>
      <c r="I676" s="28" t="str">
        <f t="shared" si="2"/>
        <v>33 - BC X-3</v>
      </c>
      <c r="J676" s="20" t="str">
        <f>VLOOKUP(I676,'Database Grup SCC'!$B$2:$C1382,2,false)</f>
        <v>Angga</v>
      </c>
      <c r="K676" s="50" t="str">
        <f>VLOOKUP(D676,'Data Siswa Mentah 32 Kelas X'!$C$8:$E1382,3,false)</f>
        <v>X-3</v>
      </c>
      <c r="L676" s="50" t="s">
        <v>7121</v>
      </c>
      <c r="M676" s="50"/>
      <c r="N676" s="33" t="s">
        <v>5507</v>
      </c>
      <c r="O676" s="34"/>
      <c r="P676" s="34"/>
      <c r="Q676" s="24" t="str">
        <f t="shared" si="3"/>
        <v>https://docs.google.com/forms/d/e/1FAIpQLSeZ-R1GrWlAPkfaThGqxeTj0QTtrARw4rroxIIepf2kipn1nw/formResponse?usp=pp_url&amp;entry.1313582257=0093504759&amp;entry.1578404635=Hadir</v>
      </c>
      <c r="R676" s="23" t="s">
        <v>7152</v>
      </c>
      <c r="S676" s="39"/>
      <c r="T676" s="39"/>
      <c r="U676" s="39"/>
      <c r="V676" s="39"/>
    </row>
    <row r="677" ht="22.5" customHeight="1">
      <c r="A677" s="12">
        <v>212.0</v>
      </c>
      <c r="B677" s="32">
        <v>17.0</v>
      </c>
      <c r="C677" s="55" t="s">
        <v>7153</v>
      </c>
      <c r="D677" s="56">
        <v>2.42510271E8</v>
      </c>
      <c r="E677" s="32" t="s">
        <v>3827</v>
      </c>
      <c r="F677" s="32" t="s">
        <v>220</v>
      </c>
      <c r="G677" s="12">
        <v>32.0</v>
      </c>
      <c r="H677" s="48" t="str">
        <f t="shared" si="4"/>
        <v>  XI C</v>
      </c>
      <c r="I677" s="28" t="str">
        <f t="shared" si="2"/>
        <v>33 - BC X-6</v>
      </c>
      <c r="J677" s="20" t="str">
        <f>VLOOKUP(I677,'Database Grup SCC'!$B$2:$C1382,2,false)</f>
        <v>Rizki Putra</v>
      </c>
      <c r="K677" s="50" t="str">
        <f>VLOOKUP(D677,'Data Siswa Mentah 32 Kelas X'!$C$8:$E1382,3,false)</f>
        <v>X-6</v>
      </c>
      <c r="L677" s="50" t="s">
        <v>7121</v>
      </c>
      <c r="M677" s="50"/>
      <c r="N677" s="33" t="s">
        <v>5926</v>
      </c>
      <c r="O677" s="34"/>
      <c r="P677" s="34"/>
      <c r="Q677" s="24" t="str">
        <f t="shared" si="3"/>
        <v>https://docs.google.com/forms/d/e/1FAIpQLSeZ-R1GrWlAPkfaThGqxeTj0QTtrARw4rroxIIepf2kipn1nw/formResponse?usp=pp_url&amp;entry.1313582257=0086270372&amp;entry.1578404635=Hadir</v>
      </c>
      <c r="R677" s="23" t="s">
        <v>7154</v>
      </c>
      <c r="S677" s="39"/>
      <c r="T677" s="39"/>
      <c r="U677" s="39"/>
      <c r="V677" s="39"/>
    </row>
    <row r="678" ht="22.5" customHeight="1">
      <c r="A678" s="12">
        <v>213.0</v>
      </c>
      <c r="B678" s="32">
        <v>18.0</v>
      </c>
      <c r="C678" s="55" t="s">
        <v>7155</v>
      </c>
      <c r="D678" s="56">
        <v>2.42510272E8</v>
      </c>
      <c r="E678" s="32" t="s">
        <v>3833</v>
      </c>
      <c r="F678" s="32" t="s">
        <v>220</v>
      </c>
      <c r="G678" s="12">
        <v>32.0</v>
      </c>
      <c r="H678" s="48" t="str">
        <f t="shared" si="4"/>
        <v>  XI C</v>
      </c>
      <c r="I678" s="28" t="str">
        <f t="shared" si="2"/>
        <v>33 - BC X-7</v>
      </c>
      <c r="J678" s="20" t="str">
        <f>VLOOKUP(I678,'Database Grup SCC'!$B$2:$C1382,2,false)</f>
        <v>Rizza Al-Farisi</v>
      </c>
      <c r="K678" s="50" t="str">
        <f>VLOOKUP(D678,'Data Siswa Mentah 32 Kelas X'!$C$8:$E1382,3,false)</f>
        <v>X-7</v>
      </c>
      <c r="L678" s="50" t="s">
        <v>7121</v>
      </c>
      <c r="M678" s="50"/>
      <c r="N678" s="33" t="s">
        <v>6005</v>
      </c>
      <c r="O678" s="34"/>
      <c r="P678" s="34"/>
      <c r="Q678" s="24" t="str">
        <f t="shared" si="3"/>
        <v>https://docs.google.com/forms/d/e/1FAIpQLSeZ-R1GrWlAPkfaThGqxeTj0QTtrARw4rroxIIepf2kipn1nw/formResponse?usp=pp_url&amp;entry.1313582257=0096643467&amp;entry.1578404635=Hadir</v>
      </c>
      <c r="R678" s="23" t="s">
        <v>7156</v>
      </c>
      <c r="S678" s="39"/>
      <c r="T678" s="39"/>
      <c r="U678" s="39"/>
      <c r="V678" s="39"/>
    </row>
    <row r="679" ht="22.5" customHeight="1">
      <c r="A679" s="12">
        <v>214.0</v>
      </c>
      <c r="B679" s="32">
        <v>19.0</v>
      </c>
      <c r="C679" s="55" t="s">
        <v>7157</v>
      </c>
      <c r="D679" s="56">
        <v>2.42510284E8</v>
      </c>
      <c r="E679" s="32" t="s">
        <v>3838</v>
      </c>
      <c r="F679" s="32" t="s">
        <v>227</v>
      </c>
      <c r="G679" s="12">
        <v>32.0</v>
      </c>
      <c r="H679" s="48" t="str">
        <f t="shared" si="4"/>
        <v>  XI C</v>
      </c>
      <c r="I679" s="28" t="str">
        <f t="shared" si="2"/>
        <v>32 - GC X-6</v>
      </c>
      <c r="J679" s="20" t="str">
        <f>VLOOKUP(I679,'Database Grup SCC'!$B$2:$C1382,2,false)</f>
        <v>Zalika</v>
      </c>
      <c r="K679" s="50" t="str">
        <f>VLOOKUP(D679,'Data Siswa Mentah 32 Kelas X'!$C$8:$E1382,3,false)</f>
        <v>X-6</v>
      </c>
      <c r="L679" s="50" t="s">
        <v>7121</v>
      </c>
      <c r="M679" s="50"/>
      <c r="N679" s="33" t="s">
        <v>6924</v>
      </c>
      <c r="O679" s="34"/>
      <c r="P679" s="34"/>
      <c r="Q679" s="24" t="str">
        <f t="shared" si="3"/>
        <v>https://docs.google.com/forms/d/e/1FAIpQLSeZ-R1GrWlAPkfaThGqxeTj0QTtrARw4rroxIIepf2kipn1nw/formResponse?usp=pp_url&amp;entry.1313582257=0091089933&amp;entry.1578404635=Hadir</v>
      </c>
      <c r="R679" s="23" t="s">
        <v>7158</v>
      </c>
      <c r="S679" s="39"/>
      <c r="T679" s="39"/>
      <c r="U679" s="39"/>
      <c r="V679" s="39"/>
    </row>
    <row r="680" ht="22.5" customHeight="1">
      <c r="A680" s="12">
        <v>215.0</v>
      </c>
      <c r="B680" s="32">
        <v>20.0</v>
      </c>
      <c r="C680" s="55" t="s">
        <v>7159</v>
      </c>
      <c r="D680" s="56">
        <v>2.42510289E8</v>
      </c>
      <c r="E680" s="32" t="s">
        <v>3843</v>
      </c>
      <c r="F680" s="32" t="s">
        <v>227</v>
      </c>
      <c r="G680" s="12">
        <v>32.0</v>
      </c>
      <c r="H680" s="48" t="str">
        <f t="shared" si="4"/>
        <v>  XI C</v>
      </c>
      <c r="I680" s="28" t="str">
        <f t="shared" si="2"/>
        <v>32 - GC X-8</v>
      </c>
      <c r="J680" s="20" t="str">
        <f>VLOOKUP(I680,'Database Grup SCC'!$B$2:$C1382,2,false)</f>
        <v>Amel (XII)</v>
      </c>
      <c r="K680" s="50" t="str">
        <f>VLOOKUP(D680,'Data Siswa Mentah 32 Kelas X'!$C$8:$E1382,3,false)</f>
        <v>X-8</v>
      </c>
      <c r="L680" s="50" t="s">
        <v>7121</v>
      </c>
      <c r="M680" s="50"/>
      <c r="N680" s="33" t="s">
        <v>6858</v>
      </c>
      <c r="O680" s="34"/>
      <c r="P680" s="34"/>
      <c r="Q680" s="24" t="str">
        <f t="shared" si="3"/>
        <v>https://docs.google.com/forms/d/e/1FAIpQLSeZ-R1GrWlAPkfaThGqxeTj0QTtrARw4rroxIIepf2kipn1nw/formResponse?usp=pp_url&amp;entry.1313582257=0096304188&amp;entry.1578404635=Hadir</v>
      </c>
      <c r="R680" s="23" t="s">
        <v>7160</v>
      </c>
      <c r="S680" s="39"/>
      <c r="T680" s="39"/>
      <c r="U680" s="39"/>
      <c r="V680" s="39"/>
    </row>
    <row r="681" ht="22.5" customHeight="1">
      <c r="A681" s="12">
        <v>216.0</v>
      </c>
      <c r="B681" s="32">
        <v>21.0</v>
      </c>
      <c r="C681" s="55" t="s">
        <v>7161</v>
      </c>
      <c r="D681" s="56">
        <v>2.42510292E8</v>
      </c>
      <c r="E681" s="32" t="s">
        <v>3848</v>
      </c>
      <c r="F681" s="32" t="s">
        <v>227</v>
      </c>
      <c r="G681" s="12">
        <v>32.0</v>
      </c>
      <c r="H681" s="48" t="str">
        <f t="shared" si="4"/>
        <v>  XI C</v>
      </c>
      <c r="I681" s="28" t="str">
        <f t="shared" si="2"/>
        <v>32 - GC X-8</v>
      </c>
      <c r="J681" s="20" t="str">
        <f>VLOOKUP(I681,'Database Grup SCC'!$B$2:$C1382,2,false)</f>
        <v>Amel (XII)</v>
      </c>
      <c r="K681" s="50" t="str">
        <f>VLOOKUP(D681,'Data Siswa Mentah 32 Kelas X'!$C$8:$E1382,3,false)</f>
        <v>X-8</v>
      </c>
      <c r="L681" s="50" t="s">
        <v>7121</v>
      </c>
      <c r="M681" s="50"/>
      <c r="N681" s="33" t="s">
        <v>6858</v>
      </c>
      <c r="O681" s="34"/>
      <c r="P681" s="34"/>
      <c r="Q681" s="24" t="str">
        <f t="shared" si="3"/>
        <v>https://docs.google.com/forms/d/e/1FAIpQLSeZ-R1GrWlAPkfaThGqxeTj0QTtrARw4rroxIIepf2kipn1nw/formResponse?usp=pp_url&amp;entry.1313582257=0097295872&amp;entry.1578404635=Hadir</v>
      </c>
      <c r="R681" s="23" t="s">
        <v>7162</v>
      </c>
      <c r="S681" s="39"/>
      <c r="T681" s="39"/>
      <c r="U681" s="39"/>
      <c r="V681" s="39"/>
    </row>
    <row r="682" ht="22.5" customHeight="1">
      <c r="A682" s="12">
        <v>217.0</v>
      </c>
      <c r="B682" s="32">
        <v>22.0</v>
      </c>
      <c r="C682" s="55" t="s">
        <v>7163</v>
      </c>
      <c r="D682" s="56">
        <v>2.42510299E8</v>
      </c>
      <c r="E682" s="32" t="s">
        <v>3853</v>
      </c>
      <c r="F682" s="32" t="s">
        <v>227</v>
      </c>
      <c r="G682" s="12">
        <v>32.0</v>
      </c>
      <c r="H682" s="48" t="str">
        <f t="shared" si="4"/>
        <v>  XI C</v>
      </c>
      <c r="I682" s="28" t="str">
        <f t="shared" si="2"/>
        <v>32 - GC X-10</v>
      </c>
      <c r="J682" s="20" t="str">
        <f>VLOOKUP(I682,'Database Grup SCC'!$B$2:$C1382,2,false)</f>
        <v>Athaya</v>
      </c>
      <c r="K682" s="50" t="str">
        <f>VLOOKUP(D682,'Data Siswa Mentah 32 Kelas X'!$C$8:$E1382,3,false)</f>
        <v>X-10</v>
      </c>
      <c r="L682" s="50" t="s">
        <v>7121</v>
      </c>
      <c r="M682" s="50"/>
      <c r="N682" s="33" t="s">
        <v>6865</v>
      </c>
      <c r="O682" s="34"/>
      <c r="P682" s="34"/>
      <c r="Q682" s="24" t="str">
        <f t="shared" si="3"/>
        <v>https://docs.google.com/forms/d/e/1FAIpQLSeZ-R1GrWlAPkfaThGqxeTj0QTtrARw4rroxIIepf2kipn1nw/formResponse?usp=pp_url&amp;entry.1313582257=0096224183&amp;entry.1578404635=Hadir</v>
      </c>
      <c r="R682" s="23" t="s">
        <v>7164</v>
      </c>
      <c r="S682" s="39"/>
      <c r="T682" s="39"/>
      <c r="U682" s="39"/>
      <c r="V682" s="39"/>
    </row>
    <row r="683" ht="22.5" customHeight="1">
      <c r="A683" s="12">
        <v>218.0</v>
      </c>
      <c r="B683" s="32">
        <v>23.0</v>
      </c>
      <c r="C683" s="55" t="s">
        <v>7165</v>
      </c>
      <c r="D683" s="56">
        <v>2.42510303E8</v>
      </c>
      <c r="E683" s="32" t="s">
        <v>3858</v>
      </c>
      <c r="F683" s="32" t="s">
        <v>227</v>
      </c>
      <c r="G683" s="12">
        <v>32.0</v>
      </c>
      <c r="H683" s="48" t="str">
        <f t="shared" si="4"/>
        <v>  XI C</v>
      </c>
      <c r="I683" s="28" t="str">
        <f t="shared" si="2"/>
        <v>32 - GC X-3</v>
      </c>
      <c r="J683" s="20" t="str">
        <f>VLOOKUP(I683,'Database Grup SCC'!$B$2:$C1382,2,false)</f>
        <v>Devi</v>
      </c>
      <c r="K683" s="50" t="str">
        <f>VLOOKUP(D683,'Data Siswa Mentah 32 Kelas X'!$C$8:$E1382,3,false)</f>
        <v>X-3</v>
      </c>
      <c r="L683" s="50" t="s">
        <v>7121</v>
      </c>
      <c r="M683" s="50"/>
      <c r="N683" s="33" t="s">
        <v>6879</v>
      </c>
      <c r="O683" s="34"/>
      <c r="P683" s="34"/>
      <c r="Q683" s="24" t="str">
        <f t="shared" si="3"/>
        <v>https://docs.google.com/forms/d/e/1FAIpQLSeZ-R1GrWlAPkfaThGqxeTj0QTtrARw4rroxIIepf2kipn1nw/formResponse?usp=pp_url&amp;entry.1313582257=0083048491&amp;entry.1578404635=Hadir</v>
      </c>
      <c r="R683" s="23" t="s">
        <v>7166</v>
      </c>
      <c r="S683" s="39"/>
      <c r="T683" s="39"/>
      <c r="U683" s="39"/>
      <c r="V683" s="39"/>
    </row>
    <row r="684" ht="22.5" customHeight="1">
      <c r="A684" s="12">
        <v>219.0</v>
      </c>
      <c r="B684" s="32">
        <v>24.0</v>
      </c>
      <c r="C684" s="55" t="s">
        <v>7167</v>
      </c>
      <c r="D684" s="56">
        <v>2.42510315E8</v>
      </c>
      <c r="E684" s="32" t="s">
        <v>3864</v>
      </c>
      <c r="F684" s="32" t="s">
        <v>227</v>
      </c>
      <c r="G684" s="12">
        <v>32.0</v>
      </c>
      <c r="H684" s="48" t="str">
        <f t="shared" si="4"/>
        <v>  XI C</v>
      </c>
      <c r="I684" s="28" t="str">
        <f t="shared" si="2"/>
        <v>32 - GC X-9</v>
      </c>
      <c r="J684" s="20" t="str">
        <f>VLOOKUP(I684,'Database Grup SCC'!$B$2:$C1382,2,false)</f>
        <v>Athaya</v>
      </c>
      <c r="K684" s="50" t="str">
        <f>VLOOKUP(D684,'Data Siswa Mentah 32 Kelas X'!$C$8:$E1382,3,false)</f>
        <v>X-9</v>
      </c>
      <c r="L684" s="50" t="s">
        <v>7121</v>
      </c>
      <c r="M684" s="50"/>
      <c r="N684" s="33" t="s">
        <v>6826</v>
      </c>
      <c r="O684" s="34"/>
      <c r="P684" s="34"/>
      <c r="Q684" s="24" t="str">
        <f t="shared" si="3"/>
        <v>https://docs.google.com/forms/d/e/1FAIpQLSeZ-R1GrWlAPkfaThGqxeTj0QTtrARw4rroxIIepf2kipn1nw/formResponse?usp=pp_url&amp;entry.1313582257=0094414485&amp;entry.1578404635=Hadir</v>
      </c>
      <c r="R684" s="23" t="s">
        <v>7168</v>
      </c>
      <c r="S684" s="39"/>
      <c r="T684" s="39"/>
      <c r="U684" s="39"/>
      <c r="V684" s="39"/>
    </row>
    <row r="685" ht="22.5" customHeight="1">
      <c r="A685" s="12">
        <v>220.0</v>
      </c>
      <c r="B685" s="32">
        <v>25.0</v>
      </c>
      <c r="C685" s="55" t="s">
        <v>7169</v>
      </c>
      <c r="D685" s="56">
        <v>2.42510318E8</v>
      </c>
      <c r="E685" s="32" t="s">
        <v>3869</v>
      </c>
      <c r="F685" s="32" t="s">
        <v>227</v>
      </c>
      <c r="G685" s="12">
        <v>32.0</v>
      </c>
      <c r="H685" s="48" t="str">
        <f t="shared" si="4"/>
        <v>  XI C</v>
      </c>
      <c r="I685" s="28" t="str">
        <f t="shared" si="2"/>
        <v>32 - GC X-11</v>
      </c>
      <c r="J685" s="20" t="str">
        <f>VLOOKUP(I685,'Database Grup SCC'!$B$2:$C1382,2,false)</f>
        <v>Kia (XII)</v>
      </c>
      <c r="K685" s="50" t="str">
        <f>VLOOKUP(D685,'Data Siswa Mentah 32 Kelas X'!$C$8:$E1382,3,false)</f>
        <v>X-11</v>
      </c>
      <c r="L685" s="50" t="s">
        <v>7121</v>
      </c>
      <c r="M685" s="50"/>
      <c r="N685" s="33" t="s">
        <v>6883</v>
      </c>
      <c r="O685" s="34"/>
      <c r="P685" s="34"/>
      <c r="Q685" s="24" t="str">
        <f t="shared" si="3"/>
        <v>https://docs.google.com/forms/d/e/1FAIpQLSeZ-R1GrWlAPkfaThGqxeTj0QTtrARw4rroxIIepf2kipn1nw/formResponse?usp=pp_url&amp;entry.1313582257=0095501589&amp;entry.1578404635=Hadir</v>
      </c>
      <c r="R685" s="23" t="s">
        <v>7170</v>
      </c>
      <c r="S685" s="39"/>
      <c r="T685" s="39"/>
      <c r="U685" s="39"/>
      <c r="V685" s="39"/>
    </row>
    <row r="686" ht="22.5" customHeight="1">
      <c r="A686" s="12">
        <v>221.0</v>
      </c>
      <c r="B686" s="32">
        <v>26.0</v>
      </c>
      <c r="C686" s="55" t="s">
        <v>7171</v>
      </c>
      <c r="D686" s="56">
        <v>2.42510319E8</v>
      </c>
      <c r="E686" s="32" t="s">
        <v>3874</v>
      </c>
      <c r="F686" s="32" t="s">
        <v>227</v>
      </c>
      <c r="G686" s="12">
        <v>32.0</v>
      </c>
      <c r="H686" s="48" t="str">
        <f t="shared" si="4"/>
        <v>  XI C</v>
      </c>
      <c r="I686" s="28" t="str">
        <f t="shared" si="2"/>
        <v>32 - GC X-8</v>
      </c>
      <c r="J686" s="20" t="str">
        <f>VLOOKUP(I686,'Database Grup SCC'!$B$2:$C1382,2,false)</f>
        <v>Amel (XII)</v>
      </c>
      <c r="K686" s="50" t="str">
        <f>VLOOKUP(D686,'Data Siswa Mentah 32 Kelas X'!$C$8:$E1382,3,false)</f>
        <v>X-8</v>
      </c>
      <c r="L686" s="50" t="s">
        <v>7121</v>
      </c>
      <c r="M686" s="50"/>
      <c r="N686" s="33" t="s">
        <v>6858</v>
      </c>
      <c r="O686" s="34"/>
      <c r="P686" s="34"/>
      <c r="Q686" s="24" t="str">
        <f t="shared" si="3"/>
        <v>https://docs.google.com/forms/d/e/1FAIpQLSeZ-R1GrWlAPkfaThGqxeTj0QTtrARw4rroxIIepf2kipn1nw/formResponse?usp=pp_url&amp;entry.1313582257=0093298242&amp;entry.1578404635=Hadir</v>
      </c>
      <c r="R686" s="23" t="s">
        <v>7172</v>
      </c>
      <c r="S686" s="39"/>
      <c r="T686" s="39"/>
      <c r="U686" s="39"/>
      <c r="V686" s="39"/>
    </row>
    <row r="687" ht="22.5" customHeight="1">
      <c r="A687" s="12">
        <v>222.0</v>
      </c>
      <c r="B687" s="32">
        <v>27.0</v>
      </c>
      <c r="C687" s="55" t="s">
        <v>7173</v>
      </c>
      <c r="D687" s="56">
        <v>2.4251032E8</v>
      </c>
      <c r="E687" s="32" t="s">
        <v>3879</v>
      </c>
      <c r="F687" s="32" t="s">
        <v>227</v>
      </c>
      <c r="G687" s="12">
        <v>32.0</v>
      </c>
      <c r="H687" s="48" t="str">
        <f t="shared" si="4"/>
        <v>  XI C</v>
      </c>
      <c r="I687" s="28" t="str">
        <f t="shared" si="2"/>
        <v>32 - GC X-8</v>
      </c>
      <c r="J687" s="20" t="str">
        <f>VLOOKUP(I687,'Database Grup SCC'!$B$2:$C1382,2,false)</f>
        <v>Amel (XII)</v>
      </c>
      <c r="K687" s="50" t="str">
        <f>VLOOKUP(D687,'Data Siswa Mentah 32 Kelas X'!$C$8:$E1382,3,false)</f>
        <v>X-8</v>
      </c>
      <c r="L687" s="50" t="s">
        <v>7121</v>
      </c>
      <c r="M687" s="50"/>
      <c r="N687" s="33" t="s">
        <v>6858</v>
      </c>
      <c r="O687" s="34"/>
      <c r="P687" s="34"/>
      <c r="Q687" s="24" t="str">
        <f t="shared" si="3"/>
        <v>https://docs.google.com/forms/d/e/1FAIpQLSeZ-R1GrWlAPkfaThGqxeTj0QTtrARw4rroxIIepf2kipn1nw/formResponse?usp=pp_url&amp;entry.1313582257=0093266742&amp;entry.1578404635=Hadir</v>
      </c>
      <c r="R687" s="23" t="s">
        <v>7174</v>
      </c>
      <c r="S687" s="39"/>
      <c r="T687" s="39"/>
      <c r="U687" s="39"/>
      <c r="V687" s="39"/>
    </row>
    <row r="688" ht="22.5" customHeight="1">
      <c r="A688" s="12">
        <v>223.0</v>
      </c>
      <c r="B688" s="32">
        <v>28.0</v>
      </c>
      <c r="C688" s="55" t="s">
        <v>7175</v>
      </c>
      <c r="D688" s="56">
        <v>2.42510345E8</v>
      </c>
      <c r="E688" s="32" t="s">
        <v>3885</v>
      </c>
      <c r="F688" s="32" t="s">
        <v>227</v>
      </c>
      <c r="G688" s="12">
        <v>32.0</v>
      </c>
      <c r="H688" s="48" t="str">
        <f t="shared" si="4"/>
        <v>  XI C</v>
      </c>
      <c r="I688" s="28" t="str">
        <f t="shared" si="2"/>
        <v>32 - GC X-7</v>
      </c>
      <c r="J688" s="20" t="str">
        <f>VLOOKUP(I688,'Database Grup SCC'!$B$2:$C1382,2,false)</f>
        <v>Najmi (XII)</v>
      </c>
      <c r="K688" s="50" t="str">
        <f>VLOOKUP(D688,'Data Siswa Mentah 32 Kelas X'!$C$8:$E1382,3,false)</f>
        <v>X-7</v>
      </c>
      <c r="L688" s="50" t="s">
        <v>7121</v>
      </c>
      <c r="M688" s="50"/>
      <c r="N688" s="33" t="s">
        <v>6842</v>
      </c>
      <c r="O688" s="34"/>
      <c r="P688" s="34"/>
      <c r="Q688" s="24" t="str">
        <f t="shared" si="3"/>
        <v>https://docs.google.com/forms/d/e/1FAIpQLSeZ-R1GrWlAPkfaThGqxeTj0QTtrARw4rroxIIepf2kipn1nw/formResponse?usp=pp_url&amp;entry.1313582257=0092205557&amp;entry.1578404635=Hadir</v>
      </c>
      <c r="R688" s="23" t="s">
        <v>7176</v>
      </c>
      <c r="S688" s="39"/>
      <c r="T688" s="39"/>
      <c r="U688" s="39"/>
      <c r="V688" s="39"/>
    </row>
    <row r="689" ht="22.5" customHeight="1">
      <c r="A689" s="12">
        <v>224.0</v>
      </c>
      <c r="B689" s="32">
        <v>29.0</v>
      </c>
      <c r="C689" s="55" t="s">
        <v>7177</v>
      </c>
      <c r="D689" s="56">
        <v>2.42510356E8</v>
      </c>
      <c r="E689" s="32" t="s">
        <v>3891</v>
      </c>
      <c r="F689" s="32" t="s">
        <v>220</v>
      </c>
      <c r="G689" s="12">
        <v>32.0</v>
      </c>
      <c r="H689" s="48" t="str">
        <f t="shared" si="4"/>
        <v>  XI C</v>
      </c>
      <c r="I689" s="28" t="str">
        <f t="shared" si="2"/>
        <v>33 - BC X-7</v>
      </c>
      <c r="J689" s="20" t="str">
        <f>VLOOKUP(I689,'Database Grup SCC'!$B$2:$C1382,2,false)</f>
        <v>Rizza Al-Farisi</v>
      </c>
      <c r="K689" s="50" t="str">
        <f>VLOOKUP(D689,'Data Siswa Mentah 32 Kelas X'!$C$8:$E1382,3,false)</f>
        <v>X-7</v>
      </c>
      <c r="L689" s="50" t="s">
        <v>7121</v>
      </c>
      <c r="M689" s="50"/>
      <c r="N689" s="33" t="s">
        <v>6005</v>
      </c>
      <c r="O689" s="34"/>
      <c r="P689" s="34"/>
      <c r="Q689" s="24" t="str">
        <f t="shared" si="3"/>
        <v>https://docs.google.com/forms/d/e/1FAIpQLSeZ-R1GrWlAPkfaThGqxeTj0QTtrARw4rroxIIepf2kipn1nw/formResponse?usp=pp_url&amp;entry.1313582257=0073027831&amp;entry.1578404635=Hadir</v>
      </c>
      <c r="R689" s="23" t="s">
        <v>7178</v>
      </c>
      <c r="S689" s="39"/>
      <c r="T689" s="39"/>
      <c r="U689" s="39"/>
      <c r="V689" s="39"/>
    </row>
    <row r="690" ht="22.5" customHeight="1">
      <c r="A690" s="12">
        <v>225.0</v>
      </c>
      <c r="B690" s="32">
        <v>30.0</v>
      </c>
      <c r="C690" s="55" t="s">
        <v>7179</v>
      </c>
      <c r="D690" s="56">
        <v>2.42510363E8</v>
      </c>
      <c r="E690" s="32" t="s">
        <v>3896</v>
      </c>
      <c r="F690" s="32" t="s">
        <v>227</v>
      </c>
      <c r="G690" s="12">
        <v>32.0</v>
      </c>
      <c r="H690" s="48" t="str">
        <f t="shared" si="4"/>
        <v>  XI C</v>
      </c>
      <c r="I690" s="28" t="str">
        <f t="shared" si="2"/>
        <v>32 - GC X-9</v>
      </c>
      <c r="J690" s="20" t="str">
        <f>VLOOKUP(I690,'Database Grup SCC'!$B$2:$C1382,2,false)</f>
        <v>Athaya</v>
      </c>
      <c r="K690" s="50" t="str">
        <f>VLOOKUP(D690,'Data Siswa Mentah 32 Kelas X'!$C$8:$E1382,3,false)</f>
        <v>X-9</v>
      </c>
      <c r="L690" s="50" t="s">
        <v>7121</v>
      </c>
      <c r="M690" s="50"/>
      <c r="N690" s="33" t="s">
        <v>6826</v>
      </c>
      <c r="O690" s="34"/>
      <c r="P690" s="34"/>
      <c r="Q690" s="24" t="str">
        <f t="shared" si="3"/>
        <v>https://docs.google.com/forms/d/e/1FAIpQLSeZ-R1GrWlAPkfaThGqxeTj0QTtrARw4rroxIIepf2kipn1nw/formResponse?usp=pp_url&amp;entry.1313582257=0091228007&amp;entry.1578404635=Hadir</v>
      </c>
      <c r="R690" s="23" t="s">
        <v>7180</v>
      </c>
      <c r="S690" s="39"/>
      <c r="T690" s="39"/>
      <c r="U690" s="39"/>
      <c r="V690" s="39"/>
    </row>
    <row r="691" ht="22.5" customHeight="1">
      <c r="A691" s="12">
        <v>226.0</v>
      </c>
      <c r="B691" s="32">
        <v>31.0</v>
      </c>
      <c r="C691" s="55" t="s">
        <v>7181</v>
      </c>
      <c r="D691" s="56">
        <v>2.42510367E8</v>
      </c>
      <c r="E691" s="32" t="s">
        <v>3902</v>
      </c>
      <c r="F691" s="32" t="s">
        <v>227</v>
      </c>
      <c r="G691" s="12">
        <v>32.0</v>
      </c>
      <c r="H691" s="48" t="str">
        <f t="shared" si="4"/>
        <v>  XI C</v>
      </c>
      <c r="I691" s="28" t="str">
        <f t="shared" si="2"/>
        <v>32 - GC X-11</v>
      </c>
      <c r="J691" s="20" t="str">
        <f>VLOOKUP(I691,'Database Grup SCC'!$B$2:$C1382,2,false)</f>
        <v>Kia (XII)</v>
      </c>
      <c r="K691" s="50" t="str">
        <f>VLOOKUP(D691,'Data Siswa Mentah 32 Kelas X'!$C$8:$E1382,3,false)</f>
        <v>X-11</v>
      </c>
      <c r="L691" s="50" t="s">
        <v>7121</v>
      </c>
      <c r="M691" s="50"/>
      <c r="N691" s="33" t="s">
        <v>6883</v>
      </c>
      <c r="O691" s="34"/>
      <c r="P691" s="34"/>
      <c r="Q691" s="24" t="str">
        <f t="shared" si="3"/>
        <v>https://docs.google.com/forms/d/e/1FAIpQLSeZ-R1GrWlAPkfaThGqxeTj0QTtrARw4rroxIIepf2kipn1nw/formResponse?usp=pp_url&amp;entry.1313582257=0089954401&amp;entry.1578404635=Hadir</v>
      </c>
      <c r="R691" s="23" t="s">
        <v>7182</v>
      </c>
      <c r="S691" s="39"/>
      <c r="T691" s="39"/>
      <c r="U691" s="39"/>
      <c r="V691" s="39"/>
    </row>
    <row r="692" ht="22.5" customHeight="1">
      <c r="A692" s="12">
        <v>227.0</v>
      </c>
      <c r="B692" s="32">
        <v>32.0</v>
      </c>
      <c r="C692" s="55" t="s">
        <v>7183</v>
      </c>
      <c r="D692" s="56">
        <v>2.42510372E8</v>
      </c>
      <c r="E692" s="32" t="s">
        <v>3907</v>
      </c>
      <c r="F692" s="32" t="s">
        <v>227</v>
      </c>
      <c r="G692" s="12">
        <v>32.0</v>
      </c>
      <c r="H692" s="48" t="str">
        <f t="shared" si="4"/>
        <v>  XI C</v>
      </c>
      <c r="I692" s="28" t="str">
        <f t="shared" si="2"/>
        <v>32 - GC X-7</v>
      </c>
      <c r="J692" s="20" t="str">
        <f>VLOOKUP(I692,'Database Grup SCC'!$B$2:$C1382,2,false)</f>
        <v>Najmi (XII)</v>
      </c>
      <c r="K692" s="50" t="str">
        <f>VLOOKUP(D692,'Data Siswa Mentah 32 Kelas X'!$C$8:$E1382,3,false)</f>
        <v>X-7</v>
      </c>
      <c r="L692" s="50" t="s">
        <v>7121</v>
      </c>
      <c r="M692" s="50"/>
      <c r="N692" s="33" t="s">
        <v>6842</v>
      </c>
      <c r="O692" s="34"/>
      <c r="P692" s="34"/>
      <c r="Q692" s="24" t="str">
        <f t="shared" si="3"/>
        <v>https://docs.google.com/forms/d/e/1FAIpQLSeZ-R1GrWlAPkfaThGqxeTj0QTtrARw4rroxIIepf2kipn1nw/formResponse?usp=pp_url&amp;entry.1313582257=0089191714&amp;entry.1578404635=Hadir</v>
      </c>
      <c r="R692" s="23" t="s">
        <v>7184</v>
      </c>
      <c r="S692" s="39"/>
      <c r="T692" s="39"/>
      <c r="U692" s="39"/>
      <c r="V692" s="39"/>
    </row>
    <row r="693" ht="22.5" customHeight="1">
      <c r="A693" s="12">
        <v>228.0</v>
      </c>
      <c r="B693" s="32">
        <v>33.0</v>
      </c>
      <c r="C693" s="55" t="s">
        <v>7185</v>
      </c>
      <c r="D693" s="56">
        <v>2.4251038E8</v>
      </c>
      <c r="E693" s="32" t="s">
        <v>3912</v>
      </c>
      <c r="F693" s="32" t="s">
        <v>227</v>
      </c>
      <c r="G693" s="12">
        <v>32.0</v>
      </c>
      <c r="H693" s="48" t="str">
        <f t="shared" si="4"/>
        <v>  XI C</v>
      </c>
      <c r="I693" s="28" t="str">
        <f t="shared" si="2"/>
        <v>32 - GC X-12</v>
      </c>
      <c r="J693" s="20" t="str">
        <f>VLOOKUP(I693,'Database Grup SCC'!$B$2:$C1382,2,false)</f>
        <v>Farisa (XII)</v>
      </c>
      <c r="K693" s="50" t="str">
        <f>VLOOKUP(D693,'Data Siswa Mentah 32 Kelas X'!$C$8:$E1382,3,false)</f>
        <v>X-12</v>
      </c>
      <c r="L693" s="50" t="s">
        <v>7121</v>
      </c>
      <c r="M693" s="50"/>
      <c r="N693" s="33" t="s">
        <v>6845</v>
      </c>
      <c r="O693" s="34"/>
      <c r="P693" s="34"/>
      <c r="Q693" s="24" t="str">
        <f t="shared" si="3"/>
        <v>https://docs.google.com/forms/d/e/1FAIpQLSeZ-R1GrWlAPkfaThGqxeTj0QTtrARw4rroxIIepf2kipn1nw/formResponse?usp=pp_url&amp;entry.1313582257=0095117423&amp;entry.1578404635=Hadir</v>
      </c>
      <c r="R693" s="23" t="s">
        <v>7186</v>
      </c>
      <c r="S693" s="39"/>
      <c r="T693" s="39"/>
      <c r="U693" s="39"/>
      <c r="V693" s="39"/>
    </row>
    <row r="694" ht="22.5" customHeight="1">
      <c r="A694" s="12">
        <v>229.0</v>
      </c>
      <c r="B694" s="32">
        <v>34.0</v>
      </c>
      <c r="C694" s="55" t="s">
        <v>7187</v>
      </c>
      <c r="D694" s="56">
        <v>2.42510391E8</v>
      </c>
      <c r="E694" s="32" t="s">
        <v>3917</v>
      </c>
      <c r="F694" s="32" t="s">
        <v>227</v>
      </c>
      <c r="G694" s="12">
        <v>32.0</v>
      </c>
      <c r="H694" s="48" t="str">
        <f t="shared" si="4"/>
        <v>  XI C</v>
      </c>
      <c r="I694" s="28" t="str">
        <f t="shared" si="2"/>
        <v>32 - GC X-10</v>
      </c>
      <c r="J694" s="20" t="str">
        <f>VLOOKUP(I694,'Database Grup SCC'!$B$2:$C1382,2,false)</f>
        <v>Athaya</v>
      </c>
      <c r="K694" s="50" t="str">
        <f>VLOOKUP(D694,'Data Siswa Mentah 32 Kelas X'!$C$8:$E1382,3,false)</f>
        <v>X-10</v>
      </c>
      <c r="L694" s="50" t="s">
        <v>7121</v>
      </c>
      <c r="M694" s="50"/>
      <c r="N694" s="33" t="s">
        <v>6865</v>
      </c>
      <c r="O694" s="34"/>
      <c r="P694" s="34"/>
      <c r="Q694" s="24" t="str">
        <f t="shared" si="3"/>
        <v>https://docs.google.com/forms/d/e/1FAIpQLSeZ-R1GrWlAPkfaThGqxeTj0QTtrARw4rroxIIepf2kipn1nw/formResponse?usp=pp_url&amp;entry.1313582257=0088535031&amp;entry.1578404635=Hadir</v>
      </c>
      <c r="R694" s="23" t="s">
        <v>7188</v>
      </c>
      <c r="S694" s="39"/>
      <c r="T694" s="39"/>
      <c r="U694" s="39"/>
      <c r="V694" s="39"/>
    </row>
    <row r="695" ht="22.5" customHeight="1">
      <c r="A695" s="12">
        <v>230.0</v>
      </c>
      <c r="B695" s="32">
        <v>35.0</v>
      </c>
      <c r="C695" s="55" t="s">
        <v>7189</v>
      </c>
      <c r="D695" s="56">
        <v>2.42510399E8</v>
      </c>
      <c r="E695" s="32" t="s">
        <v>3922</v>
      </c>
      <c r="F695" s="32" t="s">
        <v>220</v>
      </c>
      <c r="G695" s="12">
        <v>32.0</v>
      </c>
      <c r="H695" s="48" t="str">
        <f t="shared" si="4"/>
        <v>  XI C</v>
      </c>
      <c r="I695" s="28" t="str">
        <f t="shared" si="2"/>
        <v>33 - BC X-9</v>
      </c>
      <c r="J695" s="20" t="str">
        <f>VLOOKUP(I695,'Database Grup SCC'!$B$2:$C1382,2,false)</f>
        <v>Veril (XII)</v>
      </c>
      <c r="K695" s="50" t="str">
        <f>VLOOKUP(D695,'Data Siswa Mentah 32 Kelas X'!$C$8:$E1382,3,false)</f>
        <v>X-9</v>
      </c>
      <c r="L695" s="50" t="s">
        <v>7121</v>
      </c>
      <c r="M695" s="50"/>
      <c r="N695" s="33" t="s">
        <v>6296</v>
      </c>
      <c r="O695" s="34"/>
      <c r="P695" s="34"/>
      <c r="Q695" s="24" t="str">
        <f t="shared" si="3"/>
        <v>https://docs.google.com/forms/d/e/1FAIpQLSeZ-R1GrWlAPkfaThGqxeTj0QTtrARw4rroxIIepf2kipn1nw/formResponse?usp=pp_url&amp;entry.1313582257=0087500688&amp;entry.1578404635=Hadir</v>
      </c>
      <c r="R695" s="23" t="s">
        <v>7190</v>
      </c>
      <c r="S695" s="39"/>
      <c r="T695" s="39"/>
      <c r="U695" s="39"/>
      <c r="V695" s="39"/>
    </row>
    <row r="696" ht="22.5" customHeight="1">
      <c r="A696" s="12">
        <v>231.0</v>
      </c>
      <c r="B696" s="32">
        <v>36.0</v>
      </c>
      <c r="C696" s="55" t="s">
        <v>7191</v>
      </c>
      <c r="D696" s="56">
        <v>2.4251041E8</v>
      </c>
      <c r="E696" s="32" t="s">
        <v>3927</v>
      </c>
      <c r="F696" s="32" t="s">
        <v>227</v>
      </c>
      <c r="G696" s="12">
        <v>32.0</v>
      </c>
      <c r="H696" s="48" t="str">
        <f t="shared" si="4"/>
        <v>  XI C</v>
      </c>
      <c r="I696" s="28" t="str">
        <f t="shared" si="2"/>
        <v>32 - GC X-10</v>
      </c>
      <c r="J696" s="20" t="str">
        <f>VLOOKUP(I696,'Database Grup SCC'!$B$2:$C1382,2,false)</f>
        <v>Athaya</v>
      </c>
      <c r="K696" s="50" t="str">
        <f>VLOOKUP(D696,'Data Siswa Mentah 32 Kelas X'!$C$8:$E1382,3,false)</f>
        <v>X-10</v>
      </c>
      <c r="L696" s="50" t="s">
        <v>7121</v>
      </c>
      <c r="M696" s="50"/>
      <c r="N696" s="33" t="s">
        <v>6865</v>
      </c>
      <c r="O696" s="34"/>
      <c r="P696" s="34"/>
      <c r="Q696" s="24" t="str">
        <f t="shared" si="3"/>
        <v>https://docs.google.com/forms/d/e/1FAIpQLSeZ-R1GrWlAPkfaThGqxeTj0QTtrARw4rroxIIepf2kipn1nw/formResponse?usp=pp_url&amp;entry.1313582257=0092434039&amp;entry.1578404635=Hadir</v>
      </c>
      <c r="R696" s="23" t="s">
        <v>7192</v>
      </c>
      <c r="S696" s="39"/>
      <c r="T696" s="39"/>
      <c r="U696" s="39"/>
      <c r="V696" s="39"/>
    </row>
    <row r="697" ht="22.5" customHeight="1">
      <c r="A697" s="12">
        <v>243.0</v>
      </c>
      <c r="B697" s="32">
        <v>1.0</v>
      </c>
      <c r="C697" s="55" t="s">
        <v>7193</v>
      </c>
      <c r="D697" s="56">
        <v>2.42510048E8</v>
      </c>
      <c r="E697" s="32" t="s">
        <v>3933</v>
      </c>
      <c r="F697" s="32" t="s">
        <v>227</v>
      </c>
      <c r="G697" s="12">
        <v>32.0</v>
      </c>
      <c r="H697" s="48" t="str">
        <f t="shared" si="4"/>
        <v>  XI D-1</v>
      </c>
      <c r="I697" s="28" t="str">
        <f t="shared" si="2"/>
        <v>32 - GC X-4</v>
      </c>
      <c r="J697" s="20" t="str">
        <f>VLOOKUP(I697,'Database Grup SCC'!$B$2:$C1382,2,false)</f>
        <v>Nadira</v>
      </c>
      <c r="K697" s="50" t="str">
        <f>VLOOKUP(D697,'Data Siswa Mentah 32 Kelas X'!$C$8:$E1382,3,false)</f>
        <v>X-4</v>
      </c>
      <c r="L697" s="50" t="s">
        <v>7194</v>
      </c>
      <c r="M697" s="50"/>
      <c r="N697" s="33" t="s">
        <v>6853</v>
      </c>
      <c r="O697" s="34"/>
      <c r="P697" s="34"/>
      <c r="Q697" s="24" t="str">
        <f t="shared" si="3"/>
        <v>https://docs.google.com/forms/d/e/1FAIpQLSeZ-R1GrWlAPkfaThGqxeTj0QTtrARw4rroxIIepf2kipn1nw/formResponse?usp=pp_url&amp;entry.1313582257=0098762657&amp;entry.1578404635=Hadir</v>
      </c>
      <c r="R697" s="23" t="s">
        <v>7195</v>
      </c>
      <c r="S697" s="39"/>
      <c r="T697" s="39"/>
      <c r="U697" s="39"/>
      <c r="V697" s="39"/>
    </row>
    <row r="698" ht="22.5" customHeight="1">
      <c r="A698" s="12">
        <v>244.0</v>
      </c>
      <c r="B698" s="32">
        <v>2.0</v>
      </c>
      <c r="C698" s="55" t="s">
        <v>7196</v>
      </c>
      <c r="D698" s="56">
        <v>2.42510055E8</v>
      </c>
      <c r="E698" s="32" t="s">
        <v>3939</v>
      </c>
      <c r="F698" s="32" t="s">
        <v>227</v>
      </c>
      <c r="G698" s="12">
        <v>32.0</v>
      </c>
      <c r="H698" s="48" t="str">
        <f t="shared" si="4"/>
        <v>  XI D-1</v>
      </c>
      <c r="I698" s="28" t="str">
        <f t="shared" si="2"/>
        <v>32 - GC X-5</v>
      </c>
      <c r="J698" s="20" t="str">
        <f>VLOOKUP(I698,'Database Grup SCC'!$B$2:$C1382,2,false)</f>
        <v>Amel</v>
      </c>
      <c r="K698" s="50" t="str">
        <f>VLOOKUP(D698,'Data Siswa Mentah 32 Kelas X'!$C$8:$E1382,3,false)</f>
        <v>X-5</v>
      </c>
      <c r="L698" s="50" t="s">
        <v>7194</v>
      </c>
      <c r="M698" s="50"/>
      <c r="N698" s="33" t="s">
        <v>6872</v>
      </c>
      <c r="O698" s="34"/>
      <c r="P698" s="34"/>
      <c r="Q698" s="24" t="str">
        <f t="shared" si="3"/>
        <v>https://docs.google.com/forms/d/e/1FAIpQLSeZ-R1GrWlAPkfaThGqxeTj0QTtrARw4rroxIIepf2kipn1nw/formResponse?usp=pp_url&amp;entry.1313582257=0089202112&amp;entry.1578404635=Hadir</v>
      </c>
      <c r="R698" s="23" t="s">
        <v>7197</v>
      </c>
      <c r="S698" s="39"/>
      <c r="T698" s="39"/>
      <c r="U698" s="39"/>
      <c r="V698" s="39"/>
    </row>
    <row r="699" ht="22.5" customHeight="1">
      <c r="A699" s="12">
        <v>245.0</v>
      </c>
      <c r="B699" s="32">
        <v>3.0</v>
      </c>
      <c r="C699" s="55" t="s">
        <v>7198</v>
      </c>
      <c r="D699" s="56">
        <v>2.42510056E8</v>
      </c>
      <c r="E699" s="32" t="s">
        <v>3944</v>
      </c>
      <c r="F699" s="32" t="s">
        <v>227</v>
      </c>
      <c r="G699" s="12">
        <v>32.0</v>
      </c>
      <c r="H699" s="48" t="str">
        <f t="shared" si="4"/>
        <v>  XI D-1</v>
      </c>
      <c r="I699" s="28" t="str">
        <f t="shared" si="2"/>
        <v>32 - GC X-10</v>
      </c>
      <c r="J699" s="20" t="str">
        <f>VLOOKUP(I699,'Database Grup SCC'!$B$2:$C1382,2,false)</f>
        <v>Athaya</v>
      </c>
      <c r="K699" s="50" t="str">
        <f>VLOOKUP(D699,'Data Siswa Mentah 32 Kelas X'!$C$8:$E1382,3,false)</f>
        <v>X-10</v>
      </c>
      <c r="L699" s="50" t="s">
        <v>7194</v>
      </c>
      <c r="M699" s="50"/>
      <c r="N699" s="33" t="s">
        <v>6865</v>
      </c>
      <c r="O699" s="34"/>
      <c r="P699" s="34"/>
      <c r="Q699" s="24" t="str">
        <f t="shared" si="3"/>
        <v>https://docs.google.com/forms/d/e/1FAIpQLSeZ-R1GrWlAPkfaThGqxeTj0QTtrARw4rroxIIepf2kipn1nw/formResponse?usp=pp_url&amp;entry.1313582257=0088260272&amp;entry.1578404635=Hadir</v>
      </c>
      <c r="R699" s="23" t="s">
        <v>7199</v>
      </c>
      <c r="S699" s="39"/>
      <c r="T699" s="39"/>
      <c r="U699" s="39"/>
      <c r="V699" s="39"/>
    </row>
    <row r="700" ht="22.5" customHeight="1">
      <c r="A700" s="12">
        <v>246.0</v>
      </c>
      <c r="B700" s="32">
        <v>4.0</v>
      </c>
      <c r="C700" s="55" t="s">
        <v>7200</v>
      </c>
      <c r="D700" s="56">
        <v>2.42510058E8</v>
      </c>
      <c r="E700" s="32" t="s">
        <v>3949</v>
      </c>
      <c r="F700" s="32" t="s">
        <v>220</v>
      </c>
      <c r="G700" s="12">
        <v>32.0</v>
      </c>
      <c r="H700" s="48" t="str">
        <f t="shared" si="4"/>
        <v>  XI D-1</v>
      </c>
      <c r="I700" s="28" t="str">
        <f t="shared" si="2"/>
        <v>32 - BC X-12</v>
      </c>
      <c r="J700" s="20" t="str">
        <f>VLOOKUP(I700,'Database Grup SCC'!$B$2:$C1382,2,false)</f>
        <v>Syafiq</v>
      </c>
      <c r="K700" s="50" t="str">
        <f>VLOOKUP(D700,'Data Siswa Mentah 32 Kelas X'!$C$8:$E1382,3,false)</f>
        <v>X-12</v>
      </c>
      <c r="L700" s="50" t="s">
        <v>7194</v>
      </c>
      <c r="M700" s="50"/>
      <c r="N700" s="33" t="s">
        <v>6951</v>
      </c>
      <c r="O700" s="34"/>
      <c r="P700" s="34"/>
      <c r="Q700" s="24" t="str">
        <f t="shared" si="3"/>
        <v>https://docs.google.com/forms/d/e/1FAIpQLSeZ-R1GrWlAPkfaThGqxeTj0QTtrARw4rroxIIepf2kipn1nw/formResponse?usp=pp_url&amp;entry.1313582257=0097111779&amp;entry.1578404635=Hadir</v>
      </c>
      <c r="R700" s="23" t="s">
        <v>7201</v>
      </c>
      <c r="S700" s="39"/>
      <c r="T700" s="39"/>
      <c r="U700" s="39"/>
      <c r="V700" s="39"/>
    </row>
    <row r="701" ht="22.5" customHeight="1">
      <c r="A701" s="12">
        <v>247.0</v>
      </c>
      <c r="B701" s="32">
        <v>5.0</v>
      </c>
      <c r="C701" s="55" t="s">
        <v>7202</v>
      </c>
      <c r="D701" s="56">
        <v>2.42510066E8</v>
      </c>
      <c r="E701" s="32" t="s">
        <v>3954</v>
      </c>
      <c r="F701" s="32" t="s">
        <v>227</v>
      </c>
      <c r="G701" s="12">
        <v>32.0</v>
      </c>
      <c r="H701" s="48" t="str">
        <f t="shared" si="4"/>
        <v>  XI D-1</v>
      </c>
      <c r="I701" s="28" t="str">
        <f t="shared" si="2"/>
        <v>32 - GC X-2</v>
      </c>
      <c r="J701" s="20" t="str">
        <f>VLOOKUP(I701,'Database Grup SCC'!$B$2:$C1382,2,false)</f>
        <v>Iga</v>
      </c>
      <c r="K701" s="50" t="str">
        <f>VLOOKUP(D701,'Data Siswa Mentah 32 Kelas X'!$C$8:$E1382,3,false)</f>
        <v>X-2</v>
      </c>
      <c r="L701" s="50" t="s">
        <v>7194</v>
      </c>
      <c r="M701" s="50"/>
      <c r="N701" s="33" t="s">
        <v>6921</v>
      </c>
      <c r="O701" s="34"/>
      <c r="P701" s="34"/>
      <c r="Q701" s="24" t="str">
        <f t="shared" si="3"/>
        <v>https://docs.google.com/forms/d/e/1FAIpQLSeZ-R1GrWlAPkfaThGqxeTj0QTtrARw4rroxIIepf2kipn1nw/formResponse?usp=pp_url&amp;entry.1313582257=0093831279&amp;entry.1578404635=Hadir</v>
      </c>
      <c r="R701" s="23" t="s">
        <v>7203</v>
      </c>
      <c r="S701" s="39"/>
      <c r="T701" s="39"/>
      <c r="U701" s="39"/>
      <c r="V701" s="39"/>
    </row>
    <row r="702" ht="22.5" customHeight="1">
      <c r="A702" s="12">
        <v>248.0</v>
      </c>
      <c r="B702" s="32">
        <v>6.0</v>
      </c>
      <c r="C702" s="55" t="s">
        <v>7204</v>
      </c>
      <c r="D702" s="56">
        <v>2.42510072E8</v>
      </c>
      <c r="E702" s="32" t="s">
        <v>3960</v>
      </c>
      <c r="F702" s="32" t="s">
        <v>227</v>
      </c>
      <c r="G702" s="12">
        <v>32.0</v>
      </c>
      <c r="H702" s="48" t="str">
        <f t="shared" si="4"/>
        <v>  XI D-1</v>
      </c>
      <c r="I702" s="28" t="str">
        <f t="shared" si="2"/>
        <v>32 - GC X-12</v>
      </c>
      <c r="J702" s="20" t="str">
        <f>VLOOKUP(I702,'Database Grup SCC'!$B$2:$C1382,2,false)</f>
        <v>Farisa (XII)</v>
      </c>
      <c r="K702" s="50" t="str">
        <f>VLOOKUP(D702,'Data Siswa Mentah 32 Kelas X'!$C$8:$E1382,3,false)</f>
        <v>X-12</v>
      </c>
      <c r="L702" s="50" t="s">
        <v>7194</v>
      </c>
      <c r="M702" s="50"/>
      <c r="N702" s="33" t="s">
        <v>6845</v>
      </c>
      <c r="O702" s="34"/>
      <c r="P702" s="34"/>
      <c r="Q702" s="24" t="str">
        <f t="shared" si="3"/>
        <v>https://docs.google.com/forms/d/e/1FAIpQLSeZ-R1GrWlAPkfaThGqxeTj0QTtrARw4rroxIIepf2kipn1nw/formResponse?usp=pp_url&amp;entry.1313582257=0096065165&amp;entry.1578404635=Hadir</v>
      </c>
      <c r="R702" s="23" t="s">
        <v>7205</v>
      </c>
      <c r="S702" s="39"/>
      <c r="T702" s="39"/>
      <c r="U702" s="39"/>
      <c r="V702" s="39"/>
    </row>
    <row r="703" ht="22.5" customHeight="1">
      <c r="A703" s="12">
        <v>249.0</v>
      </c>
      <c r="B703" s="32">
        <v>7.0</v>
      </c>
      <c r="C703" s="55" t="s">
        <v>7206</v>
      </c>
      <c r="D703" s="56">
        <v>2.42510085E8</v>
      </c>
      <c r="E703" s="32" t="s">
        <v>3965</v>
      </c>
      <c r="F703" s="32" t="s">
        <v>227</v>
      </c>
      <c r="G703" s="12">
        <v>32.0</v>
      </c>
      <c r="H703" s="48" t="str">
        <f t="shared" si="4"/>
        <v>  XI D-1</v>
      </c>
      <c r="I703" s="28" t="str">
        <f t="shared" si="2"/>
        <v>32 - GC X-11</v>
      </c>
      <c r="J703" s="20" t="str">
        <f>VLOOKUP(I703,'Database Grup SCC'!$B$2:$C1382,2,false)</f>
        <v>Kia (XII)</v>
      </c>
      <c r="K703" s="50" t="str">
        <f>VLOOKUP(D703,'Data Siswa Mentah 32 Kelas X'!$C$8:$E1382,3,false)</f>
        <v>X-11</v>
      </c>
      <c r="L703" s="50" t="s">
        <v>7194</v>
      </c>
      <c r="M703" s="50"/>
      <c r="N703" s="33" t="s">
        <v>6883</v>
      </c>
      <c r="O703" s="34"/>
      <c r="P703" s="34"/>
      <c r="Q703" s="24" t="str">
        <f t="shared" si="3"/>
        <v>https://docs.google.com/forms/d/e/1FAIpQLSeZ-R1GrWlAPkfaThGqxeTj0QTtrARw4rroxIIepf2kipn1nw/formResponse?usp=pp_url&amp;entry.1313582257=0099851224&amp;entry.1578404635=Hadir</v>
      </c>
      <c r="R703" s="23" t="s">
        <v>7207</v>
      </c>
      <c r="S703" s="39"/>
      <c r="T703" s="39"/>
      <c r="U703" s="39"/>
      <c r="V703" s="39"/>
    </row>
    <row r="704" ht="22.5" customHeight="1">
      <c r="A704" s="12">
        <v>250.0</v>
      </c>
      <c r="B704" s="32">
        <v>8.0</v>
      </c>
      <c r="C704" s="55" t="s">
        <v>7208</v>
      </c>
      <c r="D704" s="56">
        <v>2.42510096E8</v>
      </c>
      <c r="E704" s="32" t="s">
        <v>3970</v>
      </c>
      <c r="F704" s="32" t="s">
        <v>227</v>
      </c>
      <c r="G704" s="12">
        <v>32.0</v>
      </c>
      <c r="H704" s="48" t="str">
        <f t="shared" si="4"/>
        <v>  XI D-1</v>
      </c>
      <c r="I704" s="28" t="str">
        <f t="shared" si="2"/>
        <v>32 - GC X-1</v>
      </c>
      <c r="J704" s="20" t="str">
        <f>VLOOKUP(I704,'Database Grup SCC'!$B$2:$C1382,2,false)</f>
        <v>Nia</v>
      </c>
      <c r="K704" s="50" t="str">
        <f>VLOOKUP(D704,'Data Siswa Mentah 32 Kelas X'!$C$8:$E1382,3,false)</f>
        <v>X-1</v>
      </c>
      <c r="L704" s="50" t="s">
        <v>7194</v>
      </c>
      <c r="M704" s="50"/>
      <c r="N704" s="33" t="s">
        <v>6829</v>
      </c>
      <c r="O704" s="34"/>
      <c r="P704" s="34"/>
      <c r="Q704" s="24" t="str">
        <f t="shared" si="3"/>
        <v>https://docs.google.com/forms/d/e/1FAIpQLSeZ-R1GrWlAPkfaThGqxeTj0QTtrARw4rroxIIepf2kipn1nw/formResponse?usp=pp_url&amp;entry.1313582257=0092348709&amp;entry.1578404635=Hadir</v>
      </c>
      <c r="R704" s="23" t="s">
        <v>7209</v>
      </c>
      <c r="S704" s="39"/>
      <c r="T704" s="39"/>
      <c r="U704" s="39"/>
      <c r="V704" s="39"/>
    </row>
    <row r="705" ht="22.5" customHeight="1">
      <c r="A705" s="12">
        <v>251.0</v>
      </c>
      <c r="B705" s="32">
        <v>9.0</v>
      </c>
      <c r="C705" s="55" t="s">
        <v>7210</v>
      </c>
      <c r="D705" s="56">
        <v>2.42510099E8</v>
      </c>
      <c r="E705" s="32" t="s">
        <v>3975</v>
      </c>
      <c r="F705" s="32" t="s">
        <v>227</v>
      </c>
      <c r="G705" s="12">
        <v>32.0</v>
      </c>
      <c r="H705" s="48" t="str">
        <f t="shared" si="4"/>
        <v>  XI D-1</v>
      </c>
      <c r="I705" s="28" t="str">
        <f t="shared" si="2"/>
        <v>32 - GC X-7</v>
      </c>
      <c r="J705" s="20" t="str">
        <f>VLOOKUP(I705,'Database Grup SCC'!$B$2:$C1382,2,false)</f>
        <v>Najmi (XII)</v>
      </c>
      <c r="K705" s="50" t="str">
        <f>VLOOKUP(D705,'Data Siswa Mentah 32 Kelas X'!$C$8:$E1382,3,false)</f>
        <v>X-7</v>
      </c>
      <c r="L705" s="50" t="s">
        <v>7194</v>
      </c>
      <c r="M705" s="50"/>
      <c r="N705" s="33" t="s">
        <v>6842</v>
      </c>
      <c r="O705" s="34"/>
      <c r="P705" s="34"/>
      <c r="Q705" s="24" t="str">
        <f t="shared" si="3"/>
        <v>https://docs.google.com/forms/d/e/1FAIpQLSeZ-R1GrWlAPkfaThGqxeTj0QTtrARw4rroxIIepf2kipn1nw/formResponse?usp=pp_url&amp;entry.1313582257=0099087317&amp;entry.1578404635=Hadir</v>
      </c>
      <c r="R705" s="23" t="s">
        <v>7211</v>
      </c>
      <c r="S705" s="39"/>
      <c r="T705" s="39"/>
      <c r="U705" s="39"/>
      <c r="V705" s="39"/>
    </row>
    <row r="706" ht="22.5" customHeight="1">
      <c r="A706" s="12">
        <v>252.0</v>
      </c>
      <c r="B706" s="32">
        <v>10.0</v>
      </c>
      <c r="C706" s="55" t="s">
        <v>7212</v>
      </c>
      <c r="D706" s="56">
        <v>2.42510101E8</v>
      </c>
      <c r="E706" s="32" t="s">
        <v>3980</v>
      </c>
      <c r="F706" s="32" t="s">
        <v>220</v>
      </c>
      <c r="G706" s="12">
        <v>32.0</v>
      </c>
      <c r="H706" s="48" t="str">
        <f t="shared" si="4"/>
        <v>  XI D-1</v>
      </c>
      <c r="I706" s="28" t="str">
        <f t="shared" si="2"/>
        <v>33 - BC X-3</v>
      </c>
      <c r="J706" s="20" t="str">
        <f>VLOOKUP(I706,'Database Grup SCC'!$B$2:$C1382,2,false)</f>
        <v>Angga</v>
      </c>
      <c r="K706" s="50" t="str">
        <f>VLOOKUP(D706,'Data Siswa Mentah 32 Kelas X'!$C$8:$E1382,3,false)</f>
        <v>X-3</v>
      </c>
      <c r="L706" s="50" t="s">
        <v>7194</v>
      </c>
      <c r="M706" s="50"/>
      <c r="N706" s="33" t="s">
        <v>5507</v>
      </c>
      <c r="O706" s="34"/>
      <c r="P706" s="34"/>
      <c r="Q706" s="24" t="str">
        <f t="shared" si="3"/>
        <v>https://docs.google.com/forms/d/e/1FAIpQLSeZ-R1GrWlAPkfaThGqxeTj0QTtrARw4rroxIIepf2kipn1nw/formResponse?usp=pp_url&amp;entry.1313582257=0098666843&amp;entry.1578404635=Hadir</v>
      </c>
      <c r="R706" s="23" t="s">
        <v>7213</v>
      </c>
      <c r="S706" s="39"/>
      <c r="T706" s="39"/>
      <c r="U706" s="39"/>
      <c r="V706" s="39"/>
    </row>
    <row r="707" ht="22.5" customHeight="1">
      <c r="A707" s="12">
        <v>253.0</v>
      </c>
      <c r="B707" s="32">
        <v>11.0</v>
      </c>
      <c r="C707" s="55" t="s">
        <v>7214</v>
      </c>
      <c r="D707" s="56">
        <v>2.42510112E8</v>
      </c>
      <c r="E707" s="32" t="s">
        <v>3985</v>
      </c>
      <c r="F707" s="32" t="s">
        <v>220</v>
      </c>
      <c r="G707" s="12">
        <v>32.0</v>
      </c>
      <c r="H707" s="48" t="str">
        <f t="shared" si="4"/>
        <v>  XI D-1</v>
      </c>
      <c r="I707" s="28" t="str">
        <f t="shared" si="2"/>
        <v>32 - BC X-12</v>
      </c>
      <c r="J707" s="20" t="str">
        <f>VLOOKUP(I707,'Database Grup SCC'!$B$2:$C1382,2,false)</f>
        <v>Syafiq</v>
      </c>
      <c r="K707" s="50" t="str">
        <f>VLOOKUP(D707,'Data Siswa Mentah 32 Kelas X'!$C$8:$E1382,3,false)</f>
        <v>X-12</v>
      </c>
      <c r="L707" s="50" t="s">
        <v>7194</v>
      </c>
      <c r="M707" s="50"/>
      <c r="N707" s="33" t="s">
        <v>6951</v>
      </c>
      <c r="O707" s="34"/>
      <c r="P707" s="34"/>
      <c r="Q707" s="24" t="str">
        <f t="shared" si="3"/>
        <v>https://docs.google.com/forms/d/e/1FAIpQLSeZ-R1GrWlAPkfaThGqxeTj0QTtrARw4rroxIIepf2kipn1nw/formResponse?usp=pp_url&amp;entry.1313582257=0087242368&amp;entry.1578404635=Hadir</v>
      </c>
      <c r="R707" s="23" t="s">
        <v>7215</v>
      </c>
      <c r="S707" s="39"/>
      <c r="T707" s="39"/>
      <c r="U707" s="39"/>
      <c r="V707" s="39"/>
    </row>
    <row r="708" ht="22.5" customHeight="1">
      <c r="A708" s="12">
        <v>254.0</v>
      </c>
      <c r="B708" s="32">
        <v>12.0</v>
      </c>
      <c r="C708" s="55" t="s">
        <v>7216</v>
      </c>
      <c r="D708" s="56">
        <v>2.4251013E8</v>
      </c>
      <c r="E708" s="32" t="s">
        <v>3991</v>
      </c>
      <c r="F708" s="32" t="s">
        <v>227</v>
      </c>
      <c r="G708" s="12">
        <v>32.0</v>
      </c>
      <c r="H708" s="48" t="str">
        <f t="shared" si="4"/>
        <v>  XI D-1</v>
      </c>
      <c r="I708" s="28" t="str">
        <f t="shared" si="2"/>
        <v>32 - GC X-2</v>
      </c>
      <c r="J708" s="20" t="str">
        <f>VLOOKUP(I708,'Database Grup SCC'!$B$2:$C1382,2,false)</f>
        <v>Iga</v>
      </c>
      <c r="K708" s="50" t="str">
        <f>VLOOKUP(D708,'Data Siswa Mentah 32 Kelas X'!$C$8:$E1382,3,false)</f>
        <v>X-2</v>
      </c>
      <c r="L708" s="50" t="s">
        <v>7194</v>
      </c>
      <c r="M708" s="50"/>
      <c r="N708" s="33" t="s">
        <v>6921</v>
      </c>
      <c r="O708" s="34"/>
      <c r="P708" s="34"/>
      <c r="Q708" s="24" t="str">
        <f t="shared" si="3"/>
        <v>https://docs.google.com/forms/d/e/1FAIpQLSeZ-R1GrWlAPkfaThGqxeTj0QTtrARw4rroxIIepf2kipn1nw/formResponse?usp=pp_url&amp;entry.1313582257=0087777223&amp;entry.1578404635=Hadir</v>
      </c>
      <c r="R708" s="23" t="s">
        <v>7217</v>
      </c>
      <c r="S708" s="39"/>
      <c r="T708" s="39"/>
      <c r="U708" s="39"/>
      <c r="V708" s="39"/>
    </row>
    <row r="709" ht="22.5" customHeight="1">
      <c r="A709" s="12">
        <v>255.0</v>
      </c>
      <c r="B709" s="32">
        <v>13.0</v>
      </c>
      <c r="C709" s="55" t="s">
        <v>7218</v>
      </c>
      <c r="D709" s="56">
        <v>2.42510148E8</v>
      </c>
      <c r="E709" s="32" t="s">
        <v>3996</v>
      </c>
      <c r="F709" s="32" t="s">
        <v>220</v>
      </c>
      <c r="G709" s="12">
        <v>32.0</v>
      </c>
      <c r="H709" s="48" t="str">
        <f t="shared" si="4"/>
        <v>  XI D-1</v>
      </c>
      <c r="I709" s="28" t="str">
        <f t="shared" si="2"/>
        <v>33 - BC X-8</v>
      </c>
      <c r="J709" s="20" t="str">
        <f>VLOOKUP(I709,'Database Grup SCC'!$B$2:$C1382,2,false)</f>
        <v>Teguh</v>
      </c>
      <c r="K709" s="50" t="str">
        <f>VLOOKUP(D709,'Data Siswa Mentah 32 Kelas X'!$C$8:$E1382,3,false)</f>
        <v>X-8</v>
      </c>
      <c r="L709" s="50" t="s">
        <v>7194</v>
      </c>
      <c r="M709" s="50"/>
      <c r="N709" s="33" t="s">
        <v>6166</v>
      </c>
      <c r="O709" s="34"/>
      <c r="P709" s="34"/>
      <c r="Q709" s="24" t="str">
        <f t="shared" si="3"/>
        <v>https://docs.google.com/forms/d/e/1FAIpQLSeZ-R1GrWlAPkfaThGqxeTj0QTtrARw4rroxIIepf2kipn1nw/formResponse?usp=pp_url&amp;entry.1313582257=0096321568&amp;entry.1578404635=Hadir</v>
      </c>
      <c r="R709" s="23" t="s">
        <v>7219</v>
      </c>
      <c r="S709" s="39"/>
      <c r="T709" s="39"/>
      <c r="U709" s="39"/>
      <c r="V709" s="39"/>
    </row>
    <row r="710" ht="22.5" customHeight="1">
      <c r="A710" s="12">
        <v>256.0</v>
      </c>
      <c r="B710" s="32">
        <v>14.0</v>
      </c>
      <c r="C710" s="55" t="s">
        <v>7220</v>
      </c>
      <c r="D710" s="56">
        <v>2.42510158E8</v>
      </c>
      <c r="E710" s="32" t="s">
        <v>4001</v>
      </c>
      <c r="F710" s="32" t="s">
        <v>220</v>
      </c>
      <c r="G710" s="12">
        <v>32.0</v>
      </c>
      <c r="H710" s="48" t="str">
        <f t="shared" si="4"/>
        <v>  XI D-1</v>
      </c>
      <c r="I710" s="28" t="str">
        <f t="shared" si="2"/>
        <v>32 - BC X-2</v>
      </c>
      <c r="J710" s="20" t="str">
        <f>VLOOKUP(I710,'Database Grup SCC'!$B$2:$C1382,2,false)</f>
        <v>Rafli (XII)</v>
      </c>
      <c r="K710" s="50" t="str">
        <f>VLOOKUP(D710,'Data Siswa Mentah 32 Kelas X'!$C$8:$E1382,3,false)</f>
        <v>X-2</v>
      </c>
      <c r="L710" s="50" t="s">
        <v>7194</v>
      </c>
      <c r="M710" s="50"/>
      <c r="N710" s="33" t="s">
        <v>6869</v>
      </c>
      <c r="O710" s="34"/>
      <c r="P710" s="34"/>
      <c r="Q710" s="24" t="str">
        <f t="shared" si="3"/>
        <v>https://docs.google.com/forms/d/e/1FAIpQLSeZ-R1GrWlAPkfaThGqxeTj0QTtrARw4rroxIIepf2kipn1nw/formResponse?usp=pp_url&amp;entry.1313582257=0084693493&amp;entry.1578404635=Hadir</v>
      </c>
      <c r="R710" s="23" t="s">
        <v>7221</v>
      </c>
      <c r="S710" s="39"/>
      <c r="T710" s="39"/>
      <c r="U710" s="39"/>
      <c r="V710" s="39"/>
    </row>
    <row r="711" ht="22.5" customHeight="1">
      <c r="A711" s="12">
        <v>257.0</v>
      </c>
      <c r="B711" s="32">
        <v>15.0</v>
      </c>
      <c r="C711" s="55" t="s">
        <v>7222</v>
      </c>
      <c r="D711" s="56">
        <v>2.42510172E8</v>
      </c>
      <c r="E711" s="32" t="s">
        <v>4006</v>
      </c>
      <c r="F711" s="32" t="s">
        <v>227</v>
      </c>
      <c r="G711" s="12">
        <v>32.0</v>
      </c>
      <c r="H711" s="48" t="str">
        <f t="shared" si="4"/>
        <v>  XI D-1</v>
      </c>
      <c r="I711" s="28" t="str">
        <f t="shared" si="2"/>
        <v>32 - GC X-9</v>
      </c>
      <c r="J711" s="20" t="str">
        <f>VLOOKUP(I711,'Database Grup SCC'!$B$2:$C1382,2,false)</f>
        <v>Athaya</v>
      </c>
      <c r="K711" s="50" t="str">
        <f>VLOOKUP(D711,'Data Siswa Mentah 32 Kelas X'!$C$8:$E1382,3,false)</f>
        <v>X-9</v>
      </c>
      <c r="L711" s="50" t="s">
        <v>7194</v>
      </c>
      <c r="M711" s="50"/>
      <c r="N711" s="33" t="s">
        <v>6826</v>
      </c>
      <c r="O711" s="34"/>
      <c r="P711" s="34"/>
      <c r="Q711" s="24" t="str">
        <f t="shared" si="3"/>
        <v>https://docs.google.com/forms/d/e/1FAIpQLSeZ-R1GrWlAPkfaThGqxeTj0QTtrARw4rroxIIepf2kipn1nw/formResponse?usp=pp_url&amp;entry.1313582257=0088791024&amp;entry.1578404635=Hadir</v>
      </c>
      <c r="R711" s="23" t="s">
        <v>7223</v>
      </c>
      <c r="S711" s="39"/>
      <c r="T711" s="39"/>
      <c r="U711" s="39"/>
      <c r="V711" s="39"/>
    </row>
    <row r="712" ht="22.5" customHeight="1">
      <c r="A712" s="12">
        <v>258.0</v>
      </c>
      <c r="B712" s="32">
        <v>16.0</v>
      </c>
      <c r="C712" s="55" t="s">
        <v>7224</v>
      </c>
      <c r="D712" s="56">
        <v>2.42510182E8</v>
      </c>
      <c r="E712" s="32" t="s">
        <v>4011</v>
      </c>
      <c r="F712" s="32" t="s">
        <v>227</v>
      </c>
      <c r="G712" s="12">
        <v>32.0</v>
      </c>
      <c r="H712" s="48" t="str">
        <f t="shared" si="4"/>
        <v>  XI D-1</v>
      </c>
      <c r="I712" s="28" t="str">
        <f t="shared" si="2"/>
        <v>32 - GC X-10</v>
      </c>
      <c r="J712" s="20" t="str">
        <f>VLOOKUP(I712,'Database Grup SCC'!$B$2:$C1382,2,false)</f>
        <v>Athaya</v>
      </c>
      <c r="K712" s="50" t="str">
        <f>VLOOKUP(D712,'Data Siswa Mentah 32 Kelas X'!$C$8:$E1382,3,false)</f>
        <v>X-10</v>
      </c>
      <c r="L712" s="50" t="s">
        <v>7194</v>
      </c>
      <c r="M712" s="50"/>
      <c r="N712" s="33" t="s">
        <v>6865</v>
      </c>
      <c r="O712" s="34"/>
      <c r="P712" s="34"/>
      <c r="Q712" s="24" t="str">
        <f t="shared" si="3"/>
        <v>https://docs.google.com/forms/d/e/1FAIpQLSeZ-R1GrWlAPkfaThGqxeTj0QTtrARw4rroxIIepf2kipn1nw/formResponse?usp=pp_url&amp;entry.1313582257=0083440916&amp;entry.1578404635=Hadir</v>
      </c>
      <c r="R712" s="23" t="s">
        <v>7225</v>
      </c>
      <c r="S712" s="39"/>
      <c r="T712" s="39"/>
      <c r="U712" s="39"/>
      <c r="V712" s="39"/>
    </row>
    <row r="713" ht="22.5" customHeight="1">
      <c r="A713" s="12">
        <v>259.0</v>
      </c>
      <c r="B713" s="32">
        <v>17.0</v>
      </c>
      <c r="C713" s="55" t="s">
        <v>7226</v>
      </c>
      <c r="D713" s="56">
        <v>2.42510186E8</v>
      </c>
      <c r="E713" s="32" t="s">
        <v>4017</v>
      </c>
      <c r="F713" s="32" t="s">
        <v>227</v>
      </c>
      <c r="G713" s="12">
        <v>32.0</v>
      </c>
      <c r="H713" s="48" t="str">
        <f t="shared" si="4"/>
        <v>  XI D-1</v>
      </c>
      <c r="I713" s="28" t="str">
        <f t="shared" si="2"/>
        <v>32 - GC X-3</v>
      </c>
      <c r="J713" s="20" t="str">
        <f>VLOOKUP(I713,'Database Grup SCC'!$B$2:$C1382,2,false)</f>
        <v>Devi</v>
      </c>
      <c r="K713" s="50" t="str">
        <f>VLOOKUP(D713,'Data Siswa Mentah 32 Kelas X'!$C$8:$E1382,3,false)</f>
        <v>X-3</v>
      </c>
      <c r="L713" s="50" t="s">
        <v>7194</v>
      </c>
      <c r="M713" s="50"/>
      <c r="N713" s="33" t="s">
        <v>6879</v>
      </c>
      <c r="O713" s="34"/>
      <c r="P713" s="34"/>
      <c r="Q713" s="24" t="str">
        <f t="shared" si="3"/>
        <v>https://docs.google.com/forms/d/e/1FAIpQLSeZ-R1GrWlAPkfaThGqxeTj0QTtrARw4rroxIIepf2kipn1nw/formResponse?usp=pp_url&amp;entry.1313582257=0097101002&amp;entry.1578404635=Hadir</v>
      </c>
      <c r="R713" s="23" t="s">
        <v>7227</v>
      </c>
      <c r="S713" s="39"/>
      <c r="T713" s="39"/>
      <c r="U713" s="39"/>
      <c r="V713" s="39"/>
    </row>
    <row r="714" ht="22.5" customHeight="1">
      <c r="A714" s="12">
        <v>260.0</v>
      </c>
      <c r="B714" s="32">
        <v>18.0</v>
      </c>
      <c r="C714" s="55" t="s">
        <v>7228</v>
      </c>
      <c r="D714" s="56">
        <v>2.42510205E8</v>
      </c>
      <c r="E714" s="32" t="s">
        <v>4022</v>
      </c>
      <c r="F714" s="32" t="s">
        <v>227</v>
      </c>
      <c r="G714" s="12">
        <v>32.0</v>
      </c>
      <c r="H714" s="48" t="str">
        <f t="shared" si="4"/>
        <v>  XI D-1</v>
      </c>
      <c r="I714" s="28" t="str">
        <f t="shared" si="2"/>
        <v>32 - GC X-5</v>
      </c>
      <c r="J714" s="20" t="str">
        <f>VLOOKUP(I714,'Database Grup SCC'!$B$2:$C1382,2,false)</f>
        <v>Amel</v>
      </c>
      <c r="K714" s="50" t="str">
        <f>VLOOKUP(D714,'Data Siswa Mentah 32 Kelas X'!$C$8:$E1382,3,false)</f>
        <v>X-5</v>
      </c>
      <c r="L714" s="50" t="s">
        <v>7194</v>
      </c>
      <c r="M714" s="50"/>
      <c r="N714" s="33" t="s">
        <v>6872</v>
      </c>
      <c r="O714" s="34"/>
      <c r="P714" s="34"/>
      <c r="Q714" s="24" t="str">
        <f t="shared" si="3"/>
        <v>https://docs.google.com/forms/d/e/1FAIpQLSeZ-R1GrWlAPkfaThGqxeTj0QTtrARw4rroxIIepf2kipn1nw/formResponse?usp=pp_url&amp;entry.1313582257=0083510857&amp;entry.1578404635=Hadir</v>
      </c>
      <c r="R714" s="23" t="s">
        <v>7229</v>
      </c>
      <c r="S714" s="39"/>
      <c r="T714" s="39"/>
      <c r="U714" s="39"/>
      <c r="V714" s="39"/>
    </row>
    <row r="715" ht="22.5" customHeight="1">
      <c r="A715" s="12">
        <v>261.0</v>
      </c>
      <c r="B715" s="32">
        <v>19.0</v>
      </c>
      <c r="C715" s="55" t="s">
        <v>7230</v>
      </c>
      <c r="D715" s="56">
        <v>2.42510214E8</v>
      </c>
      <c r="E715" s="32" t="s">
        <v>4027</v>
      </c>
      <c r="F715" s="32" t="s">
        <v>220</v>
      </c>
      <c r="G715" s="12">
        <v>32.0</v>
      </c>
      <c r="H715" s="48" t="str">
        <f t="shared" si="4"/>
        <v>  XI D-1</v>
      </c>
      <c r="I715" s="28" t="str">
        <f t="shared" si="2"/>
        <v>33 - BC X-6</v>
      </c>
      <c r="J715" s="20" t="str">
        <f>VLOOKUP(I715,'Database Grup SCC'!$B$2:$C1382,2,false)</f>
        <v>Rizki Putra</v>
      </c>
      <c r="K715" s="50" t="str">
        <f>VLOOKUP(D715,'Data Siswa Mentah 32 Kelas X'!$C$8:$E1382,3,false)</f>
        <v>X-6</v>
      </c>
      <c r="L715" s="50" t="s">
        <v>7194</v>
      </c>
      <c r="M715" s="50"/>
      <c r="N715" s="33" t="s">
        <v>5926</v>
      </c>
      <c r="O715" s="34"/>
      <c r="P715" s="34"/>
      <c r="Q715" s="24" t="str">
        <f t="shared" si="3"/>
        <v>https://docs.google.com/forms/d/e/1FAIpQLSeZ-R1GrWlAPkfaThGqxeTj0QTtrARw4rroxIIepf2kipn1nw/formResponse?usp=pp_url&amp;entry.1313582257=0099224342&amp;entry.1578404635=Hadir</v>
      </c>
      <c r="R715" s="23" t="s">
        <v>7231</v>
      </c>
      <c r="S715" s="39"/>
      <c r="T715" s="39"/>
      <c r="U715" s="39"/>
      <c r="V715" s="39"/>
    </row>
    <row r="716" ht="22.5" customHeight="1">
      <c r="A716" s="12">
        <v>262.0</v>
      </c>
      <c r="B716" s="32">
        <v>20.0</v>
      </c>
      <c r="C716" s="55" t="s">
        <v>7232</v>
      </c>
      <c r="D716" s="56">
        <v>2.42510226E8</v>
      </c>
      <c r="E716" s="32" t="s">
        <v>4032</v>
      </c>
      <c r="F716" s="32" t="s">
        <v>220</v>
      </c>
      <c r="G716" s="12">
        <v>32.0</v>
      </c>
      <c r="H716" s="48" t="str">
        <f t="shared" si="4"/>
        <v>  XI D-1</v>
      </c>
      <c r="I716" s="28" t="str">
        <f t="shared" si="2"/>
        <v>32 - BC X-11</v>
      </c>
      <c r="J716" s="20" t="str">
        <f>VLOOKUP(I716,'Database Grup SCC'!$B$2:$C1382,2,false)</f>
        <v>Dimas</v>
      </c>
      <c r="K716" s="50" t="str">
        <f>VLOOKUP(D716,'Data Siswa Mentah 32 Kelas X'!$C$8:$E1382,3,false)</f>
        <v>X-11</v>
      </c>
      <c r="L716" s="50" t="s">
        <v>7194</v>
      </c>
      <c r="M716" s="50"/>
      <c r="N716" s="33" t="s">
        <v>6821</v>
      </c>
      <c r="O716" s="34"/>
      <c r="P716" s="34"/>
      <c r="Q716" s="24" t="str">
        <f t="shared" si="3"/>
        <v>https://docs.google.com/forms/d/e/1FAIpQLSeZ-R1GrWlAPkfaThGqxeTj0QTtrARw4rroxIIepf2kipn1nw/formResponse?usp=pp_url&amp;entry.1313582257=0087441371&amp;entry.1578404635=Hadir</v>
      </c>
      <c r="R716" s="23" t="s">
        <v>7233</v>
      </c>
      <c r="S716" s="39"/>
      <c r="T716" s="39"/>
      <c r="U716" s="39"/>
      <c r="V716" s="39"/>
    </row>
    <row r="717" ht="22.5" customHeight="1">
      <c r="A717" s="12">
        <v>263.0</v>
      </c>
      <c r="B717" s="32">
        <v>21.0</v>
      </c>
      <c r="C717" s="55" t="s">
        <v>7234</v>
      </c>
      <c r="D717" s="56">
        <v>2.42510248E8</v>
      </c>
      <c r="E717" s="32" t="s">
        <v>4037</v>
      </c>
      <c r="F717" s="32" t="s">
        <v>220</v>
      </c>
      <c r="G717" s="12">
        <v>32.0</v>
      </c>
      <c r="H717" s="48" t="str">
        <f t="shared" si="4"/>
        <v>  XI D-1</v>
      </c>
      <c r="I717" s="28" t="str">
        <f t="shared" si="2"/>
        <v>32 - BC X-1</v>
      </c>
      <c r="J717" s="20" t="str">
        <f>VLOOKUP(I717,'Database Grup SCC'!$B$2:$C1382,2,false)</f>
        <v>Arya</v>
      </c>
      <c r="K717" s="50" t="str">
        <f>VLOOKUP(D717,'Data Siswa Mentah 32 Kelas X'!$C$8:$E1382,3,false)</f>
        <v>X-1</v>
      </c>
      <c r="L717" s="50" t="s">
        <v>7194</v>
      </c>
      <c r="M717" s="50"/>
      <c r="N717" s="33" t="s">
        <v>6839</v>
      </c>
      <c r="O717" s="34"/>
      <c r="P717" s="34"/>
      <c r="Q717" s="24" t="str">
        <f t="shared" si="3"/>
        <v>https://docs.google.com/forms/d/e/1FAIpQLSeZ-R1GrWlAPkfaThGqxeTj0QTtrARw4rroxIIepf2kipn1nw/formResponse?usp=pp_url&amp;entry.1313582257=0092053150&amp;entry.1578404635=Hadir</v>
      </c>
      <c r="R717" s="23" t="s">
        <v>7235</v>
      </c>
      <c r="S717" s="39"/>
      <c r="T717" s="39"/>
      <c r="U717" s="39"/>
      <c r="V717" s="39"/>
    </row>
    <row r="718" ht="22.5" customHeight="1">
      <c r="A718" s="12">
        <v>264.0</v>
      </c>
      <c r="B718" s="32">
        <v>22.0</v>
      </c>
      <c r="C718" s="55" t="s">
        <v>7236</v>
      </c>
      <c r="D718" s="56">
        <v>2.42510268E8</v>
      </c>
      <c r="E718" s="32" t="s">
        <v>4043</v>
      </c>
      <c r="F718" s="32" t="s">
        <v>220</v>
      </c>
      <c r="G718" s="12">
        <v>32.0</v>
      </c>
      <c r="H718" s="48" t="str">
        <f t="shared" si="4"/>
        <v>  XI D-1</v>
      </c>
      <c r="I718" s="28" t="str">
        <f t="shared" si="2"/>
        <v>32 - BC X-11</v>
      </c>
      <c r="J718" s="20" t="str">
        <f>VLOOKUP(I718,'Database Grup SCC'!$B$2:$C1382,2,false)</f>
        <v>Dimas</v>
      </c>
      <c r="K718" s="50" t="str">
        <f>VLOOKUP(D718,'Data Siswa Mentah 32 Kelas X'!$C$8:$E1382,3,false)</f>
        <v>X-11</v>
      </c>
      <c r="L718" s="50" t="s">
        <v>7194</v>
      </c>
      <c r="M718" s="50"/>
      <c r="N718" s="33" t="s">
        <v>6821</v>
      </c>
      <c r="O718" s="34"/>
      <c r="P718" s="34"/>
      <c r="Q718" s="24" t="str">
        <f t="shared" si="3"/>
        <v>https://docs.google.com/forms/d/e/1FAIpQLSeZ-R1GrWlAPkfaThGqxeTj0QTtrARw4rroxIIepf2kipn1nw/formResponse?usp=pp_url&amp;entry.1313582257=0099674979&amp;entry.1578404635=Hadir</v>
      </c>
      <c r="R718" s="23" t="s">
        <v>7237</v>
      </c>
      <c r="S718" s="39"/>
      <c r="T718" s="39"/>
      <c r="U718" s="39"/>
      <c r="V718" s="39"/>
    </row>
    <row r="719" ht="22.5" customHeight="1">
      <c r="A719" s="12">
        <v>265.0</v>
      </c>
      <c r="B719" s="32">
        <v>23.0</v>
      </c>
      <c r="C719" s="55" t="s">
        <v>7238</v>
      </c>
      <c r="D719" s="56">
        <v>2.42510287E8</v>
      </c>
      <c r="E719" s="32" t="s">
        <v>4048</v>
      </c>
      <c r="F719" s="32" t="s">
        <v>227</v>
      </c>
      <c r="G719" s="12">
        <v>32.0</v>
      </c>
      <c r="H719" s="48" t="str">
        <f t="shared" si="4"/>
        <v>  XI D-1</v>
      </c>
      <c r="I719" s="28" t="str">
        <f t="shared" si="2"/>
        <v>32 - GC X-8</v>
      </c>
      <c r="J719" s="20" t="str">
        <f>VLOOKUP(I719,'Database Grup SCC'!$B$2:$C1382,2,false)</f>
        <v>Amel (XII)</v>
      </c>
      <c r="K719" s="50" t="str">
        <f>VLOOKUP(D719,'Data Siswa Mentah 32 Kelas X'!$C$8:$E1382,3,false)</f>
        <v>X-8</v>
      </c>
      <c r="L719" s="50" t="s">
        <v>7194</v>
      </c>
      <c r="M719" s="50"/>
      <c r="N719" s="33" t="s">
        <v>6858</v>
      </c>
      <c r="O719" s="34"/>
      <c r="P719" s="34"/>
      <c r="Q719" s="24" t="str">
        <f t="shared" si="3"/>
        <v>https://docs.google.com/forms/d/e/1FAIpQLSeZ-R1GrWlAPkfaThGqxeTj0QTtrARw4rroxIIepf2kipn1nw/formResponse?usp=pp_url&amp;entry.1313582257=0094087712&amp;entry.1578404635=Hadir</v>
      </c>
      <c r="R719" s="23" t="s">
        <v>7239</v>
      </c>
      <c r="S719" s="39"/>
      <c r="T719" s="39"/>
      <c r="U719" s="39"/>
      <c r="V719" s="39"/>
    </row>
    <row r="720" ht="22.5" customHeight="1">
      <c r="A720" s="12">
        <v>266.0</v>
      </c>
      <c r="B720" s="32">
        <v>24.0</v>
      </c>
      <c r="C720" s="55" t="s">
        <v>7240</v>
      </c>
      <c r="D720" s="56">
        <v>2.42510295E8</v>
      </c>
      <c r="E720" s="32" t="s">
        <v>4053</v>
      </c>
      <c r="F720" s="32" t="s">
        <v>227</v>
      </c>
      <c r="G720" s="12">
        <v>32.0</v>
      </c>
      <c r="H720" s="48" t="str">
        <f t="shared" si="4"/>
        <v>  XI D-1</v>
      </c>
      <c r="I720" s="28" t="str">
        <f t="shared" si="2"/>
        <v>32 - GC X-6</v>
      </c>
      <c r="J720" s="20" t="str">
        <f>VLOOKUP(I720,'Database Grup SCC'!$B$2:$C1382,2,false)</f>
        <v>Zalika</v>
      </c>
      <c r="K720" s="50" t="str">
        <f>VLOOKUP(D720,'Data Siswa Mentah 32 Kelas X'!$C$8:$E1382,3,false)</f>
        <v>X-6</v>
      </c>
      <c r="L720" s="50" t="s">
        <v>7194</v>
      </c>
      <c r="M720" s="50"/>
      <c r="N720" s="33" t="s">
        <v>6924</v>
      </c>
      <c r="O720" s="34"/>
      <c r="P720" s="34"/>
      <c r="Q720" s="24" t="str">
        <f t="shared" si="3"/>
        <v>https://docs.google.com/forms/d/e/1FAIpQLSeZ-R1GrWlAPkfaThGqxeTj0QTtrARw4rroxIIepf2kipn1nw/formResponse?usp=pp_url&amp;entry.1313582257=0096704827&amp;entry.1578404635=Hadir</v>
      </c>
      <c r="R720" s="23" t="s">
        <v>7241</v>
      </c>
      <c r="S720" s="39"/>
      <c r="T720" s="39"/>
      <c r="U720" s="39"/>
      <c r="V720" s="39"/>
    </row>
    <row r="721" ht="22.5" customHeight="1">
      <c r="A721" s="12">
        <v>267.0</v>
      </c>
      <c r="B721" s="32">
        <v>25.0</v>
      </c>
      <c r="C721" s="55" t="s">
        <v>7242</v>
      </c>
      <c r="D721" s="56">
        <v>2.42510317E8</v>
      </c>
      <c r="E721" s="32" t="s">
        <v>4058</v>
      </c>
      <c r="F721" s="32" t="s">
        <v>227</v>
      </c>
      <c r="G721" s="12">
        <v>32.0</v>
      </c>
      <c r="H721" s="48" t="str">
        <f t="shared" si="4"/>
        <v>  XI D-1</v>
      </c>
      <c r="I721" s="28" t="str">
        <f t="shared" si="2"/>
        <v>32 - GC X-9</v>
      </c>
      <c r="J721" s="20" t="str">
        <f>VLOOKUP(I721,'Database Grup SCC'!$B$2:$C1382,2,false)</f>
        <v>Athaya</v>
      </c>
      <c r="K721" s="50" t="str">
        <f>VLOOKUP(D721,'Data Siswa Mentah 32 Kelas X'!$C$8:$E1382,3,false)</f>
        <v>X-9</v>
      </c>
      <c r="L721" s="50" t="s">
        <v>7194</v>
      </c>
      <c r="M721" s="50"/>
      <c r="N721" s="33" t="s">
        <v>6826</v>
      </c>
      <c r="O721" s="34"/>
      <c r="P721" s="34"/>
      <c r="Q721" s="24" t="str">
        <f t="shared" si="3"/>
        <v>https://docs.google.com/forms/d/e/1FAIpQLSeZ-R1GrWlAPkfaThGqxeTj0QTtrARw4rroxIIepf2kipn1nw/formResponse?usp=pp_url&amp;entry.1313582257=0082766789&amp;entry.1578404635=Hadir</v>
      </c>
      <c r="R721" s="23" t="s">
        <v>7243</v>
      </c>
      <c r="S721" s="39"/>
      <c r="T721" s="39"/>
      <c r="U721" s="39"/>
      <c r="V721" s="39"/>
    </row>
    <row r="722" ht="22.5" customHeight="1">
      <c r="A722" s="12">
        <v>268.0</v>
      </c>
      <c r="B722" s="32">
        <v>26.0</v>
      </c>
      <c r="C722" s="55" t="s">
        <v>7244</v>
      </c>
      <c r="D722" s="56">
        <v>2.42510326E8</v>
      </c>
      <c r="E722" s="32" t="s">
        <v>4064</v>
      </c>
      <c r="F722" s="32" t="s">
        <v>227</v>
      </c>
      <c r="G722" s="12">
        <v>32.0</v>
      </c>
      <c r="H722" s="48" t="str">
        <f t="shared" si="4"/>
        <v>  XI D-1</v>
      </c>
      <c r="I722" s="28" t="str">
        <f t="shared" si="2"/>
        <v>32 - GC X-10</v>
      </c>
      <c r="J722" s="20" t="str">
        <f>VLOOKUP(I722,'Database Grup SCC'!$B$2:$C1382,2,false)</f>
        <v>Athaya</v>
      </c>
      <c r="K722" s="50" t="str">
        <f>VLOOKUP(D722,'Data Siswa Mentah 32 Kelas X'!$C$8:$E1382,3,false)</f>
        <v>X-10</v>
      </c>
      <c r="L722" s="50" t="s">
        <v>7194</v>
      </c>
      <c r="M722" s="50"/>
      <c r="N722" s="33" t="s">
        <v>6865</v>
      </c>
      <c r="O722" s="34"/>
      <c r="P722" s="34"/>
      <c r="Q722" s="24" t="str">
        <f t="shared" si="3"/>
        <v>https://docs.google.com/forms/d/e/1FAIpQLSeZ-R1GrWlAPkfaThGqxeTj0QTtrARw4rroxIIepf2kipn1nw/formResponse?usp=pp_url&amp;entry.1313582257=0087189022&amp;entry.1578404635=Hadir</v>
      </c>
      <c r="R722" s="23" t="s">
        <v>7245</v>
      </c>
      <c r="S722" s="39"/>
      <c r="T722" s="39"/>
      <c r="U722" s="39"/>
      <c r="V722" s="39"/>
    </row>
    <row r="723" ht="22.5" customHeight="1">
      <c r="A723" s="12">
        <v>269.0</v>
      </c>
      <c r="B723" s="32">
        <v>27.0</v>
      </c>
      <c r="C723" s="55" t="s">
        <v>7246</v>
      </c>
      <c r="D723" s="56">
        <v>2.4251034E8</v>
      </c>
      <c r="E723" s="32" t="s">
        <v>4069</v>
      </c>
      <c r="F723" s="32" t="s">
        <v>220</v>
      </c>
      <c r="G723" s="12">
        <v>32.0</v>
      </c>
      <c r="H723" s="48" t="str">
        <f t="shared" si="4"/>
        <v>  XI D-1</v>
      </c>
      <c r="I723" s="28" t="str">
        <f t="shared" si="2"/>
        <v>32 - BC X-12</v>
      </c>
      <c r="J723" s="20" t="str">
        <f>VLOOKUP(I723,'Database Grup SCC'!$B$2:$C1382,2,false)</f>
        <v>Syafiq</v>
      </c>
      <c r="K723" s="50" t="str">
        <f>VLOOKUP(D723,'Data Siswa Mentah 32 Kelas X'!$C$8:$E1382,3,false)</f>
        <v>X-12</v>
      </c>
      <c r="L723" s="50" t="s">
        <v>7194</v>
      </c>
      <c r="M723" s="50"/>
      <c r="N723" s="33" t="s">
        <v>6951</v>
      </c>
      <c r="O723" s="34"/>
      <c r="P723" s="34"/>
      <c r="Q723" s="24" t="str">
        <f t="shared" si="3"/>
        <v>https://docs.google.com/forms/d/e/1FAIpQLSeZ-R1GrWlAPkfaThGqxeTj0QTtrARw4rroxIIepf2kipn1nw/formResponse?usp=pp_url&amp;entry.1313582257=0083216448&amp;entry.1578404635=Hadir</v>
      </c>
      <c r="R723" s="23" t="s">
        <v>7247</v>
      </c>
      <c r="S723" s="39"/>
      <c r="T723" s="39"/>
      <c r="U723" s="39"/>
      <c r="V723" s="39"/>
    </row>
    <row r="724" ht="22.5" customHeight="1">
      <c r="A724" s="12">
        <v>270.0</v>
      </c>
      <c r="B724" s="32">
        <v>28.0</v>
      </c>
      <c r="C724" s="55" t="s">
        <v>7248</v>
      </c>
      <c r="D724" s="56">
        <v>2.42510351E8</v>
      </c>
      <c r="E724" s="32" t="s">
        <v>4074</v>
      </c>
      <c r="F724" s="32" t="s">
        <v>220</v>
      </c>
      <c r="G724" s="12">
        <v>32.0</v>
      </c>
      <c r="H724" s="48" t="str">
        <f t="shared" si="4"/>
        <v>  XI D-1</v>
      </c>
      <c r="I724" s="28" t="str">
        <f t="shared" si="2"/>
        <v>33 - BC X-4</v>
      </c>
      <c r="J724" s="20" t="str">
        <f>VLOOKUP(I724,'Database Grup SCC'!$B$2:$C1382,2,false)</f>
        <v>Arumbinang</v>
      </c>
      <c r="K724" s="50" t="str">
        <f>VLOOKUP(D724,'Data Siswa Mentah 32 Kelas X'!$C$8:$E1382,3,false)</f>
        <v>X-4</v>
      </c>
      <c r="L724" s="50" t="s">
        <v>7194</v>
      </c>
      <c r="M724" s="50"/>
      <c r="N724" s="33" t="s">
        <v>5628</v>
      </c>
      <c r="O724" s="34"/>
      <c r="P724" s="34"/>
      <c r="Q724" s="24" t="str">
        <f t="shared" si="3"/>
        <v>https://docs.google.com/forms/d/e/1FAIpQLSeZ-R1GrWlAPkfaThGqxeTj0QTtrARw4rroxIIepf2kipn1nw/formResponse?usp=pp_url&amp;entry.1313582257=0081976297&amp;entry.1578404635=Hadir</v>
      </c>
      <c r="R724" s="23" t="s">
        <v>7249</v>
      </c>
      <c r="S724" s="39"/>
      <c r="T724" s="39"/>
      <c r="U724" s="39"/>
      <c r="V724" s="39"/>
    </row>
    <row r="725" ht="22.5" customHeight="1">
      <c r="A725" s="12">
        <v>271.0</v>
      </c>
      <c r="B725" s="32">
        <v>29.0</v>
      </c>
      <c r="C725" s="55" t="s">
        <v>7250</v>
      </c>
      <c r="D725" s="56">
        <v>2.42510358E8</v>
      </c>
      <c r="E725" s="32" t="s">
        <v>4079</v>
      </c>
      <c r="F725" s="32" t="s">
        <v>220</v>
      </c>
      <c r="G725" s="12">
        <v>32.0</v>
      </c>
      <c r="H725" s="48" t="str">
        <f t="shared" si="4"/>
        <v>  XI D-1</v>
      </c>
      <c r="I725" s="28" t="str">
        <f t="shared" si="2"/>
        <v>32 - BC X-2</v>
      </c>
      <c r="J725" s="20" t="str">
        <f>VLOOKUP(I725,'Database Grup SCC'!$B$2:$C1382,2,false)</f>
        <v>Rafli (XII)</v>
      </c>
      <c r="K725" s="50" t="str">
        <f>VLOOKUP(D725,'Data Siswa Mentah 32 Kelas X'!$C$8:$E1382,3,false)</f>
        <v>X-2</v>
      </c>
      <c r="L725" s="50" t="s">
        <v>7194</v>
      </c>
      <c r="M725" s="50"/>
      <c r="N725" s="33" t="s">
        <v>6869</v>
      </c>
      <c r="O725" s="34"/>
      <c r="P725" s="34"/>
      <c r="Q725" s="24" t="str">
        <f t="shared" si="3"/>
        <v>https://docs.google.com/forms/d/e/1FAIpQLSeZ-R1GrWlAPkfaThGqxeTj0QTtrARw4rroxIIepf2kipn1nw/formResponse?usp=pp_url&amp;entry.1313582257=0087374524&amp;entry.1578404635=Hadir</v>
      </c>
      <c r="R725" s="23" t="s">
        <v>7251</v>
      </c>
      <c r="S725" s="39"/>
      <c r="T725" s="39"/>
      <c r="U725" s="39"/>
      <c r="V725" s="39"/>
    </row>
    <row r="726" ht="22.5" customHeight="1">
      <c r="A726" s="12">
        <v>272.0</v>
      </c>
      <c r="B726" s="32">
        <v>30.0</v>
      </c>
      <c r="C726" s="55" t="s">
        <v>7252</v>
      </c>
      <c r="D726" s="56">
        <v>2.42510359E8</v>
      </c>
      <c r="E726" s="32" t="s">
        <v>4084</v>
      </c>
      <c r="F726" s="32" t="s">
        <v>227</v>
      </c>
      <c r="G726" s="12">
        <v>32.0</v>
      </c>
      <c r="H726" s="48" t="str">
        <f t="shared" si="4"/>
        <v>  XI D-1</v>
      </c>
      <c r="I726" s="28" t="str">
        <f t="shared" si="2"/>
        <v>32 - GC X-3</v>
      </c>
      <c r="J726" s="20" t="str">
        <f>VLOOKUP(I726,'Database Grup SCC'!$B$2:$C1382,2,false)</f>
        <v>Devi</v>
      </c>
      <c r="K726" s="50" t="str">
        <f>VLOOKUP(D726,'Data Siswa Mentah 32 Kelas X'!$C$8:$E1382,3,false)</f>
        <v>X-3</v>
      </c>
      <c r="L726" s="50" t="s">
        <v>7194</v>
      </c>
      <c r="M726" s="50"/>
      <c r="N726" s="33" t="s">
        <v>6879</v>
      </c>
      <c r="O726" s="34"/>
      <c r="P726" s="34"/>
      <c r="Q726" s="24" t="str">
        <f t="shared" si="3"/>
        <v>https://docs.google.com/forms/d/e/1FAIpQLSeZ-R1GrWlAPkfaThGqxeTj0QTtrARw4rroxIIepf2kipn1nw/formResponse?usp=pp_url&amp;entry.1313582257=0095610000&amp;entry.1578404635=Hadir</v>
      </c>
      <c r="R726" s="23" t="s">
        <v>7253</v>
      </c>
      <c r="S726" s="39"/>
      <c r="T726" s="39"/>
      <c r="U726" s="39"/>
      <c r="V726" s="39"/>
    </row>
    <row r="727" ht="22.5" customHeight="1">
      <c r="A727" s="12">
        <v>273.0</v>
      </c>
      <c r="B727" s="32">
        <v>31.0</v>
      </c>
      <c r="C727" s="55" t="s">
        <v>7254</v>
      </c>
      <c r="D727" s="56">
        <v>2.42510368E8</v>
      </c>
      <c r="E727" s="32" t="s">
        <v>4090</v>
      </c>
      <c r="F727" s="32" t="s">
        <v>227</v>
      </c>
      <c r="G727" s="12">
        <v>32.0</v>
      </c>
      <c r="H727" s="48" t="str">
        <f t="shared" si="4"/>
        <v>  XI D-1</v>
      </c>
      <c r="I727" s="28" t="str">
        <f t="shared" si="2"/>
        <v>32 - GC X-6</v>
      </c>
      <c r="J727" s="20" t="str">
        <f>VLOOKUP(I727,'Database Grup SCC'!$B$2:$C1382,2,false)</f>
        <v>Zalika</v>
      </c>
      <c r="K727" s="50" t="str">
        <f>VLOOKUP(D727,'Data Siswa Mentah 32 Kelas X'!$C$8:$E1382,3,false)</f>
        <v>X-6</v>
      </c>
      <c r="L727" s="50" t="s">
        <v>7194</v>
      </c>
      <c r="M727" s="50"/>
      <c r="N727" s="33" t="s">
        <v>6924</v>
      </c>
      <c r="O727" s="34"/>
      <c r="P727" s="34"/>
      <c r="Q727" s="24" t="str">
        <f t="shared" si="3"/>
        <v>https://docs.google.com/forms/d/e/1FAIpQLSeZ-R1GrWlAPkfaThGqxeTj0QTtrARw4rroxIIepf2kipn1nw/formResponse?usp=pp_url&amp;entry.1313582257=3108459157&amp;entry.1578404635=Hadir</v>
      </c>
      <c r="R727" s="23" t="s">
        <v>7255</v>
      </c>
      <c r="S727" s="39"/>
      <c r="T727" s="39"/>
      <c r="U727" s="39"/>
      <c r="V727" s="39"/>
    </row>
    <row r="728" ht="22.5" customHeight="1">
      <c r="A728" s="12">
        <v>274.0</v>
      </c>
      <c r="B728" s="32">
        <v>32.0</v>
      </c>
      <c r="C728" s="55" t="s">
        <v>7256</v>
      </c>
      <c r="D728" s="56">
        <v>2.42510369E8</v>
      </c>
      <c r="E728" s="32" t="s">
        <v>4095</v>
      </c>
      <c r="F728" s="32" t="s">
        <v>227</v>
      </c>
      <c r="G728" s="12">
        <v>32.0</v>
      </c>
      <c r="H728" s="48" t="str">
        <f t="shared" si="4"/>
        <v>  XI D-1</v>
      </c>
      <c r="I728" s="28" t="str">
        <f t="shared" si="2"/>
        <v>32 - GC X-3</v>
      </c>
      <c r="J728" s="20" t="str">
        <f>VLOOKUP(I728,'Database Grup SCC'!$B$2:$C1382,2,false)</f>
        <v>Devi</v>
      </c>
      <c r="K728" s="50" t="str">
        <f>VLOOKUP(D728,'Data Siswa Mentah 32 Kelas X'!$C$8:$E1382,3,false)</f>
        <v>X-3</v>
      </c>
      <c r="L728" s="50" t="s">
        <v>7194</v>
      </c>
      <c r="M728" s="50"/>
      <c r="N728" s="33" t="s">
        <v>6879</v>
      </c>
      <c r="O728" s="34"/>
      <c r="P728" s="34"/>
      <c r="Q728" s="24" t="str">
        <f t="shared" si="3"/>
        <v>https://docs.google.com/forms/d/e/1FAIpQLSeZ-R1GrWlAPkfaThGqxeTj0QTtrARw4rroxIIepf2kipn1nw/formResponse?usp=pp_url&amp;entry.1313582257=0092184814&amp;entry.1578404635=Hadir</v>
      </c>
      <c r="R728" s="23" t="s">
        <v>7257</v>
      </c>
      <c r="S728" s="39"/>
      <c r="T728" s="39"/>
      <c r="U728" s="39"/>
      <c r="V728" s="39"/>
    </row>
    <row r="729" ht="22.5" customHeight="1">
      <c r="A729" s="12">
        <v>275.0</v>
      </c>
      <c r="B729" s="32">
        <v>33.0</v>
      </c>
      <c r="C729" s="55" t="s">
        <v>7258</v>
      </c>
      <c r="D729" s="56">
        <v>2.42510383E8</v>
      </c>
      <c r="E729" s="32" t="s">
        <v>4100</v>
      </c>
      <c r="F729" s="32" t="s">
        <v>227</v>
      </c>
      <c r="G729" s="12">
        <v>32.0</v>
      </c>
      <c r="H729" s="48" t="str">
        <f t="shared" si="4"/>
        <v>  XI D-1</v>
      </c>
      <c r="I729" s="28" t="str">
        <f t="shared" si="2"/>
        <v>32 - GC X-6</v>
      </c>
      <c r="J729" s="20" t="str">
        <f>VLOOKUP(I729,'Database Grup SCC'!$B$2:$C1382,2,false)</f>
        <v>Zalika</v>
      </c>
      <c r="K729" s="50" t="str">
        <f>VLOOKUP(D729,'Data Siswa Mentah 32 Kelas X'!$C$8:$E1382,3,false)</f>
        <v>X-6</v>
      </c>
      <c r="L729" s="50" t="s">
        <v>7194</v>
      </c>
      <c r="M729" s="50"/>
      <c r="N729" s="33" t="s">
        <v>6924</v>
      </c>
      <c r="O729" s="34"/>
      <c r="P729" s="34"/>
      <c r="Q729" s="24" t="str">
        <f t="shared" si="3"/>
        <v>https://docs.google.com/forms/d/e/1FAIpQLSeZ-R1GrWlAPkfaThGqxeTj0QTtrARw4rroxIIepf2kipn1nw/formResponse?usp=pp_url&amp;entry.1313582257=0093513380&amp;entry.1578404635=Hadir</v>
      </c>
      <c r="R729" s="23" t="s">
        <v>7259</v>
      </c>
      <c r="S729" s="39"/>
      <c r="T729" s="39"/>
      <c r="U729" s="39"/>
      <c r="V729" s="39"/>
    </row>
    <row r="730" ht="22.5" customHeight="1">
      <c r="A730" s="12">
        <v>276.0</v>
      </c>
      <c r="B730" s="32">
        <v>34.0</v>
      </c>
      <c r="C730" s="55" t="s">
        <v>7260</v>
      </c>
      <c r="D730" s="56">
        <v>2.42510403E8</v>
      </c>
      <c r="E730" s="32" t="s">
        <v>4105</v>
      </c>
      <c r="F730" s="32" t="s">
        <v>220</v>
      </c>
      <c r="G730" s="12">
        <v>32.0</v>
      </c>
      <c r="H730" s="48" t="str">
        <f t="shared" si="4"/>
        <v>  XI D-1</v>
      </c>
      <c r="I730" s="28" t="str">
        <f t="shared" si="2"/>
        <v>33 - BC X-3</v>
      </c>
      <c r="J730" s="20" t="str">
        <f>VLOOKUP(I730,'Database Grup SCC'!$B$2:$C1382,2,false)</f>
        <v>Angga</v>
      </c>
      <c r="K730" s="50" t="str">
        <f>VLOOKUP(D730,'Data Siswa Mentah 32 Kelas X'!$C$8:$E1382,3,false)</f>
        <v>X-3</v>
      </c>
      <c r="L730" s="50" t="s">
        <v>7194</v>
      </c>
      <c r="M730" s="50"/>
      <c r="N730" s="33" t="s">
        <v>5507</v>
      </c>
      <c r="O730" s="34"/>
      <c r="P730" s="34"/>
      <c r="Q730" s="24" t="str">
        <f t="shared" si="3"/>
        <v>https://docs.google.com/forms/d/e/1FAIpQLSeZ-R1GrWlAPkfaThGqxeTj0QTtrARw4rroxIIepf2kipn1nw/formResponse?usp=pp_url&amp;entry.1313582257=0094484878&amp;entry.1578404635=Hadir</v>
      </c>
      <c r="R730" s="23" t="s">
        <v>7261</v>
      </c>
      <c r="S730" s="39"/>
      <c r="T730" s="39"/>
      <c r="U730" s="39"/>
      <c r="V730" s="39"/>
    </row>
    <row r="731" ht="22.5" customHeight="1">
      <c r="A731" s="12">
        <v>277.0</v>
      </c>
      <c r="B731" s="32">
        <v>35.0</v>
      </c>
      <c r="C731" s="55" t="s">
        <v>7262</v>
      </c>
      <c r="D731" s="56">
        <v>2.42510425E8</v>
      </c>
      <c r="E731" s="32" t="s">
        <v>4110</v>
      </c>
      <c r="F731" s="32" t="s">
        <v>227</v>
      </c>
      <c r="G731" s="12">
        <v>32.0</v>
      </c>
      <c r="H731" s="48" t="str">
        <f t="shared" si="4"/>
        <v>  XI D-1</v>
      </c>
      <c r="I731" s="28" t="str">
        <f t="shared" si="2"/>
        <v>32 - GC X-7</v>
      </c>
      <c r="J731" s="20" t="str">
        <f>VLOOKUP(I731,'Database Grup SCC'!$B$2:$C1382,2,false)</f>
        <v>Najmi (XII)</v>
      </c>
      <c r="K731" s="50" t="str">
        <f>VLOOKUP(D731,'Data Siswa Mentah 32 Kelas X'!$C$8:$E1382,3,false)</f>
        <v>X-7</v>
      </c>
      <c r="L731" s="50" t="s">
        <v>7194</v>
      </c>
      <c r="M731" s="50"/>
      <c r="N731" s="33" t="s">
        <v>6842</v>
      </c>
      <c r="O731" s="34"/>
      <c r="P731" s="34"/>
      <c r="Q731" s="24" t="str">
        <f t="shared" si="3"/>
        <v>https://docs.google.com/forms/d/e/1FAIpQLSeZ-R1GrWlAPkfaThGqxeTj0QTtrARw4rroxIIepf2kipn1nw/formResponse?usp=pp_url&amp;entry.1313582257=0094008926&amp;entry.1578404635=Hadir</v>
      </c>
      <c r="R731" s="23" t="s">
        <v>7263</v>
      </c>
      <c r="S731" s="39"/>
      <c r="T731" s="39"/>
      <c r="U731" s="39"/>
      <c r="V731" s="39"/>
    </row>
    <row r="732" ht="22.5" customHeight="1">
      <c r="A732" s="12">
        <v>278.0</v>
      </c>
      <c r="B732" s="32">
        <v>36.0</v>
      </c>
      <c r="C732" s="55" t="s">
        <v>7264</v>
      </c>
      <c r="D732" s="56">
        <v>2.42510428E8</v>
      </c>
      <c r="E732" s="32" t="s">
        <v>4116</v>
      </c>
      <c r="F732" s="32" t="s">
        <v>227</v>
      </c>
      <c r="G732" s="12">
        <v>32.0</v>
      </c>
      <c r="H732" s="48" t="str">
        <f t="shared" si="4"/>
        <v>  XI D-1</v>
      </c>
      <c r="I732" s="28" t="str">
        <f t="shared" si="2"/>
        <v>32 - GC X-12</v>
      </c>
      <c r="J732" s="20" t="str">
        <f>VLOOKUP(I732,'Database Grup SCC'!$B$2:$C1382,2,false)</f>
        <v>Farisa (XII)</v>
      </c>
      <c r="K732" s="50" t="str">
        <f>VLOOKUP(D732,'Data Siswa Mentah 32 Kelas X'!$C$8:$E1382,3,false)</f>
        <v>X-12</v>
      </c>
      <c r="L732" s="50" t="s">
        <v>7194</v>
      </c>
      <c r="M732" s="50"/>
      <c r="N732" s="33" t="s">
        <v>6845</v>
      </c>
      <c r="O732" s="34"/>
      <c r="P732" s="34"/>
      <c r="Q732" s="24" t="str">
        <f t="shared" si="3"/>
        <v>https://docs.google.com/forms/d/e/1FAIpQLSeZ-R1GrWlAPkfaThGqxeTj0QTtrARw4rroxIIepf2kipn1nw/formResponse?usp=pp_url&amp;entry.1313582257=0096998389&amp;entry.1578404635=Hadir</v>
      </c>
      <c r="R732" s="23" t="s">
        <v>7265</v>
      </c>
      <c r="S732" s="39"/>
      <c r="T732" s="39"/>
      <c r="U732" s="39"/>
      <c r="V732" s="39"/>
    </row>
    <row r="733" ht="22.5" customHeight="1">
      <c r="A733" s="12">
        <v>290.0</v>
      </c>
      <c r="B733" s="32">
        <v>1.0</v>
      </c>
      <c r="C733" s="55" t="s">
        <v>7266</v>
      </c>
      <c r="D733" s="56">
        <v>2.42510002E8</v>
      </c>
      <c r="E733" s="32" t="s">
        <v>4121</v>
      </c>
      <c r="F733" s="32" t="s">
        <v>220</v>
      </c>
      <c r="G733" s="12">
        <v>32.0</v>
      </c>
      <c r="H733" s="48" t="str">
        <f t="shared" si="4"/>
        <v>  XI D-2</v>
      </c>
      <c r="I733" s="28" t="str">
        <f t="shared" si="2"/>
        <v>33 - BC X-4</v>
      </c>
      <c r="J733" s="20" t="str">
        <f>VLOOKUP(I733,'Database Grup SCC'!$B$2:$C1382,2,false)</f>
        <v>Arumbinang</v>
      </c>
      <c r="K733" s="50" t="str">
        <f>VLOOKUP(D733,'Data Siswa Mentah 32 Kelas X'!$C$8:$E1382,3,false)</f>
        <v>X-4</v>
      </c>
      <c r="L733" s="50" t="s">
        <v>7267</v>
      </c>
      <c r="M733" s="50"/>
      <c r="N733" s="33" t="s">
        <v>5628</v>
      </c>
      <c r="O733" s="34"/>
      <c r="P733" s="34"/>
      <c r="Q733" s="24" t="str">
        <f t="shared" si="3"/>
        <v>https://docs.google.com/forms/d/e/1FAIpQLSeZ-R1GrWlAPkfaThGqxeTj0QTtrARw4rroxIIepf2kipn1nw/formResponse?usp=pp_url&amp;entry.1313582257=0099205215&amp;entry.1578404635=Hadir</v>
      </c>
      <c r="R733" s="23" t="s">
        <v>7268</v>
      </c>
      <c r="S733" s="39"/>
      <c r="T733" s="39"/>
      <c r="U733" s="39"/>
      <c r="V733" s="39"/>
    </row>
    <row r="734" ht="22.5" customHeight="1">
      <c r="A734" s="12">
        <v>291.0</v>
      </c>
      <c r="B734" s="32">
        <v>2.0</v>
      </c>
      <c r="C734" s="55" t="s">
        <v>7269</v>
      </c>
      <c r="D734" s="56">
        <v>2.42510004E8</v>
      </c>
      <c r="E734" s="32" t="s">
        <v>4127</v>
      </c>
      <c r="F734" s="32" t="s">
        <v>220</v>
      </c>
      <c r="G734" s="12">
        <v>32.0</v>
      </c>
      <c r="H734" s="48" t="str">
        <f t="shared" si="4"/>
        <v>  XI D-2</v>
      </c>
      <c r="I734" s="28" t="str">
        <f t="shared" si="2"/>
        <v>33 - BC X-8</v>
      </c>
      <c r="J734" s="20" t="str">
        <f>VLOOKUP(I734,'Database Grup SCC'!$B$2:$C1382,2,false)</f>
        <v>Teguh</v>
      </c>
      <c r="K734" s="50" t="str">
        <f>VLOOKUP(D734,'Data Siswa Mentah 32 Kelas X'!$C$8:$E1382,3,false)</f>
        <v>X-8</v>
      </c>
      <c r="L734" s="50" t="s">
        <v>7267</v>
      </c>
      <c r="M734" s="50"/>
      <c r="N734" s="33" t="s">
        <v>6166</v>
      </c>
      <c r="O734" s="34"/>
      <c r="P734" s="34"/>
      <c r="Q734" s="24" t="str">
        <f t="shared" si="3"/>
        <v>https://docs.google.com/forms/d/e/1FAIpQLSeZ-R1GrWlAPkfaThGqxeTj0QTtrARw4rroxIIepf2kipn1nw/formResponse?usp=pp_url&amp;entry.1313582257=0096176025&amp;entry.1578404635=Hadir</v>
      </c>
      <c r="R734" s="23" t="s">
        <v>7270</v>
      </c>
      <c r="S734" s="39"/>
      <c r="T734" s="39"/>
      <c r="U734" s="39"/>
      <c r="V734" s="39"/>
    </row>
    <row r="735" ht="22.5" customHeight="1">
      <c r="A735" s="12">
        <v>292.0</v>
      </c>
      <c r="B735" s="32">
        <v>3.0</v>
      </c>
      <c r="C735" s="55" t="s">
        <v>7271</v>
      </c>
      <c r="D735" s="56">
        <v>2.42510013E8</v>
      </c>
      <c r="E735" s="32" t="s">
        <v>4132</v>
      </c>
      <c r="F735" s="32" t="s">
        <v>227</v>
      </c>
      <c r="G735" s="12">
        <v>32.0</v>
      </c>
      <c r="H735" s="48" t="str">
        <f t="shared" si="4"/>
        <v>  XI D-2</v>
      </c>
      <c r="I735" s="28" t="str">
        <f t="shared" si="2"/>
        <v>32 - GC X-5</v>
      </c>
      <c r="J735" s="20" t="str">
        <f>VLOOKUP(I735,'Database Grup SCC'!$B$2:$C1382,2,false)</f>
        <v>Amel</v>
      </c>
      <c r="K735" s="50" t="str">
        <f>VLOOKUP(D735,'Data Siswa Mentah 32 Kelas X'!$C$8:$E1382,3,false)</f>
        <v>X-5</v>
      </c>
      <c r="L735" s="50" t="s">
        <v>7267</v>
      </c>
      <c r="M735" s="50"/>
      <c r="N735" s="33" t="s">
        <v>6872</v>
      </c>
      <c r="O735" s="34"/>
      <c r="P735" s="34"/>
      <c r="Q735" s="24" t="str">
        <f t="shared" si="3"/>
        <v>https://docs.google.com/forms/d/e/1FAIpQLSeZ-R1GrWlAPkfaThGqxeTj0QTtrARw4rroxIIepf2kipn1nw/formResponse?usp=pp_url&amp;entry.1313582257=0083691625&amp;entry.1578404635=Hadir</v>
      </c>
      <c r="R735" s="23" t="s">
        <v>7272</v>
      </c>
      <c r="S735" s="39"/>
      <c r="T735" s="39"/>
      <c r="U735" s="39"/>
      <c r="V735" s="39"/>
    </row>
    <row r="736" ht="22.5" customHeight="1">
      <c r="A736" s="12">
        <v>293.0</v>
      </c>
      <c r="B736" s="32">
        <v>4.0</v>
      </c>
      <c r="C736" s="55" t="s">
        <v>7273</v>
      </c>
      <c r="D736" s="56">
        <v>2.4251003E8</v>
      </c>
      <c r="E736" s="32" t="s">
        <v>4137</v>
      </c>
      <c r="F736" s="32" t="s">
        <v>227</v>
      </c>
      <c r="G736" s="12">
        <v>32.0</v>
      </c>
      <c r="H736" s="48" t="str">
        <f t="shared" si="4"/>
        <v>  XI D-2</v>
      </c>
      <c r="I736" s="28" t="str">
        <f t="shared" si="2"/>
        <v>32 - GC X-11</v>
      </c>
      <c r="J736" s="20" t="str">
        <f>VLOOKUP(I736,'Database Grup SCC'!$B$2:$C1382,2,false)</f>
        <v>Kia (XII)</v>
      </c>
      <c r="K736" s="50" t="str">
        <f>VLOOKUP(D736,'Data Siswa Mentah 32 Kelas X'!$C$8:$E1382,3,false)</f>
        <v>X-11</v>
      </c>
      <c r="L736" s="50" t="s">
        <v>7267</v>
      </c>
      <c r="M736" s="50"/>
      <c r="N736" s="33" t="s">
        <v>6883</v>
      </c>
      <c r="O736" s="34"/>
      <c r="P736" s="34"/>
      <c r="Q736" s="24" t="str">
        <f t="shared" si="3"/>
        <v>https://docs.google.com/forms/d/e/1FAIpQLSeZ-R1GrWlAPkfaThGqxeTj0QTtrARw4rroxIIepf2kipn1nw/formResponse?usp=pp_url&amp;entry.1313582257=0093555544&amp;entry.1578404635=Hadir</v>
      </c>
      <c r="R736" s="23" t="s">
        <v>7274</v>
      </c>
      <c r="S736" s="39"/>
      <c r="T736" s="39"/>
      <c r="U736" s="39"/>
      <c r="V736" s="39"/>
    </row>
    <row r="737" ht="22.5" customHeight="1">
      <c r="A737" s="12">
        <v>294.0</v>
      </c>
      <c r="B737" s="32">
        <v>5.0</v>
      </c>
      <c r="C737" s="55" t="s">
        <v>7275</v>
      </c>
      <c r="D737" s="56">
        <v>2.42510049E8</v>
      </c>
      <c r="E737" s="32" t="s">
        <v>4143</v>
      </c>
      <c r="F737" s="32" t="s">
        <v>220</v>
      </c>
      <c r="G737" s="12">
        <v>32.0</v>
      </c>
      <c r="H737" s="48" t="str">
        <f t="shared" si="4"/>
        <v>  XI D-2</v>
      </c>
      <c r="I737" s="28" t="str">
        <f t="shared" si="2"/>
        <v>33 - BC X-9</v>
      </c>
      <c r="J737" s="20" t="str">
        <f>VLOOKUP(I737,'Database Grup SCC'!$B$2:$C1382,2,false)</f>
        <v>Veril (XII)</v>
      </c>
      <c r="K737" s="50" t="str">
        <f>VLOOKUP(D737,'Data Siswa Mentah 32 Kelas X'!$C$8:$E1382,3,false)</f>
        <v>X-9</v>
      </c>
      <c r="L737" s="50" t="s">
        <v>7267</v>
      </c>
      <c r="M737" s="50"/>
      <c r="N737" s="33" t="s">
        <v>6296</v>
      </c>
      <c r="O737" s="34"/>
      <c r="P737" s="34"/>
      <c r="Q737" s="24" t="str">
        <f t="shared" si="3"/>
        <v>https://docs.google.com/forms/d/e/1FAIpQLSeZ-R1GrWlAPkfaThGqxeTj0QTtrARw4rroxIIepf2kipn1nw/formResponse?usp=pp_url&amp;entry.1313582257=0093240247&amp;entry.1578404635=Hadir</v>
      </c>
      <c r="R737" s="23" t="s">
        <v>7276</v>
      </c>
      <c r="S737" s="39"/>
      <c r="T737" s="39"/>
      <c r="U737" s="39"/>
      <c r="V737" s="39"/>
    </row>
    <row r="738" ht="22.5" customHeight="1">
      <c r="A738" s="12">
        <v>295.0</v>
      </c>
      <c r="B738" s="32">
        <v>6.0</v>
      </c>
      <c r="C738" s="55" t="s">
        <v>7277</v>
      </c>
      <c r="D738" s="56">
        <v>2.42510057E8</v>
      </c>
      <c r="E738" s="32" t="s">
        <v>4148</v>
      </c>
      <c r="F738" s="32" t="s">
        <v>227</v>
      </c>
      <c r="G738" s="12">
        <v>32.0</v>
      </c>
      <c r="H738" s="48" t="str">
        <f t="shared" si="4"/>
        <v>  XI D-2</v>
      </c>
      <c r="I738" s="28" t="str">
        <f t="shared" si="2"/>
        <v>32 - GC X-4</v>
      </c>
      <c r="J738" s="20" t="str">
        <f>VLOOKUP(I738,'Database Grup SCC'!$B$2:$C1382,2,false)</f>
        <v>Nadira</v>
      </c>
      <c r="K738" s="50" t="str">
        <f>VLOOKUP(D738,'Data Siswa Mentah 32 Kelas X'!$C$8:$E1382,3,false)</f>
        <v>X-4</v>
      </c>
      <c r="L738" s="50" t="s">
        <v>7267</v>
      </c>
      <c r="M738" s="50"/>
      <c r="N738" s="33" t="s">
        <v>6853</v>
      </c>
      <c r="O738" s="34"/>
      <c r="P738" s="34"/>
      <c r="Q738" s="24" t="str">
        <f t="shared" si="3"/>
        <v>https://docs.google.com/forms/d/e/1FAIpQLSeZ-R1GrWlAPkfaThGqxeTj0QTtrARw4rroxIIepf2kipn1nw/formResponse?usp=pp_url&amp;entry.1313582257=0081177343&amp;entry.1578404635=Hadir</v>
      </c>
      <c r="R738" s="23" t="s">
        <v>7278</v>
      </c>
      <c r="S738" s="39"/>
      <c r="T738" s="39"/>
      <c r="U738" s="39"/>
      <c r="V738" s="39"/>
    </row>
    <row r="739" ht="22.5" customHeight="1">
      <c r="A739" s="12">
        <v>296.0</v>
      </c>
      <c r="B739" s="32">
        <v>7.0</v>
      </c>
      <c r="C739" s="55" t="s">
        <v>7279</v>
      </c>
      <c r="D739" s="56">
        <v>2.42510065E8</v>
      </c>
      <c r="E739" s="32" t="s">
        <v>4153</v>
      </c>
      <c r="F739" s="32" t="s">
        <v>227</v>
      </c>
      <c r="G739" s="12">
        <v>32.0</v>
      </c>
      <c r="H739" s="48" t="str">
        <f t="shared" si="4"/>
        <v>  XI D-2</v>
      </c>
      <c r="I739" s="28" t="str">
        <f t="shared" si="2"/>
        <v>32 - GC X-7</v>
      </c>
      <c r="J739" s="20" t="str">
        <f>VLOOKUP(I739,'Database Grup SCC'!$B$2:$C1382,2,false)</f>
        <v>Najmi (XII)</v>
      </c>
      <c r="K739" s="50" t="str">
        <f>VLOOKUP(D739,'Data Siswa Mentah 32 Kelas X'!$C$8:$E1382,3,false)</f>
        <v>X-7</v>
      </c>
      <c r="L739" s="50" t="s">
        <v>7267</v>
      </c>
      <c r="M739" s="50"/>
      <c r="N739" s="33" t="s">
        <v>6842</v>
      </c>
      <c r="O739" s="34"/>
      <c r="P739" s="34"/>
      <c r="Q739" s="24" t="str">
        <f t="shared" si="3"/>
        <v>https://docs.google.com/forms/d/e/1FAIpQLSeZ-R1GrWlAPkfaThGqxeTj0QTtrARw4rroxIIepf2kipn1nw/formResponse?usp=pp_url&amp;entry.1313582257=0097044189&amp;entry.1578404635=Hadir</v>
      </c>
      <c r="R739" s="23" t="s">
        <v>7280</v>
      </c>
      <c r="S739" s="39"/>
      <c r="T739" s="39"/>
      <c r="U739" s="39"/>
      <c r="V739" s="39"/>
    </row>
    <row r="740" ht="22.5" customHeight="1">
      <c r="A740" s="12">
        <v>297.0</v>
      </c>
      <c r="B740" s="32">
        <v>8.0</v>
      </c>
      <c r="C740" s="55" t="s">
        <v>7281</v>
      </c>
      <c r="D740" s="56">
        <v>2.42510074E8</v>
      </c>
      <c r="E740" s="32" t="s">
        <v>4158</v>
      </c>
      <c r="F740" s="32" t="s">
        <v>227</v>
      </c>
      <c r="G740" s="12">
        <v>32.0</v>
      </c>
      <c r="H740" s="48" t="str">
        <f t="shared" si="4"/>
        <v>  XI D-2</v>
      </c>
      <c r="I740" s="28" t="str">
        <f t="shared" si="2"/>
        <v>32 - GC X-1</v>
      </c>
      <c r="J740" s="20" t="str">
        <f>VLOOKUP(I740,'Database Grup SCC'!$B$2:$C1382,2,false)</f>
        <v>Nia</v>
      </c>
      <c r="K740" s="50" t="str">
        <f>VLOOKUP(D740,'Data Siswa Mentah 32 Kelas X'!$C$8:$E1382,3,false)</f>
        <v>X-1</v>
      </c>
      <c r="L740" s="50" t="s">
        <v>7267</v>
      </c>
      <c r="M740" s="50"/>
      <c r="N740" s="33" t="s">
        <v>6829</v>
      </c>
      <c r="O740" s="34"/>
      <c r="P740" s="34"/>
      <c r="Q740" s="24" t="str">
        <f t="shared" si="3"/>
        <v>https://docs.google.com/forms/d/e/1FAIpQLSeZ-R1GrWlAPkfaThGqxeTj0QTtrARw4rroxIIepf2kipn1nw/formResponse?usp=pp_url&amp;entry.1313582257=0094015905&amp;entry.1578404635=Hadir</v>
      </c>
      <c r="R740" s="23" t="s">
        <v>7282</v>
      </c>
      <c r="S740" s="39"/>
      <c r="T740" s="39"/>
      <c r="U740" s="39"/>
      <c r="V740" s="39"/>
    </row>
    <row r="741" ht="22.5" customHeight="1">
      <c r="A741" s="12">
        <v>298.0</v>
      </c>
      <c r="B741" s="32">
        <v>9.0</v>
      </c>
      <c r="C741" s="55" t="s">
        <v>7283</v>
      </c>
      <c r="D741" s="56">
        <v>2.42510077E8</v>
      </c>
      <c r="E741" s="32" t="s">
        <v>4163</v>
      </c>
      <c r="F741" s="32" t="s">
        <v>227</v>
      </c>
      <c r="G741" s="12">
        <v>32.0</v>
      </c>
      <c r="H741" s="48" t="str">
        <f t="shared" si="4"/>
        <v>  XI D-2</v>
      </c>
      <c r="I741" s="28" t="str">
        <f t="shared" si="2"/>
        <v>32 - GC X-11</v>
      </c>
      <c r="J741" s="20" t="str">
        <f>VLOOKUP(I741,'Database Grup SCC'!$B$2:$C1382,2,false)</f>
        <v>Kia (XII)</v>
      </c>
      <c r="K741" s="50" t="str">
        <f>VLOOKUP(D741,'Data Siswa Mentah 32 Kelas X'!$C$8:$E1382,3,false)</f>
        <v>X-11</v>
      </c>
      <c r="L741" s="50" t="s">
        <v>7267</v>
      </c>
      <c r="M741" s="50"/>
      <c r="N741" s="33" t="s">
        <v>6883</v>
      </c>
      <c r="O741" s="34"/>
      <c r="P741" s="34"/>
      <c r="Q741" s="24" t="str">
        <f t="shared" si="3"/>
        <v>https://docs.google.com/forms/d/e/1FAIpQLSeZ-R1GrWlAPkfaThGqxeTj0QTtrARw4rroxIIepf2kipn1nw/formResponse?usp=pp_url&amp;entry.1313582257=0099056940&amp;entry.1578404635=Hadir</v>
      </c>
      <c r="R741" s="23" t="s">
        <v>7284</v>
      </c>
      <c r="S741" s="39"/>
      <c r="T741" s="39"/>
      <c r="U741" s="39"/>
      <c r="V741" s="39"/>
    </row>
    <row r="742" ht="22.5" customHeight="1">
      <c r="A742" s="12">
        <v>299.0</v>
      </c>
      <c r="B742" s="32">
        <v>10.0</v>
      </c>
      <c r="C742" s="55" t="s">
        <v>7285</v>
      </c>
      <c r="D742" s="56">
        <v>2.42510092E8</v>
      </c>
      <c r="E742" s="32" t="s">
        <v>4168</v>
      </c>
      <c r="F742" s="32" t="s">
        <v>227</v>
      </c>
      <c r="G742" s="12">
        <v>32.0</v>
      </c>
      <c r="H742" s="48" t="str">
        <f t="shared" si="4"/>
        <v>  XI D-2</v>
      </c>
      <c r="I742" s="28" t="str">
        <f t="shared" si="2"/>
        <v>32 - GC X-3</v>
      </c>
      <c r="J742" s="20" t="str">
        <f>VLOOKUP(I742,'Database Grup SCC'!$B$2:$C1382,2,false)</f>
        <v>Devi</v>
      </c>
      <c r="K742" s="50" t="str">
        <f>VLOOKUP(D742,'Data Siswa Mentah 32 Kelas X'!$C$8:$E1382,3,false)</f>
        <v>X-3</v>
      </c>
      <c r="L742" s="50" t="s">
        <v>7267</v>
      </c>
      <c r="M742" s="50"/>
      <c r="N742" s="33" t="s">
        <v>6879</v>
      </c>
      <c r="O742" s="34"/>
      <c r="P742" s="34"/>
      <c r="Q742" s="24" t="str">
        <f t="shared" si="3"/>
        <v>https://docs.google.com/forms/d/e/1FAIpQLSeZ-R1GrWlAPkfaThGqxeTj0QTtrARw4rroxIIepf2kipn1nw/formResponse?usp=pp_url&amp;entry.1313582257=0083503418&amp;entry.1578404635=Hadir</v>
      </c>
      <c r="R742" s="23" t="s">
        <v>7286</v>
      </c>
      <c r="S742" s="39"/>
      <c r="T742" s="39"/>
      <c r="U742" s="39"/>
      <c r="V742" s="39"/>
    </row>
    <row r="743" ht="22.5" customHeight="1">
      <c r="A743" s="12">
        <v>300.0</v>
      </c>
      <c r="B743" s="32">
        <v>11.0</v>
      </c>
      <c r="C743" s="55" t="s">
        <v>7287</v>
      </c>
      <c r="D743" s="56">
        <v>2.42510119E8</v>
      </c>
      <c r="E743" s="32" t="s">
        <v>4174</v>
      </c>
      <c r="F743" s="32" t="s">
        <v>227</v>
      </c>
      <c r="G743" s="12">
        <v>32.0</v>
      </c>
      <c r="H743" s="48" t="str">
        <f t="shared" si="4"/>
        <v>  XI D-2</v>
      </c>
      <c r="I743" s="28" t="str">
        <f t="shared" si="2"/>
        <v>32 - GC X-5</v>
      </c>
      <c r="J743" s="20" t="str">
        <f>VLOOKUP(I743,'Database Grup SCC'!$B$2:$C1382,2,false)</f>
        <v>Amel</v>
      </c>
      <c r="K743" s="50" t="str">
        <f>VLOOKUP(D743,'Data Siswa Mentah 32 Kelas X'!$C$8:$E1382,3,false)</f>
        <v>X-5</v>
      </c>
      <c r="L743" s="50" t="s">
        <v>7267</v>
      </c>
      <c r="M743" s="50"/>
      <c r="N743" s="33" t="s">
        <v>6872</v>
      </c>
      <c r="O743" s="34"/>
      <c r="P743" s="34"/>
      <c r="Q743" s="24" t="str">
        <f t="shared" si="3"/>
        <v>https://docs.google.com/forms/d/e/1FAIpQLSeZ-R1GrWlAPkfaThGqxeTj0QTtrARw4rroxIIepf2kipn1nw/formResponse?usp=pp_url&amp;entry.1313582257=0082910392&amp;entry.1578404635=Hadir</v>
      </c>
      <c r="R743" s="23" t="s">
        <v>7288</v>
      </c>
      <c r="S743" s="39"/>
      <c r="T743" s="39"/>
      <c r="U743" s="39"/>
      <c r="V743" s="39"/>
    </row>
    <row r="744" ht="22.5" customHeight="1">
      <c r="A744" s="12">
        <v>301.0</v>
      </c>
      <c r="B744" s="32">
        <v>12.0</v>
      </c>
      <c r="C744" s="55" t="s">
        <v>7289</v>
      </c>
      <c r="D744" s="56">
        <v>2.42510121E8</v>
      </c>
      <c r="E744" s="32" t="s">
        <v>4179</v>
      </c>
      <c r="F744" s="32" t="s">
        <v>227</v>
      </c>
      <c r="G744" s="12">
        <v>32.0</v>
      </c>
      <c r="H744" s="48" t="str">
        <f t="shared" si="4"/>
        <v>  XI D-2</v>
      </c>
      <c r="I744" s="28" t="str">
        <f t="shared" si="2"/>
        <v>32 - GC X-2</v>
      </c>
      <c r="J744" s="20" t="str">
        <f>VLOOKUP(I744,'Database Grup SCC'!$B$2:$C1382,2,false)</f>
        <v>Iga</v>
      </c>
      <c r="K744" s="50" t="str">
        <f>VLOOKUP(D744,'Data Siswa Mentah 32 Kelas X'!$C$8:$E1382,3,false)</f>
        <v>X-2</v>
      </c>
      <c r="L744" s="50" t="s">
        <v>7267</v>
      </c>
      <c r="M744" s="50"/>
      <c r="N744" s="33" t="s">
        <v>6921</v>
      </c>
      <c r="O744" s="34"/>
      <c r="P744" s="34"/>
      <c r="Q744" s="24" t="str">
        <f t="shared" si="3"/>
        <v>https://docs.google.com/forms/d/e/1FAIpQLSeZ-R1GrWlAPkfaThGqxeTj0QTtrARw4rroxIIepf2kipn1nw/formResponse?usp=pp_url&amp;entry.1313582257=0092889165&amp;entry.1578404635=Hadir</v>
      </c>
      <c r="R744" s="23" t="s">
        <v>7290</v>
      </c>
      <c r="S744" s="39"/>
      <c r="T744" s="39"/>
      <c r="U744" s="39"/>
      <c r="V744" s="39"/>
    </row>
    <row r="745" ht="22.5" customHeight="1">
      <c r="A745" s="12">
        <v>302.0</v>
      </c>
      <c r="B745" s="32">
        <v>13.0</v>
      </c>
      <c r="C745" s="55" t="s">
        <v>7291</v>
      </c>
      <c r="D745" s="56">
        <v>2.42510124E8</v>
      </c>
      <c r="E745" s="32" t="s">
        <v>4184</v>
      </c>
      <c r="F745" s="32" t="s">
        <v>220</v>
      </c>
      <c r="G745" s="12">
        <v>32.0</v>
      </c>
      <c r="H745" s="48" t="str">
        <f t="shared" si="4"/>
        <v>  XI D-2</v>
      </c>
      <c r="I745" s="28" t="str">
        <f t="shared" si="2"/>
        <v>32 - BC X-1</v>
      </c>
      <c r="J745" s="20" t="str">
        <f>VLOOKUP(I745,'Database Grup SCC'!$B$2:$C1382,2,false)</f>
        <v>Arya</v>
      </c>
      <c r="K745" s="50" t="str">
        <f>VLOOKUP(D745,'Data Siswa Mentah 32 Kelas X'!$C$8:$E1382,3,false)</f>
        <v>X-1</v>
      </c>
      <c r="L745" s="50" t="s">
        <v>7267</v>
      </c>
      <c r="M745" s="50"/>
      <c r="N745" s="33" t="s">
        <v>6839</v>
      </c>
      <c r="O745" s="34"/>
      <c r="P745" s="34"/>
      <c r="Q745" s="24" t="str">
        <f t="shared" si="3"/>
        <v>https://docs.google.com/forms/d/e/1FAIpQLSeZ-R1GrWlAPkfaThGqxeTj0QTtrARw4rroxIIepf2kipn1nw/formResponse?usp=pp_url&amp;entry.1313582257=0089925170&amp;entry.1578404635=Hadir</v>
      </c>
      <c r="R745" s="23" t="s">
        <v>7292</v>
      </c>
      <c r="S745" s="39"/>
      <c r="T745" s="39"/>
      <c r="U745" s="39"/>
      <c r="V745" s="39"/>
    </row>
    <row r="746" ht="22.5" customHeight="1">
      <c r="A746" s="12">
        <v>303.0</v>
      </c>
      <c r="B746" s="32">
        <v>14.0</v>
      </c>
      <c r="C746" s="55" t="s">
        <v>7293</v>
      </c>
      <c r="D746" s="56">
        <v>2.42510138E8</v>
      </c>
      <c r="E746" s="32" t="s">
        <v>4190</v>
      </c>
      <c r="F746" s="32" t="s">
        <v>220</v>
      </c>
      <c r="G746" s="12">
        <v>32.0</v>
      </c>
      <c r="H746" s="48" t="str">
        <f t="shared" si="4"/>
        <v>  XI D-2</v>
      </c>
      <c r="I746" s="28" t="str">
        <f t="shared" si="2"/>
        <v>33 - BC X-7</v>
      </c>
      <c r="J746" s="20" t="str">
        <f>VLOOKUP(I746,'Database Grup SCC'!$B$2:$C1382,2,false)</f>
        <v>Rizza Al-Farisi</v>
      </c>
      <c r="K746" s="50" t="str">
        <f>VLOOKUP(D746,'Data Siswa Mentah 32 Kelas X'!$C$8:$E1382,3,false)</f>
        <v>X-7</v>
      </c>
      <c r="L746" s="50" t="s">
        <v>7267</v>
      </c>
      <c r="M746" s="50"/>
      <c r="N746" s="33" t="s">
        <v>6005</v>
      </c>
      <c r="O746" s="34"/>
      <c r="P746" s="34"/>
      <c r="Q746" s="24" t="str">
        <f t="shared" si="3"/>
        <v>https://docs.google.com/forms/d/e/1FAIpQLSeZ-R1GrWlAPkfaThGqxeTj0QTtrARw4rroxIIepf2kipn1nw/formResponse?usp=pp_url&amp;entry.1313582257=0097500016&amp;entry.1578404635=Hadir</v>
      </c>
      <c r="R746" s="23" t="s">
        <v>7294</v>
      </c>
      <c r="S746" s="39"/>
      <c r="T746" s="39"/>
      <c r="U746" s="39"/>
      <c r="V746" s="39"/>
    </row>
    <row r="747" ht="22.5" customHeight="1">
      <c r="A747" s="12">
        <v>304.0</v>
      </c>
      <c r="B747" s="32">
        <v>15.0</v>
      </c>
      <c r="C747" s="55" t="s">
        <v>7295</v>
      </c>
      <c r="D747" s="56">
        <v>2.42510143E8</v>
      </c>
      <c r="E747" s="32" t="s">
        <v>4195</v>
      </c>
      <c r="F747" s="32" t="s">
        <v>227</v>
      </c>
      <c r="G747" s="12">
        <v>32.0</v>
      </c>
      <c r="H747" s="48" t="str">
        <f t="shared" si="4"/>
        <v>  XI D-2</v>
      </c>
      <c r="I747" s="28" t="str">
        <f t="shared" si="2"/>
        <v>32 - GC X-3</v>
      </c>
      <c r="J747" s="20" t="str">
        <f>VLOOKUP(I747,'Database Grup SCC'!$B$2:$C1382,2,false)</f>
        <v>Devi</v>
      </c>
      <c r="K747" s="50" t="str">
        <f>VLOOKUP(D747,'Data Siswa Mentah 32 Kelas X'!$C$8:$E1382,3,false)</f>
        <v>X-3</v>
      </c>
      <c r="L747" s="50" t="s">
        <v>7267</v>
      </c>
      <c r="M747" s="50"/>
      <c r="N747" s="33" t="s">
        <v>6879</v>
      </c>
      <c r="O747" s="34"/>
      <c r="P747" s="34"/>
      <c r="Q747" s="24" t="str">
        <f t="shared" si="3"/>
        <v>https://docs.google.com/forms/d/e/1FAIpQLSeZ-R1GrWlAPkfaThGqxeTj0QTtrARw4rroxIIepf2kipn1nw/formResponse?usp=pp_url&amp;entry.1313582257=0091736459&amp;entry.1578404635=Hadir</v>
      </c>
      <c r="R747" s="23" t="s">
        <v>7296</v>
      </c>
      <c r="S747" s="39"/>
      <c r="T747" s="39"/>
      <c r="U747" s="39"/>
      <c r="V747" s="39"/>
    </row>
    <row r="748" ht="22.5" customHeight="1">
      <c r="A748" s="12">
        <v>305.0</v>
      </c>
      <c r="B748" s="32">
        <v>16.0</v>
      </c>
      <c r="C748" s="55" t="s">
        <v>7297</v>
      </c>
      <c r="D748" s="56">
        <v>2.42510151E8</v>
      </c>
      <c r="E748" s="32" t="s">
        <v>4200</v>
      </c>
      <c r="F748" s="32" t="s">
        <v>220</v>
      </c>
      <c r="G748" s="12">
        <v>32.0</v>
      </c>
      <c r="H748" s="48" t="str">
        <f t="shared" si="4"/>
        <v>  XI D-2</v>
      </c>
      <c r="I748" s="28" t="str">
        <f t="shared" si="2"/>
        <v>32 - BC X-12</v>
      </c>
      <c r="J748" s="20" t="str">
        <f>VLOOKUP(I748,'Database Grup SCC'!$B$2:$C1382,2,false)</f>
        <v>Syafiq</v>
      </c>
      <c r="K748" s="50" t="str">
        <f>VLOOKUP(D748,'Data Siswa Mentah 32 Kelas X'!$C$8:$E1382,3,false)</f>
        <v>X-12</v>
      </c>
      <c r="L748" s="50" t="s">
        <v>7267</v>
      </c>
      <c r="M748" s="50"/>
      <c r="N748" s="33" t="s">
        <v>6951</v>
      </c>
      <c r="O748" s="34"/>
      <c r="P748" s="34"/>
      <c r="Q748" s="24" t="str">
        <f t="shared" si="3"/>
        <v>https://docs.google.com/forms/d/e/1FAIpQLSeZ-R1GrWlAPkfaThGqxeTj0QTtrARw4rroxIIepf2kipn1nw/formResponse?usp=pp_url&amp;entry.1313582257=0083473619&amp;entry.1578404635=Hadir</v>
      </c>
      <c r="R748" s="23" t="s">
        <v>7298</v>
      </c>
      <c r="S748" s="39"/>
      <c r="T748" s="39"/>
      <c r="U748" s="39"/>
      <c r="V748" s="39"/>
    </row>
    <row r="749" ht="22.5" customHeight="1">
      <c r="A749" s="12">
        <v>306.0</v>
      </c>
      <c r="B749" s="32">
        <v>17.0</v>
      </c>
      <c r="C749" s="55" t="s">
        <v>7299</v>
      </c>
      <c r="D749" s="56">
        <v>2.42510202E8</v>
      </c>
      <c r="E749" s="32" t="s">
        <v>4205</v>
      </c>
      <c r="F749" s="32" t="s">
        <v>227</v>
      </c>
      <c r="G749" s="12">
        <v>32.0</v>
      </c>
      <c r="H749" s="48" t="str">
        <f t="shared" si="4"/>
        <v>  XI D-2</v>
      </c>
      <c r="I749" s="28" t="str">
        <f t="shared" si="2"/>
        <v>32 - GC X-6</v>
      </c>
      <c r="J749" s="20" t="str">
        <f>VLOOKUP(I749,'Database Grup SCC'!$B$2:$C1382,2,false)</f>
        <v>Zalika</v>
      </c>
      <c r="K749" s="50" t="str">
        <f>VLOOKUP(D749,'Data Siswa Mentah 32 Kelas X'!$C$8:$E1382,3,false)</f>
        <v>X-6</v>
      </c>
      <c r="L749" s="50" t="s">
        <v>7267</v>
      </c>
      <c r="M749" s="50"/>
      <c r="N749" s="33" t="s">
        <v>6924</v>
      </c>
      <c r="O749" s="34"/>
      <c r="P749" s="34"/>
      <c r="Q749" s="24" t="str">
        <f t="shared" si="3"/>
        <v>https://docs.google.com/forms/d/e/1FAIpQLSeZ-R1GrWlAPkfaThGqxeTj0QTtrARw4rroxIIepf2kipn1nw/formResponse?usp=pp_url&amp;entry.1313582257=0095965332&amp;entry.1578404635=Hadir</v>
      </c>
      <c r="R749" s="23" t="s">
        <v>7300</v>
      </c>
      <c r="S749" s="39"/>
      <c r="T749" s="39"/>
      <c r="U749" s="39"/>
      <c r="V749" s="39"/>
    </row>
    <row r="750" ht="22.5" customHeight="1">
      <c r="A750" s="12">
        <v>307.0</v>
      </c>
      <c r="B750" s="32">
        <v>18.0</v>
      </c>
      <c r="C750" s="55" t="s">
        <v>7301</v>
      </c>
      <c r="D750" s="56">
        <v>2.42510204E8</v>
      </c>
      <c r="E750" s="32" t="s">
        <v>4210</v>
      </c>
      <c r="F750" s="32" t="s">
        <v>227</v>
      </c>
      <c r="G750" s="12">
        <v>32.0</v>
      </c>
      <c r="H750" s="48" t="str">
        <f t="shared" si="4"/>
        <v>  XI D-2</v>
      </c>
      <c r="I750" s="28" t="str">
        <f t="shared" si="2"/>
        <v>32 - GC X-6</v>
      </c>
      <c r="J750" s="20" t="str">
        <f>VLOOKUP(I750,'Database Grup SCC'!$B$2:$C1382,2,false)</f>
        <v>Zalika</v>
      </c>
      <c r="K750" s="50" t="str">
        <f>VLOOKUP(D750,'Data Siswa Mentah 32 Kelas X'!$C$8:$E1382,3,false)</f>
        <v>X-6</v>
      </c>
      <c r="L750" s="50" t="s">
        <v>7267</v>
      </c>
      <c r="M750" s="50"/>
      <c r="N750" s="33" t="s">
        <v>6924</v>
      </c>
      <c r="O750" s="34"/>
      <c r="P750" s="34"/>
      <c r="Q750" s="24" t="str">
        <f t="shared" si="3"/>
        <v>https://docs.google.com/forms/d/e/1FAIpQLSeZ-R1GrWlAPkfaThGqxeTj0QTtrARw4rroxIIepf2kipn1nw/formResponse?usp=pp_url&amp;entry.1313582257=3089802088&amp;entry.1578404635=Hadir</v>
      </c>
      <c r="R750" s="23" t="s">
        <v>7302</v>
      </c>
      <c r="S750" s="39"/>
      <c r="T750" s="39"/>
      <c r="U750" s="39"/>
      <c r="V750" s="39"/>
    </row>
    <row r="751" ht="22.5" customHeight="1">
      <c r="A751" s="12">
        <v>308.0</v>
      </c>
      <c r="B751" s="32">
        <v>19.0</v>
      </c>
      <c r="C751" s="55" t="s">
        <v>7303</v>
      </c>
      <c r="D751" s="56">
        <v>2.42510215E8</v>
      </c>
      <c r="E751" s="32" t="s">
        <v>4215</v>
      </c>
      <c r="F751" s="32" t="s">
        <v>220</v>
      </c>
      <c r="G751" s="12">
        <v>32.0</v>
      </c>
      <c r="H751" s="48" t="str">
        <f t="shared" si="4"/>
        <v>  XI D-2</v>
      </c>
      <c r="I751" s="28" t="str">
        <f t="shared" si="2"/>
        <v>33 - BC X-7</v>
      </c>
      <c r="J751" s="20" t="str">
        <f>VLOOKUP(I751,'Database Grup SCC'!$B$2:$C1382,2,false)</f>
        <v>Rizza Al-Farisi</v>
      </c>
      <c r="K751" s="50" t="str">
        <f>VLOOKUP(D751,'Data Siswa Mentah 32 Kelas X'!$C$8:$E1382,3,false)</f>
        <v>X-7</v>
      </c>
      <c r="L751" s="50" t="s">
        <v>7267</v>
      </c>
      <c r="M751" s="50"/>
      <c r="N751" s="33" t="s">
        <v>6005</v>
      </c>
      <c r="O751" s="34"/>
      <c r="P751" s="34"/>
      <c r="Q751" s="24" t="str">
        <f t="shared" si="3"/>
        <v>https://docs.google.com/forms/d/e/1FAIpQLSeZ-R1GrWlAPkfaThGqxeTj0QTtrARw4rroxIIepf2kipn1nw/formResponse?usp=pp_url&amp;entry.1313582257=0083558880&amp;entry.1578404635=Hadir</v>
      </c>
      <c r="R751" s="23" t="s">
        <v>7304</v>
      </c>
      <c r="S751" s="39"/>
      <c r="T751" s="39"/>
      <c r="U751" s="39"/>
      <c r="V751" s="39"/>
    </row>
    <row r="752" ht="22.5" customHeight="1">
      <c r="A752" s="12">
        <v>309.0</v>
      </c>
      <c r="B752" s="32">
        <v>20.0</v>
      </c>
      <c r="C752" s="55" t="s">
        <v>7305</v>
      </c>
      <c r="D752" s="56">
        <v>2.42510217E8</v>
      </c>
      <c r="E752" s="32" t="s">
        <v>4221</v>
      </c>
      <c r="F752" s="32" t="s">
        <v>220</v>
      </c>
      <c r="G752" s="12">
        <v>32.0</v>
      </c>
      <c r="H752" s="48" t="str">
        <f t="shared" si="4"/>
        <v>  XI D-2</v>
      </c>
      <c r="I752" s="28" t="str">
        <f t="shared" si="2"/>
        <v>33 - BC X-10</v>
      </c>
      <c r="J752" s="20" t="str">
        <f>VLOOKUP(I752,'Database Grup SCC'!$B$2:$C1382,2,false)</f>
        <v>Irghi (XII)</v>
      </c>
      <c r="K752" s="50" t="str">
        <f>VLOOKUP(D752,'Data Siswa Mentah 32 Kelas X'!$C$8:$E1382,3,false)</f>
        <v>X-10</v>
      </c>
      <c r="L752" s="50" t="s">
        <v>7267</v>
      </c>
      <c r="M752" s="50"/>
      <c r="N752" s="33" t="s">
        <v>6425</v>
      </c>
      <c r="O752" s="34"/>
      <c r="P752" s="34"/>
      <c r="Q752" s="24" t="str">
        <f t="shared" si="3"/>
        <v>https://docs.google.com/forms/d/e/1FAIpQLSeZ-R1GrWlAPkfaThGqxeTj0QTtrARw4rroxIIepf2kipn1nw/formResponse?usp=pp_url&amp;entry.1313582257=0087939718&amp;entry.1578404635=Hadir</v>
      </c>
      <c r="R752" s="23" t="s">
        <v>7306</v>
      </c>
      <c r="S752" s="39"/>
      <c r="T752" s="39"/>
      <c r="U752" s="39"/>
      <c r="V752" s="39"/>
    </row>
    <row r="753" ht="22.5" customHeight="1">
      <c r="A753" s="12">
        <v>310.0</v>
      </c>
      <c r="B753" s="32">
        <v>21.0</v>
      </c>
      <c r="C753" s="55" t="s">
        <v>7307</v>
      </c>
      <c r="D753" s="56">
        <v>2.42510256E8</v>
      </c>
      <c r="E753" s="32" t="s">
        <v>4226</v>
      </c>
      <c r="F753" s="32" t="s">
        <v>220</v>
      </c>
      <c r="G753" s="12">
        <v>32.0</v>
      </c>
      <c r="H753" s="48" t="str">
        <f t="shared" si="4"/>
        <v>  XI D-2</v>
      </c>
      <c r="I753" s="28" t="str">
        <f t="shared" si="2"/>
        <v>32 - BC X-11</v>
      </c>
      <c r="J753" s="20" t="str">
        <f>VLOOKUP(I753,'Database Grup SCC'!$B$2:$C1382,2,false)</f>
        <v>Dimas</v>
      </c>
      <c r="K753" s="50" t="str">
        <f>VLOOKUP(D753,'Data Siswa Mentah 32 Kelas X'!$C$8:$E1382,3,false)</f>
        <v>X-11</v>
      </c>
      <c r="L753" s="50" t="s">
        <v>7267</v>
      </c>
      <c r="M753" s="50"/>
      <c r="N753" s="33" t="s">
        <v>6821</v>
      </c>
      <c r="O753" s="34"/>
      <c r="P753" s="34"/>
      <c r="Q753" s="24" t="str">
        <f t="shared" si="3"/>
        <v>https://docs.google.com/forms/d/e/1FAIpQLSeZ-R1GrWlAPkfaThGqxeTj0QTtrARw4rroxIIepf2kipn1nw/formResponse?usp=pp_url&amp;entry.1313582257=3086429713&amp;entry.1578404635=Hadir</v>
      </c>
      <c r="R753" s="23" t="s">
        <v>7308</v>
      </c>
      <c r="S753" s="39"/>
      <c r="T753" s="39"/>
      <c r="U753" s="39"/>
      <c r="V753" s="39"/>
    </row>
    <row r="754" ht="22.5" customHeight="1">
      <c r="A754" s="12">
        <v>311.0</v>
      </c>
      <c r="B754" s="32">
        <v>22.0</v>
      </c>
      <c r="C754" s="55" t="s">
        <v>7309</v>
      </c>
      <c r="D754" s="56">
        <v>2.4251027E8</v>
      </c>
      <c r="E754" s="32" t="s">
        <v>4231</v>
      </c>
      <c r="F754" s="32" t="s">
        <v>220</v>
      </c>
      <c r="G754" s="12">
        <v>32.0</v>
      </c>
      <c r="H754" s="48" t="str">
        <f t="shared" si="4"/>
        <v>  XI D-2</v>
      </c>
      <c r="I754" s="28" t="str">
        <f t="shared" si="2"/>
        <v>32 - BC X-2</v>
      </c>
      <c r="J754" s="20" t="str">
        <f>VLOOKUP(I754,'Database Grup SCC'!$B$2:$C1382,2,false)</f>
        <v>Rafli (XII)</v>
      </c>
      <c r="K754" s="50" t="str">
        <f>VLOOKUP(D754,'Data Siswa Mentah 32 Kelas X'!$C$8:$E1382,3,false)</f>
        <v>X-2</v>
      </c>
      <c r="L754" s="50" t="s">
        <v>7267</v>
      </c>
      <c r="M754" s="50"/>
      <c r="N754" s="33" t="s">
        <v>6869</v>
      </c>
      <c r="O754" s="34"/>
      <c r="P754" s="34"/>
      <c r="Q754" s="24" t="str">
        <f t="shared" si="3"/>
        <v>https://docs.google.com/forms/d/e/1FAIpQLSeZ-R1GrWlAPkfaThGqxeTj0QTtrARw4rroxIIepf2kipn1nw/formResponse?usp=pp_url&amp;entry.1313582257=0082222599&amp;entry.1578404635=Hadir</v>
      </c>
      <c r="R754" s="23" t="s">
        <v>7310</v>
      </c>
      <c r="S754" s="39"/>
      <c r="T754" s="39"/>
      <c r="U754" s="39"/>
      <c r="V754" s="39"/>
    </row>
    <row r="755" ht="22.5" customHeight="1">
      <c r="A755" s="12">
        <v>312.0</v>
      </c>
      <c r="B755" s="32">
        <v>23.0</v>
      </c>
      <c r="C755" s="55" t="s">
        <v>7311</v>
      </c>
      <c r="D755" s="56">
        <v>2.42510277E8</v>
      </c>
      <c r="E755" s="32" t="s">
        <v>4236</v>
      </c>
      <c r="F755" s="32" t="s">
        <v>220</v>
      </c>
      <c r="G755" s="12">
        <v>32.0</v>
      </c>
      <c r="H755" s="48" t="str">
        <f t="shared" si="4"/>
        <v>  XI D-2</v>
      </c>
      <c r="I755" s="28" t="str">
        <f t="shared" si="2"/>
        <v>32 - BC X-12</v>
      </c>
      <c r="J755" s="20" t="str">
        <f>VLOOKUP(I755,'Database Grup SCC'!$B$2:$C1382,2,false)</f>
        <v>Syafiq</v>
      </c>
      <c r="K755" s="50" t="str">
        <f>VLOOKUP(D755,'Data Siswa Mentah 32 Kelas X'!$C$8:$E1382,3,false)</f>
        <v>X-12</v>
      </c>
      <c r="L755" s="50" t="s">
        <v>7267</v>
      </c>
      <c r="M755" s="50"/>
      <c r="N755" s="33" t="s">
        <v>6951</v>
      </c>
      <c r="O755" s="34"/>
      <c r="P755" s="34"/>
      <c r="Q755" s="24" t="str">
        <f t="shared" si="3"/>
        <v>https://docs.google.com/forms/d/e/1FAIpQLSeZ-R1GrWlAPkfaThGqxeTj0QTtrARw4rroxIIepf2kipn1nw/formResponse?usp=pp_url&amp;entry.1313582257=0096947097&amp;entry.1578404635=Hadir</v>
      </c>
      <c r="R755" s="23" t="s">
        <v>7312</v>
      </c>
      <c r="S755" s="39"/>
      <c r="T755" s="39"/>
      <c r="U755" s="39"/>
      <c r="V755" s="39"/>
    </row>
    <row r="756" ht="22.5" customHeight="1">
      <c r="A756" s="12">
        <v>313.0</v>
      </c>
      <c r="B756" s="32">
        <v>24.0</v>
      </c>
      <c r="C756" s="55" t="s">
        <v>7313</v>
      </c>
      <c r="D756" s="56">
        <v>2.42510285E8</v>
      </c>
      <c r="E756" s="32" t="s">
        <v>4241</v>
      </c>
      <c r="F756" s="32" t="s">
        <v>227</v>
      </c>
      <c r="G756" s="12">
        <v>32.0</v>
      </c>
      <c r="H756" s="48" t="str">
        <f t="shared" si="4"/>
        <v>  XI D-2</v>
      </c>
      <c r="I756" s="28" t="str">
        <f t="shared" si="2"/>
        <v>32 - GC X-4</v>
      </c>
      <c r="J756" s="20" t="str">
        <f>VLOOKUP(I756,'Database Grup SCC'!$B$2:$C1382,2,false)</f>
        <v>Nadira</v>
      </c>
      <c r="K756" s="50" t="str">
        <f>VLOOKUP(D756,'Data Siswa Mentah 32 Kelas X'!$C$8:$E1382,3,false)</f>
        <v>X-4</v>
      </c>
      <c r="L756" s="50" t="s">
        <v>7267</v>
      </c>
      <c r="M756" s="50"/>
      <c r="N756" s="33" t="s">
        <v>6853</v>
      </c>
      <c r="O756" s="34"/>
      <c r="P756" s="34"/>
      <c r="Q756" s="24" t="str">
        <f t="shared" si="3"/>
        <v>https://docs.google.com/forms/d/e/1FAIpQLSeZ-R1GrWlAPkfaThGqxeTj0QTtrARw4rroxIIepf2kipn1nw/formResponse?usp=pp_url&amp;entry.1313582257=0088243290&amp;entry.1578404635=Hadir</v>
      </c>
      <c r="R756" s="23" t="s">
        <v>7314</v>
      </c>
      <c r="S756" s="39"/>
      <c r="T756" s="39"/>
      <c r="U756" s="39"/>
      <c r="V756" s="39"/>
    </row>
    <row r="757" ht="22.5" customHeight="1">
      <c r="A757" s="12">
        <v>314.0</v>
      </c>
      <c r="B757" s="32">
        <v>25.0</v>
      </c>
      <c r="C757" s="55" t="s">
        <v>7315</v>
      </c>
      <c r="D757" s="56">
        <v>2.42510305E8</v>
      </c>
      <c r="E757" s="32" t="s">
        <v>4246</v>
      </c>
      <c r="F757" s="32" t="s">
        <v>227</v>
      </c>
      <c r="G757" s="12">
        <v>32.0</v>
      </c>
      <c r="H757" s="48" t="str">
        <f t="shared" si="4"/>
        <v>  XI D-2</v>
      </c>
      <c r="I757" s="28" t="str">
        <f t="shared" si="2"/>
        <v>32 - GC X-1</v>
      </c>
      <c r="J757" s="20" t="str">
        <f>VLOOKUP(I757,'Database Grup SCC'!$B$2:$C1382,2,false)</f>
        <v>Nia</v>
      </c>
      <c r="K757" s="50" t="str">
        <f>VLOOKUP(D757,'Data Siswa Mentah 32 Kelas X'!$C$8:$E1382,3,false)</f>
        <v>X-1</v>
      </c>
      <c r="L757" s="50" t="s">
        <v>7267</v>
      </c>
      <c r="M757" s="50"/>
      <c r="N757" s="33" t="s">
        <v>6829</v>
      </c>
      <c r="O757" s="34"/>
      <c r="P757" s="34"/>
      <c r="Q757" s="24" t="str">
        <f t="shared" si="3"/>
        <v>https://docs.google.com/forms/d/e/1FAIpQLSeZ-R1GrWlAPkfaThGqxeTj0QTtrARw4rroxIIepf2kipn1nw/formResponse?usp=pp_url&amp;entry.1313582257=0083111399&amp;entry.1578404635=Hadir</v>
      </c>
      <c r="R757" s="23" t="s">
        <v>7316</v>
      </c>
      <c r="S757" s="39"/>
      <c r="T757" s="39"/>
      <c r="U757" s="39"/>
      <c r="V757" s="39"/>
    </row>
    <row r="758" ht="22.5" customHeight="1">
      <c r="A758" s="12">
        <v>315.0</v>
      </c>
      <c r="B758" s="32">
        <v>26.0</v>
      </c>
      <c r="C758" s="55" t="s">
        <v>7317</v>
      </c>
      <c r="D758" s="56">
        <v>2.42510327E8</v>
      </c>
      <c r="E758" s="32" t="s">
        <v>4251</v>
      </c>
      <c r="F758" s="32" t="s">
        <v>227</v>
      </c>
      <c r="G758" s="12">
        <v>32.0</v>
      </c>
      <c r="H758" s="48" t="str">
        <f t="shared" si="4"/>
        <v>  XI D-2</v>
      </c>
      <c r="I758" s="28" t="str">
        <f t="shared" si="2"/>
        <v>32 - GC X-10</v>
      </c>
      <c r="J758" s="20" t="str">
        <f>VLOOKUP(I758,'Database Grup SCC'!$B$2:$C1382,2,false)</f>
        <v>Athaya</v>
      </c>
      <c r="K758" s="50" t="str">
        <f>VLOOKUP(D758,'Data Siswa Mentah 32 Kelas X'!$C$8:$E1382,3,false)</f>
        <v>X-10</v>
      </c>
      <c r="L758" s="50" t="s">
        <v>7267</v>
      </c>
      <c r="M758" s="50"/>
      <c r="N758" s="33" t="s">
        <v>6865</v>
      </c>
      <c r="O758" s="34"/>
      <c r="P758" s="34"/>
      <c r="Q758" s="24" t="str">
        <f t="shared" si="3"/>
        <v>https://docs.google.com/forms/d/e/1FAIpQLSeZ-R1GrWlAPkfaThGqxeTj0QTtrARw4rroxIIepf2kipn1nw/formResponse?usp=pp_url&amp;entry.1313582257=0098495672&amp;entry.1578404635=Hadir</v>
      </c>
      <c r="R758" s="23" t="s">
        <v>7318</v>
      </c>
      <c r="S758" s="39"/>
      <c r="T758" s="39"/>
      <c r="U758" s="39"/>
      <c r="V758" s="39"/>
    </row>
    <row r="759" ht="22.5" customHeight="1">
      <c r="A759" s="12">
        <v>316.0</v>
      </c>
      <c r="B759" s="32">
        <v>27.0</v>
      </c>
      <c r="C759" s="55" t="s">
        <v>7319</v>
      </c>
      <c r="D759" s="56">
        <v>2.42510335E8</v>
      </c>
      <c r="E759" s="32" t="s">
        <v>4257</v>
      </c>
      <c r="F759" s="32" t="s">
        <v>227</v>
      </c>
      <c r="G759" s="12">
        <v>32.0</v>
      </c>
      <c r="H759" s="48" t="str">
        <f t="shared" si="4"/>
        <v>  XI D-2</v>
      </c>
      <c r="I759" s="28" t="str">
        <f t="shared" si="2"/>
        <v>32 - GC X-6</v>
      </c>
      <c r="J759" s="20" t="str">
        <f>VLOOKUP(I759,'Database Grup SCC'!$B$2:$C1382,2,false)</f>
        <v>Zalika</v>
      </c>
      <c r="K759" s="50" t="str">
        <f>VLOOKUP(D759,'Data Siswa Mentah 32 Kelas X'!$C$8:$E1382,3,false)</f>
        <v>X-6</v>
      </c>
      <c r="L759" s="50" t="s">
        <v>7267</v>
      </c>
      <c r="M759" s="50"/>
      <c r="N759" s="33" t="s">
        <v>6924</v>
      </c>
      <c r="O759" s="34"/>
      <c r="P759" s="34"/>
      <c r="Q759" s="24" t="str">
        <f t="shared" si="3"/>
        <v>https://docs.google.com/forms/d/e/1FAIpQLSeZ-R1GrWlAPkfaThGqxeTj0QTtrARw4rroxIIepf2kipn1nw/formResponse?usp=pp_url&amp;entry.1313582257=0087033208&amp;entry.1578404635=Hadir</v>
      </c>
      <c r="R759" s="23" t="s">
        <v>7320</v>
      </c>
      <c r="S759" s="39"/>
      <c r="T759" s="39"/>
      <c r="U759" s="39"/>
      <c r="V759" s="39"/>
    </row>
    <row r="760" ht="22.5" customHeight="1">
      <c r="A760" s="12">
        <v>317.0</v>
      </c>
      <c r="B760" s="32">
        <v>28.0</v>
      </c>
      <c r="C760" s="55" t="s">
        <v>7321</v>
      </c>
      <c r="D760" s="56">
        <v>2.42510365E8</v>
      </c>
      <c r="E760" s="32" t="s">
        <v>4262</v>
      </c>
      <c r="F760" s="32" t="s">
        <v>227</v>
      </c>
      <c r="G760" s="12">
        <v>32.0</v>
      </c>
      <c r="H760" s="48" t="str">
        <f t="shared" si="4"/>
        <v>  XI D-2</v>
      </c>
      <c r="I760" s="28" t="str">
        <f t="shared" si="2"/>
        <v>32 - GC X-5</v>
      </c>
      <c r="J760" s="20" t="str">
        <f>VLOOKUP(I760,'Database Grup SCC'!$B$2:$C1382,2,false)</f>
        <v>Amel</v>
      </c>
      <c r="K760" s="50" t="str">
        <f>VLOOKUP(D760,'Data Siswa Mentah 32 Kelas X'!$C$8:$E1382,3,false)</f>
        <v>X-5</v>
      </c>
      <c r="L760" s="50" t="s">
        <v>7267</v>
      </c>
      <c r="M760" s="50"/>
      <c r="N760" s="33" t="s">
        <v>6872</v>
      </c>
      <c r="O760" s="34"/>
      <c r="P760" s="34"/>
      <c r="Q760" s="24" t="str">
        <f t="shared" si="3"/>
        <v>https://docs.google.com/forms/d/e/1FAIpQLSeZ-R1GrWlAPkfaThGqxeTj0QTtrARw4rroxIIepf2kipn1nw/formResponse?usp=pp_url&amp;entry.1313582257=0087540462&amp;entry.1578404635=Hadir</v>
      </c>
      <c r="R760" s="23" t="s">
        <v>7322</v>
      </c>
      <c r="S760" s="39"/>
      <c r="T760" s="39"/>
      <c r="U760" s="39"/>
      <c r="V760" s="39"/>
    </row>
    <row r="761" ht="22.5" customHeight="1">
      <c r="A761" s="12">
        <v>318.0</v>
      </c>
      <c r="B761" s="32">
        <v>29.0</v>
      </c>
      <c r="C761" s="55" t="s">
        <v>7323</v>
      </c>
      <c r="D761" s="56">
        <v>2.4251037E8</v>
      </c>
      <c r="E761" s="32" t="s">
        <v>4267</v>
      </c>
      <c r="F761" s="32" t="s">
        <v>220</v>
      </c>
      <c r="G761" s="12">
        <v>32.0</v>
      </c>
      <c r="H761" s="48" t="str">
        <f t="shared" si="4"/>
        <v>  XI D-2</v>
      </c>
      <c r="I761" s="28" t="str">
        <f t="shared" si="2"/>
        <v>33 - BC X-6</v>
      </c>
      <c r="J761" s="20" t="str">
        <f>VLOOKUP(I761,'Database Grup SCC'!$B$2:$C1382,2,false)</f>
        <v>Rizki Putra</v>
      </c>
      <c r="K761" s="50" t="str">
        <f>VLOOKUP(D761,'Data Siswa Mentah 32 Kelas X'!$C$8:$E1382,3,false)</f>
        <v>X-6</v>
      </c>
      <c r="L761" s="50" t="s">
        <v>7267</v>
      </c>
      <c r="M761" s="50"/>
      <c r="N761" s="33" t="s">
        <v>5926</v>
      </c>
      <c r="O761" s="34"/>
      <c r="P761" s="34"/>
      <c r="Q761" s="24" t="str">
        <f t="shared" si="3"/>
        <v>https://docs.google.com/forms/d/e/1FAIpQLSeZ-R1GrWlAPkfaThGqxeTj0QTtrARw4rroxIIepf2kipn1nw/formResponse?usp=pp_url&amp;entry.1313582257=0098177122&amp;entry.1578404635=Hadir</v>
      </c>
      <c r="R761" s="23" t="s">
        <v>7324</v>
      </c>
      <c r="S761" s="39"/>
      <c r="T761" s="39"/>
      <c r="U761" s="39"/>
      <c r="V761" s="39"/>
    </row>
    <row r="762" ht="22.5" customHeight="1">
      <c r="A762" s="12">
        <v>319.0</v>
      </c>
      <c r="B762" s="32">
        <v>30.0</v>
      </c>
      <c r="C762" s="55" t="s">
        <v>7325</v>
      </c>
      <c r="D762" s="56">
        <v>2.42510376E8</v>
      </c>
      <c r="E762" s="32" t="s">
        <v>4272</v>
      </c>
      <c r="F762" s="32" t="s">
        <v>220</v>
      </c>
      <c r="G762" s="12">
        <v>32.0</v>
      </c>
      <c r="H762" s="48" t="str">
        <f t="shared" si="4"/>
        <v>  XI D-2</v>
      </c>
      <c r="I762" s="28" t="str">
        <f t="shared" si="2"/>
        <v>33 - BC X-10</v>
      </c>
      <c r="J762" s="20" t="str">
        <f>VLOOKUP(I762,'Database Grup SCC'!$B$2:$C1382,2,false)</f>
        <v>Irghi (XII)</v>
      </c>
      <c r="K762" s="50" t="str">
        <f>VLOOKUP(D762,'Data Siswa Mentah 32 Kelas X'!$C$8:$E1382,3,false)</f>
        <v>X-10</v>
      </c>
      <c r="L762" s="50" t="s">
        <v>7267</v>
      </c>
      <c r="M762" s="50"/>
      <c r="N762" s="33" t="s">
        <v>6425</v>
      </c>
      <c r="O762" s="34"/>
      <c r="P762" s="34"/>
      <c r="Q762" s="24" t="str">
        <f t="shared" si="3"/>
        <v>https://docs.google.com/forms/d/e/1FAIpQLSeZ-R1GrWlAPkfaThGqxeTj0QTtrARw4rroxIIepf2kipn1nw/formResponse?usp=pp_url&amp;entry.1313582257=0084182636&amp;entry.1578404635=Hadir</v>
      </c>
      <c r="R762" s="23" t="s">
        <v>7326</v>
      </c>
      <c r="S762" s="39"/>
      <c r="T762" s="39"/>
      <c r="U762" s="39"/>
      <c r="V762" s="39"/>
    </row>
    <row r="763" ht="22.5" customHeight="1">
      <c r="A763" s="12">
        <v>320.0</v>
      </c>
      <c r="B763" s="32">
        <v>31.0</v>
      </c>
      <c r="C763" s="55" t="s">
        <v>7327</v>
      </c>
      <c r="D763" s="56">
        <v>2.42510397E8</v>
      </c>
      <c r="E763" s="32" t="s">
        <v>4277</v>
      </c>
      <c r="F763" s="32" t="s">
        <v>227</v>
      </c>
      <c r="G763" s="12">
        <v>32.0</v>
      </c>
      <c r="H763" s="48" t="str">
        <f t="shared" si="4"/>
        <v>  XI D-2</v>
      </c>
      <c r="I763" s="28" t="str">
        <f t="shared" si="2"/>
        <v>32 - GC X-1</v>
      </c>
      <c r="J763" s="20" t="str">
        <f>VLOOKUP(I763,'Database Grup SCC'!$B$2:$C1382,2,false)</f>
        <v>Nia</v>
      </c>
      <c r="K763" s="50" t="str">
        <f>VLOOKUP(D763,'Data Siswa Mentah 32 Kelas X'!$C$8:$E1382,3,false)</f>
        <v>X-1</v>
      </c>
      <c r="L763" s="50" t="s">
        <v>7267</v>
      </c>
      <c r="M763" s="50"/>
      <c r="N763" s="33" t="s">
        <v>6829</v>
      </c>
      <c r="O763" s="34"/>
      <c r="P763" s="34"/>
      <c r="Q763" s="24" t="str">
        <f t="shared" si="3"/>
        <v>https://docs.google.com/forms/d/e/1FAIpQLSeZ-R1GrWlAPkfaThGqxeTj0QTtrARw4rroxIIepf2kipn1nw/formResponse?usp=pp_url&amp;entry.1313582257=0092533632&amp;entry.1578404635=Hadir</v>
      </c>
      <c r="R763" s="23" t="s">
        <v>7328</v>
      </c>
      <c r="S763" s="39"/>
      <c r="T763" s="39"/>
      <c r="U763" s="39"/>
      <c r="V763" s="39"/>
    </row>
    <row r="764" ht="22.5" customHeight="1">
      <c r="A764" s="12">
        <v>321.0</v>
      </c>
      <c r="B764" s="32">
        <v>32.0</v>
      </c>
      <c r="C764" s="55" t="s">
        <v>7329</v>
      </c>
      <c r="D764" s="56">
        <v>2.42510418E8</v>
      </c>
      <c r="E764" s="32" t="s">
        <v>4282</v>
      </c>
      <c r="F764" s="32" t="s">
        <v>227</v>
      </c>
      <c r="G764" s="12">
        <v>32.0</v>
      </c>
      <c r="H764" s="48" t="str">
        <f t="shared" si="4"/>
        <v>  XI D-2</v>
      </c>
      <c r="I764" s="28" t="str">
        <f t="shared" si="2"/>
        <v>32 - GC X-8</v>
      </c>
      <c r="J764" s="20" t="str">
        <f>VLOOKUP(I764,'Database Grup SCC'!$B$2:$C1382,2,false)</f>
        <v>Amel (XII)</v>
      </c>
      <c r="K764" s="50" t="str">
        <f>VLOOKUP(D764,'Data Siswa Mentah 32 Kelas X'!$C$8:$E1382,3,false)</f>
        <v>X-8</v>
      </c>
      <c r="L764" s="50" t="s">
        <v>7267</v>
      </c>
      <c r="M764" s="50"/>
      <c r="N764" s="33" t="s">
        <v>6858</v>
      </c>
      <c r="O764" s="34"/>
      <c r="P764" s="34"/>
      <c r="Q764" s="24" t="str">
        <f t="shared" si="3"/>
        <v>https://docs.google.com/forms/d/e/1FAIpQLSeZ-R1GrWlAPkfaThGqxeTj0QTtrARw4rroxIIepf2kipn1nw/formResponse?usp=pp_url&amp;entry.1313582257=0089659957&amp;entry.1578404635=Hadir</v>
      </c>
      <c r="R764" s="23" t="s">
        <v>7330</v>
      </c>
      <c r="S764" s="39"/>
      <c r="T764" s="39"/>
      <c r="U764" s="39"/>
      <c r="V764" s="39"/>
    </row>
    <row r="765" ht="22.5" customHeight="1">
      <c r="A765" s="12">
        <v>322.0</v>
      </c>
      <c r="B765" s="32">
        <v>33.0</v>
      </c>
      <c r="C765" s="55" t="s">
        <v>7331</v>
      </c>
      <c r="D765" s="56">
        <v>2.42510419E8</v>
      </c>
      <c r="E765" s="32" t="s">
        <v>4287</v>
      </c>
      <c r="F765" s="32" t="s">
        <v>227</v>
      </c>
      <c r="G765" s="12">
        <v>32.0</v>
      </c>
      <c r="H765" s="48" t="str">
        <f t="shared" si="4"/>
        <v>  XI D-2</v>
      </c>
      <c r="I765" s="28" t="str">
        <f t="shared" si="2"/>
        <v>32 - GC X-3</v>
      </c>
      <c r="J765" s="20" t="str">
        <f>VLOOKUP(I765,'Database Grup SCC'!$B$2:$C1382,2,false)</f>
        <v>Devi</v>
      </c>
      <c r="K765" s="50" t="str">
        <f>VLOOKUP(D765,'Data Siswa Mentah 32 Kelas X'!$C$8:$E1382,3,false)</f>
        <v>X-3</v>
      </c>
      <c r="L765" s="50" t="s">
        <v>7267</v>
      </c>
      <c r="M765" s="50"/>
      <c r="N765" s="33" t="s">
        <v>6879</v>
      </c>
      <c r="O765" s="34"/>
      <c r="P765" s="34"/>
      <c r="Q765" s="24" t="str">
        <f t="shared" si="3"/>
        <v>https://docs.google.com/forms/d/e/1FAIpQLSeZ-R1GrWlAPkfaThGqxeTj0QTtrARw4rroxIIepf2kipn1nw/formResponse?usp=pp_url&amp;entry.1313582257=0094494926&amp;entry.1578404635=Hadir</v>
      </c>
      <c r="R765" s="23" t="s">
        <v>7332</v>
      </c>
      <c r="S765" s="39"/>
      <c r="T765" s="39"/>
      <c r="U765" s="39"/>
      <c r="V765" s="39"/>
    </row>
    <row r="766" ht="22.5" customHeight="1">
      <c r="A766" s="12">
        <v>323.0</v>
      </c>
      <c r="B766" s="32">
        <v>34.0</v>
      </c>
      <c r="C766" s="55" t="s">
        <v>7333</v>
      </c>
      <c r="D766" s="56">
        <v>2.42510422E8</v>
      </c>
      <c r="E766" s="32" t="s">
        <v>4293</v>
      </c>
      <c r="F766" s="32" t="s">
        <v>227</v>
      </c>
      <c r="G766" s="12">
        <v>32.0</v>
      </c>
      <c r="H766" s="48" t="str">
        <f t="shared" si="4"/>
        <v>  XI D-2</v>
      </c>
      <c r="I766" s="28" t="str">
        <f t="shared" si="2"/>
        <v>32 - GC X-6</v>
      </c>
      <c r="J766" s="20" t="str">
        <f>VLOOKUP(I766,'Database Grup SCC'!$B$2:$C1382,2,false)</f>
        <v>Zalika</v>
      </c>
      <c r="K766" s="50" t="str">
        <f>VLOOKUP(D766,'Data Siswa Mentah 32 Kelas X'!$C$8:$E1382,3,false)</f>
        <v>X-6</v>
      </c>
      <c r="L766" s="50" t="s">
        <v>7267</v>
      </c>
      <c r="M766" s="50"/>
      <c r="N766" s="33" t="s">
        <v>6924</v>
      </c>
      <c r="O766" s="34"/>
      <c r="P766" s="34"/>
      <c r="Q766" s="24" t="str">
        <f t="shared" si="3"/>
        <v>https://docs.google.com/forms/d/e/1FAIpQLSeZ-R1GrWlAPkfaThGqxeTj0QTtrARw4rroxIIepf2kipn1nw/formResponse?usp=pp_url&amp;entry.1313582257=0083550559&amp;entry.1578404635=Hadir</v>
      </c>
      <c r="R766" s="23" t="s">
        <v>7334</v>
      </c>
      <c r="S766" s="39"/>
      <c r="T766" s="39"/>
      <c r="U766" s="39"/>
      <c r="V766" s="39"/>
    </row>
    <row r="767" ht="22.5" customHeight="1">
      <c r="A767" s="12">
        <v>324.0</v>
      </c>
      <c r="B767" s="32">
        <v>35.0</v>
      </c>
      <c r="C767" s="55" t="s">
        <v>7335</v>
      </c>
      <c r="D767" s="56">
        <v>2.42510427E8</v>
      </c>
      <c r="E767" s="32" t="s">
        <v>4298</v>
      </c>
      <c r="F767" s="32" t="s">
        <v>227</v>
      </c>
      <c r="G767" s="12">
        <v>32.0</v>
      </c>
      <c r="H767" s="48" t="str">
        <f t="shared" si="4"/>
        <v>  XI D-2</v>
      </c>
      <c r="I767" s="28" t="str">
        <f t="shared" si="2"/>
        <v>32 - GC X-5</v>
      </c>
      <c r="J767" s="20" t="str">
        <f>VLOOKUP(I767,'Database Grup SCC'!$B$2:$C1382,2,false)</f>
        <v>Amel</v>
      </c>
      <c r="K767" s="50" t="str">
        <f>VLOOKUP(D767,'Data Siswa Mentah 32 Kelas X'!$C$8:$E1382,3,false)</f>
        <v>X-5</v>
      </c>
      <c r="L767" s="50" t="s">
        <v>7267</v>
      </c>
      <c r="M767" s="50"/>
      <c r="N767" s="33" t="s">
        <v>6872</v>
      </c>
      <c r="O767" s="34"/>
      <c r="P767" s="34"/>
      <c r="Q767" s="24" t="str">
        <f t="shared" si="3"/>
        <v>https://docs.google.com/forms/d/e/1FAIpQLSeZ-R1GrWlAPkfaThGqxeTj0QTtrARw4rroxIIepf2kipn1nw/formResponse?usp=pp_url&amp;entry.1313582257=0086771046&amp;entry.1578404635=Hadir</v>
      </c>
      <c r="R767" s="23" t="s">
        <v>7336</v>
      </c>
      <c r="S767" s="39"/>
      <c r="T767" s="39"/>
      <c r="U767" s="39"/>
      <c r="V767" s="39"/>
    </row>
    <row r="768" ht="22.5" customHeight="1">
      <c r="A768" s="12">
        <v>325.0</v>
      </c>
      <c r="B768" s="32">
        <v>36.0</v>
      </c>
      <c r="C768" s="55" t="s">
        <v>7337</v>
      </c>
      <c r="D768" s="56">
        <v>2.42510431E8</v>
      </c>
      <c r="E768" s="32" t="s">
        <v>4303</v>
      </c>
      <c r="F768" s="32" t="s">
        <v>220</v>
      </c>
      <c r="G768" s="12">
        <v>32.0</v>
      </c>
      <c r="H768" s="48" t="str">
        <f t="shared" si="4"/>
        <v>  XI D-2</v>
      </c>
      <c r="I768" s="28" t="str">
        <f t="shared" si="2"/>
        <v>33 - BC X-6</v>
      </c>
      <c r="J768" s="20" t="str">
        <f>VLOOKUP(I768,'Database Grup SCC'!$B$2:$C1382,2,false)</f>
        <v>Rizki Putra</v>
      </c>
      <c r="K768" s="50" t="str">
        <f>VLOOKUP(D768,'Data Siswa Mentah 32 Kelas X'!$C$8:$E1382,3,false)</f>
        <v>X-6</v>
      </c>
      <c r="L768" s="50" t="s">
        <v>7267</v>
      </c>
      <c r="M768" s="50"/>
      <c r="N768" s="33" t="s">
        <v>5926</v>
      </c>
      <c r="O768" s="34"/>
      <c r="P768" s="34"/>
      <c r="Q768" s="24" t="str">
        <f t="shared" si="3"/>
        <v>https://docs.google.com/forms/d/e/1FAIpQLSeZ-R1GrWlAPkfaThGqxeTj0QTtrARw4rroxIIepf2kipn1nw/formResponse?usp=pp_url&amp;entry.1313582257=0098965422&amp;entry.1578404635=Hadir</v>
      </c>
      <c r="R768" s="23" t="s">
        <v>7338</v>
      </c>
      <c r="S768" s="39"/>
      <c r="T768" s="39"/>
      <c r="U768" s="39"/>
      <c r="V768" s="39"/>
    </row>
    <row r="769" ht="22.5" customHeight="1">
      <c r="A769" s="12">
        <v>337.0</v>
      </c>
      <c r="B769" s="32">
        <v>1.0</v>
      </c>
      <c r="C769" s="55" t="s">
        <v>7339</v>
      </c>
      <c r="D769" s="56">
        <v>2.42510003E8</v>
      </c>
      <c r="E769" s="32" t="s">
        <v>4308</v>
      </c>
      <c r="F769" s="32" t="s">
        <v>220</v>
      </c>
      <c r="G769" s="12">
        <v>32.0</v>
      </c>
      <c r="H769" s="48" t="str">
        <f t="shared" si="4"/>
        <v>  XI D-3</v>
      </c>
      <c r="I769" s="28" t="str">
        <f t="shared" si="2"/>
        <v>33 - BC X-6</v>
      </c>
      <c r="J769" s="20" t="str">
        <f>VLOOKUP(I769,'Database Grup SCC'!$B$2:$C1382,2,false)</f>
        <v>Rizki Putra</v>
      </c>
      <c r="K769" s="50" t="str">
        <f>VLOOKUP(D769,'Data Siswa Mentah 32 Kelas X'!$C$8:$E1382,3,false)</f>
        <v>X-6</v>
      </c>
      <c r="L769" s="50" t="s">
        <v>7340</v>
      </c>
      <c r="M769" s="50"/>
      <c r="N769" s="33" t="s">
        <v>5926</v>
      </c>
      <c r="O769" s="34"/>
      <c r="P769" s="34"/>
      <c r="Q769" s="24" t="str">
        <f t="shared" si="3"/>
        <v>https://docs.google.com/forms/d/e/1FAIpQLSeZ-R1GrWlAPkfaThGqxeTj0QTtrARw4rroxIIepf2kipn1nw/formResponse?usp=pp_url&amp;entry.1313582257=0091972857&amp;entry.1578404635=Hadir</v>
      </c>
      <c r="R769" s="23" t="s">
        <v>7341</v>
      </c>
      <c r="S769" s="39"/>
      <c r="T769" s="39"/>
      <c r="U769" s="39"/>
      <c r="V769" s="39"/>
    </row>
    <row r="770" ht="22.5" customHeight="1">
      <c r="A770" s="12">
        <v>338.0</v>
      </c>
      <c r="B770" s="32">
        <v>2.0</v>
      </c>
      <c r="C770" s="55" t="s">
        <v>7342</v>
      </c>
      <c r="D770" s="56">
        <v>2.42510012E8</v>
      </c>
      <c r="E770" s="32" t="s">
        <v>4314</v>
      </c>
      <c r="F770" s="32" t="s">
        <v>227</v>
      </c>
      <c r="G770" s="12">
        <v>32.0</v>
      </c>
      <c r="H770" s="48" t="str">
        <f t="shared" si="4"/>
        <v>  XI D-3</v>
      </c>
      <c r="I770" s="28" t="str">
        <f t="shared" si="2"/>
        <v>32 - GC X-7</v>
      </c>
      <c r="J770" s="20" t="str">
        <f>VLOOKUP(I770,'Database Grup SCC'!$B$2:$C1382,2,false)</f>
        <v>Najmi (XII)</v>
      </c>
      <c r="K770" s="50" t="str">
        <f>VLOOKUP(D770,'Data Siswa Mentah 32 Kelas X'!$C$8:$E1382,3,false)</f>
        <v>X-7</v>
      </c>
      <c r="L770" s="50" t="s">
        <v>7340</v>
      </c>
      <c r="M770" s="50"/>
      <c r="N770" s="33" t="s">
        <v>6842</v>
      </c>
      <c r="O770" s="34"/>
      <c r="P770" s="34"/>
      <c r="Q770" s="24" t="str">
        <f t="shared" si="3"/>
        <v>https://docs.google.com/forms/d/e/1FAIpQLSeZ-R1GrWlAPkfaThGqxeTj0QTtrARw4rroxIIepf2kipn1nw/formResponse?usp=pp_url&amp;entry.1313582257=0099463036&amp;entry.1578404635=Hadir</v>
      </c>
      <c r="R770" s="23" t="s">
        <v>7343</v>
      </c>
      <c r="S770" s="39"/>
      <c r="T770" s="39"/>
      <c r="U770" s="39"/>
      <c r="V770" s="39"/>
    </row>
    <row r="771" ht="22.5" customHeight="1">
      <c r="A771" s="12">
        <v>339.0</v>
      </c>
      <c r="B771" s="32">
        <v>3.0</v>
      </c>
      <c r="C771" s="55" t="s">
        <v>7344</v>
      </c>
      <c r="D771" s="56">
        <v>2.42510032E8</v>
      </c>
      <c r="E771" s="32" t="s">
        <v>4319</v>
      </c>
      <c r="F771" s="32" t="s">
        <v>220</v>
      </c>
      <c r="G771" s="12">
        <v>32.0</v>
      </c>
      <c r="H771" s="48" t="str">
        <f t="shared" si="4"/>
        <v>  XI D-3</v>
      </c>
      <c r="I771" s="28" t="str">
        <f t="shared" si="2"/>
        <v>33 - BC X-5</v>
      </c>
      <c r="J771" s="20" t="str">
        <f>VLOOKUP(I771,'Database Grup SCC'!$B$2:$C1382,2,false)</f>
        <v>Topik &amp; Adrian</v>
      </c>
      <c r="K771" s="50" t="str">
        <f>VLOOKUP(D771,'Data Siswa Mentah 32 Kelas X'!$C$8:$E1382,3,false)</f>
        <v>X-5</v>
      </c>
      <c r="L771" s="50" t="s">
        <v>7340</v>
      </c>
      <c r="M771" s="50"/>
      <c r="N771" s="33" t="s">
        <v>5770</v>
      </c>
      <c r="O771" s="34"/>
      <c r="P771" s="34"/>
      <c r="Q771" s="24" t="str">
        <f t="shared" si="3"/>
        <v>https://docs.google.com/forms/d/e/1FAIpQLSeZ-R1GrWlAPkfaThGqxeTj0QTtrARw4rroxIIepf2kipn1nw/formResponse?usp=pp_url&amp;entry.1313582257=0084373144&amp;entry.1578404635=Hadir</v>
      </c>
      <c r="R771" s="23" t="s">
        <v>7345</v>
      </c>
      <c r="S771" s="39"/>
      <c r="T771" s="39"/>
      <c r="U771" s="39"/>
      <c r="V771" s="39"/>
    </row>
    <row r="772" ht="22.5" customHeight="1">
      <c r="A772" s="12">
        <v>340.0</v>
      </c>
      <c r="B772" s="32">
        <v>4.0</v>
      </c>
      <c r="C772" s="55" t="s">
        <v>7346</v>
      </c>
      <c r="D772" s="56">
        <v>2.42510034E8</v>
      </c>
      <c r="E772" s="32" t="s">
        <v>4324</v>
      </c>
      <c r="F772" s="32" t="s">
        <v>227</v>
      </c>
      <c r="G772" s="12">
        <v>32.0</v>
      </c>
      <c r="H772" s="48" t="str">
        <f t="shared" si="4"/>
        <v>  XI D-3</v>
      </c>
      <c r="I772" s="28" t="str">
        <f t="shared" si="2"/>
        <v>32 - GC X-10</v>
      </c>
      <c r="J772" s="20" t="str">
        <f>VLOOKUP(I772,'Database Grup SCC'!$B$2:$C1382,2,false)</f>
        <v>Athaya</v>
      </c>
      <c r="K772" s="50" t="str">
        <f>VLOOKUP(D772,'Data Siswa Mentah 32 Kelas X'!$C$8:$E1382,3,false)</f>
        <v>X-10</v>
      </c>
      <c r="L772" s="50" t="s">
        <v>7340</v>
      </c>
      <c r="M772" s="50"/>
      <c r="N772" s="33" t="s">
        <v>6865</v>
      </c>
      <c r="O772" s="34"/>
      <c r="P772" s="34"/>
      <c r="Q772" s="24" t="str">
        <f t="shared" si="3"/>
        <v>https://docs.google.com/forms/d/e/1FAIpQLSeZ-R1GrWlAPkfaThGqxeTj0QTtrARw4rroxIIepf2kipn1nw/formResponse?usp=pp_url&amp;entry.1313582257=0092027940&amp;entry.1578404635=Hadir</v>
      </c>
      <c r="R772" s="23" t="s">
        <v>7347</v>
      </c>
      <c r="S772" s="39"/>
      <c r="T772" s="39"/>
      <c r="U772" s="39"/>
      <c r="V772" s="39"/>
    </row>
    <row r="773" ht="22.5" customHeight="1">
      <c r="A773" s="12">
        <v>341.0</v>
      </c>
      <c r="B773" s="32">
        <v>5.0</v>
      </c>
      <c r="C773" s="55" t="s">
        <v>7348</v>
      </c>
      <c r="D773" s="56">
        <v>2.42510045E8</v>
      </c>
      <c r="E773" s="32" t="s">
        <v>4330</v>
      </c>
      <c r="F773" s="32" t="s">
        <v>227</v>
      </c>
      <c r="G773" s="12">
        <v>32.0</v>
      </c>
      <c r="H773" s="48" t="str">
        <f t="shared" si="4"/>
        <v>  XI D-3</v>
      </c>
      <c r="I773" s="28" t="str">
        <f t="shared" si="2"/>
        <v>32 - GC X-7</v>
      </c>
      <c r="J773" s="20" t="str">
        <f>VLOOKUP(I773,'Database Grup SCC'!$B$2:$C1382,2,false)</f>
        <v>Najmi (XII)</v>
      </c>
      <c r="K773" s="50" t="str">
        <f>VLOOKUP(D773,'Data Siswa Mentah 32 Kelas X'!$C$8:$E1382,3,false)</f>
        <v>X-7</v>
      </c>
      <c r="L773" s="50" t="s">
        <v>7340</v>
      </c>
      <c r="M773" s="50"/>
      <c r="N773" s="33" t="s">
        <v>6842</v>
      </c>
      <c r="O773" s="34"/>
      <c r="P773" s="34"/>
      <c r="Q773" s="24" t="str">
        <f t="shared" si="3"/>
        <v>https://docs.google.com/forms/d/e/1FAIpQLSeZ-R1GrWlAPkfaThGqxeTj0QTtrARw4rroxIIepf2kipn1nw/formResponse?usp=pp_url&amp;entry.1313582257=0097798929&amp;entry.1578404635=Hadir</v>
      </c>
      <c r="R773" s="23" t="s">
        <v>7349</v>
      </c>
      <c r="S773" s="39"/>
      <c r="T773" s="39"/>
      <c r="U773" s="39"/>
      <c r="V773" s="39"/>
    </row>
    <row r="774" ht="22.5" customHeight="1">
      <c r="A774" s="12">
        <v>342.0</v>
      </c>
      <c r="B774" s="32">
        <v>6.0</v>
      </c>
      <c r="C774" s="55" t="s">
        <v>7350</v>
      </c>
      <c r="D774" s="56">
        <v>2.42510053E8</v>
      </c>
      <c r="E774" s="32" t="s">
        <v>4335</v>
      </c>
      <c r="F774" s="32" t="s">
        <v>227</v>
      </c>
      <c r="G774" s="12">
        <v>32.0</v>
      </c>
      <c r="H774" s="48" t="str">
        <f t="shared" si="4"/>
        <v>  XI D-3</v>
      </c>
      <c r="I774" s="28" t="str">
        <f t="shared" si="2"/>
        <v>32 - GC X-2</v>
      </c>
      <c r="J774" s="20" t="str">
        <f>VLOOKUP(I774,'Database Grup SCC'!$B$2:$C1382,2,false)</f>
        <v>Iga</v>
      </c>
      <c r="K774" s="50" t="str">
        <f>VLOOKUP(D774,'Data Siswa Mentah 32 Kelas X'!$C$8:$E1382,3,false)</f>
        <v>X-2</v>
      </c>
      <c r="L774" s="50" t="s">
        <v>7340</v>
      </c>
      <c r="M774" s="50"/>
      <c r="N774" s="33" t="s">
        <v>6921</v>
      </c>
      <c r="O774" s="34"/>
      <c r="P774" s="34"/>
      <c r="Q774" s="24" t="str">
        <f t="shared" si="3"/>
        <v>https://docs.google.com/forms/d/e/1FAIpQLSeZ-R1GrWlAPkfaThGqxeTj0QTtrARw4rroxIIepf2kipn1nw/formResponse?usp=pp_url&amp;entry.1313582257=0092388902&amp;entry.1578404635=Hadir</v>
      </c>
      <c r="R774" s="23" t="s">
        <v>7351</v>
      </c>
      <c r="S774" s="39"/>
      <c r="T774" s="39"/>
      <c r="U774" s="39"/>
      <c r="V774" s="39"/>
    </row>
    <row r="775" ht="22.5" customHeight="1">
      <c r="A775" s="12">
        <v>343.0</v>
      </c>
      <c r="B775" s="32">
        <v>7.0</v>
      </c>
      <c r="C775" s="55" t="s">
        <v>7352</v>
      </c>
      <c r="D775" s="56">
        <v>2.42510063E8</v>
      </c>
      <c r="E775" s="32" t="s">
        <v>4340</v>
      </c>
      <c r="F775" s="32" t="s">
        <v>227</v>
      </c>
      <c r="G775" s="12">
        <v>32.0</v>
      </c>
      <c r="H775" s="48" t="str">
        <f t="shared" si="4"/>
        <v>  XI D-3</v>
      </c>
      <c r="I775" s="28" t="str">
        <f t="shared" si="2"/>
        <v>32 - GC X-5</v>
      </c>
      <c r="J775" s="20" t="str">
        <f>VLOOKUP(I775,'Database Grup SCC'!$B$2:$C1382,2,false)</f>
        <v>Amel</v>
      </c>
      <c r="K775" s="50" t="str">
        <f>VLOOKUP(D775,'Data Siswa Mentah 32 Kelas X'!$C$8:$E1382,3,false)</f>
        <v>X-5</v>
      </c>
      <c r="L775" s="50" t="s">
        <v>7340</v>
      </c>
      <c r="M775" s="50"/>
      <c r="N775" s="33" t="s">
        <v>6872</v>
      </c>
      <c r="O775" s="34"/>
      <c r="P775" s="34"/>
      <c r="Q775" s="24" t="str">
        <f t="shared" si="3"/>
        <v>https://docs.google.com/forms/d/e/1FAIpQLSeZ-R1GrWlAPkfaThGqxeTj0QTtrARw4rroxIIepf2kipn1nw/formResponse?usp=pp_url&amp;entry.1313582257=0092260536&amp;entry.1578404635=Hadir</v>
      </c>
      <c r="R775" s="23" t="s">
        <v>7353</v>
      </c>
      <c r="S775" s="39"/>
      <c r="T775" s="39"/>
      <c r="U775" s="39"/>
      <c r="V775" s="39"/>
    </row>
    <row r="776" ht="22.5" customHeight="1">
      <c r="A776" s="12">
        <v>344.0</v>
      </c>
      <c r="B776" s="32">
        <v>8.0</v>
      </c>
      <c r="C776" s="55" t="s">
        <v>7354</v>
      </c>
      <c r="D776" s="56">
        <v>2.42510067E8</v>
      </c>
      <c r="E776" s="32" t="s">
        <v>4345</v>
      </c>
      <c r="F776" s="32" t="s">
        <v>227</v>
      </c>
      <c r="G776" s="12">
        <v>32.0</v>
      </c>
      <c r="H776" s="48" t="str">
        <f t="shared" si="4"/>
        <v>  XI D-3</v>
      </c>
      <c r="I776" s="28" t="str">
        <f t="shared" si="2"/>
        <v>32 - GC X-3</v>
      </c>
      <c r="J776" s="20" t="str">
        <f>VLOOKUP(I776,'Database Grup SCC'!$B$2:$C1382,2,false)</f>
        <v>Devi</v>
      </c>
      <c r="K776" s="50" t="str">
        <f>VLOOKUP(D776,'Data Siswa Mentah 32 Kelas X'!$C$8:$E1382,3,false)</f>
        <v>X-3</v>
      </c>
      <c r="L776" s="50" t="s">
        <v>7340</v>
      </c>
      <c r="M776" s="50"/>
      <c r="N776" s="33" t="s">
        <v>6879</v>
      </c>
      <c r="O776" s="34"/>
      <c r="P776" s="34"/>
      <c r="Q776" s="24" t="str">
        <f t="shared" si="3"/>
        <v>https://docs.google.com/forms/d/e/1FAIpQLSeZ-R1GrWlAPkfaThGqxeTj0QTtrARw4rroxIIepf2kipn1nw/formResponse?usp=pp_url&amp;entry.1313582257=0092404259&amp;entry.1578404635=Hadir</v>
      </c>
      <c r="R776" s="23" t="s">
        <v>7355</v>
      </c>
      <c r="S776" s="39"/>
      <c r="T776" s="39"/>
      <c r="U776" s="39"/>
      <c r="V776" s="39"/>
    </row>
    <row r="777" ht="22.5" customHeight="1">
      <c r="A777" s="12">
        <v>345.0</v>
      </c>
      <c r="B777" s="32">
        <v>9.0</v>
      </c>
      <c r="C777" s="55" t="s">
        <v>7356</v>
      </c>
      <c r="D777" s="56">
        <v>2.42510068E8</v>
      </c>
      <c r="E777" s="32" t="s">
        <v>4350</v>
      </c>
      <c r="F777" s="32" t="s">
        <v>227</v>
      </c>
      <c r="G777" s="12">
        <v>32.0</v>
      </c>
      <c r="H777" s="48" t="str">
        <f t="shared" si="4"/>
        <v>  XI D-3</v>
      </c>
      <c r="I777" s="28" t="str">
        <f t="shared" si="2"/>
        <v>32 - GC X-3</v>
      </c>
      <c r="J777" s="20" t="str">
        <f>VLOOKUP(I777,'Database Grup SCC'!$B$2:$C1382,2,false)</f>
        <v>Devi</v>
      </c>
      <c r="K777" s="50" t="str">
        <f>VLOOKUP(D777,'Data Siswa Mentah 32 Kelas X'!$C$8:$E1382,3,false)</f>
        <v>X-3</v>
      </c>
      <c r="L777" s="50" t="s">
        <v>7340</v>
      </c>
      <c r="M777" s="50"/>
      <c r="N777" s="33" t="s">
        <v>6879</v>
      </c>
      <c r="O777" s="34"/>
      <c r="P777" s="34"/>
      <c r="Q777" s="24" t="str">
        <f t="shared" si="3"/>
        <v>https://docs.google.com/forms/d/e/1FAIpQLSeZ-R1GrWlAPkfaThGqxeTj0QTtrARw4rroxIIepf2kipn1nw/formResponse?usp=pp_url&amp;entry.1313582257=0086475767&amp;entry.1578404635=Hadir</v>
      </c>
      <c r="R777" s="23" t="s">
        <v>7357</v>
      </c>
      <c r="S777" s="39"/>
      <c r="T777" s="39"/>
      <c r="U777" s="39"/>
      <c r="V777" s="39"/>
    </row>
    <row r="778" ht="22.5" customHeight="1">
      <c r="A778" s="12">
        <v>346.0</v>
      </c>
      <c r="B778" s="32">
        <v>10.0</v>
      </c>
      <c r="C778" s="55" t="s">
        <v>7358</v>
      </c>
      <c r="D778" s="56">
        <v>2.42510073E8</v>
      </c>
      <c r="E778" s="32" t="s">
        <v>4355</v>
      </c>
      <c r="F778" s="32" t="s">
        <v>227</v>
      </c>
      <c r="G778" s="12">
        <v>32.0</v>
      </c>
      <c r="H778" s="48" t="str">
        <f t="shared" si="4"/>
        <v>  XI D-3</v>
      </c>
      <c r="I778" s="28" t="str">
        <f t="shared" si="2"/>
        <v>32 - GC X-11</v>
      </c>
      <c r="J778" s="20" t="str">
        <f>VLOOKUP(I778,'Database Grup SCC'!$B$2:$C1382,2,false)</f>
        <v>Kia (XII)</v>
      </c>
      <c r="K778" s="50" t="str">
        <f>VLOOKUP(D778,'Data Siswa Mentah 32 Kelas X'!$C$8:$E1382,3,false)</f>
        <v>X-11</v>
      </c>
      <c r="L778" s="50" t="s">
        <v>7340</v>
      </c>
      <c r="M778" s="50"/>
      <c r="N778" s="33" t="s">
        <v>6883</v>
      </c>
      <c r="O778" s="34"/>
      <c r="P778" s="34"/>
      <c r="Q778" s="24" t="str">
        <f t="shared" si="3"/>
        <v>https://docs.google.com/forms/d/e/1FAIpQLSeZ-R1GrWlAPkfaThGqxeTj0QTtrARw4rroxIIepf2kipn1nw/formResponse?usp=pp_url&amp;entry.1313582257=0099130384&amp;entry.1578404635=Hadir</v>
      </c>
      <c r="R778" s="23" t="s">
        <v>7359</v>
      </c>
      <c r="S778" s="39"/>
      <c r="T778" s="39"/>
      <c r="U778" s="39"/>
      <c r="V778" s="39"/>
    </row>
    <row r="779" ht="22.5" customHeight="1">
      <c r="A779" s="12">
        <v>347.0</v>
      </c>
      <c r="B779" s="32">
        <v>11.0</v>
      </c>
      <c r="C779" s="55" t="s">
        <v>7360</v>
      </c>
      <c r="D779" s="56">
        <v>2.42510081E8</v>
      </c>
      <c r="E779" s="32" t="s">
        <v>4360</v>
      </c>
      <c r="F779" s="32" t="s">
        <v>220</v>
      </c>
      <c r="G779" s="12">
        <v>32.0</v>
      </c>
      <c r="H779" s="48" t="str">
        <f t="shared" si="4"/>
        <v>  XI D-3</v>
      </c>
      <c r="I779" s="28" t="str">
        <f t="shared" si="2"/>
        <v>33 - BC X-3</v>
      </c>
      <c r="J779" s="20" t="str">
        <f>VLOOKUP(I779,'Database Grup SCC'!$B$2:$C1382,2,false)</f>
        <v>Angga</v>
      </c>
      <c r="K779" s="50" t="str">
        <f>VLOOKUP(D779,'Data Siswa Mentah 32 Kelas X'!$C$8:$E1382,3,false)</f>
        <v>X-3</v>
      </c>
      <c r="L779" s="50" t="s">
        <v>7340</v>
      </c>
      <c r="M779" s="50"/>
      <c r="N779" s="33" t="s">
        <v>5507</v>
      </c>
      <c r="O779" s="34"/>
      <c r="P779" s="34"/>
      <c r="Q779" s="24" t="str">
        <f t="shared" si="3"/>
        <v>https://docs.google.com/forms/d/e/1FAIpQLSeZ-R1GrWlAPkfaThGqxeTj0QTtrARw4rroxIIepf2kipn1nw/formResponse?usp=pp_url&amp;entry.1313582257=0097660827&amp;entry.1578404635=Hadir</v>
      </c>
      <c r="R779" s="23" t="s">
        <v>7361</v>
      </c>
      <c r="S779" s="39"/>
      <c r="T779" s="39"/>
      <c r="U779" s="39"/>
      <c r="V779" s="39"/>
    </row>
    <row r="780" ht="22.5" customHeight="1">
      <c r="A780" s="12">
        <v>348.0</v>
      </c>
      <c r="B780" s="32">
        <v>12.0</v>
      </c>
      <c r="C780" s="55" t="s">
        <v>7362</v>
      </c>
      <c r="D780" s="56">
        <v>2.42510084E8</v>
      </c>
      <c r="E780" s="32" t="s">
        <v>4366</v>
      </c>
      <c r="F780" s="32" t="s">
        <v>227</v>
      </c>
      <c r="G780" s="12">
        <v>32.0</v>
      </c>
      <c r="H780" s="48" t="str">
        <f t="shared" si="4"/>
        <v>  XI D-3</v>
      </c>
      <c r="I780" s="28" t="str">
        <f t="shared" si="2"/>
        <v>32 - GC X-12</v>
      </c>
      <c r="J780" s="20" t="str">
        <f>VLOOKUP(I780,'Database Grup SCC'!$B$2:$C1382,2,false)</f>
        <v>Farisa (XII)</v>
      </c>
      <c r="K780" s="50" t="str">
        <f>VLOOKUP(D780,'Data Siswa Mentah 32 Kelas X'!$C$8:$E1382,3,false)</f>
        <v>X-12</v>
      </c>
      <c r="L780" s="50" t="s">
        <v>7340</v>
      </c>
      <c r="M780" s="50"/>
      <c r="N780" s="33" t="s">
        <v>6845</v>
      </c>
      <c r="O780" s="34"/>
      <c r="P780" s="34"/>
      <c r="Q780" s="24" t="str">
        <f t="shared" si="3"/>
        <v>https://docs.google.com/forms/d/e/1FAIpQLSeZ-R1GrWlAPkfaThGqxeTj0QTtrARw4rroxIIepf2kipn1nw/formResponse?usp=pp_url&amp;entry.1313582257=0096109567&amp;entry.1578404635=Hadir</v>
      </c>
      <c r="R780" s="23" t="s">
        <v>7363</v>
      </c>
      <c r="S780" s="39"/>
      <c r="T780" s="39"/>
      <c r="U780" s="39"/>
      <c r="V780" s="39"/>
    </row>
    <row r="781" ht="22.5" customHeight="1">
      <c r="A781" s="12">
        <v>349.0</v>
      </c>
      <c r="B781" s="32">
        <v>13.0</v>
      </c>
      <c r="C781" s="55" t="s">
        <v>7364</v>
      </c>
      <c r="D781" s="56">
        <v>2.42510087E8</v>
      </c>
      <c r="E781" s="32" t="s">
        <v>4371</v>
      </c>
      <c r="F781" s="32" t="s">
        <v>227</v>
      </c>
      <c r="G781" s="12">
        <v>32.0</v>
      </c>
      <c r="H781" s="48" t="str">
        <f t="shared" si="4"/>
        <v>  XI D-3</v>
      </c>
      <c r="I781" s="28" t="str">
        <f t="shared" si="2"/>
        <v>32 - GC X-9</v>
      </c>
      <c r="J781" s="20" t="str">
        <f>VLOOKUP(I781,'Database Grup SCC'!$B$2:$C1382,2,false)</f>
        <v>Athaya</v>
      </c>
      <c r="K781" s="50" t="str">
        <f>VLOOKUP(D781,'Data Siswa Mentah 32 Kelas X'!$C$8:$E1382,3,false)</f>
        <v>X-9</v>
      </c>
      <c r="L781" s="50" t="s">
        <v>7340</v>
      </c>
      <c r="M781" s="50"/>
      <c r="N781" s="33" t="s">
        <v>6826</v>
      </c>
      <c r="O781" s="34"/>
      <c r="P781" s="34"/>
      <c r="Q781" s="24" t="str">
        <f t="shared" si="3"/>
        <v>https://docs.google.com/forms/d/e/1FAIpQLSeZ-R1GrWlAPkfaThGqxeTj0QTtrARw4rroxIIepf2kipn1nw/formResponse?usp=pp_url&amp;entry.1313582257=0095745176&amp;entry.1578404635=Hadir</v>
      </c>
      <c r="R781" s="23" t="s">
        <v>7365</v>
      </c>
      <c r="S781" s="39"/>
      <c r="T781" s="39"/>
      <c r="U781" s="39"/>
      <c r="V781" s="39"/>
    </row>
    <row r="782" ht="22.5" customHeight="1">
      <c r="A782" s="12">
        <v>350.0</v>
      </c>
      <c r="B782" s="32">
        <v>14.0</v>
      </c>
      <c r="C782" s="55" t="s">
        <v>7366</v>
      </c>
      <c r="D782" s="56">
        <v>2.4251009E8</v>
      </c>
      <c r="E782" s="32" t="s">
        <v>4376</v>
      </c>
      <c r="F782" s="32" t="s">
        <v>227</v>
      </c>
      <c r="G782" s="12">
        <v>32.0</v>
      </c>
      <c r="H782" s="48" t="str">
        <f t="shared" si="4"/>
        <v>  XI D-3</v>
      </c>
      <c r="I782" s="28" t="str">
        <f t="shared" si="2"/>
        <v>32 - GC X-8</v>
      </c>
      <c r="J782" s="20" t="str">
        <f>VLOOKUP(I782,'Database Grup SCC'!$B$2:$C1382,2,false)</f>
        <v>Amel (XII)</v>
      </c>
      <c r="K782" s="50" t="str">
        <f>VLOOKUP(D782,'Data Siswa Mentah 32 Kelas X'!$C$8:$E1382,3,false)</f>
        <v>X-8</v>
      </c>
      <c r="L782" s="50" t="s">
        <v>7340</v>
      </c>
      <c r="M782" s="50"/>
      <c r="N782" s="33" t="s">
        <v>6858</v>
      </c>
      <c r="O782" s="34"/>
      <c r="P782" s="34"/>
      <c r="Q782" s="24" t="str">
        <f t="shared" si="3"/>
        <v>https://docs.google.com/forms/d/e/1FAIpQLSeZ-R1GrWlAPkfaThGqxeTj0QTtrARw4rroxIIepf2kipn1nw/formResponse?usp=pp_url&amp;entry.1313582257=0091234811&amp;entry.1578404635=Hadir</v>
      </c>
      <c r="R782" s="23" t="s">
        <v>7367</v>
      </c>
      <c r="S782" s="39"/>
      <c r="T782" s="39"/>
      <c r="U782" s="39"/>
      <c r="V782" s="39"/>
    </row>
    <row r="783" ht="22.5" customHeight="1">
      <c r="A783" s="12">
        <v>351.0</v>
      </c>
      <c r="B783" s="32">
        <v>15.0</v>
      </c>
      <c r="C783" s="55" t="s">
        <v>7368</v>
      </c>
      <c r="D783" s="56">
        <v>2.42510094E8</v>
      </c>
      <c r="E783" s="32" t="s">
        <v>4381</v>
      </c>
      <c r="F783" s="32" t="s">
        <v>227</v>
      </c>
      <c r="G783" s="12">
        <v>32.0</v>
      </c>
      <c r="H783" s="48" t="str">
        <f t="shared" si="4"/>
        <v>  XI D-3</v>
      </c>
      <c r="I783" s="28" t="str">
        <f t="shared" si="2"/>
        <v>32 - GC X-12</v>
      </c>
      <c r="J783" s="20" t="str">
        <f>VLOOKUP(I783,'Database Grup SCC'!$B$2:$C1382,2,false)</f>
        <v>Farisa (XII)</v>
      </c>
      <c r="K783" s="50" t="str">
        <f>VLOOKUP(D783,'Data Siswa Mentah 32 Kelas X'!$C$8:$E1382,3,false)</f>
        <v>X-12</v>
      </c>
      <c r="L783" s="50" t="s">
        <v>7340</v>
      </c>
      <c r="M783" s="50"/>
      <c r="N783" s="33" t="s">
        <v>6845</v>
      </c>
      <c r="O783" s="34"/>
      <c r="P783" s="34"/>
      <c r="Q783" s="24" t="str">
        <f t="shared" si="3"/>
        <v>https://docs.google.com/forms/d/e/1FAIpQLSeZ-R1GrWlAPkfaThGqxeTj0QTtrARw4rroxIIepf2kipn1nw/formResponse?usp=pp_url&amp;entry.1313582257=0091342789&amp;entry.1578404635=Hadir</v>
      </c>
      <c r="R783" s="23" t="s">
        <v>7369</v>
      </c>
      <c r="S783" s="39"/>
      <c r="T783" s="39"/>
      <c r="U783" s="39"/>
      <c r="V783" s="39"/>
    </row>
    <row r="784" ht="22.5" customHeight="1">
      <c r="A784" s="12">
        <v>352.0</v>
      </c>
      <c r="B784" s="32">
        <v>16.0</v>
      </c>
      <c r="C784" s="55" t="s">
        <v>7370</v>
      </c>
      <c r="D784" s="56">
        <v>2.42510115E8</v>
      </c>
      <c r="E784" s="32" t="s">
        <v>4387</v>
      </c>
      <c r="F784" s="32" t="s">
        <v>227</v>
      </c>
      <c r="G784" s="12">
        <v>32.0</v>
      </c>
      <c r="H784" s="48" t="str">
        <f t="shared" si="4"/>
        <v>  XI D-3</v>
      </c>
      <c r="I784" s="28" t="str">
        <f t="shared" si="2"/>
        <v>32 - GC X-6</v>
      </c>
      <c r="J784" s="20" t="str">
        <f>VLOOKUP(I784,'Database Grup SCC'!$B$2:$C1382,2,false)</f>
        <v>Zalika</v>
      </c>
      <c r="K784" s="50" t="str">
        <f>VLOOKUP(D784,'Data Siswa Mentah 32 Kelas X'!$C$8:$E1382,3,false)</f>
        <v>X-6</v>
      </c>
      <c r="L784" s="50" t="s">
        <v>7340</v>
      </c>
      <c r="M784" s="50"/>
      <c r="N784" s="33" t="s">
        <v>6924</v>
      </c>
      <c r="O784" s="34"/>
      <c r="P784" s="34"/>
      <c r="Q784" s="24" t="str">
        <f t="shared" si="3"/>
        <v>https://docs.google.com/forms/d/e/1FAIpQLSeZ-R1GrWlAPkfaThGqxeTj0QTtrARw4rroxIIepf2kipn1nw/formResponse?usp=pp_url&amp;entry.1313582257=0082284975&amp;entry.1578404635=Hadir</v>
      </c>
      <c r="R784" s="23" t="s">
        <v>7371</v>
      </c>
      <c r="S784" s="39"/>
      <c r="T784" s="39"/>
      <c r="U784" s="39"/>
      <c r="V784" s="39"/>
    </row>
    <row r="785" ht="22.5" customHeight="1">
      <c r="A785" s="12">
        <v>353.0</v>
      </c>
      <c r="B785" s="32">
        <v>17.0</v>
      </c>
      <c r="C785" s="55" t="s">
        <v>7372</v>
      </c>
      <c r="D785" s="56">
        <v>2.42510137E8</v>
      </c>
      <c r="E785" s="32" t="s">
        <v>4392</v>
      </c>
      <c r="F785" s="32" t="s">
        <v>220</v>
      </c>
      <c r="G785" s="12">
        <v>32.0</v>
      </c>
      <c r="H785" s="48" t="str">
        <f t="shared" si="4"/>
        <v>  XI D-3</v>
      </c>
      <c r="I785" s="28" t="str">
        <f t="shared" si="2"/>
        <v>32 - BC X-11</v>
      </c>
      <c r="J785" s="20" t="str">
        <f>VLOOKUP(I785,'Database Grup SCC'!$B$2:$C1382,2,false)</f>
        <v>Dimas</v>
      </c>
      <c r="K785" s="50" t="str">
        <f>VLOOKUP(D785,'Data Siswa Mentah 32 Kelas X'!$C$8:$E1382,3,false)</f>
        <v>X-11</v>
      </c>
      <c r="L785" s="50" t="s">
        <v>7340</v>
      </c>
      <c r="M785" s="50"/>
      <c r="N785" s="33" t="s">
        <v>6821</v>
      </c>
      <c r="O785" s="34"/>
      <c r="P785" s="34"/>
      <c r="Q785" s="24" t="str">
        <f t="shared" si="3"/>
        <v>https://docs.google.com/forms/d/e/1FAIpQLSeZ-R1GrWlAPkfaThGqxeTj0QTtrARw4rroxIIepf2kipn1nw/formResponse?usp=pp_url&amp;entry.1313582257=0096026876&amp;entry.1578404635=Hadir</v>
      </c>
      <c r="R785" s="23" t="s">
        <v>7373</v>
      </c>
      <c r="S785" s="39"/>
      <c r="T785" s="39"/>
      <c r="U785" s="39"/>
      <c r="V785" s="39"/>
    </row>
    <row r="786" ht="22.5" customHeight="1">
      <c r="A786" s="12">
        <v>354.0</v>
      </c>
      <c r="B786" s="32">
        <v>18.0</v>
      </c>
      <c r="C786" s="55" t="s">
        <v>7374</v>
      </c>
      <c r="D786" s="56">
        <v>2.4251015E8</v>
      </c>
      <c r="E786" s="32" t="s">
        <v>4396</v>
      </c>
      <c r="F786" s="32" t="s">
        <v>227</v>
      </c>
      <c r="G786" s="12">
        <v>32.0</v>
      </c>
      <c r="H786" s="48" t="str">
        <f t="shared" si="4"/>
        <v>  XI D-3</v>
      </c>
      <c r="I786" s="28" t="str">
        <f t="shared" si="2"/>
        <v>32 - GC X-12</v>
      </c>
      <c r="J786" s="20" t="str">
        <f>VLOOKUP(I786,'Database Grup SCC'!$B$2:$C1382,2,false)</f>
        <v>Farisa (XII)</v>
      </c>
      <c r="K786" s="50" t="str">
        <f>VLOOKUP(D786,'Data Siswa Mentah 32 Kelas X'!$C$8:$E1382,3,false)</f>
        <v>X-12</v>
      </c>
      <c r="L786" s="50" t="s">
        <v>7340</v>
      </c>
      <c r="M786" s="50"/>
      <c r="N786" s="33" t="s">
        <v>6845</v>
      </c>
      <c r="O786" s="34"/>
      <c r="P786" s="34"/>
      <c r="Q786" s="24" t="str">
        <f t="shared" si="3"/>
        <v>https://docs.google.com/forms/d/e/1FAIpQLSeZ-R1GrWlAPkfaThGqxeTj0QTtrARw4rroxIIepf2kipn1nw/formResponse?usp=pp_url&amp;entry.1313582257=0097494303&amp;entry.1578404635=Hadir</v>
      </c>
      <c r="R786" s="23" t="s">
        <v>7375</v>
      </c>
      <c r="S786" s="39"/>
      <c r="T786" s="39"/>
      <c r="U786" s="39"/>
      <c r="V786" s="39"/>
    </row>
    <row r="787" ht="22.5" customHeight="1">
      <c r="A787" s="12">
        <v>355.0</v>
      </c>
      <c r="B787" s="32">
        <v>19.0</v>
      </c>
      <c r="C787" s="55" t="s">
        <v>7376</v>
      </c>
      <c r="D787" s="56">
        <v>2.42510155E8</v>
      </c>
      <c r="E787" s="32" t="s">
        <v>4401</v>
      </c>
      <c r="F787" s="32" t="s">
        <v>227</v>
      </c>
      <c r="G787" s="12">
        <v>32.0</v>
      </c>
      <c r="H787" s="48" t="str">
        <f t="shared" si="4"/>
        <v>  XI D-3</v>
      </c>
      <c r="I787" s="28" t="str">
        <f t="shared" si="2"/>
        <v>32 - GC X-9</v>
      </c>
      <c r="J787" s="20" t="str">
        <f>VLOOKUP(I787,'Database Grup SCC'!$B$2:$C1382,2,false)</f>
        <v>Athaya</v>
      </c>
      <c r="K787" s="50" t="str">
        <f>VLOOKUP(D787,'Data Siswa Mentah 32 Kelas X'!$C$8:$E1382,3,false)</f>
        <v>X-9</v>
      </c>
      <c r="L787" s="50" t="s">
        <v>7340</v>
      </c>
      <c r="M787" s="50"/>
      <c r="N787" s="33" t="s">
        <v>6826</v>
      </c>
      <c r="O787" s="34"/>
      <c r="P787" s="34"/>
      <c r="Q787" s="24" t="str">
        <f t="shared" si="3"/>
        <v>https://docs.google.com/forms/d/e/1FAIpQLSeZ-R1GrWlAPkfaThGqxeTj0QTtrARw4rroxIIepf2kipn1nw/formResponse?usp=pp_url&amp;entry.1313582257=0091325828&amp;entry.1578404635=Hadir</v>
      </c>
      <c r="R787" s="23" t="s">
        <v>7377</v>
      </c>
      <c r="S787" s="39"/>
      <c r="T787" s="39"/>
      <c r="U787" s="39"/>
      <c r="V787" s="39"/>
    </row>
    <row r="788" ht="22.5" customHeight="1">
      <c r="A788" s="12">
        <v>356.0</v>
      </c>
      <c r="B788" s="32">
        <v>20.0</v>
      </c>
      <c r="C788" s="55" t="s">
        <v>7378</v>
      </c>
      <c r="D788" s="56">
        <v>2.4251019E8</v>
      </c>
      <c r="E788" s="32" t="s">
        <v>4407</v>
      </c>
      <c r="F788" s="32" t="s">
        <v>227</v>
      </c>
      <c r="G788" s="12">
        <v>32.0</v>
      </c>
      <c r="H788" s="48" t="str">
        <f t="shared" si="4"/>
        <v>  XI D-3</v>
      </c>
      <c r="I788" s="28" t="str">
        <f t="shared" si="2"/>
        <v>32 - GC X-2</v>
      </c>
      <c r="J788" s="20" t="str">
        <f>VLOOKUP(I788,'Database Grup SCC'!$B$2:$C1382,2,false)</f>
        <v>Iga</v>
      </c>
      <c r="K788" s="50" t="str">
        <f>VLOOKUP(D788,'Data Siswa Mentah 32 Kelas X'!$C$8:$E1382,3,false)</f>
        <v>X-2</v>
      </c>
      <c r="L788" s="50" t="s">
        <v>7340</v>
      </c>
      <c r="M788" s="50"/>
      <c r="N788" s="33" t="s">
        <v>6921</v>
      </c>
      <c r="O788" s="34"/>
      <c r="P788" s="34"/>
      <c r="Q788" s="24" t="str">
        <f t="shared" si="3"/>
        <v>https://docs.google.com/forms/d/e/1FAIpQLSeZ-R1GrWlAPkfaThGqxeTj0QTtrARw4rroxIIepf2kipn1nw/formResponse?usp=pp_url&amp;entry.1313582257=0099418331&amp;entry.1578404635=Hadir</v>
      </c>
      <c r="R788" s="23" t="s">
        <v>7379</v>
      </c>
      <c r="S788" s="39"/>
      <c r="T788" s="39"/>
      <c r="U788" s="39"/>
      <c r="V788" s="39"/>
    </row>
    <row r="789" ht="22.5" customHeight="1">
      <c r="A789" s="12">
        <v>357.0</v>
      </c>
      <c r="B789" s="32">
        <v>21.0</v>
      </c>
      <c r="C789" s="55" t="s">
        <v>7380</v>
      </c>
      <c r="D789" s="56">
        <v>2.42510196E8</v>
      </c>
      <c r="E789" s="32" t="s">
        <v>4413</v>
      </c>
      <c r="F789" s="32" t="s">
        <v>227</v>
      </c>
      <c r="G789" s="12">
        <v>32.0</v>
      </c>
      <c r="H789" s="48" t="str">
        <f t="shared" si="4"/>
        <v>  XI D-3</v>
      </c>
      <c r="I789" s="28" t="str">
        <f t="shared" si="2"/>
        <v>32 - GC X-4</v>
      </c>
      <c r="J789" s="20" t="str">
        <f>VLOOKUP(I789,'Database Grup SCC'!$B$2:$C1382,2,false)</f>
        <v>Nadira</v>
      </c>
      <c r="K789" s="50" t="str">
        <f>VLOOKUP(D789,'Data Siswa Mentah 32 Kelas X'!$C$8:$E1382,3,false)</f>
        <v>X-4</v>
      </c>
      <c r="L789" s="50" t="s">
        <v>7340</v>
      </c>
      <c r="M789" s="50"/>
      <c r="N789" s="33" t="s">
        <v>6853</v>
      </c>
      <c r="O789" s="34"/>
      <c r="P789" s="34"/>
      <c r="Q789" s="24" t="str">
        <f t="shared" si="3"/>
        <v>https://docs.google.com/forms/d/e/1FAIpQLSeZ-R1GrWlAPkfaThGqxeTj0QTtrARw4rroxIIepf2kipn1nw/formResponse?usp=pp_url&amp;entry.1313582257=0098415432&amp;entry.1578404635=Hadir</v>
      </c>
      <c r="R789" s="23" t="s">
        <v>7381</v>
      </c>
      <c r="S789" s="39"/>
      <c r="T789" s="39"/>
      <c r="U789" s="39"/>
      <c r="V789" s="39"/>
    </row>
    <row r="790" ht="22.5" customHeight="1">
      <c r="A790" s="12">
        <v>358.0</v>
      </c>
      <c r="B790" s="32">
        <v>22.0</v>
      </c>
      <c r="C790" s="55" t="s">
        <v>7382</v>
      </c>
      <c r="D790" s="56">
        <v>2.42510243E8</v>
      </c>
      <c r="E790" s="32" t="s">
        <v>4418</v>
      </c>
      <c r="F790" s="32" t="s">
        <v>220</v>
      </c>
      <c r="G790" s="12">
        <v>32.0</v>
      </c>
      <c r="H790" s="48" t="str">
        <f t="shared" si="4"/>
        <v>  XI D-3</v>
      </c>
      <c r="I790" s="28" t="str">
        <f t="shared" si="2"/>
        <v>33 - BC X-5</v>
      </c>
      <c r="J790" s="20" t="str">
        <f>VLOOKUP(I790,'Database Grup SCC'!$B$2:$C1382,2,false)</f>
        <v>Topik &amp; Adrian</v>
      </c>
      <c r="K790" s="50" t="str">
        <f>VLOOKUP(D790,'Data Siswa Mentah 32 Kelas X'!$C$8:$E1382,3,false)</f>
        <v>X-5</v>
      </c>
      <c r="L790" s="50" t="s">
        <v>7340</v>
      </c>
      <c r="M790" s="50"/>
      <c r="N790" s="33" t="s">
        <v>5770</v>
      </c>
      <c r="O790" s="34"/>
      <c r="P790" s="34"/>
      <c r="Q790" s="24" t="str">
        <f t="shared" si="3"/>
        <v>https://docs.google.com/forms/d/e/1FAIpQLSeZ-R1GrWlAPkfaThGqxeTj0QTtrARw4rroxIIepf2kipn1nw/formResponse?usp=pp_url&amp;entry.1313582257=3082881499&amp;entry.1578404635=Hadir</v>
      </c>
      <c r="R790" s="23" t="s">
        <v>7383</v>
      </c>
      <c r="S790" s="39"/>
      <c r="T790" s="39"/>
      <c r="U790" s="39"/>
      <c r="V790" s="39"/>
    </row>
    <row r="791" ht="22.5" customHeight="1">
      <c r="A791" s="12">
        <v>359.0</v>
      </c>
      <c r="B791" s="32">
        <v>23.0</v>
      </c>
      <c r="C791" s="55" t="s">
        <v>7384</v>
      </c>
      <c r="D791" s="56">
        <v>2.42510246E8</v>
      </c>
      <c r="E791" s="32" t="s">
        <v>4423</v>
      </c>
      <c r="F791" s="32" t="s">
        <v>220</v>
      </c>
      <c r="G791" s="12">
        <v>32.0</v>
      </c>
      <c r="H791" s="48" t="str">
        <f t="shared" si="4"/>
        <v>  XI D-3</v>
      </c>
      <c r="I791" s="28" t="str">
        <f t="shared" si="2"/>
        <v>32 - BC X-11</v>
      </c>
      <c r="J791" s="20" t="str">
        <f>VLOOKUP(I791,'Database Grup SCC'!$B$2:$C1382,2,false)</f>
        <v>Dimas</v>
      </c>
      <c r="K791" s="50" t="str">
        <f>VLOOKUP(D791,'Data Siswa Mentah 32 Kelas X'!$C$8:$E1382,3,false)</f>
        <v>X-11</v>
      </c>
      <c r="L791" s="50" t="s">
        <v>7340</v>
      </c>
      <c r="M791" s="50"/>
      <c r="N791" s="33" t="s">
        <v>6821</v>
      </c>
      <c r="O791" s="34"/>
      <c r="P791" s="34"/>
      <c r="Q791" s="24" t="str">
        <f t="shared" si="3"/>
        <v>https://docs.google.com/forms/d/e/1FAIpQLSeZ-R1GrWlAPkfaThGqxeTj0QTtrARw4rroxIIepf2kipn1nw/formResponse?usp=pp_url&amp;entry.1313582257=0084468197&amp;entry.1578404635=Hadir</v>
      </c>
      <c r="R791" s="23" t="s">
        <v>7385</v>
      </c>
      <c r="S791" s="39"/>
      <c r="T791" s="39"/>
      <c r="U791" s="39"/>
      <c r="V791" s="39"/>
    </row>
    <row r="792" ht="22.5" customHeight="1">
      <c r="A792" s="12">
        <v>360.0</v>
      </c>
      <c r="B792" s="32">
        <v>24.0</v>
      </c>
      <c r="C792" s="55" t="s">
        <v>7386</v>
      </c>
      <c r="D792" s="56">
        <v>2.42510253E8</v>
      </c>
      <c r="E792" s="32" t="s">
        <v>4428</v>
      </c>
      <c r="F792" s="32" t="s">
        <v>220</v>
      </c>
      <c r="G792" s="12">
        <v>32.0</v>
      </c>
      <c r="H792" s="48" t="str">
        <f t="shared" si="4"/>
        <v>  XI D-3</v>
      </c>
      <c r="I792" s="28" t="str">
        <f t="shared" si="2"/>
        <v>33 - BC X-6</v>
      </c>
      <c r="J792" s="20" t="str">
        <f>VLOOKUP(I792,'Database Grup SCC'!$B$2:$C1382,2,false)</f>
        <v>Rizki Putra</v>
      </c>
      <c r="K792" s="50" t="str">
        <f>VLOOKUP(D792,'Data Siswa Mentah 32 Kelas X'!$C$8:$E1382,3,false)</f>
        <v>X-6</v>
      </c>
      <c r="L792" s="50" t="s">
        <v>7340</v>
      </c>
      <c r="M792" s="50"/>
      <c r="N792" s="33" t="s">
        <v>5926</v>
      </c>
      <c r="O792" s="34"/>
      <c r="P792" s="34"/>
      <c r="Q792" s="24" t="str">
        <f t="shared" si="3"/>
        <v>https://docs.google.com/forms/d/e/1FAIpQLSeZ-R1GrWlAPkfaThGqxeTj0QTtrARw4rroxIIepf2kipn1nw/formResponse?usp=pp_url&amp;entry.1313582257=0095554126&amp;entry.1578404635=Hadir</v>
      </c>
      <c r="R792" s="23" t="s">
        <v>7387</v>
      </c>
      <c r="S792" s="39"/>
      <c r="T792" s="39"/>
      <c r="U792" s="39"/>
      <c r="V792" s="39"/>
    </row>
    <row r="793" ht="22.5" customHeight="1">
      <c r="A793" s="12">
        <v>361.0</v>
      </c>
      <c r="B793" s="32">
        <v>25.0</v>
      </c>
      <c r="C793" s="55" t="s">
        <v>7388</v>
      </c>
      <c r="D793" s="56">
        <v>2.42510255E8</v>
      </c>
      <c r="E793" s="32" t="s">
        <v>4433</v>
      </c>
      <c r="F793" s="32" t="s">
        <v>220</v>
      </c>
      <c r="G793" s="12">
        <v>32.0</v>
      </c>
      <c r="H793" s="48" t="str">
        <f t="shared" si="4"/>
        <v>  XI D-3</v>
      </c>
      <c r="I793" s="28" t="str">
        <f t="shared" si="2"/>
        <v>33 - BC X-9</v>
      </c>
      <c r="J793" s="20" t="str">
        <f>VLOOKUP(I793,'Database Grup SCC'!$B$2:$C1382,2,false)</f>
        <v>Veril (XII)</v>
      </c>
      <c r="K793" s="50" t="str">
        <f>VLOOKUP(D793,'Data Siswa Mentah 32 Kelas X'!$C$8:$E1382,3,false)</f>
        <v>X-9</v>
      </c>
      <c r="L793" s="50" t="s">
        <v>7340</v>
      </c>
      <c r="M793" s="50"/>
      <c r="N793" s="33" t="s">
        <v>6296</v>
      </c>
      <c r="O793" s="34"/>
      <c r="P793" s="34"/>
      <c r="Q793" s="24" t="str">
        <f t="shared" si="3"/>
        <v>https://docs.google.com/forms/d/e/1FAIpQLSeZ-R1GrWlAPkfaThGqxeTj0QTtrARw4rroxIIepf2kipn1nw/formResponse?usp=pp_url&amp;entry.1313582257=0095029451&amp;entry.1578404635=Hadir</v>
      </c>
      <c r="R793" s="23" t="s">
        <v>7389</v>
      </c>
      <c r="S793" s="39"/>
      <c r="T793" s="39"/>
      <c r="U793" s="39"/>
      <c r="V793" s="39"/>
    </row>
    <row r="794" ht="22.5" customHeight="1">
      <c r="A794" s="12">
        <v>362.0</v>
      </c>
      <c r="B794" s="32">
        <v>26.0</v>
      </c>
      <c r="C794" s="55" t="s">
        <v>7390</v>
      </c>
      <c r="D794" s="56">
        <v>2.42510273E8</v>
      </c>
      <c r="E794" s="32" t="s">
        <v>4438</v>
      </c>
      <c r="F794" s="32" t="s">
        <v>220</v>
      </c>
      <c r="G794" s="12">
        <v>32.0</v>
      </c>
      <c r="H794" s="48" t="str">
        <f t="shared" si="4"/>
        <v>  XI D-3</v>
      </c>
      <c r="I794" s="28" t="str">
        <f t="shared" si="2"/>
        <v>33 - BC X-4</v>
      </c>
      <c r="J794" s="20" t="str">
        <f>VLOOKUP(I794,'Database Grup SCC'!$B$2:$C1382,2,false)</f>
        <v>Arumbinang</v>
      </c>
      <c r="K794" s="50" t="str">
        <f>VLOOKUP(D794,'Data Siswa Mentah 32 Kelas X'!$C$8:$E1382,3,false)</f>
        <v>X-4</v>
      </c>
      <c r="L794" s="50" t="s">
        <v>7340</v>
      </c>
      <c r="M794" s="50"/>
      <c r="N794" s="33" t="s">
        <v>5628</v>
      </c>
      <c r="O794" s="34"/>
      <c r="P794" s="34"/>
      <c r="Q794" s="24" t="str">
        <f t="shared" si="3"/>
        <v>https://docs.google.com/forms/d/e/1FAIpQLSeZ-R1GrWlAPkfaThGqxeTj0QTtrARw4rroxIIepf2kipn1nw/formResponse?usp=pp_url&amp;entry.1313582257=0084998907&amp;entry.1578404635=Hadir</v>
      </c>
      <c r="R794" s="23" t="s">
        <v>7391</v>
      </c>
      <c r="S794" s="39"/>
      <c r="T794" s="39"/>
      <c r="U794" s="39"/>
      <c r="V794" s="39"/>
    </row>
    <row r="795" ht="22.5" customHeight="1">
      <c r="A795" s="12">
        <v>363.0</v>
      </c>
      <c r="B795" s="32">
        <v>27.0</v>
      </c>
      <c r="C795" s="55" t="s">
        <v>7392</v>
      </c>
      <c r="D795" s="56">
        <v>2.4251028E8</v>
      </c>
      <c r="E795" s="32" t="s">
        <v>4443</v>
      </c>
      <c r="F795" s="32" t="s">
        <v>220</v>
      </c>
      <c r="G795" s="12">
        <v>32.0</v>
      </c>
      <c r="H795" s="48" t="str">
        <f t="shared" si="4"/>
        <v>  XI D-3</v>
      </c>
      <c r="I795" s="28" t="str">
        <f t="shared" si="2"/>
        <v>33 - BC X-4</v>
      </c>
      <c r="J795" s="20" t="str">
        <f>VLOOKUP(I795,'Database Grup SCC'!$B$2:$C1382,2,false)</f>
        <v>Arumbinang</v>
      </c>
      <c r="K795" s="50" t="str">
        <f>VLOOKUP(D795,'Data Siswa Mentah 32 Kelas X'!$C$8:$E1382,3,false)</f>
        <v>X-4</v>
      </c>
      <c r="L795" s="50" t="s">
        <v>7340</v>
      </c>
      <c r="M795" s="50"/>
      <c r="N795" s="33" t="s">
        <v>5628</v>
      </c>
      <c r="O795" s="34"/>
      <c r="P795" s="34"/>
      <c r="Q795" s="24" t="str">
        <f t="shared" si="3"/>
        <v>https://docs.google.com/forms/d/e/1FAIpQLSeZ-R1GrWlAPkfaThGqxeTj0QTtrARw4rroxIIepf2kipn1nw/formResponse?usp=pp_url&amp;entry.1313582257=3097947979&amp;entry.1578404635=Hadir</v>
      </c>
      <c r="R795" s="23" t="s">
        <v>7393</v>
      </c>
      <c r="S795" s="39"/>
      <c r="T795" s="39"/>
      <c r="U795" s="39"/>
      <c r="V795" s="39"/>
    </row>
    <row r="796" ht="22.5" customHeight="1">
      <c r="A796" s="12">
        <v>364.0</v>
      </c>
      <c r="B796" s="32">
        <v>28.0</v>
      </c>
      <c r="C796" s="55" t="s">
        <v>7394</v>
      </c>
      <c r="D796" s="56">
        <v>2.42510288E8</v>
      </c>
      <c r="E796" s="32" t="s">
        <v>4449</v>
      </c>
      <c r="F796" s="32" t="s">
        <v>227</v>
      </c>
      <c r="G796" s="12">
        <v>32.0</v>
      </c>
      <c r="H796" s="48" t="str">
        <f t="shared" si="4"/>
        <v>  XI D-3</v>
      </c>
      <c r="I796" s="28" t="str">
        <f t="shared" si="2"/>
        <v>32 - GC X-1</v>
      </c>
      <c r="J796" s="20" t="str">
        <f>VLOOKUP(I796,'Database Grup SCC'!$B$2:$C1382,2,false)</f>
        <v>Nia</v>
      </c>
      <c r="K796" s="50" t="str">
        <f>VLOOKUP(D796,'Data Siswa Mentah 32 Kelas X'!$C$8:$E1382,3,false)</f>
        <v>X-1</v>
      </c>
      <c r="L796" s="50" t="s">
        <v>7340</v>
      </c>
      <c r="M796" s="50"/>
      <c r="N796" s="33" t="s">
        <v>6829</v>
      </c>
      <c r="O796" s="34"/>
      <c r="P796" s="34"/>
      <c r="Q796" s="24" t="str">
        <f t="shared" si="3"/>
        <v>https://docs.google.com/forms/d/e/1FAIpQLSeZ-R1GrWlAPkfaThGqxeTj0QTtrARw4rroxIIepf2kipn1nw/formResponse?usp=pp_url&amp;entry.1313582257=0091225757&amp;entry.1578404635=Hadir</v>
      </c>
      <c r="R796" s="23" t="s">
        <v>7395</v>
      </c>
      <c r="S796" s="39"/>
      <c r="T796" s="39"/>
      <c r="U796" s="39"/>
      <c r="V796" s="39"/>
    </row>
    <row r="797" ht="22.5" customHeight="1">
      <c r="A797" s="12">
        <v>365.0</v>
      </c>
      <c r="B797" s="32">
        <v>29.0</v>
      </c>
      <c r="C797" s="55" t="s">
        <v>7396</v>
      </c>
      <c r="D797" s="56">
        <v>2.42510296E8</v>
      </c>
      <c r="E797" s="32" t="s">
        <v>4453</v>
      </c>
      <c r="F797" s="32" t="s">
        <v>227</v>
      </c>
      <c r="G797" s="12">
        <v>32.0</v>
      </c>
      <c r="H797" s="48" t="str">
        <f t="shared" si="4"/>
        <v>  XI D-3</v>
      </c>
      <c r="I797" s="28" t="str">
        <f t="shared" si="2"/>
        <v>32 - GC X-2</v>
      </c>
      <c r="J797" s="20" t="str">
        <f>VLOOKUP(I797,'Database Grup SCC'!$B$2:$C1382,2,false)</f>
        <v>Iga</v>
      </c>
      <c r="K797" s="50" t="str">
        <f>VLOOKUP(D797,'Data Siswa Mentah 32 Kelas X'!$C$8:$E1382,3,false)</f>
        <v>X-2</v>
      </c>
      <c r="L797" s="50" t="s">
        <v>7340</v>
      </c>
      <c r="M797" s="50"/>
      <c r="N797" s="33" t="s">
        <v>6921</v>
      </c>
      <c r="O797" s="34"/>
      <c r="P797" s="34"/>
      <c r="Q797" s="24" t="str">
        <f t="shared" si="3"/>
        <v>https://docs.google.com/forms/d/e/1FAIpQLSeZ-R1GrWlAPkfaThGqxeTj0QTtrARw4rroxIIepf2kipn1nw/formResponse?usp=pp_url&amp;entry.1313582257=0099551790&amp;entry.1578404635=Hadir</v>
      </c>
      <c r="R797" s="23" t="s">
        <v>7397</v>
      </c>
      <c r="S797" s="39"/>
      <c r="T797" s="39"/>
      <c r="U797" s="39"/>
      <c r="V797" s="39"/>
    </row>
    <row r="798" ht="22.5" customHeight="1">
      <c r="A798" s="12">
        <v>366.0</v>
      </c>
      <c r="B798" s="32">
        <v>30.0</v>
      </c>
      <c r="C798" s="55" t="s">
        <v>7398</v>
      </c>
      <c r="D798" s="56">
        <v>2.42510309E8</v>
      </c>
      <c r="E798" s="32" t="s">
        <v>4458</v>
      </c>
      <c r="F798" s="32" t="s">
        <v>227</v>
      </c>
      <c r="G798" s="12">
        <v>32.0</v>
      </c>
      <c r="H798" s="48" t="str">
        <f t="shared" si="4"/>
        <v>  XI D-3</v>
      </c>
      <c r="I798" s="28" t="str">
        <f t="shared" si="2"/>
        <v>32 - GC X-1</v>
      </c>
      <c r="J798" s="20" t="str">
        <f>VLOOKUP(I798,'Database Grup SCC'!$B$2:$C1382,2,false)</f>
        <v>Nia</v>
      </c>
      <c r="K798" s="50" t="str">
        <f>VLOOKUP(D798,'Data Siswa Mentah 32 Kelas X'!$C$8:$E1382,3,false)</f>
        <v>X-1</v>
      </c>
      <c r="L798" s="50" t="s">
        <v>7340</v>
      </c>
      <c r="M798" s="50"/>
      <c r="N798" s="33" t="s">
        <v>6829</v>
      </c>
      <c r="O798" s="34"/>
      <c r="P798" s="34"/>
      <c r="Q798" s="24" t="str">
        <f t="shared" si="3"/>
        <v>https://docs.google.com/forms/d/e/1FAIpQLSeZ-R1GrWlAPkfaThGqxeTj0QTtrARw4rroxIIepf2kipn1nw/formResponse?usp=pp_url&amp;entry.1313582257=0089608543&amp;entry.1578404635=Hadir</v>
      </c>
      <c r="R798" s="23" t="s">
        <v>7399</v>
      </c>
      <c r="S798" s="39"/>
      <c r="T798" s="39"/>
      <c r="U798" s="39"/>
      <c r="V798" s="39"/>
    </row>
    <row r="799" ht="22.5" customHeight="1">
      <c r="A799" s="12">
        <v>367.0</v>
      </c>
      <c r="B799" s="32">
        <v>31.0</v>
      </c>
      <c r="C799" s="55" t="s">
        <v>7400</v>
      </c>
      <c r="D799" s="56">
        <v>2.42510334E8</v>
      </c>
      <c r="E799" s="32" t="s">
        <v>4463</v>
      </c>
      <c r="F799" s="32" t="s">
        <v>220</v>
      </c>
      <c r="G799" s="12">
        <v>32.0</v>
      </c>
      <c r="H799" s="48" t="str">
        <f t="shared" si="4"/>
        <v>  XI D-3</v>
      </c>
      <c r="I799" s="28" t="str">
        <f t="shared" si="2"/>
        <v>32 - BC X-11</v>
      </c>
      <c r="J799" s="20" t="str">
        <f>VLOOKUP(I799,'Database Grup SCC'!$B$2:$C1382,2,false)</f>
        <v>Dimas</v>
      </c>
      <c r="K799" s="50" t="str">
        <f>VLOOKUP(D799,'Data Siswa Mentah 32 Kelas X'!$C$8:$E1382,3,false)</f>
        <v>X-11</v>
      </c>
      <c r="L799" s="50" t="s">
        <v>7340</v>
      </c>
      <c r="M799" s="50"/>
      <c r="N799" s="33" t="s">
        <v>6821</v>
      </c>
      <c r="O799" s="34"/>
      <c r="P799" s="34"/>
      <c r="Q799" s="24" t="str">
        <f t="shared" si="3"/>
        <v>https://docs.google.com/forms/d/e/1FAIpQLSeZ-R1GrWlAPkfaThGqxeTj0QTtrARw4rroxIIepf2kipn1nw/formResponse?usp=pp_url&amp;entry.1313582257=0098835028&amp;entry.1578404635=Hadir</v>
      </c>
      <c r="R799" s="23" t="s">
        <v>7401</v>
      </c>
      <c r="S799" s="39"/>
      <c r="T799" s="39"/>
      <c r="U799" s="39"/>
      <c r="V799" s="39"/>
    </row>
    <row r="800" ht="22.5" customHeight="1">
      <c r="A800" s="12">
        <v>368.0</v>
      </c>
      <c r="B800" s="32">
        <v>32.0</v>
      </c>
      <c r="C800" s="55" t="s">
        <v>7402</v>
      </c>
      <c r="D800" s="56">
        <v>2.42510353E8</v>
      </c>
      <c r="E800" s="32" t="s">
        <v>4468</v>
      </c>
      <c r="F800" s="32" t="s">
        <v>220</v>
      </c>
      <c r="G800" s="12">
        <v>32.0</v>
      </c>
      <c r="H800" s="48" t="str">
        <f t="shared" si="4"/>
        <v>  XI D-3</v>
      </c>
      <c r="I800" s="28" t="str">
        <f t="shared" si="2"/>
        <v>33 - BC X-6</v>
      </c>
      <c r="J800" s="20" t="str">
        <f>VLOOKUP(I800,'Database Grup SCC'!$B$2:$C1382,2,false)</f>
        <v>Rizki Putra</v>
      </c>
      <c r="K800" s="50" t="str">
        <f>VLOOKUP(D800,'Data Siswa Mentah 32 Kelas X'!$C$8:$E1382,3,false)</f>
        <v>X-6</v>
      </c>
      <c r="L800" s="50" t="s">
        <v>7340</v>
      </c>
      <c r="M800" s="50"/>
      <c r="N800" s="33" t="s">
        <v>5926</v>
      </c>
      <c r="O800" s="34"/>
      <c r="P800" s="34"/>
      <c r="Q800" s="24" t="str">
        <f t="shared" si="3"/>
        <v>https://docs.google.com/forms/d/e/1FAIpQLSeZ-R1GrWlAPkfaThGqxeTj0QTtrARw4rroxIIepf2kipn1nw/formResponse?usp=pp_url&amp;entry.1313582257=3097356141&amp;entry.1578404635=Hadir</v>
      </c>
      <c r="R800" s="23" t="s">
        <v>7403</v>
      </c>
      <c r="S800" s="39"/>
      <c r="T800" s="39"/>
      <c r="U800" s="39"/>
      <c r="V800" s="39"/>
    </row>
    <row r="801" ht="22.5" customHeight="1">
      <c r="A801" s="12">
        <v>369.0</v>
      </c>
      <c r="B801" s="32">
        <v>33.0</v>
      </c>
      <c r="C801" s="55" t="s">
        <v>7404</v>
      </c>
      <c r="D801" s="56">
        <v>2.42510379E8</v>
      </c>
      <c r="E801" s="32" t="s">
        <v>4473</v>
      </c>
      <c r="F801" s="32" t="s">
        <v>227</v>
      </c>
      <c r="G801" s="12">
        <v>32.0</v>
      </c>
      <c r="H801" s="48" t="str">
        <f t="shared" si="4"/>
        <v>  XI D-3</v>
      </c>
      <c r="I801" s="28" t="str">
        <f t="shared" si="2"/>
        <v>32 - GC X-8</v>
      </c>
      <c r="J801" s="20" t="str">
        <f>VLOOKUP(I801,'Database Grup SCC'!$B$2:$C1382,2,false)</f>
        <v>Amel (XII)</v>
      </c>
      <c r="K801" s="50" t="str">
        <f>VLOOKUP(D801,'Data Siswa Mentah 32 Kelas X'!$C$8:$E1382,3,false)</f>
        <v>X-8</v>
      </c>
      <c r="L801" s="50" t="s">
        <v>7340</v>
      </c>
      <c r="M801" s="50"/>
      <c r="N801" s="33" t="s">
        <v>6858</v>
      </c>
      <c r="O801" s="34"/>
      <c r="P801" s="34"/>
      <c r="Q801" s="24" t="str">
        <f t="shared" si="3"/>
        <v>https://docs.google.com/forms/d/e/1FAIpQLSeZ-R1GrWlAPkfaThGqxeTj0QTtrARw4rroxIIepf2kipn1nw/formResponse?usp=pp_url&amp;entry.1313582257=0097311898&amp;entry.1578404635=Hadir</v>
      </c>
      <c r="R801" s="23" t="s">
        <v>7405</v>
      </c>
      <c r="S801" s="39"/>
      <c r="T801" s="39"/>
      <c r="U801" s="39"/>
      <c r="V801" s="39"/>
    </row>
    <row r="802" ht="22.5" customHeight="1">
      <c r="A802" s="12">
        <v>370.0</v>
      </c>
      <c r="B802" s="32">
        <v>34.0</v>
      </c>
      <c r="C802" s="55" t="s">
        <v>7406</v>
      </c>
      <c r="D802" s="56">
        <v>2.42510385E8</v>
      </c>
      <c r="E802" s="32" t="s">
        <v>4478</v>
      </c>
      <c r="F802" s="32" t="s">
        <v>220</v>
      </c>
      <c r="G802" s="12">
        <v>32.0</v>
      </c>
      <c r="H802" s="48" t="str">
        <f t="shared" si="4"/>
        <v>  XI D-3</v>
      </c>
      <c r="I802" s="28" t="str">
        <f t="shared" si="2"/>
        <v>33 - BC X-8</v>
      </c>
      <c r="J802" s="20" t="str">
        <f>VLOOKUP(I802,'Database Grup SCC'!$B$2:$C1382,2,false)</f>
        <v>Teguh</v>
      </c>
      <c r="K802" s="50" t="str">
        <f>VLOOKUP(D802,'Data Siswa Mentah 32 Kelas X'!$C$8:$E1382,3,false)</f>
        <v>X-8</v>
      </c>
      <c r="L802" s="50" t="s">
        <v>7340</v>
      </c>
      <c r="M802" s="50"/>
      <c r="N802" s="33" t="s">
        <v>6166</v>
      </c>
      <c r="O802" s="34"/>
      <c r="P802" s="34"/>
      <c r="Q802" s="24" t="str">
        <f t="shared" si="3"/>
        <v>https://docs.google.com/forms/d/e/1FAIpQLSeZ-R1GrWlAPkfaThGqxeTj0QTtrARw4rroxIIepf2kipn1nw/formResponse?usp=pp_url&amp;entry.1313582257=0099130256&amp;entry.1578404635=Hadir</v>
      </c>
      <c r="R802" s="23" t="s">
        <v>7407</v>
      </c>
      <c r="S802" s="39"/>
      <c r="T802" s="39"/>
      <c r="U802" s="39"/>
      <c r="V802" s="39"/>
    </row>
    <row r="803" ht="22.5" customHeight="1">
      <c r="A803" s="12">
        <v>371.0</v>
      </c>
      <c r="B803" s="32">
        <v>35.0</v>
      </c>
      <c r="C803" s="55" t="s">
        <v>7408</v>
      </c>
      <c r="D803" s="56">
        <v>2.42510398E8</v>
      </c>
      <c r="E803" s="32" t="s">
        <v>4484</v>
      </c>
      <c r="F803" s="32" t="s">
        <v>227</v>
      </c>
      <c r="G803" s="12">
        <v>32.0</v>
      </c>
      <c r="H803" s="48" t="str">
        <f t="shared" si="4"/>
        <v>  XI D-3</v>
      </c>
      <c r="I803" s="28" t="str">
        <f t="shared" si="2"/>
        <v>32 - GC X-1</v>
      </c>
      <c r="J803" s="20" t="str">
        <f>VLOOKUP(I803,'Database Grup SCC'!$B$2:$C1382,2,false)</f>
        <v>Nia</v>
      </c>
      <c r="K803" s="50" t="str">
        <f>VLOOKUP(D803,'Data Siswa Mentah 32 Kelas X'!$C$8:$E1382,3,false)</f>
        <v>X-1</v>
      </c>
      <c r="L803" s="50" t="s">
        <v>7340</v>
      </c>
      <c r="M803" s="50"/>
      <c r="N803" s="33" t="s">
        <v>6829</v>
      </c>
      <c r="O803" s="34"/>
      <c r="P803" s="34"/>
      <c r="Q803" s="24" t="str">
        <f t="shared" si="3"/>
        <v>https://docs.google.com/forms/d/e/1FAIpQLSeZ-R1GrWlAPkfaThGqxeTj0QTtrARw4rroxIIepf2kipn1nw/formResponse?usp=pp_url&amp;entry.1313582257=0082646713&amp;entry.1578404635=Hadir</v>
      </c>
      <c r="R803" s="23" t="s">
        <v>7409</v>
      </c>
      <c r="S803" s="39"/>
      <c r="T803" s="39"/>
      <c r="U803" s="39"/>
      <c r="V803" s="39"/>
    </row>
    <row r="804" ht="22.5" customHeight="1">
      <c r="A804" s="12">
        <v>372.0</v>
      </c>
      <c r="B804" s="32">
        <v>36.0</v>
      </c>
      <c r="C804" s="55" t="s">
        <v>7410</v>
      </c>
      <c r="D804" s="56">
        <v>2.42510407E8</v>
      </c>
      <c r="E804" s="32" t="s">
        <v>4489</v>
      </c>
      <c r="F804" s="32" t="s">
        <v>227</v>
      </c>
      <c r="G804" s="12">
        <v>32.0</v>
      </c>
      <c r="H804" s="48" t="str">
        <f t="shared" si="4"/>
        <v>  XI D-3</v>
      </c>
      <c r="I804" s="28" t="str">
        <f t="shared" si="2"/>
        <v>32 - GC X-9</v>
      </c>
      <c r="J804" s="20" t="str">
        <f>VLOOKUP(I804,'Database Grup SCC'!$B$2:$C1382,2,false)</f>
        <v>Athaya</v>
      </c>
      <c r="K804" s="50" t="str">
        <f>VLOOKUP(D804,'Data Siswa Mentah 32 Kelas X'!$C$8:$E1382,3,false)</f>
        <v>X-9</v>
      </c>
      <c r="L804" s="50" t="s">
        <v>7340</v>
      </c>
      <c r="M804" s="50"/>
      <c r="N804" s="33" t="s">
        <v>6826</v>
      </c>
      <c r="O804" s="34"/>
      <c r="P804" s="34"/>
      <c r="Q804" s="24" t="str">
        <f t="shared" si="3"/>
        <v>https://docs.google.com/forms/d/e/1FAIpQLSeZ-R1GrWlAPkfaThGqxeTj0QTtrARw4rroxIIepf2kipn1nw/formResponse?usp=pp_url&amp;entry.1313582257=0091537746&amp;entry.1578404635=Hadir</v>
      </c>
      <c r="R804" s="23" t="s">
        <v>7411</v>
      </c>
      <c r="S804" s="39"/>
      <c r="T804" s="39"/>
      <c r="U804" s="39"/>
      <c r="V804" s="39"/>
    </row>
    <row r="805" ht="22.5" customHeight="1">
      <c r="A805" s="12">
        <v>384.0</v>
      </c>
      <c r="B805" s="32">
        <v>1.0</v>
      </c>
      <c r="C805" s="53" t="s">
        <v>7412</v>
      </c>
      <c r="D805" s="56">
        <v>2.42510006E8</v>
      </c>
      <c r="E805" s="32" t="s">
        <v>4494</v>
      </c>
      <c r="F805" s="32" t="s">
        <v>227</v>
      </c>
      <c r="G805" s="12">
        <v>32.0</v>
      </c>
      <c r="H805" s="48" t="str">
        <f t="shared" si="4"/>
        <v>  XI E-1</v>
      </c>
      <c r="I805" s="28" t="str">
        <f t="shared" si="2"/>
        <v>32 - GC X-8</v>
      </c>
      <c r="J805" s="20" t="str">
        <f>VLOOKUP(I805,'Database Grup SCC'!$B$2:$C1382,2,false)</f>
        <v>Amel (XII)</v>
      </c>
      <c r="K805" s="50" t="str">
        <f>VLOOKUP(D805,'Data Siswa Mentah 32 Kelas X'!$C$8:$E1382,3,false)</f>
        <v>X-8</v>
      </c>
      <c r="L805" s="50" t="s">
        <v>7413</v>
      </c>
      <c r="M805" s="50"/>
      <c r="N805" s="33" t="s">
        <v>6858</v>
      </c>
      <c r="O805" s="34"/>
      <c r="P805" s="34"/>
      <c r="Q805" s="24" t="str">
        <f t="shared" si="3"/>
        <v>https://docs.google.com/forms/d/e/1FAIpQLSeZ-R1GrWlAPkfaThGqxeTj0QTtrARw4rroxIIepf2kipn1nw/formResponse?usp=pp_url&amp;entry.1313582257=0093390743&amp;entry.1578404635=Hadir</v>
      </c>
      <c r="R805" s="23" t="s">
        <v>7414</v>
      </c>
      <c r="S805" s="39"/>
      <c r="T805" s="39"/>
      <c r="U805" s="39"/>
      <c r="V805" s="39"/>
    </row>
    <row r="806" ht="22.5" customHeight="1">
      <c r="A806" s="12">
        <v>385.0</v>
      </c>
      <c r="B806" s="32">
        <v>2.0</v>
      </c>
      <c r="C806" s="53" t="s">
        <v>7415</v>
      </c>
      <c r="D806" s="56">
        <v>2.42510022E8</v>
      </c>
      <c r="E806" s="32" t="s">
        <v>4500</v>
      </c>
      <c r="F806" s="32" t="s">
        <v>220</v>
      </c>
      <c r="G806" s="12">
        <v>32.0</v>
      </c>
      <c r="H806" s="48" t="str">
        <f t="shared" si="4"/>
        <v>  XI E-1</v>
      </c>
      <c r="I806" s="28" t="str">
        <f t="shared" si="2"/>
        <v>33 - BC X-5</v>
      </c>
      <c r="J806" s="20" t="str">
        <f>VLOOKUP(I806,'Database Grup SCC'!$B$2:$C1382,2,false)</f>
        <v>Topik &amp; Adrian</v>
      </c>
      <c r="K806" s="50" t="str">
        <f>VLOOKUP(D806,'Data Siswa Mentah 32 Kelas X'!$C$8:$E1382,3,false)</f>
        <v>X-5</v>
      </c>
      <c r="L806" s="50" t="s">
        <v>7413</v>
      </c>
      <c r="M806" s="50"/>
      <c r="N806" s="33" t="s">
        <v>5770</v>
      </c>
      <c r="O806" s="34"/>
      <c r="P806" s="34"/>
      <c r="Q806" s="24" t="str">
        <f t="shared" si="3"/>
        <v>https://docs.google.com/forms/d/e/1FAIpQLSeZ-R1GrWlAPkfaThGqxeTj0QTtrARw4rroxIIepf2kipn1nw/formResponse?usp=pp_url&amp;entry.1313582257=0099505768&amp;entry.1578404635=Hadir</v>
      </c>
      <c r="R806" s="23" t="s">
        <v>7416</v>
      </c>
      <c r="S806" s="39"/>
      <c r="T806" s="39"/>
      <c r="U806" s="39"/>
      <c r="V806" s="39"/>
    </row>
    <row r="807" ht="22.5" customHeight="1">
      <c r="A807" s="12">
        <v>386.0</v>
      </c>
      <c r="B807" s="32">
        <v>3.0</v>
      </c>
      <c r="C807" s="53" t="s">
        <v>7417</v>
      </c>
      <c r="D807" s="56">
        <v>2.42510035E8</v>
      </c>
      <c r="E807" s="32" t="s">
        <v>4505</v>
      </c>
      <c r="F807" s="32" t="s">
        <v>227</v>
      </c>
      <c r="G807" s="12">
        <v>32.0</v>
      </c>
      <c r="H807" s="48" t="str">
        <f t="shared" si="4"/>
        <v>  XI E-1</v>
      </c>
      <c r="I807" s="28" t="str">
        <f t="shared" si="2"/>
        <v>32 - GC X-8</v>
      </c>
      <c r="J807" s="20" t="str">
        <f>VLOOKUP(I807,'Database Grup SCC'!$B$2:$C1382,2,false)</f>
        <v>Amel (XII)</v>
      </c>
      <c r="K807" s="50" t="str">
        <f>VLOOKUP(D807,'Data Siswa Mentah 32 Kelas X'!$C$8:$E1382,3,false)</f>
        <v>X-8</v>
      </c>
      <c r="L807" s="50" t="s">
        <v>7413</v>
      </c>
      <c r="M807" s="50"/>
      <c r="N807" s="33" t="s">
        <v>6858</v>
      </c>
      <c r="O807" s="34"/>
      <c r="P807" s="34"/>
      <c r="Q807" s="24" t="str">
        <f t="shared" si="3"/>
        <v>https://docs.google.com/forms/d/e/1FAIpQLSeZ-R1GrWlAPkfaThGqxeTj0QTtrARw4rroxIIepf2kipn1nw/formResponse?usp=pp_url&amp;entry.1313582257=0093801090&amp;entry.1578404635=Hadir</v>
      </c>
      <c r="R807" s="23" t="s">
        <v>7418</v>
      </c>
      <c r="S807" s="39"/>
      <c r="T807" s="39"/>
      <c r="U807" s="39"/>
      <c r="V807" s="39"/>
    </row>
    <row r="808" ht="22.5" customHeight="1">
      <c r="A808" s="12">
        <v>387.0</v>
      </c>
      <c r="B808" s="32">
        <v>4.0</v>
      </c>
      <c r="C808" s="53" t="s">
        <v>7419</v>
      </c>
      <c r="D808" s="56">
        <v>2.42510047E8</v>
      </c>
      <c r="E808" s="32" t="s">
        <v>4510</v>
      </c>
      <c r="F808" s="32" t="s">
        <v>220</v>
      </c>
      <c r="G808" s="12">
        <v>32.0</v>
      </c>
      <c r="H808" s="48" t="str">
        <f t="shared" si="4"/>
        <v>  XI E-1</v>
      </c>
      <c r="I808" s="28" t="str">
        <f t="shared" si="2"/>
        <v>33 - BC X-6</v>
      </c>
      <c r="J808" s="20" t="str">
        <f>VLOOKUP(I808,'Database Grup SCC'!$B$2:$C1382,2,false)</f>
        <v>Rizki Putra</v>
      </c>
      <c r="K808" s="50" t="str">
        <f>VLOOKUP(D808,'Data Siswa Mentah 32 Kelas X'!$C$8:$E1382,3,false)</f>
        <v>X-6</v>
      </c>
      <c r="L808" s="50" t="s">
        <v>7413</v>
      </c>
      <c r="M808" s="50"/>
      <c r="N808" s="33" t="s">
        <v>5926</v>
      </c>
      <c r="O808" s="34"/>
      <c r="P808" s="34"/>
      <c r="Q808" s="24" t="str">
        <f t="shared" si="3"/>
        <v>https://docs.google.com/forms/d/e/1FAIpQLSeZ-R1GrWlAPkfaThGqxeTj0QTtrARw4rroxIIepf2kipn1nw/formResponse?usp=pp_url&amp;entry.1313582257=0097959305&amp;entry.1578404635=Hadir</v>
      </c>
      <c r="R808" s="23" t="s">
        <v>7420</v>
      </c>
      <c r="S808" s="39"/>
      <c r="T808" s="39"/>
      <c r="U808" s="39"/>
      <c r="V808" s="39"/>
    </row>
    <row r="809" ht="22.5" customHeight="1">
      <c r="A809" s="12">
        <v>388.0</v>
      </c>
      <c r="B809" s="32">
        <v>5.0</v>
      </c>
      <c r="C809" s="53" t="s">
        <v>7421</v>
      </c>
      <c r="D809" s="56">
        <v>2.42510051E8</v>
      </c>
      <c r="E809" s="32" t="s">
        <v>4515</v>
      </c>
      <c r="F809" s="32" t="s">
        <v>227</v>
      </c>
      <c r="G809" s="12">
        <v>32.0</v>
      </c>
      <c r="H809" s="48" t="str">
        <f t="shared" si="4"/>
        <v>  XI E-1</v>
      </c>
      <c r="I809" s="28" t="str">
        <f t="shared" si="2"/>
        <v>32 - GC X-3</v>
      </c>
      <c r="J809" s="20" t="str">
        <f>VLOOKUP(I809,'Database Grup SCC'!$B$2:$C1382,2,false)</f>
        <v>Devi</v>
      </c>
      <c r="K809" s="50" t="str">
        <f>VLOOKUP(D809,'Data Siswa Mentah 32 Kelas X'!$C$8:$E1382,3,false)</f>
        <v>X-3</v>
      </c>
      <c r="L809" s="50" t="s">
        <v>7413</v>
      </c>
      <c r="M809" s="50"/>
      <c r="N809" s="33" t="s">
        <v>6879</v>
      </c>
      <c r="O809" s="34"/>
      <c r="P809" s="34"/>
      <c r="Q809" s="24" t="str">
        <f t="shared" si="3"/>
        <v>https://docs.google.com/forms/d/e/1FAIpQLSeZ-R1GrWlAPkfaThGqxeTj0QTtrARw4rroxIIepf2kipn1nw/formResponse?usp=pp_url&amp;entry.1313582257=0084789093&amp;entry.1578404635=Hadir</v>
      </c>
      <c r="R809" s="23" t="s">
        <v>7422</v>
      </c>
      <c r="S809" s="39"/>
      <c r="T809" s="39"/>
      <c r="U809" s="39"/>
      <c r="V809" s="39"/>
    </row>
    <row r="810" ht="22.5" customHeight="1">
      <c r="A810" s="12">
        <v>389.0</v>
      </c>
      <c r="B810" s="32">
        <v>6.0</v>
      </c>
      <c r="C810" s="53" t="s">
        <v>7423</v>
      </c>
      <c r="D810" s="56">
        <v>2.42510059E8</v>
      </c>
      <c r="E810" s="32" t="s">
        <v>4520</v>
      </c>
      <c r="F810" s="32" t="s">
        <v>220</v>
      </c>
      <c r="G810" s="12">
        <v>32.0</v>
      </c>
      <c r="H810" s="48" t="str">
        <f t="shared" si="4"/>
        <v>  XI E-1</v>
      </c>
      <c r="I810" s="28" t="str">
        <f t="shared" si="2"/>
        <v>33 - BC X-5</v>
      </c>
      <c r="J810" s="20" t="str">
        <f>VLOOKUP(I810,'Database Grup SCC'!$B$2:$C1382,2,false)</f>
        <v>Topik &amp; Adrian</v>
      </c>
      <c r="K810" s="50" t="str">
        <f>VLOOKUP(D810,'Data Siswa Mentah 32 Kelas X'!$C$8:$E1382,3,false)</f>
        <v>X-5</v>
      </c>
      <c r="L810" s="50" t="s">
        <v>7413</v>
      </c>
      <c r="M810" s="50"/>
      <c r="N810" s="33" t="s">
        <v>5770</v>
      </c>
      <c r="O810" s="34"/>
      <c r="P810" s="34"/>
      <c r="Q810" s="24" t="str">
        <f t="shared" si="3"/>
        <v>https://docs.google.com/forms/d/e/1FAIpQLSeZ-R1GrWlAPkfaThGqxeTj0QTtrARw4rroxIIepf2kipn1nw/formResponse?usp=pp_url&amp;entry.1313582257=2081404817&amp;entry.1578404635=Hadir</v>
      </c>
      <c r="R810" s="23" t="s">
        <v>7424</v>
      </c>
      <c r="S810" s="39"/>
      <c r="T810" s="39"/>
      <c r="U810" s="39"/>
      <c r="V810" s="39"/>
    </row>
    <row r="811" ht="22.5" customHeight="1">
      <c r="A811" s="12">
        <v>390.0</v>
      </c>
      <c r="B811" s="32">
        <v>7.0</v>
      </c>
      <c r="C811" s="53" t="s">
        <v>7425</v>
      </c>
      <c r="D811" s="56">
        <v>2.42510083E8</v>
      </c>
      <c r="E811" s="32" t="s">
        <v>4526</v>
      </c>
      <c r="F811" s="32" t="s">
        <v>220</v>
      </c>
      <c r="G811" s="12">
        <v>32.0</v>
      </c>
      <c r="H811" s="48" t="str">
        <f t="shared" si="4"/>
        <v>  XI E-1</v>
      </c>
      <c r="I811" s="28" t="str">
        <f t="shared" si="2"/>
        <v>33 - BC X-4</v>
      </c>
      <c r="J811" s="20" t="str">
        <f>VLOOKUP(I811,'Database Grup SCC'!$B$2:$C1382,2,false)</f>
        <v>Arumbinang</v>
      </c>
      <c r="K811" s="50" t="str">
        <f>VLOOKUP(D811,'Data Siswa Mentah 32 Kelas X'!$C$8:$E1382,3,false)</f>
        <v>X-4</v>
      </c>
      <c r="L811" s="50" t="s">
        <v>7413</v>
      </c>
      <c r="M811" s="50"/>
      <c r="N811" s="33" t="s">
        <v>5628</v>
      </c>
      <c r="O811" s="34"/>
      <c r="P811" s="34"/>
      <c r="Q811" s="24" t="str">
        <f t="shared" si="3"/>
        <v>https://docs.google.com/forms/d/e/1FAIpQLSeZ-R1GrWlAPkfaThGqxeTj0QTtrARw4rroxIIepf2kipn1nw/formResponse?usp=pp_url&amp;entry.1313582257=0098812831&amp;entry.1578404635=Hadir</v>
      </c>
      <c r="R811" s="23" t="s">
        <v>7426</v>
      </c>
      <c r="S811" s="39"/>
      <c r="T811" s="39"/>
      <c r="U811" s="39"/>
      <c r="V811" s="39"/>
    </row>
    <row r="812" ht="22.5" customHeight="1">
      <c r="A812" s="12">
        <v>391.0</v>
      </c>
      <c r="B812" s="32">
        <v>8.0</v>
      </c>
      <c r="C812" s="53" t="s">
        <v>7427</v>
      </c>
      <c r="D812" s="56">
        <v>2.42510098E8</v>
      </c>
      <c r="E812" s="32" t="s">
        <v>4531</v>
      </c>
      <c r="F812" s="32" t="s">
        <v>220</v>
      </c>
      <c r="G812" s="12">
        <v>32.0</v>
      </c>
      <c r="H812" s="48" t="str">
        <f t="shared" si="4"/>
        <v>  XI E-1</v>
      </c>
      <c r="I812" s="28" t="str">
        <f t="shared" si="2"/>
        <v>33 - BC X-8</v>
      </c>
      <c r="J812" s="20" t="str">
        <f>VLOOKUP(I812,'Database Grup SCC'!$B$2:$C1382,2,false)</f>
        <v>Teguh</v>
      </c>
      <c r="K812" s="50" t="str">
        <f>VLOOKUP(D812,'Data Siswa Mentah 32 Kelas X'!$C$8:$E1382,3,false)</f>
        <v>X-8</v>
      </c>
      <c r="L812" s="50" t="s">
        <v>7413</v>
      </c>
      <c r="M812" s="50"/>
      <c r="N812" s="33" t="s">
        <v>6166</v>
      </c>
      <c r="O812" s="34"/>
      <c r="P812" s="34"/>
      <c r="Q812" s="24" t="str">
        <f t="shared" si="3"/>
        <v>https://docs.google.com/forms/d/e/1FAIpQLSeZ-R1GrWlAPkfaThGqxeTj0QTtrARw4rroxIIepf2kipn1nw/formResponse?usp=pp_url&amp;entry.1313582257=0083352872&amp;entry.1578404635=Hadir</v>
      </c>
      <c r="R812" s="23" t="s">
        <v>7428</v>
      </c>
      <c r="S812" s="39"/>
      <c r="T812" s="39"/>
      <c r="U812" s="39"/>
      <c r="V812" s="39"/>
    </row>
    <row r="813" ht="22.5" customHeight="1">
      <c r="A813" s="12">
        <v>392.0</v>
      </c>
      <c r="B813" s="32">
        <v>9.0</v>
      </c>
      <c r="C813" s="53" t="s">
        <v>7429</v>
      </c>
      <c r="D813" s="56">
        <v>2.42510103E8</v>
      </c>
      <c r="E813" s="32" t="s">
        <v>4536</v>
      </c>
      <c r="F813" s="32" t="s">
        <v>220</v>
      </c>
      <c r="G813" s="12">
        <v>32.0</v>
      </c>
      <c r="H813" s="48" t="str">
        <f t="shared" si="4"/>
        <v>  XI E-1</v>
      </c>
      <c r="I813" s="28" t="str">
        <f t="shared" si="2"/>
        <v>32 - BC X-2</v>
      </c>
      <c r="J813" s="20" t="str">
        <f>VLOOKUP(I813,'Database Grup SCC'!$B$2:$C1382,2,false)</f>
        <v>Rafli (XII)</v>
      </c>
      <c r="K813" s="50" t="str">
        <f>VLOOKUP(D813,'Data Siswa Mentah 32 Kelas X'!$C$8:$E1382,3,false)</f>
        <v>X-2</v>
      </c>
      <c r="L813" s="50" t="s">
        <v>7413</v>
      </c>
      <c r="M813" s="50"/>
      <c r="N813" s="33" t="s">
        <v>6869</v>
      </c>
      <c r="O813" s="34"/>
      <c r="P813" s="34"/>
      <c r="Q813" s="24" t="str">
        <f t="shared" si="3"/>
        <v>https://docs.google.com/forms/d/e/1FAIpQLSeZ-R1GrWlAPkfaThGqxeTj0QTtrARw4rroxIIepf2kipn1nw/formResponse?usp=pp_url&amp;entry.1313582257=0086078004&amp;entry.1578404635=Hadir</v>
      </c>
      <c r="R813" s="23" t="s">
        <v>7430</v>
      </c>
      <c r="S813" s="39"/>
      <c r="T813" s="39"/>
      <c r="U813" s="39"/>
      <c r="V813" s="39"/>
    </row>
    <row r="814" ht="22.5" customHeight="1">
      <c r="A814" s="12">
        <v>393.0</v>
      </c>
      <c r="B814" s="32">
        <v>10.0</v>
      </c>
      <c r="C814" s="53" t="s">
        <v>7431</v>
      </c>
      <c r="D814" s="56">
        <v>2.42510123E8</v>
      </c>
      <c r="E814" s="32" t="s">
        <v>4541</v>
      </c>
      <c r="F814" s="32" t="s">
        <v>220</v>
      </c>
      <c r="G814" s="12">
        <v>32.0</v>
      </c>
      <c r="H814" s="48" t="str">
        <f t="shared" si="4"/>
        <v>  XI E-1</v>
      </c>
      <c r="I814" s="28" t="str">
        <f t="shared" si="2"/>
        <v>32 - BC X-11</v>
      </c>
      <c r="J814" s="20" t="str">
        <f>VLOOKUP(I814,'Database Grup SCC'!$B$2:$C1382,2,false)</f>
        <v>Dimas</v>
      </c>
      <c r="K814" s="50" t="str">
        <f>VLOOKUP(D814,'Data Siswa Mentah 32 Kelas X'!$C$8:$E1382,3,false)</f>
        <v>X-11</v>
      </c>
      <c r="L814" s="50" t="s">
        <v>7413</v>
      </c>
      <c r="M814" s="50"/>
      <c r="N814" s="33" t="s">
        <v>6821</v>
      </c>
      <c r="O814" s="34"/>
      <c r="P814" s="34"/>
      <c r="Q814" s="24" t="str">
        <f t="shared" si="3"/>
        <v>https://docs.google.com/forms/d/e/1FAIpQLSeZ-R1GrWlAPkfaThGqxeTj0QTtrARw4rroxIIepf2kipn1nw/formResponse?usp=pp_url&amp;entry.1313582257=0098775856&amp;entry.1578404635=Hadir</v>
      </c>
      <c r="R814" s="23" t="s">
        <v>7432</v>
      </c>
      <c r="S814" s="39"/>
      <c r="T814" s="39"/>
      <c r="U814" s="39"/>
      <c r="V814" s="39"/>
    </row>
    <row r="815" ht="22.5" customHeight="1">
      <c r="A815" s="12">
        <v>394.0</v>
      </c>
      <c r="B815" s="32">
        <v>11.0</v>
      </c>
      <c r="C815" s="53" t="s">
        <v>7433</v>
      </c>
      <c r="D815" s="56">
        <v>2.42510128E8</v>
      </c>
      <c r="E815" s="32" t="s">
        <v>4546</v>
      </c>
      <c r="F815" s="32" t="s">
        <v>220</v>
      </c>
      <c r="G815" s="12">
        <v>32.0</v>
      </c>
      <c r="H815" s="48" t="str">
        <f t="shared" si="4"/>
        <v>  XI E-1</v>
      </c>
      <c r="I815" s="28" t="str">
        <f t="shared" si="2"/>
        <v>33 - BC X-8</v>
      </c>
      <c r="J815" s="20" t="str">
        <f>VLOOKUP(I815,'Database Grup SCC'!$B$2:$C1382,2,false)</f>
        <v>Teguh</v>
      </c>
      <c r="K815" s="50" t="str">
        <f>VLOOKUP(D815,'Data Siswa Mentah 32 Kelas X'!$C$8:$E1382,3,false)</f>
        <v>X-8</v>
      </c>
      <c r="L815" s="50" t="s">
        <v>7413</v>
      </c>
      <c r="M815" s="50"/>
      <c r="N815" s="33" t="s">
        <v>6166</v>
      </c>
      <c r="O815" s="34"/>
      <c r="P815" s="34"/>
      <c r="Q815" s="24" t="str">
        <f t="shared" si="3"/>
        <v>https://docs.google.com/forms/d/e/1FAIpQLSeZ-R1GrWlAPkfaThGqxeTj0QTtrARw4rroxIIepf2kipn1nw/formResponse?usp=pp_url&amp;entry.1313582257=0093969715&amp;entry.1578404635=Hadir</v>
      </c>
      <c r="R815" s="23" t="s">
        <v>7434</v>
      </c>
      <c r="S815" s="39"/>
      <c r="T815" s="39"/>
      <c r="U815" s="39"/>
      <c r="V815" s="39"/>
    </row>
    <row r="816" ht="22.5" customHeight="1">
      <c r="A816" s="12">
        <v>395.0</v>
      </c>
      <c r="B816" s="32">
        <v>12.0</v>
      </c>
      <c r="C816" s="53" t="s">
        <v>7435</v>
      </c>
      <c r="D816" s="56">
        <v>2.42510175E8</v>
      </c>
      <c r="E816" s="32" t="s">
        <v>4551</v>
      </c>
      <c r="F816" s="32" t="s">
        <v>220</v>
      </c>
      <c r="G816" s="12">
        <v>32.0</v>
      </c>
      <c r="H816" s="48" t="str">
        <f t="shared" si="4"/>
        <v>  XI E-1</v>
      </c>
      <c r="I816" s="28" t="str">
        <f t="shared" si="2"/>
        <v>32 - BC X-2</v>
      </c>
      <c r="J816" s="20" t="str">
        <f>VLOOKUP(I816,'Database Grup SCC'!$B$2:$C1382,2,false)</f>
        <v>Rafli (XII)</v>
      </c>
      <c r="K816" s="50" t="str">
        <f>VLOOKUP(D816,'Data Siswa Mentah 32 Kelas X'!$C$8:$E1382,3,false)</f>
        <v>X-2</v>
      </c>
      <c r="L816" s="50" t="s">
        <v>7413</v>
      </c>
      <c r="M816" s="50"/>
      <c r="N816" s="33" t="s">
        <v>6869</v>
      </c>
      <c r="O816" s="34"/>
      <c r="P816" s="34"/>
      <c r="Q816" s="24" t="str">
        <f t="shared" si="3"/>
        <v>https://docs.google.com/forms/d/e/1FAIpQLSeZ-R1GrWlAPkfaThGqxeTj0QTtrARw4rroxIIepf2kipn1nw/formResponse?usp=pp_url&amp;entry.1313582257=0097062478&amp;entry.1578404635=Hadir</v>
      </c>
      <c r="R816" s="23" t="s">
        <v>7436</v>
      </c>
      <c r="S816" s="39"/>
      <c r="T816" s="39"/>
      <c r="U816" s="39"/>
      <c r="V816" s="39"/>
    </row>
    <row r="817" ht="22.5" customHeight="1">
      <c r="A817" s="12">
        <v>396.0</v>
      </c>
      <c r="B817" s="32">
        <v>13.0</v>
      </c>
      <c r="C817" s="53" t="s">
        <v>7437</v>
      </c>
      <c r="D817" s="56">
        <v>2.42510181E8</v>
      </c>
      <c r="E817" s="32" t="s">
        <v>4556</v>
      </c>
      <c r="F817" s="32" t="s">
        <v>227</v>
      </c>
      <c r="G817" s="12">
        <v>32.0</v>
      </c>
      <c r="H817" s="48" t="str">
        <f t="shared" si="4"/>
        <v>  XI E-1</v>
      </c>
      <c r="I817" s="28" t="str">
        <f t="shared" si="2"/>
        <v>32 - GC X-1</v>
      </c>
      <c r="J817" s="20" t="str">
        <f>VLOOKUP(I817,'Database Grup SCC'!$B$2:$C1382,2,false)</f>
        <v>Nia</v>
      </c>
      <c r="K817" s="50" t="str">
        <f>VLOOKUP(D817,'Data Siswa Mentah 32 Kelas X'!$C$8:$E1382,3,false)</f>
        <v>X-1</v>
      </c>
      <c r="L817" s="50" t="s">
        <v>7413</v>
      </c>
      <c r="M817" s="50"/>
      <c r="N817" s="33" t="s">
        <v>6829</v>
      </c>
      <c r="O817" s="34"/>
      <c r="P817" s="34"/>
      <c r="Q817" s="24" t="str">
        <f t="shared" si="3"/>
        <v>https://docs.google.com/forms/d/e/1FAIpQLSeZ-R1GrWlAPkfaThGqxeTj0QTtrARw4rroxIIepf2kipn1nw/formResponse?usp=pp_url&amp;entry.1313582257=0082185766&amp;entry.1578404635=Hadir</v>
      </c>
      <c r="R817" s="23" t="s">
        <v>7438</v>
      </c>
      <c r="S817" s="39"/>
      <c r="T817" s="39"/>
      <c r="U817" s="39"/>
      <c r="V817" s="39"/>
    </row>
    <row r="818" ht="22.5" customHeight="1">
      <c r="A818" s="12">
        <v>397.0</v>
      </c>
      <c r="B818" s="32">
        <v>14.0</v>
      </c>
      <c r="C818" s="53" t="s">
        <v>7439</v>
      </c>
      <c r="D818" s="56">
        <v>2.42510211E8</v>
      </c>
      <c r="E818" s="32" t="s">
        <v>4562</v>
      </c>
      <c r="F818" s="32" t="s">
        <v>220</v>
      </c>
      <c r="G818" s="12">
        <v>32.0</v>
      </c>
      <c r="H818" s="48" t="str">
        <f t="shared" si="4"/>
        <v>  XI E-1</v>
      </c>
      <c r="I818" s="28" t="str">
        <f t="shared" si="2"/>
        <v>33 - BC X-6</v>
      </c>
      <c r="J818" s="20" t="str">
        <f>VLOOKUP(I818,'Database Grup SCC'!$B$2:$C1382,2,false)</f>
        <v>Rizki Putra</v>
      </c>
      <c r="K818" s="50" t="str">
        <f>VLOOKUP(D818,'Data Siswa Mentah 32 Kelas X'!$C$8:$E1382,3,false)</f>
        <v>X-6</v>
      </c>
      <c r="L818" s="50" t="s">
        <v>7413</v>
      </c>
      <c r="M818" s="50"/>
      <c r="N818" s="33" t="s">
        <v>5926</v>
      </c>
      <c r="O818" s="34"/>
      <c r="P818" s="34"/>
      <c r="Q818" s="24" t="str">
        <f t="shared" si="3"/>
        <v>https://docs.google.com/forms/d/e/1FAIpQLSeZ-R1GrWlAPkfaThGqxeTj0QTtrARw4rroxIIepf2kipn1nw/formResponse?usp=pp_url&amp;entry.1313582257=0087551275&amp;entry.1578404635=Hadir</v>
      </c>
      <c r="R818" s="23" t="s">
        <v>7440</v>
      </c>
      <c r="S818" s="39"/>
      <c r="T818" s="39"/>
      <c r="U818" s="39"/>
      <c r="V818" s="39"/>
    </row>
    <row r="819" ht="22.5" customHeight="1">
      <c r="A819" s="12">
        <v>398.0</v>
      </c>
      <c r="B819" s="32">
        <v>15.0</v>
      </c>
      <c r="C819" s="53" t="s">
        <v>7441</v>
      </c>
      <c r="D819" s="56">
        <v>2.42510225E8</v>
      </c>
      <c r="E819" s="32" t="s">
        <v>4567</v>
      </c>
      <c r="F819" s="32" t="s">
        <v>227</v>
      </c>
      <c r="G819" s="12">
        <v>32.0</v>
      </c>
      <c r="H819" s="48" t="str">
        <f t="shared" si="4"/>
        <v>  XI E-1</v>
      </c>
      <c r="I819" s="28" t="str">
        <f t="shared" si="2"/>
        <v>32 - GC X-11</v>
      </c>
      <c r="J819" s="20" t="str">
        <f>VLOOKUP(I819,'Database Grup SCC'!$B$2:$C1382,2,false)</f>
        <v>Kia (XII)</v>
      </c>
      <c r="K819" s="50" t="str">
        <f>VLOOKUP(D819,'Data Siswa Mentah 32 Kelas X'!$C$8:$E1382,3,false)</f>
        <v>X-11</v>
      </c>
      <c r="L819" s="50" t="s">
        <v>7413</v>
      </c>
      <c r="M819" s="50"/>
      <c r="N819" s="33" t="s">
        <v>6883</v>
      </c>
      <c r="O819" s="34"/>
      <c r="P819" s="34"/>
      <c r="Q819" s="24" t="str">
        <f t="shared" si="3"/>
        <v>https://docs.google.com/forms/d/e/1FAIpQLSeZ-R1GrWlAPkfaThGqxeTj0QTtrARw4rroxIIepf2kipn1nw/formResponse?usp=pp_url&amp;entry.1313582257=0093479168&amp;entry.1578404635=Hadir</v>
      </c>
      <c r="R819" s="23" t="s">
        <v>7442</v>
      </c>
      <c r="S819" s="39"/>
      <c r="T819" s="39"/>
      <c r="U819" s="39"/>
      <c r="V819" s="39"/>
    </row>
    <row r="820" ht="22.5" customHeight="1">
      <c r="A820" s="12">
        <v>399.0</v>
      </c>
      <c r="B820" s="32">
        <v>16.0</v>
      </c>
      <c r="C820" s="53" t="s">
        <v>7443</v>
      </c>
      <c r="D820" s="56">
        <v>2.42510234E8</v>
      </c>
      <c r="E820" s="32" t="s">
        <v>4572</v>
      </c>
      <c r="F820" s="32" t="s">
        <v>220</v>
      </c>
      <c r="G820" s="12">
        <v>32.0</v>
      </c>
      <c r="H820" s="48" t="str">
        <f t="shared" si="4"/>
        <v>  XI E-1</v>
      </c>
      <c r="I820" s="28" t="str">
        <f t="shared" si="2"/>
        <v>33 - BC X-4</v>
      </c>
      <c r="J820" s="20" t="str">
        <f>VLOOKUP(I820,'Database Grup SCC'!$B$2:$C1382,2,false)</f>
        <v>Arumbinang</v>
      </c>
      <c r="K820" s="50" t="str">
        <f>VLOOKUP(D820,'Data Siswa Mentah 32 Kelas X'!$C$8:$E1382,3,false)</f>
        <v>X-4</v>
      </c>
      <c r="L820" s="50" t="s">
        <v>7413</v>
      </c>
      <c r="M820" s="50"/>
      <c r="N820" s="33" t="s">
        <v>5628</v>
      </c>
      <c r="O820" s="34"/>
      <c r="P820" s="34"/>
      <c r="Q820" s="24" t="str">
        <f t="shared" si="3"/>
        <v>https://docs.google.com/forms/d/e/1FAIpQLSeZ-R1GrWlAPkfaThGqxeTj0QTtrARw4rroxIIepf2kipn1nw/formResponse?usp=pp_url&amp;entry.1313582257=0092786372&amp;entry.1578404635=Hadir</v>
      </c>
      <c r="R820" s="23" t="s">
        <v>7444</v>
      </c>
      <c r="S820" s="39"/>
      <c r="T820" s="39"/>
      <c r="U820" s="39"/>
      <c r="V820" s="39"/>
    </row>
    <row r="821" ht="22.5" customHeight="1">
      <c r="A821" s="12">
        <v>400.0</v>
      </c>
      <c r="B821" s="32">
        <v>17.0</v>
      </c>
      <c r="C821" s="53" t="s">
        <v>7445</v>
      </c>
      <c r="D821" s="56">
        <v>2.42510235E8</v>
      </c>
      <c r="E821" s="32" t="s">
        <v>4577</v>
      </c>
      <c r="F821" s="32" t="s">
        <v>220</v>
      </c>
      <c r="G821" s="12">
        <v>32.0</v>
      </c>
      <c r="H821" s="48" t="str">
        <f t="shared" si="4"/>
        <v>  XI E-1</v>
      </c>
      <c r="I821" s="28" t="str">
        <f t="shared" si="2"/>
        <v>33 - BC X-9</v>
      </c>
      <c r="J821" s="20" t="str">
        <f>VLOOKUP(I821,'Database Grup SCC'!$B$2:$C1382,2,false)</f>
        <v>Veril (XII)</v>
      </c>
      <c r="K821" s="50" t="str">
        <f>VLOOKUP(D821,'Data Siswa Mentah 32 Kelas X'!$C$8:$E1382,3,false)</f>
        <v>X-9</v>
      </c>
      <c r="L821" s="50" t="s">
        <v>7413</v>
      </c>
      <c r="M821" s="50"/>
      <c r="N821" s="33" t="s">
        <v>6296</v>
      </c>
      <c r="O821" s="34"/>
      <c r="P821" s="34"/>
      <c r="Q821" s="24" t="str">
        <f t="shared" si="3"/>
        <v>https://docs.google.com/forms/d/e/1FAIpQLSeZ-R1GrWlAPkfaThGqxeTj0QTtrARw4rroxIIepf2kipn1nw/formResponse?usp=pp_url&amp;entry.1313582257=0091530728&amp;entry.1578404635=Hadir</v>
      </c>
      <c r="R821" s="23" t="s">
        <v>7446</v>
      </c>
      <c r="S821" s="39"/>
      <c r="T821" s="39"/>
      <c r="U821" s="39"/>
      <c r="V821" s="39"/>
    </row>
    <row r="822" ht="22.5" customHeight="1">
      <c r="A822" s="12">
        <v>401.0</v>
      </c>
      <c r="B822" s="32">
        <v>18.0</v>
      </c>
      <c r="C822" s="53" t="s">
        <v>7447</v>
      </c>
      <c r="D822" s="56">
        <v>2.4251024E8</v>
      </c>
      <c r="E822" s="32" t="s">
        <v>4582</v>
      </c>
      <c r="F822" s="32" t="s">
        <v>220</v>
      </c>
      <c r="G822" s="12">
        <v>32.0</v>
      </c>
      <c r="H822" s="48" t="str">
        <f t="shared" si="4"/>
        <v>  XI E-1</v>
      </c>
      <c r="I822" s="28" t="str">
        <f t="shared" si="2"/>
        <v>32 - BC X-2</v>
      </c>
      <c r="J822" s="20" t="str">
        <f>VLOOKUP(I822,'Database Grup SCC'!$B$2:$C1382,2,false)</f>
        <v>Rafli (XII)</v>
      </c>
      <c r="K822" s="50" t="str">
        <f>VLOOKUP(D822,'Data Siswa Mentah 32 Kelas X'!$C$8:$E1382,3,false)</f>
        <v>X-2</v>
      </c>
      <c r="L822" s="50" t="s">
        <v>7413</v>
      </c>
      <c r="M822" s="50"/>
      <c r="N822" s="33" t="s">
        <v>6869</v>
      </c>
      <c r="O822" s="34"/>
      <c r="P822" s="34"/>
      <c r="Q822" s="24" t="str">
        <f t="shared" si="3"/>
        <v>https://docs.google.com/forms/d/e/1FAIpQLSeZ-R1GrWlAPkfaThGqxeTj0QTtrARw4rroxIIepf2kipn1nw/formResponse?usp=pp_url&amp;entry.1313582257=0085378932&amp;entry.1578404635=Hadir</v>
      </c>
      <c r="R822" s="23" t="s">
        <v>7448</v>
      </c>
      <c r="S822" s="39"/>
      <c r="T822" s="39"/>
      <c r="U822" s="39"/>
      <c r="V822" s="39"/>
    </row>
    <row r="823" ht="22.5" customHeight="1">
      <c r="A823" s="12">
        <v>402.0</v>
      </c>
      <c r="B823" s="32">
        <v>19.0</v>
      </c>
      <c r="C823" s="53" t="s">
        <v>7449</v>
      </c>
      <c r="D823" s="56">
        <v>2.42510242E8</v>
      </c>
      <c r="E823" s="32" t="s">
        <v>4587</v>
      </c>
      <c r="F823" s="32" t="s">
        <v>220</v>
      </c>
      <c r="G823" s="12">
        <v>32.0</v>
      </c>
      <c r="H823" s="48" t="str">
        <f t="shared" si="4"/>
        <v>  XI E-1</v>
      </c>
      <c r="I823" s="28" t="str">
        <f t="shared" si="2"/>
        <v>33 - BC X-10</v>
      </c>
      <c r="J823" s="20" t="str">
        <f>VLOOKUP(I823,'Database Grup SCC'!$B$2:$C1382,2,false)</f>
        <v>Irghi (XII)</v>
      </c>
      <c r="K823" s="50" t="str">
        <f>VLOOKUP(D823,'Data Siswa Mentah 32 Kelas X'!$C$8:$E1382,3,false)</f>
        <v>X-10</v>
      </c>
      <c r="L823" s="50" t="s">
        <v>7413</v>
      </c>
      <c r="M823" s="50"/>
      <c r="N823" s="33" t="s">
        <v>6425</v>
      </c>
      <c r="O823" s="34"/>
      <c r="P823" s="34"/>
      <c r="Q823" s="24" t="str">
        <f t="shared" si="3"/>
        <v>https://docs.google.com/forms/d/e/1FAIpQLSeZ-R1GrWlAPkfaThGqxeTj0QTtrARw4rroxIIepf2kipn1nw/formResponse?usp=pp_url&amp;entry.1313582257=0086404055&amp;entry.1578404635=Hadir</v>
      </c>
      <c r="R823" s="23" t="s">
        <v>7450</v>
      </c>
      <c r="S823" s="39"/>
      <c r="T823" s="39"/>
      <c r="U823" s="39"/>
      <c r="V823" s="39"/>
    </row>
    <row r="824" ht="22.5" customHeight="1">
      <c r="A824" s="12">
        <v>403.0</v>
      </c>
      <c r="B824" s="32">
        <v>20.0</v>
      </c>
      <c r="C824" s="53" t="s">
        <v>7451</v>
      </c>
      <c r="D824" s="56">
        <v>2.42510252E8</v>
      </c>
      <c r="E824" s="32" t="s">
        <v>4592</v>
      </c>
      <c r="F824" s="32" t="s">
        <v>220</v>
      </c>
      <c r="G824" s="12">
        <v>32.0</v>
      </c>
      <c r="H824" s="48" t="str">
        <f t="shared" si="4"/>
        <v>  XI E-1</v>
      </c>
      <c r="I824" s="28" t="str">
        <f t="shared" si="2"/>
        <v>32 - BC X-2</v>
      </c>
      <c r="J824" s="20" t="str">
        <f>VLOOKUP(I824,'Database Grup SCC'!$B$2:$C1382,2,false)</f>
        <v>Rafli (XII)</v>
      </c>
      <c r="K824" s="50" t="str">
        <f>VLOOKUP(D824,'Data Siswa Mentah 32 Kelas X'!$C$8:$E1382,3,false)</f>
        <v>X-2</v>
      </c>
      <c r="L824" s="50" t="s">
        <v>7413</v>
      </c>
      <c r="M824" s="50"/>
      <c r="N824" s="33" t="s">
        <v>6869</v>
      </c>
      <c r="O824" s="34"/>
      <c r="P824" s="34"/>
      <c r="Q824" s="24" t="str">
        <f t="shared" si="3"/>
        <v>https://docs.google.com/forms/d/e/1FAIpQLSeZ-R1GrWlAPkfaThGqxeTj0QTtrARw4rroxIIepf2kipn1nw/formResponse?usp=pp_url&amp;entry.1313582257=0086360763&amp;entry.1578404635=Hadir</v>
      </c>
      <c r="R824" s="23" t="s">
        <v>7452</v>
      </c>
      <c r="S824" s="39"/>
      <c r="T824" s="39"/>
      <c r="U824" s="39"/>
      <c r="V824" s="39"/>
    </row>
    <row r="825" ht="22.5" customHeight="1">
      <c r="A825" s="12">
        <v>404.0</v>
      </c>
      <c r="B825" s="32">
        <v>21.0</v>
      </c>
      <c r="C825" s="53" t="s">
        <v>7453</v>
      </c>
      <c r="D825" s="56">
        <v>2.42510259E8</v>
      </c>
      <c r="E825" s="32" t="s">
        <v>4597</v>
      </c>
      <c r="F825" s="32" t="s">
        <v>220</v>
      </c>
      <c r="G825" s="12">
        <v>32.0</v>
      </c>
      <c r="H825" s="48" t="str">
        <f t="shared" si="4"/>
        <v>  XI E-1</v>
      </c>
      <c r="I825" s="28" t="str">
        <f t="shared" si="2"/>
        <v>32 - BC X-12</v>
      </c>
      <c r="J825" s="20" t="str">
        <f>VLOOKUP(I825,'Database Grup SCC'!$B$2:$C1382,2,false)</f>
        <v>Syafiq</v>
      </c>
      <c r="K825" s="50" t="str">
        <f>VLOOKUP(D825,'Data Siswa Mentah 32 Kelas X'!$C$8:$E1382,3,false)</f>
        <v>X-12</v>
      </c>
      <c r="L825" s="50" t="s">
        <v>7413</v>
      </c>
      <c r="M825" s="50"/>
      <c r="N825" s="33" t="s">
        <v>6951</v>
      </c>
      <c r="O825" s="34"/>
      <c r="P825" s="34"/>
      <c r="Q825" s="24" t="str">
        <f t="shared" si="3"/>
        <v>https://docs.google.com/forms/d/e/1FAIpQLSeZ-R1GrWlAPkfaThGqxeTj0QTtrARw4rroxIIepf2kipn1nw/formResponse?usp=pp_url&amp;entry.1313582257=0088924007&amp;entry.1578404635=Hadir</v>
      </c>
      <c r="R825" s="23" t="s">
        <v>7454</v>
      </c>
      <c r="S825" s="39"/>
      <c r="T825" s="39"/>
      <c r="U825" s="39"/>
      <c r="V825" s="39"/>
    </row>
    <row r="826" ht="22.5" customHeight="1">
      <c r="A826" s="12">
        <v>405.0</v>
      </c>
      <c r="B826" s="32">
        <v>22.0</v>
      </c>
      <c r="C826" s="53" t="s">
        <v>7455</v>
      </c>
      <c r="D826" s="56">
        <v>2.4251026E8</v>
      </c>
      <c r="E826" s="32" t="s">
        <v>4603</v>
      </c>
      <c r="F826" s="32" t="s">
        <v>220</v>
      </c>
      <c r="G826" s="12">
        <v>32.0</v>
      </c>
      <c r="H826" s="48" t="str">
        <f t="shared" si="4"/>
        <v>  XI E-1</v>
      </c>
      <c r="I826" s="28" t="str">
        <f t="shared" si="2"/>
        <v>32 - BC X-12</v>
      </c>
      <c r="J826" s="20" t="str">
        <f>VLOOKUP(I826,'Database Grup SCC'!$B$2:$C1382,2,false)</f>
        <v>Syafiq</v>
      </c>
      <c r="K826" s="50" t="str">
        <f>VLOOKUP(D826,'Data Siswa Mentah 32 Kelas X'!$C$8:$E1382,3,false)</f>
        <v>X-12</v>
      </c>
      <c r="L826" s="50" t="s">
        <v>7413</v>
      </c>
      <c r="M826" s="50"/>
      <c r="N826" s="33" t="s">
        <v>6951</v>
      </c>
      <c r="O826" s="34"/>
      <c r="P826" s="34"/>
      <c r="Q826" s="24" t="str">
        <f t="shared" si="3"/>
        <v>https://docs.google.com/forms/d/e/1FAIpQLSeZ-R1GrWlAPkfaThGqxeTj0QTtrARw4rroxIIepf2kipn1nw/formResponse?usp=pp_url&amp;entry.1313582257=0091944011&amp;entry.1578404635=Hadir</v>
      </c>
      <c r="R826" s="23" t="s">
        <v>7456</v>
      </c>
      <c r="S826" s="39"/>
      <c r="T826" s="39"/>
      <c r="U826" s="39"/>
      <c r="V826" s="39"/>
    </row>
    <row r="827" ht="22.5" customHeight="1">
      <c r="A827" s="12">
        <v>406.0</v>
      </c>
      <c r="B827" s="32">
        <v>23.0</v>
      </c>
      <c r="C827" s="53" t="s">
        <v>7457</v>
      </c>
      <c r="D827" s="56">
        <v>2.42510262E8</v>
      </c>
      <c r="E827" s="32" t="s">
        <v>4608</v>
      </c>
      <c r="F827" s="32" t="s">
        <v>220</v>
      </c>
      <c r="G827" s="12">
        <v>32.0</v>
      </c>
      <c r="H827" s="48" t="str">
        <f t="shared" si="4"/>
        <v>  XI E-1</v>
      </c>
      <c r="I827" s="28" t="str">
        <f t="shared" si="2"/>
        <v>33 - BC X-9</v>
      </c>
      <c r="J827" s="20" t="str">
        <f>VLOOKUP(I827,'Database Grup SCC'!$B$2:$C1382,2,false)</f>
        <v>Veril (XII)</v>
      </c>
      <c r="K827" s="50" t="str">
        <f>VLOOKUP(D827,'Data Siswa Mentah 32 Kelas X'!$C$8:$E1382,3,false)</f>
        <v>X-9</v>
      </c>
      <c r="L827" s="50" t="s">
        <v>7413</v>
      </c>
      <c r="M827" s="50"/>
      <c r="N827" s="33" t="s">
        <v>6296</v>
      </c>
      <c r="O827" s="34"/>
      <c r="P827" s="34"/>
      <c r="Q827" s="24" t="str">
        <f t="shared" si="3"/>
        <v>https://docs.google.com/forms/d/e/1FAIpQLSeZ-R1GrWlAPkfaThGqxeTj0QTtrARw4rroxIIepf2kipn1nw/formResponse?usp=pp_url&amp;entry.1313582257=0094596470&amp;entry.1578404635=Hadir</v>
      </c>
      <c r="R827" s="23" t="s">
        <v>7458</v>
      </c>
      <c r="S827" s="39"/>
      <c r="T827" s="39"/>
      <c r="U827" s="39"/>
      <c r="V827" s="39"/>
    </row>
    <row r="828" ht="22.5" customHeight="1">
      <c r="A828" s="12">
        <v>407.0</v>
      </c>
      <c r="B828" s="32">
        <v>24.0</v>
      </c>
      <c r="C828" s="53" t="s">
        <v>7459</v>
      </c>
      <c r="D828" s="56">
        <v>2.42510265E8</v>
      </c>
      <c r="E828" s="32" t="s">
        <v>4613</v>
      </c>
      <c r="F828" s="32" t="s">
        <v>220</v>
      </c>
      <c r="G828" s="12">
        <v>32.0</v>
      </c>
      <c r="H828" s="48" t="str">
        <f t="shared" si="4"/>
        <v>  XI E-1</v>
      </c>
      <c r="I828" s="28" t="str">
        <f t="shared" si="2"/>
        <v>33 - BC X-9</v>
      </c>
      <c r="J828" s="20" t="str">
        <f>VLOOKUP(I828,'Database Grup SCC'!$B$2:$C1382,2,false)</f>
        <v>Veril (XII)</v>
      </c>
      <c r="K828" s="50" t="str">
        <f>VLOOKUP(D828,'Data Siswa Mentah 32 Kelas X'!$C$8:$E1382,3,false)</f>
        <v>X-9</v>
      </c>
      <c r="L828" s="50" t="s">
        <v>7413</v>
      </c>
      <c r="M828" s="50"/>
      <c r="N828" s="33" t="s">
        <v>6296</v>
      </c>
      <c r="O828" s="34"/>
      <c r="P828" s="34"/>
      <c r="Q828" s="24" t="str">
        <f t="shared" si="3"/>
        <v>https://docs.google.com/forms/d/e/1FAIpQLSeZ-R1GrWlAPkfaThGqxeTj0QTtrARw4rroxIIepf2kipn1nw/formResponse?usp=pp_url&amp;entry.1313582257=0092404318&amp;entry.1578404635=Hadir</v>
      </c>
      <c r="R828" s="23" t="s">
        <v>7460</v>
      </c>
      <c r="S828" s="39"/>
      <c r="T828" s="39"/>
      <c r="U828" s="39"/>
      <c r="V828" s="39"/>
    </row>
    <row r="829" ht="22.5" customHeight="1">
      <c r="A829" s="12">
        <v>408.0</v>
      </c>
      <c r="B829" s="32">
        <v>25.0</v>
      </c>
      <c r="C829" s="53" t="s">
        <v>7461</v>
      </c>
      <c r="D829" s="56">
        <v>2.42510266E8</v>
      </c>
      <c r="E829" s="32" t="s">
        <v>4618</v>
      </c>
      <c r="F829" s="32" t="s">
        <v>220</v>
      </c>
      <c r="G829" s="12">
        <v>32.0</v>
      </c>
      <c r="H829" s="48" t="str">
        <f t="shared" si="4"/>
        <v>  XI E-1</v>
      </c>
      <c r="I829" s="28" t="str">
        <f t="shared" si="2"/>
        <v>32 - BC X-2</v>
      </c>
      <c r="J829" s="20" t="str">
        <f>VLOOKUP(I829,'Database Grup SCC'!$B$2:$C1382,2,false)</f>
        <v>Rafli (XII)</v>
      </c>
      <c r="K829" s="50" t="str">
        <f>VLOOKUP(D829,'Data Siswa Mentah 32 Kelas X'!$C$8:$E1382,3,false)</f>
        <v>X-2</v>
      </c>
      <c r="L829" s="50" t="s">
        <v>7413</v>
      </c>
      <c r="M829" s="50"/>
      <c r="N829" s="33" t="s">
        <v>6869</v>
      </c>
      <c r="O829" s="34"/>
      <c r="P829" s="34"/>
      <c r="Q829" s="24" t="str">
        <f t="shared" si="3"/>
        <v>https://docs.google.com/forms/d/e/1FAIpQLSeZ-R1GrWlAPkfaThGqxeTj0QTtrARw4rroxIIepf2kipn1nw/formResponse?usp=pp_url&amp;entry.1313582257=0095059901&amp;entry.1578404635=Hadir</v>
      </c>
      <c r="R829" s="23" t="s">
        <v>7462</v>
      </c>
      <c r="S829" s="39"/>
      <c r="T829" s="39"/>
      <c r="U829" s="39"/>
      <c r="V829" s="39"/>
    </row>
    <row r="830" ht="22.5" customHeight="1">
      <c r="A830" s="12">
        <v>409.0</v>
      </c>
      <c r="B830" s="32">
        <v>26.0</v>
      </c>
      <c r="C830" s="53" t="s">
        <v>7463</v>
      </c>
      <c r="D830" s="56">
        <v>2.42510275E8</v>
      </c>
      <c r="E830" s="32" t="s">
        <v>4623</v>
      </c>
      <c r="F830" s="32" t="s">
        <v>220</v>
      </c>
      <c r="G830" s="12">
        <v>32.0</v>
      </c>
      <c r="H830" s="48" t="str">
        <f t="shared" si="4"/>
        <v>  XI E-1</v>
      </c>
      <c r="I830" s="28" t="str">
        <f t="shared" si="2"/>
        <v>33 - BC X-8</v>
      </c>
      <c r="J830" s="20" t="str">
        <f>VLOOKUP(I830,'Database Grup SCC'!$B$2:$C1382,2,false)</f>
        <v>Teguh</v>
      </c>
      <c r="K830" s="50" t="str">
        <f>VLOOKUP(D830,'Data Siswa Mentah 32 Kelas X'!$C$8:$E1382,3,false)</f>
        <v>X-8</v>
      </c>
      <c r="L830" s="50" t="s">
        <v>7413</v>
      </c>
      <c r="M830" s="50"/>
      <c r="N830" s="33" t="s">
        <v>6166</v>
      </c>
      <c r="O830" s="34"/>
      <c r="P830" s="34"/>
      <c r="Q830" s="24" t="str">
        <f t="shared" si="3"/>
        <v>https://docs.google.com/forms/d/e/1FAIpQLSeZ-R1GrWlAPkfaThGqxeTj0QTtrARw4rroxIIepf2kipn1nw/formResponse?usp=pp_url&amp;entry.1313582257=0098122055&amp;entry.1578404635=Hadir</v>
      </c>
      <c r="R830" s="23" t="s">
        <v>7464</v>
      </c>
      <c r="S830" s="39"/>
      <c r="T830" s="39"/>
      <c r="U830" s="39"/>
      <c r="V830" s="39"/>
    </row>
    <row r="831" ht="22.5" customHeight="1">
      <c r="A831" s="12">
        <v>410.0</v>
      </c>
      <c r="B831" s="32">
        <v>27.0</v>
      </c>
      <c r="C831" s="53" t="s">
        <v>7465</v>
      </c>
      <c r="D831" s="56">
        <v>2.425103E8</v>
      </c>
      <c r="E831" s="32" t="s">
        <v>4628</v>
      </c>
      <c r="F831" s="32" t="s">
        <v>227</v>
      </c>
      <c r="G831" s="12">
        <v>32.0</v>
      </c>
      <c r="H831" s="48" t="str">
        <f t="shared" si="4"/>
        <v>  XI E-1</v>
      </c>
      <c r="I831" s="28" t="str">
        <f t="shared" si="2"/>
        <v>32 - GC X-5</v>
      </c>
      <c r="J831" s="20" t="str">
        <f>VLOOKUP(I831,'Database Grup SCC'!$B$2:$C1382,2,false)</f>
        <v>Amel</v>
      </c>
      <c r="K831" s="50" t="str">
        <f>VLOOKUP(D831,'Data Siswa Mentah 32 Kelas X'!$C$8:$E1382,3,false)</f>
        <v>X-5</v>
      </c>
      <c r="L831" s="50" t="s">
        <v>7413</v>
      </c>
      <c r="M831" s="50"/>
      <c r="N831" s="33" t="s">
        <v>6872</v>
      </c>
      <c r="O831" s="34"/>
      <c r="P831" s="34"/>
      <c r="Q831" s="24" t="str">
        <f t="shared" si="3"/>
        <v>https://docs.google.com/forms/d/e/1FAIpQLSeZ-R1GrWlAPkfaThGqxeTj0QTtrARw4rroxIIepf2kipn1nw/formResponse?usp=pp_url&amp;entry.1313582257=0086863385&amp;entry.1578404635=Hadir</v>
      </c>
      <c r="R831" s="23" t="s">
        <v>7466</v>
      </c>
      <c r="S831" s="39"/>
      <c r="T831" s="39"/>
      <c r="U831" s="39"/>
      <c r="V831" s="39"/>
    </row>
    <row r="832" ht="22.5" customHeight="1">
      <c r="A832" s="12">
        <v>411.0</v>
      </c>
      <c r="B832" s="32">
        <v>28.0</v>
      </c>
      <c r="C832" s="53" t="s">
        <v>7467</v>
      </c>
      <c r="D832" s="56">
        <v>2.42510302E8</v>
      </c>
      <c r="E832" s="32" t="s">
        <v>4634</v>
      </c>
      <c r="F832" s="32" t="s">
        <v>227</v>
      </c>
      <c r="G832" s="12">
        <v>32.0</v>
      </c>
      <c r="H832" s="48" t="str">
        <f t="shared" si="4"/>
        <v>  XI E-1</v>
      </c>
      <c r="I832" s="28" t="str">
        <f t="shared" si="2"/>
        <v>32 - GC X-10</v>
      </c>
      <c r="J832" s="20" t="str">
        <f>VLOOKUP(I832,'Database Grup SCC'!$B$2:$C1382,2,false)</f>
        <v>Athaya</v>
      </c>
      <c r="K832" s="50" t="str">
        <f>VLOOKUP(D832,'Data Siswa Mentah 32 Kelas X'!$C$8:$E1382,3,false)</f>
        <v>X-10</v>
      </c>
      <c r="L832" s="50" t="s">
        <v>7413</v>
      </c>
      <c r="M832" s="50"/>
      <c r="N832" s="33" t="s">
        <v>6865</v>
      </c>
      <c r="O832" s="34"/>
      <c r="P832" s="34"/>
      <c r="Q832" s="24" t="str">
        <f t="shared" si="3"/>
        <v>https://docs.google.com/forms/d/e/1FAIpQLSeZ-R1GrWlAPkfaThGqxeTj0QTtrARw4rroxIIepf2kipn1nw/formResponse?usp=pp_url&amp;entry.1313582257=0085675402&amp;entry.1578404635=Hadir</v>
      </c>
      <c r="R832" s="23" t="s">
        <v>7468</v>
      </c>
      <c r="S832" s="39"/>
      <c r="T832" s="39"/>
      <c r="U832" s="39"/>
      <c r="V832" s="39"/>
    </row>
    <row r="833" ht="22.5" customHeight="1">
      <c r="A833" s="12">
        <v>412.0</v>
      </c>
      <c r="B833" s="32">
        <v>29.0</v>
      </c>
      <c r="C833" s="53" t="s">
        <v>7469</v>
      </c>
      <c r="D833" s="56">
        <v>2.42510333E8</v>
      </c>
      <c r="E833" s="32" t="s">
        <v>4639</v>
      </c>
      <c r="F833" s="32" t="s">
        <v>220</v>
      </c>
      <c r="G833" s="12">
        <v>32.0</v>
      </c>
      <c r="H833" s="48" t="str">
        <f t="shared" si="4"/>
        <v>  XI E-1</v>
      </c>
      <c r="I833" s="28" t="str">
        <f t="shared" si="2"/>
        <v>33 - BC X-6</v>
      </c>
      <c r="J833" s="20" t="str">
        <f>VLOOKUP(I833,'Database Grup SCC'!$B$2:$C1382,2,false)</f>
        <v>Rizki Putra</v>
      </c>
      <c r="K833" s="50" t="str">
        <f>VLOOKUP(D833,'Data Siswa Mentah 32 Kelas X'!$C$8:$E1382,3,false)</f>
        <v>X-6</v>
      </c>
      <c r="L833" s="50" t="s">
        <v>7413</v>
      </c>
      <c r="M833" s="50"/>
      <c r="N833" s="33" t="s">
        <v>5926</v>
      </c>
      <c r="O833" s="34"/>
      <c r="P833" s="34"/>
      <c r="Q833" s="24" t="str">
        <f t="shared" si="3"/>
        <v>https://docs.google.com/forms/d/e/1FAIpQLSeZ-R1GrWlAPkfaThGqxeTj0QTtrARw4rroxIIepf2kipn1nw/formResponse?usp=pp_url&amp;entry.1313582257=0096488875&amp;entry.1578404635=Hadir</v>
      </c>
      <c r="R833" s="23" t="s">
        <v>7470</v>
      </c>
      <c r="S833" s="39"/>
      <c r="T833" s="39"/>
      <c r="U833" s="39"/>
      <c r="V833" s="39"/>
    </row>
    <row r="834" ht="22.5" customHeight="1">
      <c r="A834" s="12">
        <v>413.0</v>
      </c>
      <c r="B834" s="32">
        <v>30.0</v>
      </c>
      <c r="C834" s="53" t="s">
        <v>7471</v>
      </c>
      <c r="D834" s="56">
        <v>2.42510337E8</v>
      </c>
      <c r="E834" s="32" t="s">
        <v>4644</v>
      </c>
      <c r="F834" s="32" t="s">
        <v>220</v>
      </c>
      <c r="G834" s="12">
        <v>32.0</v>
      </c>
      <c r="H834" s="48" t="str">
        <f t="shared" si="4"/>
        <v>  XI E-1</v>
      </c>
      <c r="I834" s="28" t="str">
        <f t="shared" si="2"/>
        <v>32 - BC X-2</v>
      </c>
      <c r="J834" s="20" t="str">
        <f>VLOOKUP(I834,'Database Grup SCC'!$B$2:$C1382,2,false)</f>
        <v>Rafli (XII)</v>
      </c>
      <c r="K834" s="50" t="str">
        <f>VLOOKUP(D834,'Data Siswa Mentah 32 Kelas X'!$C$8:$E1382,3,false)</f>
        <v>X-2</v>
      </c>
      <c r="L834" s="50" t="s">
        <v>7413</v>
      </c>
      <c r="M834" s="50"/>
      <c r="N834" s="33" t="s">
        <v>6869</v>
      </c>
      <c r="O834" s="34"/>
      <c r="P834" s="34"/>
      <c r="Q834" s="24" t="str">
        <f t="shared" si="3"/>
        <v>https://docs.google.com/forms/d/e/1FAIpQLSeZ-R1GrWlAPkfaThGqxeTj0QTtrARw4rroxIIepf2kipn1nw/formResponse?usp=pp_url&amp;entry.1313582257=0091126559&amp;entry.1578404635=Hadir</v>
      </c>
      <c r="R834" s="23" t="s">
        <v>7472</v>
      </c>
      <c r="S834" s="39"/>
      <c r="T834" s="39"/>
      <c r="U834" s="39"/>
      <c r="V834" s="39"/>
    </row>
    <row r="835" ht="22.5" customHeight="1">
      <c r="A835" s="12">
        <v>414.0</v>
      </c>
      <c r="B835" s="32">
        <v>31.0</v>
      </c>
      <c r="C835" s="53" t="s">
        <v>7473</v>
      </c>
      <c r="D835" s="56">
        <v>2.42510347E8</v>
      </c>
      <c r="E835" s="32" t="s">
        <v>4649</v>
      </c>
      <c r="F835" s="32" t="s">
        <v>220</v>
      </c>
      <c r="G835" s="12">
        <v>32.0</v>
      </c>
      <c r="H835" s="48" t="str">
        <f t="shared" si="4"/>
        <v>  XI E-1</v>
      </c>
      <c r="I835" s="28" t="str">
        <f t="shared" si="2"/>
        <v>33 - BC X-5</v>
      </c>
      <c r="J835" s="20" t="str">
        <f>VLOOKUP(I835,'Database Grup SCC'!$B$2:$C1382,2,false)</f>
        <v>Topik &amp; Adrian</v>
      </c>
      <c r="K835" s="50" t="str">
        <f>VLOOKUP(D835,'Data Siswa Mentah 32 Kelas X'!$C$8:$E1382,3,false)</f>
        <v>X-5</v>
      </c>
      <c r="L835" s="50" t="s">
        <v>7413</v>
      </c>
      <c r="M835" s="50"/>
      <c r="N835" s="33" t="s">
        <v>5770</v>
      </c>
      <c r="O835" s="34"/>
      <c r="P835" s="34"/>
      <c r="Q835" s="24" t="str">
        <f t="shared" si="3"/>
        <v>https://docs.google.com/forms/d/e/1FAIpQLSeZ-R1GrWlAPkfaThGqxeTj0QTtrARw4rroxIIepf2kipn1nw/formResponse?usp=pp_url&amp;entry.1313582257=0094232336&amp;entry.1578404635=Hadir</v>
      </c>
      <c r="R835" s="23" t="s">
        <v>7474</v>
      </c>
      <c r="S835" s="39"/>
      <c r="T835" s="39"/>
      <c r="U835" s="39"/>
      <c r="V835" s="39"/>
    </row>
    <row r="836" ht="22.5" customHeight="1">
      <c r="A836" s="12">
        <v>415.0</v>
      </c>
      <c r="B836" s="32">
        <v>32.0</v>
      </c>
      <c r="C836" s="53" t="s">
        <v>7475</v>
      </c>
      <c r="D836" s="56">
        <v>2.42510352E8</v>
      </c>
      <c r="E836" s="32" t="s">
        <v>4654</v>
      </c>
      <c r="F836" s="32" t="s">
        <v>220</v>
      </c>
      <c r="G836" s="12">
        <v>32.0</v>
      </c>
      <c r="H836" s="48" t="str">
        <f t="shared" si="4"/>
        <v>  XI E-1</v>
      </c>
      <c r="I836" s="28" t="str">
        <f t="shared" si="2"/>
        <v>32 - BC X-1</v>
      </c>
      <c r="J836" s="20" t="str">
        <f>VLOOKUP(I836,'Database Grup SCC'!$B$2:$C1382,2,false)</f>
        <v>Arya</v>
      </c>
      <c r="K836" s="50" t="str">
        <f>VLOOKUP(D836,'Data Siswa Mentah 32 Kelas X'!$C$8:$E1382,3,false)</f>
        <v>X-1</v>
      </c>
      <c r="L836" s="50" t="s">
        <v>7413</v>
      </c>
      <c r="M836" s="50"/>
      <c r="N836" s="33" t="s">
        <v>6839</v>
      </c>
      <c r="O836" s="34"/>
      <c r="P836" s="34"/>
      <c r="Q836" s="24" t="str">
        <f t="shared" si="3"/>
        <v>https://docs.google.com/forms/d/e/1FAIpQLSeZ-R1GrWlAPkfaThGqxeTj0QTtrARw4rroxIIepf2kipn1nw/formResponse?usp=pp_url&amp;entry.1313582257=0099920490&amp;entry.1578404635=Hadir</v>
      </c>
      <c r="R836" s="23" t="s">
        <v>7476</v>
      </c>
      <c r="S836" s="39"/>
      <c r="T836" s="39"/>
      <c r="U836" s="39"/>
      <c r="V836" s="39"/>
    </row>
    <row r="837" ht="22.5" customHeight="1">
      <c r="A837" s="12">
        <v>416.0</v>
      </c>
      <c r="B837" s="32">
        <v>33.0</v>
      </c>
      <c r="C837" s="53" t="s">
        <v>7477</v>
      </c>
      <c r="D837" s="56">
        <v>2.4251036E8</v>
      </c>
      <c r="E837" s="32" t="s">
        <v>4659</v>
      </c>
      <c r="F837" s="32" t="s">
        <v>227</v>
      </c>
      <c r="G837" s="12">
        <v>32.0</v>
      </c>
      <c r="H837" s="48" t="str">
        <f t="shared" si="4"/>
        <v>  XI E-1</v>
      </c>
      <c r="I837" s="28" t="str">
        <f t="shared" si="2"/>
        <v>32 - GC X-7</v>
      </c>
      <c r="J837" s="20" t="str">
        <f>VLOOKUP(I837,'Database Grup SCC'!$B$2:$C1382,2,false)</f>
        <v>Najmi (XII)</v>
      </c>
      <c r="K837" s="50" t="str">
        <f>VLOOKUP(D837,'Data Siswa Mentah 32 Kelas X'!$C$8:$E1382,3,false)</f>
        <v>X-7</v>
      </c>
      <c r="L837" s="50" t="s">
        <v>7413</v>
      </c>
      <c r="M837" s="50"/>
      <c r="N837" s="33" t="s">
        <v>6842</v>
      </c>
      <c r="O837" s="34"/>
      <c r="P837" s="34"/>
      <c r="Q837" s="24" t="str">
        <f t="shared" si="3"/>
        <v>https://docs.google.com/forms/d/e/1FAIpQLSeZ-R1GrWlAPkfaThGqxeTj0QTtrARw4rroxIIepf2kipn1nw/formResponse?usp=pp_url&amp;entry.1313582257=0094865307&amp;entry.1578404635=Hadir</v>
      </c>
      <c r="R837" s="23" t="s">
        <v>7478</v>
      </c>
      <c r="S837" s="39"/>
      <c r="T837" s="39"/>
      <c r="U837" s="39"/>
      <c r="V837" s="39"/>
    </row>
    <row r="838" ht="22.5" customHeight="1">
      <c r="A838" s="12">
        <v>417.0</v>
      </c>
      <c r="B838" s="32">
        <v>34.0</v>
      </c>
      <c r="C838" s="53" t="s">
        <v>7479</v>
      </c>
      <c r="D838" s="56">
        <v>2.42510378E8</v>
      </c>
      <c r="E838" s="32" t="s">
        <v>4664</v>
      </c>
      <c r="F838" s="32" t="s">
        <v>220</v>
      </c>
      <c r="G838" s="12">
        <v>32.0</v>
      </c>
      <c r="H838" s="48" t="str">
        <f t="shared" si="4"/>
        <v>  XI E-1</v>
      </c>
      <c r="I838" s="28" t="str">
        <f t="shared" si="2"/>
        <v>33 - BC X-4</v>
      </c>
      <c r="J838" s="20" t="str">
        <f>VLOOKUP(I838,'Database Grup SCC'!$B$2:$C1382,2,false)</f>
        <v>Arumbinang</v>
      </c>
      <c r="K838" s="50" t="str">
        <f>VLOOKUP(D838,'Data Siswa Mentah 32 Kelas X'!$C$8:$E1382,3,false)</f>
        <v>X-4</v>
      </c>
      <c r="L838" s="50" t="s">
        <v>7413</v>
      </c>
      <c r="M838" s="50"/>
      <c r="N838" s="33" t="s">
        <v>5628</v>
      </c>
      <c r="O838" s="34"/>
      <c r="P838" s="34"/>
      <c r="Q838" s="24" t="str">
        <f t="shared" si="3"/>
        <v>https://docs.google.com/forms/d/e/1FAIpQLSeZ-R1GrWlAPkfaThGqxeTj0QTtrARw4rroxIIepf2kipn1nw/formResponse?usp=pp_url&amp;entry.1313582257=0093523017&amp;entry.1578404635=Hadir</v>
      </c>
      <c r="R838" s="23" t="s">
        <v>7480</v>
      </c>
      <c r="S838" s="39"/>
      <c r="T838" s="39"/>
      <c r="U838" s="39"/>
      <c r="V838" s="39"/>
    </row>
    <row r="839" ht="22.5" customHeight="1">
      <c r="A839" s="12">
        <v>418.0</v>
      </c>
      <c r="B839" s="32">
        <v>35.0</v>
      </c>
      <c r="C839" s="53" t="s">
        <v>7481</v>
      </c>
      <c r="D839" s="56">
        <v>2.42510424E8</v>
      </c>
      <c r="E839" s="32" t="s">
        <v>4669</v>
      </c>
      <c r="F839" s="32" t="s">
        <v>227</v>
      </c>
      <c r="G839" s="12">
        <v>32.0</v>
      </c>
      <c r="H839" s="48" t="str">
        <f t="shared" si="4"/>
        <v>  XI E-1</v>
      </c>
      <c r="I839" s="28" t="str">
        <f t="shared" si="2"/>
        <v>32 - GC X-4</v>
      </c>
      <c r="J839" s="20" t="str">
        <f>VLOOKUP(I839,'Database Grup SCC'!$B$2:$C1382,2,false)</f>
        <v>Nadira</v>
      </c>
      <c r="K839" s="50" t="str">
        <f>VLOOKUP(D839,'Data Siswa Mentah 32 Kelas X'!$C$8:$E1382,3,false)</f>
        <v>X-4</v>
      </c>
      <c r="L839" s="50" t="s">
        <v>7413</v>
      </c>
      <c r="M839" s="50"/>
      <c r="N839" s="33" t="s">
        <v>6853</v>
      </c>
      <c r="O839" s="34"/>
      <c r="P839" s="34"/>
      <c r="Q839" s="24" t="str">
        <f t="shared" si="3"/>
        <v>https://docs.google.com/forms/d/e/1FAIpQLSeZ-R1GrWlAPkfaThGqxeTj0QTtrARw4rroxIIepf2kipn1nw/formResponse?usp=pp_url&amp;entry.1313582257=0094426892&amp;entry.1578404635=Hadir</v>
      </c>
      <c r="R839" s="23" t="s">
        <v>7482</v>
      </c>
      <c r="S839" s="39"/>
      <c r="T839" s="39"/>
      <c r="U839" s="39"/>
      <c r="V839" s="39"/>
    </row>
    <row r="840" ht="22.5" customHeight="1">
      <c r="A840" s="12">
        <v>419.0</v>
      </c>
      <c r="B840" s="32">
        <v>36.0</v>
      </c>
      <c r="C840" s="53" t="s">
        <v>7483</v>
      </c>
      <c r="D840" s="56">
        <v>2.42510429E8</v>
      </c>
      <c r="E840" s="32" t="s">
        <v>4674</v>
      </c>
      <c r="F840" s="32" t="s">
        <v>220</v>
      </c>
      <c r="G840" s="12">
        <v>32.0</v>
      </c>
      <c r="H840" s="48" t="str">
        <f t="shared" si="4"/>
        <v>  XI E-1</v>
      </c>
      <c r="I840" s="28" t="str">
        <f t="shared" si="2"/>
        <v>32 - BC X-2</v>
      </c>
      <c r="J840" s="20" t="str">
        <f>VLOOKUP(I840,'Database Grup SCC'!$B$2:$C1382,2,false)</f>
        <v>Rafli (XII)</v>
      </c>
      <c r="K840" s="50" t="str">
        <f>VLOOKUP(D840,'Data Siswa Mentah 32 Kelas X'!$C$8:$E1382,3,false)</f>
        <v>X-2</v>
      </c>
      <c r="L840" s="50" t="s">
        <v>7413</v>
      </c>
      <c r="M840" s="50"/>
      <c r="N840" s="33" t="s">
        <v>6869</v>
      </c>
      <c r="O840" s="34"/>
      <c r="P840" s="34"/>
      <c r="Q840" s="24" t="str">
        <f t="shared" si="3"/>
        <v>https://docs.google.com/forms/d/e/1FAIpQLSeZ-R1GrWlAPkfaThGqxeTj0QTtrARw4rroxIIepf2kipn1nw/formResponse?usp=pp_url&amp;entry.1313582257=0082670071&amp;entry.1578404635=Hadir</v>
      </c>
      <c r="R840" s="23" t="s">
        <v>7484</v>
      </c>
      <c r="S840" s="39"/>
      <c r="T840" s="39"/>
      <c r="U840" s="39"/>
      <c r="V840" s="39"/>
    </row>
    <row r="841" ht="22.5" customHeight="1">
      <c r="A841" s="12">
        <v>431.0</v>
      </c>
      <c r="B841" s="32">
        <v>1.0</v>
      </c>
      <c r="C841" s="55" t="s">
        <v>7485</v>
      </c>
      <c r="D841" s="56">
        <v>2.42510029E8</v>
      </c>
      <c r="E841" s="32" t="s">
        <v>4679</v>
      </c>
      <c r="F841" s="32" t="s">
        <v>227</v>
      </c>
      <c r="G841" s="12">
        <v>32.0</v>
      </c>
      <c r="H841" s="48" t="str">
        <f t="shared" si="4"/>
        <v>  XI E-2</v>
      </c>
      <c r="I841" s="28" t="str">
        <f t="shared" si="2"/>
        <v>32 - GC X-10</v>
      </c>
      <c r="J841" s="20" t="str">
        <f>VLOOKUP(I841,'Database Grup SCC'!$B$2:$C1382,2,false)</f>
        <v>Athaya</v>
      </c>
      <c r="K841" s="50" t="str">
        <f>VLOOKUP(D841,'Data Siswa Mentah 32 Kelas X'!$C$8:$E1382,3,false)</f>
        <v>X-10</v>
      </c>
      <c r="L841" s="50" t="s">
        <v>7486</v>
      </c>
      <c r="M841" s="50"/>
      <c r="N841" s="33" t="s">
        <v>6865</v>
      </c>
      <c r="O841" s="34"/>
      <c r="P841" s="34"/>
      <c r="Q841" s="24" t="str">
        <f t="shared" si="3"/>
        <v>https://docs.google.com/forms/d/e/1FAIpQLSeZ-R1GrWlAPkfaThGqxeTj0QTtrARw4rroxIIepf2kipn1nw/formResponse?usp=pp_url&amp;entry.1313582257=0098441334&amp;entry.1578404635=Hadir</v>
      </c>
      <c r="R841" s="23" t="s">
        <v>7487</v>
      </c>
      <c r="S841" s="39"/>
      <c r="T841" s="39"/>
      <c r="U841" s="39"/>
      <c r="V841" s="39"/>
    </row>
    <row r="842" ht="22.5" customHeight="1">
      <c r="A842" s="12">
        <v>432.0</v>
      </c>
      <c r="B842" s="32">
        <v>2.0</v>
      </c>
      <c r="C842" s="55" t="s">
        <v>7488</v>
      </c>
      <c r="D842" s="56">
        <v>2.42510033E8</v>
      </c>
      <c r="E842" s="32" t="s">
        <v>4685</v>
      </c>
      <c r="F842" s="32" t="s">
        <v>227</v>
      </c>
      <c r="G842" s="12">
        <v>32.0</v>
      </c>
      <c r="H842" s="48" t="str">
        <f t="shared" si="4"/>
        <v>  XI E-2</v>
      </c>
      <c r="I842" s="28" t="str">
        <f t="shared" si="2"/>
        <v>32 - GC X-4</v>
      </c>
      <c r="J842" s="20" t="str">
        <f>VLOOKUP(I842,'Database Grup SCC'!$B$2:$C1382,2,false)</f>
        <v>Nadira</v>
      </c>
      <c r="K842" s="50" t="str">
        <f>VLOOKUP(D842,'Data Siswa Mentah 32 Kelas X'!$C$8:$E1382,3,false)</f>
        <v>X-4</v>
      </c>
      <c r="L842" s="50" t="s">
        <v>7486</v>
      </c>
      <c r="M842" s="50"/>
      <c r="N842" s="33" t="s">
        <v>6853</v>
      </c>
      <c r="O842" s="34"/>
      <c r="P842" s="34"/>
      <c r="Q842" s="24" t="str">
        <f t="shared" si="3"/>
        <v>https://docs.google.com/forms/d/e/1FAIpQLSeZ-R1GrWlAPkfaThGqxeTj0QTtrARw4rroxIIepf2kipn1nw/formResponse?usp=pp_url&amp;entry.1313582257=0095916190&amp;entry.1578404635=Hadir</v>
      </c>
      <c r="R842" s="23" t="s">
        <v>7489</v>
      </c>
      <c r="S842" s="39"/>
      <c r="T842" s="39"/>
      <c r="U842" s="39"/>
      <c r="V842" s="39"/>
    </row>
    <row r="843" ht="22.5" customHeight="1">
      <c r="A843" s="12">
        <v>433.0</v>
      </c>
      <c r="B843" s="32">
        <v>3.0</v>
      </c>
      <c r="C843" s="55" t="s">
        <v>7490</v>
      </c>
      <c r="D843" s="56">
        <v>2.4251004E8</v>
      </c>
      <c r="E843" s="32" t="s">
        <v>4690</v>
      </c>
      <c r="F843" s="32" t="s">
        <v>227</v>
      </c>
      <c r="G843" s="12">
        <v>32.0</v>
      </c>
      <c r="H843" s="48" t="str">
        <f t="shared" si="4"/>
        <v>  XI E-2</v>
      </c>
      <c r="I843" s="28" t="str">
        <f t="shared" si="2"/>
        <v>32 - GC X-11</v>
      </c>
      <c r="J843" s="20" t="str">
        <f>VLOOKUP(I843,'Database Grup SCC'!$B$2:$C1382,2,false)</f>
        <v>Kia (XII)</v>
      </c>
      <c r="K843" s="50" t="str">
        <f>VLOOKUP(D843,'Data Siswa Mentah 32 Kelas X'!$C$8:$E1382,3,false)</f>
        <v>X-11</v>
      </c>
      <c r="L843" s="50" t="s">
        <v>7486</v>
      </c>
      <c r="M843" s="50"/>
      <c r="N843" s="33" t="s">
        <v>6883</v>
      </c>
      <c r="O843" s="34"/>
      <c r="P843" s="34"/>
      <c r="Q843" s="24" t="str">
        <f t="shared" si="3"/>
        <v>https://docs.google.com/forms/d/e/1FAIpQLSeZ-R1GrWlAPkfaThGqxeTj0QTtrARw4rroxIIepf2kipn1nw/formResponse?usp=pp_url&amp;entry.1313582257=0093270004&amp;entry.1578404635=Hadir</v>
      </c>
      <c r="R843" s="23" t="s">
        <v>7491</v>
      </c>
      <c r="S843" s="39"/>
      <c r="T843" s="39"/>
      <c r="U843" s="39"/>
      <c r="V843" s="39"/>
    </row>
    <row r="844" ht="22.5" customHeight="1">
      <c r="A844" s="12">
        <v>434.0</v>
      </c>
      <c r="B844" s="32">
        <v>4.0</v>
      </c>
      <c r="C844" s="55" t="s">
        <v>7492</v>
      </c>
      <c r="D844" s="56">
        <v>2.42510043E8</v>
      </c>
      <c r="E844" s="32" t="s">
        <v>4695</v>
      </c>
      <c r="F844" s="32" t="s">
        <v>220</v>
      </c>
      <c r="G844" s="12">
        <v>32.0</v>
      </c>
      <c r="H844" s="48" t="str">
        <f t="shared" si="4"/>
        <v>  XI E-2</v>
      </c>
      <c r="I844" s="28" t="str">
        <f t="shared" si="2"/>
        <v>33 - BC X-3</v>
      </c>
      <c r="J844" s="20" t="str">
        <f>VLOOKUP(I844,'Database Grup SCC'!$B$2:$C1382,2,false)</f>
        <v>Angga</v>
      </c>
      <c r="K844" s="50" t="str">
        <f>VLOOKUP(D844,'Data Siswa Mentah 32 Kelas X'!$C$8:$E1382,3,false)</f>
        <v>X-3</v>
      </c>
      <c r="L844" s="50" t="s">
        <v>7486</v>
      </c>
      <c r="M844" s="50"/>
      <c r="N844" s="33" t="s">
        <v>5507</v>
      </c>
      <c r="O844" s="34"/>
      <c r="P844" s="34"/>
      <c r="Q844" s="24" t="str">
        <f t="shared" si="3"/>
        <v>https://docs.google.com/forms/d/e/1FAIpQLSeZ-R1GrWlAPkfaThGqxeTj0QTtrARw4rroxIIepf2kipn1nw/formResponse?usp=pp_url&amp;entry.1313582257=0081317101&amp;entry.1578404635=Hadir</v>
      </c>
      <c r="R844" s="23" t="s">
        <v>7493</v>
      </c>
      <c r="S844" s="39"/>
      <c r="T844" s="39"/>
      <c r="U844" s="39"/>
      <c r="V844" s="39"/>
    </row>
    <row r="845" ht="22.5" customHeight="1">
      <c r="A845" s="12">
        <v>435.0</v>
      </c>
      <c r="B845" s="32">
        <v>5.0</v>
      </c>
      <c r="C845" s="55" t="s">
        <v>7494</v>
      </c>
      <c r="D845" s="56">
        <v>2.42510062E8</v>
      </c>
      <c r="E845" s="32" t="s">
        <v>4701</v>
      </c>
      <c r="F845" s="32" t="s">
        <v>220</v>
      </c>
      <c r="G845" s="12">
        <v>32.0</v>
      </c>
      <c r="H845" s="48" t="str">
        <f t="shared" si="4"/>
        <v>  XI E-2</v>
      </c>
      <c r="I845" s="28" t="str">
        <f t="shared" si="2"/>
        <v>33 - BC X-10</v>
      </c>
      <c r="J845" s="20" t="str">
        <f>VLOOKUP(I845,'Database Grup SCC'!$B$2:$C1382,2,false)</f>
        <v>Irghi (XII)</v>
      </c>
      <c r="K845" s="50" t="str">
        <f>VLOOKUP(D845,'Data Siswa Mentah 32 Kelas X'!$C$8:$E1382,3,false)</f>
        <v>X-10</v>
      </c>
      <c r="L845" s="50" t="s">
        <v>7486</v>
      </c>
      <c r="M845" s="50"/>
      <c r="N845" s="33" t="s">
        <v>6425</v>
      </c>
      <c r="O845" s="34"/>
      <c r="P845" s="34"/>
      <c r="Q845" s="24" t="str">
        <f t="shared" si="3"/>
        <v>https://docs.google.com/forms/d/e/1FAIpQLSeZ-R1GrWlAPkfaThGqxeTj0QTtrARw4rroxIIepf2kipn1nw/formResponse?usp=pp_url&amp;entry.1313582257=0088625335&amp;entry.1578404635=Hadir</v>
      </c>
      <c r="R845" s="23" t="s">
        <v>7495</v>
      </c>
      <c r="S845" s="39"/>
      <c r="T845" s="39"/>
      <c r="U845" s="39"/>
      <c r="V845" s="39"/>
    </row>
    <row r="846" ht="22.5" customHeight="1">
      <c r="A846" s="12">
        <v>436.0</v>
      </c>
      <c r="B846" s="32">
        <v>6.0</v>
      </c>
      <c r="C846" s="55" t="s">
        <v>7496</v>
      </c>
      <c r="D846" s="56">
        <v>2.42510075E8</v>
      </c>
      <c r="E846" s="32" t="s">
        <v>4706</v>
      </c>
      <c r="F846" s="32" t="s">
        <v>227</v>
      </c>
      <c r="G846" s="12">
        <v>32.0</v>
      </c>
      <c r="H846" s="48" t="str">
        <f t="shared" si="4"/>
        <v>  XI E-2</v>
      </c>
      <c r="I846" s="28" t="str">
        <f t="shared" si="2"/>
        <v>32 - GC X-3</v>
      </c>
      <c r="J846" s="20" t="str">
        <f>VLOOKUP(I846,'Database Grup SCC'!$B$2:$C1382,2,false)</f>
        <v>Devi</v>
      </c>
      <c r="K846" s="50" t="str">
        <f>VLOOKUP(D846,'Data Siswa Mentah 32 Kelas X'!$C$8:$E1382,3,false)</f>
        <v>X-3</v>
      </c>
      <c r="L846" s="50" t="s">
        <v>7486</v>
      </c>
      <c r="M846" s="50"/>
      <c r="N846" s="33" t="s">
        <v>6879</v>
      </c>
      <c r="O846" s="34"/>
      <c r="P846" s="34"/>
      <c r="Q846" s="24" t="str">
        <f t="shared" si="3"/>
        <v>https://docs.google.com/forms/d/e/1FAIpQLSeZ-R1GrWlAPkfaThGqxeTj0QTtrARw4rroxIIepf2kipn1nw/formResponse?usp=pp_url&amp;entry.1313582257=0084865750&amp;entry.1578404635=Hadir</v>
      </c>
      <c r="R846" s="23" t="s">
        <v>7497</v>
      </c>
      <c r="S846" s="39"/>
      <c r="T846" s="39"/>
      <c r="U846" s="39"/>
      <c r="V846" s="39"/>
    </row>
    <row r="847" ht="22.5" customHeight="1">
      <c r="A847" s="12">
        <v>437.0</v>
      </c>
      <c r="B847" s="32">
        <v>7.0</v>
      </c>
      <c r="C847" s="55" t="s">
        <v>7498</v>
      </c>
      <c r="D847" s="56">
        <v>2.42510076E8</v>
      </c>
      <c r="E847" s="32" t="s">
        <v>4711</v>
      </c>
      <c r="F847" s="32" t="s">
        <v>227</v>
      </c>
      <c r="G847" s="12">
        <v>32.0</v>
      </c>
      <c r="H847" s="48" t="str">
        <f t="shared" si="4"/>
        <v>  XI E-2</v>
      </c>
      <c r="I847" s="28" t="str">
        <f t="shared" si="2"/>
        <v>32 - GC X-9</v>
      </c>
      <c r="J847" s="20" t="str">
        <f>VLOOKUP(I847,'Database Grup SCC'!$B$2:$C1382,2,false)</f>
        <v>Athaya</v>
      </c>
      <c r="K847" s="50" t="str">
        <f>VLOOKUP(D847,'Data Siswa Mentah 32 Kelas X'!$C$8:$E1382,3,false)</f>
        <v>X-9</v>
      </c>
      <c r="L847" s="50" t="s">
        <v>7486</v>
      </c>
      <c r="M847" s="50"/>
      <c r="N847" s="33" t="s">
        <v>6826</v>
      </c>
      <c r="O847" s="34"/>
      <c r="P847" s="34"/>
      <c r="Q847" s="24" t="str">
        <f t="shared" si="3"/>
        <v>https://docs.google.com/forms/d/e/1FAIpQLSeZ-R1GrWlAPkfaThGqxeTj0QTtrARw4rroxIIepf2kipn1nw/formResponse?usp=pp_url&amp;entry.1313582257=0089373986&amp;entry.1578404635=Hadir</v>
      </c>
      <c r="R847" s="23" t="s">
        <v>7499</v>
      </c>
      <c r="S847" s="39"/>
      <c r="T847" s="39"/>
      <c r="U847" s="39"/>
      <c r="V847" s="39"/>
    </row>
    <row r="848" ht="22.5" customHeight="1">
      <c r="A848" s="12">
        <v>438.0</v>
      </c>
      <c r="B848" s="32">
        <v>8.0</v>
      </c>
      <c r="C848" s="55" t="s">
        <v>7500</v>
      </c>
      <c r="D848" s="56">
        <v>2.42510082E8</v>
      </c>
      <c r="E848" s="32" t="s">
        <v>4716</v>
      </c>
      <c r="F848" s="32" t="s">
        <v>220</v>
      </c>
      <c r="G848" s="12">
        <v>32.0</v>
      </c>
      <c r="H848" s="48" t="str">
        <f t="shared" si="4"/>
        <v>  XI E-2</v>
      </c>
      <c r="I848" s="28" t="str">
        <f t="shared" si="2"/>
        <v>32 - BC X-12</v>
      </c>
      <c r="J848" s="20" t="str">
        <f>VLOOKUP(I848,'Database Grup SCC'!$B$2:$C1382,2,false)</f>
        <v>Syafiq</v>
      </c>
      <c r="K848" s="50" t="str">
        <f>VLOOKUP(D848,'Data Siswa Mentah 32 Kelas X'!$C$8:$E1382,3,false)</f>
        <v>X-12</v>
      </c>
      <c r="L848" s="50" t="s">
        <v>7486</v>
      </c>
      <c r="M848" s="50"/>
      <c r="N848" s="33" t="s">
        <v>6951</v>
      </c>
      <c r="O848" s="34"/>
      <c r="P848" s="34"/>
      <c r="Q848" s="24" t="str">
        <f t="shared" si="3"/>
        <v>https://docs.google.com/forms/d/e/1FAIpQLSeZ-R1GrWlAPkfaThGqxeTj0QTtrARw4rroxIIepf2kipn1nw/formResponse?usp=pp_url&amp;entry.1313582257=0094394514&amp;entry.1578404635=Hadir</v>
      </c>
      <c r="R848" s="23" t="s">
        <v>7501</v>
      </c>
      <c r="S848" s="39"/>
      <c r="T848" s="39"/>
      <c r="U848" s="39"/>
      <c r="V848" s="39"/>
    </row>
    <row r="849" ht="22.5" customHeight="1">
      <c r="A849" s="12">
        <v>439.0</v>
      </c>
      <c r="B849" s="32">
        <v>9.0</v>
      </c>
      <c r="C849" s="55" t="s">
        <v>7502</v>
      </c>
      <c r="D849" s="56">
        <v>2.42510097E8</v>
      </c>
      <c r="E849" s="32" t="s">
        <v>4721</v>
      </c>
      <c r="F849" s="32" t="s">
        <v>220</v>
      </c>
      <c r="G849" s="12">
        <v>32.0</v>
      </c>
      <c r="H849" s="48" t="str">
        <f t="shared" si="4"/>
        <v>  XI E-2</v>
      </c>
      <c r="I849" s="28" t="str">
        <f t="shared" si="2"/>
        <v>33 - BC X-5</v>
      </c>
      <c r="J849" s="20" t="str">
        <f>VLOOKUP(I849,'Database Grup SCC'!$B$2:$C1382,2,false)</f>
        <v>Topik &amp; Adrian</v>
      </c>
      <c r="K849" s="50" t="str">
        <f>VLOOKUP(D849,'Data Siswa Mentah 32 Kelas X'!$C$8:$E1382,3,false)</f>
        <v>X-5</v>
      </c>
      <c r="L849" s="50" t="s">
        <v>7486</v>
      </c>
      <c r="M849" s="50"/>
      <c r="N849" s="33" t="s">
        <v>5770</v>
      </c>
      <c r="O849" s="34"/>
      <c r="P849" s="34"/>
      <c r="Q849" s="24" t="str">
        <f t="shared" si="3"/>
        <v>https://docs.google.com/forms/d/e/1FAIpQLSeZ-R1GrWlAPkfaThGqxeTj0QTtrARw4rroxIIepf2kipn1nw/formResponse?usp=pp_url&amp;entry.1313582257=0093616890&amp;entry.1578404635=Hadir</v>
      </c>
      <c r="R849" s="23" t="s">
        <v>7503</v>
      </c>
      <c r="S849" s="39"/>
      <c r="T849" s="39"/>
      <c r="U849" s="39"/>
      <c r="V849" s="39"/>
    </row>
    <row r="850" ht="22.5" customHeight="1">
      <c r="A850" s="12">
        <v>440.0</v>
      </c>
      <c r="B850" s="32">
        <v>10.0</v>
      </c>
      <c r="C850" s="55" t="s">
        <v>7504</v>
      </c>
      <c r="D850" s="56">
        <v>2.425101E8</v>
      </c>
      <c r="E850" s="32" t="s">
        <v>4726</v>
      </c>
      <c r="F850" s="32" t="s">
        <v>220</v>
      </c>
      <c r="G850" s="12">
        <v>32.0</v>
      </c>
      <c r="H850" s="48" t="str">
        <f t="shared" si="4"/>
        <v>  XI E-2</v>
      </c>
      <c r="I850" s="28" t="str">
        <f t="shared" si="2"/>
        <v>32 - BC X-2</v>
      </c>
      <c r="J850" s="20" t="str">
        <f>VLOOKUP(I850,'Database Grup SCC'!$B$2:$C1382,2,false)</f>
        <v>Rafli (XII)</v>
      </c>
      <c r="K850" s="50" t="str">
        <f>VLOOKUP(D850,'Data Siswa Mentah 32 Kelas X'!$C$8:$E1382,3,false)</f>
        <v>X-2</v>
      </c>
      <c r="L850" s="50" t="s">
        <v>7486</v>
      </c>
      <c r="M850" s="50"/>
      <c r="N850" s="33" t="s">
        <v>6869</v>
      </c>
      <c r="O850" s="34"/>
      <c r="P850" s="34"/>
      <c r="Q850" s="24" t="str">
        <f t="shared" si="3"/>
        <v>https://docs.google.com/forms/d/e/1FAIpQLSeZ-R1GrWlAPkfaThGqxeTj0QTtrARw4rroxIIepf2kipn1nw/formResponse?usp=pp_url&amp;entry.1313582257=0092463348&amp;entry.1578404635=Hadir</v>
      </c>
      <c r="R850" s="23" t="s">
        <v>7505</v>
      </c>
      <c r="S850" s="39"/>
      <c r="T850" s="39"/>
      <c r="U850" s="39"/>
      <c r="V850" s="39"/>
    </row>
    <row r="851" ht="22.5" customHeight="1">
      <c r="A851" s="12">
        <v>441.0</v>
      </c>
      <c r="B851" s="32">
        <v>11.0</v>
      </c>
      <c r="C851" s="55" t="s">
        <v>7506</v>
      </c>
      <c r="D851" s="56">
        <v>2.42510131E8</v>
      </c>
      <c r="E851" s="32" t="s">
        <v>4732</v>
      </c>
      <c r="F851" s="32" t="s">
        <v>220</v>
      </c>
      <c r="G851" s="12">
        <v>32.0</v>
      </c>
      <c r="H851" s="48" t="str">
        <f t="shared" si="4"/>
        <v>  XI E-2</v>
      </c>
      <c r="I851" s="28" t="str">
        <f t="shared" si="2"/>
        <v>32 - BC X-12</v>
      </c>
      <c r="J851" s="20" t="str">
        <f>VLOOKUP(I851,'Database Grup SCC'!$B$2:$C1382,2,false)</f>
        <v>Syafiq</v>
      </c>
      <c r="K851" s="50" t="str">
        <f>VLOOKUP(D851,'Data Siswa Mentah 32 Kelas X'!$C$8:$E1382,3,false)</f>
        <v>X-12</v>
      </c>
      <c r="L851" s="50" t="s">
        <v>7486</v>
      </c>
      <c r="M851" s="50"/>
      <c r="N851" s="33" t="s">
        <v>6951</v>
      </c>
      <c r="O851" s="34"/>
      <c r="P851" s="34"/>
      <c r="Q851" s="24" t="str">
        <f t="shared" si="3"/>
        <v>https://docs.google.com/forms/d/e/1FAIpQLSeZ-R1GrWlAPkfaThGqxeTj0QTtrARw4rroxIIepf2kipn1nw/formResponse?usp=pp_url&amp;entry.1313582257=0087035501&amp;entry.1578404635=Hadir</v>
      </c>
      <c r="R851" s="23" t="s">
        <v>7507</v>
      </c>
      <c r="S851" s="39"/>
      <c r="T851" s="39"/>
      <c r="U851" s="39"/>
      <c r="V851" s="39"/>
    </row>
    <row r="852" ht="22.5" customHeight="1">
      <c r="A852" s="12">
        <v>442.0</v>
      </c>
      <c r="B852" s="32">
        <v>12.0</v>
      </c>
      <c r="C852" s="55" t="s">
        <v>7508</v>
      </c>
      <c r="D852" s="56">
        <v>2.42510163E8</v>
      </c>
      <c r="E852" s="32" t="s">
        <v>4737</v>
      </c>
      <c r="F852" s="32" t="s">
        <v>220</v>
      </c>
      <c r="G852" s="12">
        <v>32.0</v>
      </c>
      <c r="H852" s="48" t="str">
        <f t="shared" si="4"/>
        <v>  XI E-2</v>
      </c>
      <c r="I852" s="28" t="str">
        <f t="shared" si="2"/>
        <v>32 - BC X-12</v>
      </c>
      <c r="J852" s="20" t="str">
        <f>VLOOKUP(I852,'Database Grup SCC'!$B$2:$C1382,2,false)</f>
        <v>Syafiq</v>
      </c>
      <c r="K852" s="50" t="str">
        <f>VLOOKUP(D852,'Data Siswa Mentah 32 Kelas X'!$C$8:$E1382,3,false)</f>
        <v>X-12</v>
      </c>
      <c r="L852" s="50" t="s">
        <v>7486</v>
      </c>
      <c r="M852" s="50"/>
      <c r="N852" s="33" t="s">
        <v>6951</v>
      </c>
      <c r="O852" s="34"/>
      <c r="P852" s="34"/>
      <c r="Q852" s="24" t="str">
        <f t="shared" si="3"/>
        <v>https://docs.google.com/forms/d/e/1FAIpQLSeZ-R1GrWlAPkfaThGqxeTj0QTtrARw4rroxIIepf2kipn1nw/formResponse?usp=pp_url&amp;entry.1313582257=0097179421&amp;entry.1578404635=Hadir</v>
      </c>
      <c r="R852" s="23" t="s">
        <v>7509</v>
      </c>
      <c r="S852" s="39"/>
      <c r="T852" s="39"/>
      <c r="U852" s="39"/>
      <c r="V852" s="39"/>
    </row>
    <row r="853" ht="22.5" customHeight="1">
      <c r="A853" s="12">
        <v>443.0</v>
      </c>
      <c r="B853" s="32">
        <v>13.0</v>
      </c>
      <c r="C853" s="55" t="s">
        <v>7510</v>
      </c>
      <c r="D853" s="56">
        <v>2.42510164E8</v>
      </c>
      <c r="E853" s="32" t="s">
        <v>4742</v>
      </c>
      <c r="F853" s="32" t="s">
        <v>220</v>
      </c>
      <c r="G853" s="12">
        <v>32.0</v>
      </c>
      <c r="H853" s="48" t="str">
        <f t="shared" si="4"/>
        <v>  XI E-2</v>
      </c>
      <c r="I853" s="28" t="str">
        <f t="shared" si="2"/>
        <v>33 - BC X-4</v>
      </c>
      <c r="J853" s="20" t="str">
        <f>VLOOKUP(I853,'Database Grup SCC'!$B$2:$C1382,2,false)</f>
        <v>Arumbinang</v>
      </c>
      <c r="K853" s="50" t="str">
        <f>VLOOKUP(D853,'Data Siswa Mentah 32 Kelas X'!$C$8:$E1382,3,false)</f>
        <v>X-4</v>
      </c>
      <c r="L853" s="50" t="s">
        <v>7486</v>
      </c>
      <c r="M853" s="50"/>
      <c r="N853" s="33" t="s">
        <v>5628</v>
      </c>
      <c r="O853" s="34"/>
      <c r="P853" s="34"/>
      <c r="Q853" s="24" t="str">
        <f t="shared" si="3"/>
        <v>https://docs.google.com/forms/d/e/1FAIpQLSeZ-R1GrWlAPkfaThGqxeTj0QTtrARw4rroxIIepf2kipn1nw/formResponse?usp=pp_url&amp;entry.1313582257=0084853605&amp;entry.1578404635=Hadir</v>
      </c>
      <c r="R853" s="23" t="s">
        <v>7511</v>
      </c>
      <c r="S853" s="39"/>
      <c r="T853" s="39"/>
      <c r="U853" s="39"/>
      <c r="V853" s="39"/>
    </row>
    <row r="854" ht="22.5" customHeight="1">
      <c r="A854" s="12">
        <v>444.0</v>
      </c>
      <c r="B854" s="32">
        <v>14.0</v>
      </c>
      <c r="C854" s="55" t="s">
        <v>7512</v>
      </c>
      <c r="D854" s="56">
        <v>2.4251017E8</v>
      </c>
      <c r="E854" s="32" t="s">
        <v>4747</v>
      </c>
      <c r="F854" s="32" t="s">
        <v>220</v>
      </c>
      <c r="G854" s="12">
        <v>32.0</v>
      </c>
      <c r="H854" s="48" t="str">
        <f t="shared" si="4"/>
        <v>  XI E-2</v>
      </c>
      <c r="I854" s="28" t="str">
        <f t="shared" si="2"/>
        <v>33 - BC X-10</v>
      </c>
      <c r="J854" s="20" t="str">
        <f>VLOOKUP(I854,'Database Grup SCC'!$B$2:$C1382,2,false)</f>
        <v>Irghi (XII)</v>
      </c>
      <c r="K854" s="50" t="str">
        <f>VLOOKUP(D854,'Data Siswa Mentah 32 Kelas X'!$C$8:$E1382,3,false)</f>
        <v>X-10</v>
      </c>
      <c r="L854" s="50" t="s">
        <v>7486</v>
      </c>
      <c r="M854" s="50"/>
      <c r="N854" s="33" t="s">
        <v>6425</v>
      </c>
      <c r="O854" s="34"/>
      <c r="P854" s="34"/>
      <c r="Q854" s="24" t="str">
        <f t="shared" si="3"/>
        <v>https://docs.google.com/forms/d/e/1FAIpQLSeZ-R1GrWlAPkfaThGqxeTj0QTtrARw4rroxIIepf2kipn1nw/formResponse?usp=pp_url&amp;entry.1313582257=3092618789&amp;entry.1578404635=Hadir</v>
      </c>
      <c r="R854" s="23" t="s">
        <v>7513</v>
      </c>
      <c r="S854" s="39"/>
      <c r="T854" s="39"/>
      <c r="U854" s="39"/>
      <c r="V854" s="39"/>
    </row>
    <row r="855" ht="22.5" customHeight="1">
      <c r="A855" s="12">
        <v>445.0</v>
      </c>
      <c r="B855" s="32">
        <v>15.0</v>
      </c>
      <c r="C855" s="55" t="s">
        <v>7514</v>
      </c>
      <c r="D855" s="56">
        <v>2.42510174E8</v>
      </c>
      <c r="E855" s="32" t="s">
        <v>4752</v>
      </c>
      <c r="F855" s="32" t="s">
        <v>220</v>
      </c>
      <c r="G855" s="12">
        <v>32.0</v>
      </c>
      <c r="H855" s="48" t="str">
        <f t="shared" si="4"/>
        <v>  XI E-2</v>
      </c>
      <c r="I855" s="28" t="str">
        <f t="shared" si="2"/>
        <v>32 - BC X-1</v>
      </c>
      <c r="J855" s="20" t="str">
        <f>VLOOKUP(I855,'Database Grup SCC'!$B$2:$C1382,2,false)</f>
        <v>Arya</v>
      </c>
      <c r="K855" s="50" t="str">
        <f>VLOOKUP(D855,'Data Siswa Mentah 32 Kelas X'!$C$8:$E1382,3,false)</f>
        <v>X-1</v>
      </c>
      <c r="L855" s="50" t="s">
        <v>7486</v>
      </c>
      <c r="M855" s="50"/>
      <c r="N855" s="33" t="s">
        <v>6839</v>
      </c>
      <c r="O855" s="34"/>
      <c r="P855" s="34"/>
      <c r="Q855" s="24" t="str">
        <f t="shared" si="3"/>
        <v>https://docs.google.com/forms/d/e/1FAIpQLSeZ-R1GrWlAPkfaThGqxeTj0QTtrARw4rroxIIepf2kipn1nw/formResponse?usp=pp_url&amp;entry.1313582257=0092821103&amp;entry.1578404635=Hadir</v>
      </c>
      <c r="R855" s="23" t="s">
        <v>7515</v>
      </c>
      <c r="S855" s="39"/>
      <c r="T855" s="39"/>
      <c r="U855" s="39"/>
      <c r="V855" s="39"/>
    </row>
    <row r="856" ht="22.5" customHeight="1">
      <c r="A856" s="12">
        <v>446.0</v>
      </c>
      <c r="B856" s="32">
        <v>16.0</v>
      </c>
      <c r="C856" s="55" t="s">
        <v>7516</v>
      </c>
      <c r="D856" s="56">
        <v>2.42510177E8</v>
      </c>
      <c r="E856" s="32" t="s">
        <v>4757</v>
      </c>
      <c r="F856" s="32" t="s">
        <v>220</v>
      </c>
      <c r="G856" s="12">
        <v>32.0</v>
      </c>
      <c r="H856" s="48" t="str">
        <f t="shared" si="4"/>
        <v>  XI E-2</v>
      </c>
      <c r="I856" s="28" t="str">
        <f t="shared" si="2"/>
        <v>32 - BC X-11</v>
      </c>
      <c r="J856" s="20" t="str">
        <f>VLOOKUP(I856,'Database Grup SCC'!$B$2:$C1382,2,false)</f>
        <v>Dimas</v>
      </c>
      <c r="K856" s="50" t="str">
        <f>VLOOKUP(D856,'Data Siswa Mentah 32 Kelas X'!$C$8:$E1382,3,false)</f>
        <v>X-11</v>
      </c>
      <c r="L856" s="50" t="s">
        <v>7486</v>
      </c>
      <c r="M856" s="50"/>
      <c r="N856" s="33" t="s">
        <v>6821</v>
      </c>
      <c r="O856" s="34"/>
      <c r="P856" s="34"/>
      <c r="Q856" s="24" t="str">
        <f t="shared" si="3"/>
        <v>https://docs.google.com/forms/d/e/1FAIpQLSeZ-R1GrWlAPkfaThGqxeTj0QTtrARw4rroxIIepf2kipn1nw/formResponse?usp=pp_url&amp;entry.1313582257=0082472809&amp;entry.1578404635=Hadir</v>
      </c>
      <c r="R856" s="23" t="s">
        <v>7517</v>
      </c>
      <c r="S856" s="39"/>
      <c r="T856" s="39"/>
      <c r="U856" s="39"/>
      <c r="V856" s="39"/>
    </row>
    <row r="857" ht="22.5" customHeight="1">
      <c r="A857" s="12">
        <v>447.0</v>
      </c>
      <c r="B857" s="32">
        <v>17.0</v>
      </c>
      <c r="C857" s="55" t="s">
        <v>7518</v>
      </c>
      <c r="D857" s="56">
        <v>2.4251021E8</v>
      </c>
      <c r="E857" s="32" t="s">
        <v>4763</v>
      </c>
      <c r="F857" s="32" t="s">
        <v>220</v>
      </c>
      <c r="G857" s="12">
        <v>32.0</v>
      </c>
      <c r="H857" s="48" t="str">
        <f t="shared" si="4"/>
        <v>  XI E-2</v>
      </c>
      <c r="I857" s="28" t="str">
        <f t="shared" si="2"/>
        <v>33 - BC X-4</v>
      </c>
      <c r="J857" s="20" t="str">
        <f>VLOOKUP(I857,'Database Grup SCC'!$B$2:$C1382,2,false)</f>
        <v>Arumbinang</v>
      </c>
      <c r="K857" s="50" t="str">
        <f>VLOOKUP(D857,'Data Siswa Mentah 32 Kelas X'!$C$8:$E1382,3,false)</f>
        <v>X-4</v>
      </c>
      <c r="L857" s="50" t="s">
        <v>7486</v>
      </c>
      <c r="M857" s="50"/>
      <c r="N857" s="33" t="s">
        <v>5628</v>
      </c>
      <c r="O857" s="34"/>
      <c r="P857" s="34"/>
      <c r="Q857" s="24" t="str">
        <f t="shared" si="3"/>
        <v>https://docs.google.com/forms/d/e/1FAIpQLSeZ-R1GrWlAPkfaThGqxeTj0QTtrARw4rroxIIepf2kipn1nw/formResponse?usp=pp_url&amp;entry.1313582257=3091944997&amp;entry.1578404635=Hadir</v>
      </c>
      <c r="R857" s="23" t="s">
        <v>7519</v>
      </c>
      <c r="S857" s="39"/>
      <c r="T857" s="39"/>
      <c r="U857" s="39"/>
      <c r="V857" s="39"/>
    </row>
    <row r="858" ht="22.5" customHeight="1">
      <c r="A858" s="12">
        <v>448.0</v>
      </c>
      <c r="B858" s="32">
        <v>18.0</v>
      </c>
      <c r="C858" s="55" t="s">
        <v>7520</v>
      </c>
      <c r="D858" s="56">
        <v>2.42510224E8</v>
      </c>
      <c r="E858" s="32" t="s">
        <v>4768</v>
      </c>
      <c r="F858" s="32" t="s">
        <v>220</v>
      </c>
      <c r="G858" s="12">
        <v>32.0</v>
      </c>
      <c r="H858" s="48" t="str">
        <f t="shared" si="4"/>
        <v>  XI E-2</v>
      </c>
      <c r="I858" s="28" t="str">
        <f t="shared" si="2"/>
        <v>32 - BC X-1</v>
      </c>
      <c r="J858" s="20" t="str">
        <f>VLOOKUP(I858,'Database Grup SCC'!$B$2:$C1382,2,false)</f>
        <v>Arya</v>
      </c>
      <c r="K858" s="50" t="str">
        <f>VLOOKUP(D858,'Data Siswa Mentah 32 Kelas X'!$C$8:$E1382,3,false)</f>
        <v>X-1</v>
      </c>
      <c r="L858" s="50" t="s">
        <v>7486</v>
      </c>
      <c r="M858" s="50"/>
      <c r="N858" s="33" t="s">
        <v>6839</v>
      </c>
      <c r="O858" s="34"/>
      <c r="P858" s="34"/>
      <c r="Q858" s="24" t="str">
        <f t="shared" si="3"/>
        <v>https://docs.google.com/forms/d/e/1FAIpQLSeZ-R1GrWlAPkfaThGqxeTj0QTtrARw4rroxIIepf2kipn1nw/formResponse?usp=pp_url&amp;entry.1313582257=0081087411&amp;entry.1578404635=Hadir</v>
      </c>
      <c r="R858" s="23" t="s">
        <v>7521</v>
      </c>
      <c r="S858" s="39"/>
      <c r="T858" s="39"/>
      <c r="U858" s="39"/>
      <c r="V858" s="39"/>
    </row>
    <row r="859" ht="22.5" customHeight="1">
      <c r="A859" s="12">
        <v>449.0</v>
      </c>
      <c r="B859" s="32">
        <v>19.0</v>
      </c>
      <c r="C859" s="55" t="s">
        <v>7522</v>
      </c>
      <c r="D859" s="56">
        <v>2.4251025E8</v>
      </c>
      <c r="E859" s="32" t="s">
        <v>4773</v>
      </c>
      <c r="F859" s="32" t="s">
        <v>220</v>
      </c>
      <c r="G859" s="12">
        <v>32.0</v>
      </c>
      <c r="H859" s="48" t="str">
        <f t="shared" si="4"/>
        <v>  XI E-2</v>
      </c>
      <c r="I859" s="28" t="str">
        <f t="shared" si="2"/>
        <v>33 - BC X-4</v>
      </c>
      <c r="J859" s="20" t="str">
        <f>VLOOKUP(I859,'Database Grup SCC'!$B$2:$C1382,2,false)</f>
        <v>Arumbinang</v>
      </c>
      <c r="K859" s="50" t="str">
        <f>VLOOKUP(D859,'Data Siswa Mentah 32 Kelas X'!$C$8:$E1382,3,false)</f>
        <v>X-4</v>
      </c>
      <c r="L859" s="50" t="s">
        <v>7486</v>
      </c>
      <c r="M859" s="50"/>
      <c r="N859" s="33" t="s">
        <v>5628</v>
      </c>
      <c r="O859" s="34"/>
      <c r="P859" s="34"/>
      <c r="Q859" s="24" t="str">
        <f t="shared" si="3"/>
        <v>https://docs.google.com/forms/d/e/1FAIpQLSeZ-R1GrWlAPkfaThGqxeTj0QTtrARw4rroxIIepf2kipn1nw/formResponse?usp=pp_url&amp;entry.1313582257=0094864081&amp;entry.1578404635=Hadir</v>
      </c>
      <c r="R859" s="23" t="s">
        <v>7523</v>
      </c>
      <c r="S859" s="39"/>
      <c r="T859" s="39"/>
      <c r="U859" s="39"/>
      <c r="V859" s="39"/>
    </row>
    <row r="860" ht="22.5" customHeight="1">
      <c r="A860" s="12">
        <v>450.0</v>
      </c>
      <c r="B860" s="32">
        <v>20.0</v>
      </c>
      <c r="C860" s="55" t="s">
        <v>7524</v>
      </c>
      <c r="D860" s="56">
        <v>2.42510263E8</v>
      </c>
      <c r="E860" s="32" t="s">
        <v>4778</v>
      </c>
      <c r="F860" s="32" t="s">
        <v>220</v>
      </c>
      <c r="G860" s="12">
        <v>32.0</v>
      </c>
      <c r="H860" s="48" t="str">
        <f t="shared" si="4"/>
        <v>  XI E-2</v>
      </c>
      <c r="I860" s="28" t="str">
        <f t="shared" si="2"/>
        <v>33 - BC X-8</v>
      </c>
      <c r="J860" s="20" t="str">
        <f>VLOOKUP(I860,'Database Grup SCC'!$B$2:$C1382,2,false)</f>
        <v>Teguh</v>
      </c>
      <c r="K860" s="50" t="str">
        <f>VLOOKUP(D860,'Data Siswa Mentah 32 Kelas X'!$C$8:$E1382,3,false)</f>
        <v>X-8</v>
      </c>
      <c r="L860" s="50" t="s">
        <v>7486</v>
      </c>
      <c r="M860" s="50"/>
      <c r="N860" s="33" t="s">
        <v>6166</v>
      </c>
      <c r="O860" s="34"/>
      <c r="P860" s="34"/>
      <c r="Q860" s="24" t="str">
        <f t="shared" si="3"/>
        <v>https://docs.google.com/forms/d/e/1FAIpQLSeZ-R1GrWlAPkfaThGqxeTj0QTtrARw4rroxIIepf2kipn1nw/formResponse?usp=pp_url&amp;entry.1313582257=0095937371&amp;entry.1578404635=Hadir</v>
      </c>
      <c r="R860" s="23" t="s">
        <v>7525</v>
      </c>
      <c r="S860" s="39"/>
      <c r="T860" s="39"/>
      <c r="U860" s="39"/>
      <c r="V860" s="39"/>
    </row>
    <row r="861" ht="22.5" customHeight="1">
      <c r="A861" s="12">
        <v>451.0</v>
      </c>
      <c r="B861" s="32">
        <v>21.0</v>
      </c>
      <c r="C861" s="55" t="s">
        <v>7526</v>
      </c>
      <c r="D861" s="56">
        <v>2.42510264E8</v>
      </c>
      <c r="E861" s="32" t="s">
        <v>4783</v>
      </c>
      <c r="F861" s="32" t="s">
        <v>220</v>
      </c>
      <c r="G861" s="12">
        <v>32.0</v>
      </c>
      <c r="H861" s="48" t="str">
        <f t="shared" si="4"/>
        <v>  XI E-2</v>
      </c>
      <c r="I861" s="28" t="str">
        <f t="shared" si="2"/>
        <v>33 - BC X-9</v>
      </c>
      <c r="J861" s="20" t="str">
        <f>VLOOKUP(I861,'Database Grup SCC'!$B$2:$C1382,2,false)</f>
        <v>Veril (XII)</v>
      </c>
      <c r="K861" s="50" t="str">
        <f>VLOOKUP(D861,'Data Siswa Mentah 32 Kelas X'!$C$8:$E1382,3,false)</f>
        <v>X-9</v>
      </c>
      <c r="L861" s="50" t="s">
        <v>7486</v>
      </c>
      <c r="M861" s="50"/>
      <c r="N861" s="33" t="s">
        <v>6296</v>
      </c>
      <c r="O861" s="34"/>
      <c r="P861" s="34"/>
      <c r="Q861" s="24" t="str">
        <f t="shared" si="3"/>
        <v>https://docs.google.com/forms/d/e/1FAIpQLSeZ-R1GrWlAPkfaThGqxeTj0QTtrARw4rroxIIepf2kipn1nw/formResponse?usp=pp_url&amp;entry.1313582257=0088807404&amp;entry.1578404635=Hadir</v>
      </c>
      <c r="R861" s="23" t="s">
        <v>7527</v>
      </c>
      <c r="S861" s="39"/>
      <c r="T861" s="39"/>
      <c r="U861" s="39"/>
      <c r="V861" s="39"/>
    </row>
    <row r="862" ht="22.5" customHeight="1">
      <c r="A862" s="12">
        <v>452.0</v>
      </c>
      <c r="B862" s="32">
        <v>22.0</v>
      </c>
      <c r="C862" s="55" t="s">
        <v>7528</v>
      </c>
      <c r="D862" s="56">
        <v>2.42510279E8</v>
      </c>
      <c r="E862" s="32" t="s">
        <v>4788</v>
      </c>
      <c r="F862" s="32" t="s">
        <v>220</v>
      </c>
      <c r="G862" s="12">
        <v>32.0</v>
      </c>
      <c r="H862" s="48" t="str">
        <f t="shared" si="4"/>
        <v>  XI E-2</v>
      </c>
      <c r="I862" s="28" t="str">
        <f t="shared" si="2"/>
        <v>33 - BC X-3</v>
      </c>
      <c r="J862" s="20" t="str">
        <f>VLOOKUP(I862,'Database Grup SCC'!$B$2:$C1382,2,false)</f>
        <v>Angga</v>
      </c>
      <c r="K862" s="50" t="str">
        <f>VLOOKUP(D862,'Data Siswa Mentah 32 Kelas X'!$C$8:$E1382,3,false)</f>
        <v>X-3</v>
      </c>
      <c r="L862" s="50" t="s">
        <v>7486</v>
      </c>
      <c r="M862" s="50"/>
      <c r="N862" s="33" t="s">
        <v>5507</v>
      </c>
      <c r="O862" s="34"/>
      <c r="P862" s="34"/>
      <c r="Q862" s="24" t="str">
        <f t="shared" si="3"/>
        <v>https://docs.google.com/forms/d/e/1FAIpQLSeZ-R1GrWlAPkfaThGqxeTj0QTtrARw4rroxIIepf2kipn1nw/formResponse?usp=pp_url&amp;entry.1313582257=0085810407&amp;entry.1578404635=Hadir</v>
      </c>
      <c r="R862" s="23" t="s">
        <v>7529</v>
      </c>
      <c r="S862" s="39"/>
      <c r="T862" s="39"/>
      <c r="U862" s="39"/>
      <c r="V862" s="39"/>
    </row>
    <row r="863" ht="22.5" customHeight="1">
      <c r="A863" s="12">
        <v>453.0</v>
      </c>
      <c r="B863" s="32">
        <v>23.0</v>
      </c>
      <c r="C863" s="55" t="s">
        <v>7530</v>
      </c>
      <c r="D863" s="56">
        <v>2.42510293E8</v>
      </c>
      <c r="E863" s="32" t="s">
        <v>4794</v>
      </c>
      <c r="F863" s="32" t="s">
        <v>220</v>
      </c>
      <c r="G863" s="12">
        <v>32.0</v>
      </c>
      <c r="H863" s="48" t="str">
        <f t="shared" si="4"/>
        <v>  XI E-2</v>
      </c>
      <c r="I863" s="28" t="str">
        <f t="shared" si="2"/>
        <v>33 - BC X-8</v>
      </c>
      <c r="J863" s="20" t="str">
        <f>VLOOKUP(I863,'Database Grup SCC'!$B$2:$C1382,2,false)</f>
        <v>Teguh</v>
      </c>
      <c r="K863" s="50" t="str">
        <f>VLOOKUP(D863,'Data Siswa Mentah 32 Kelas X'!$C$8:$E1382,3,false)</f>
        <v>X-8</v>
      </c>
      <c r="L863" s="50" t="s">
        <v>7486</v>
      </c>
      <c r="M863" s="50"/>
      <c r="N863" s="33" t="s">
        <v>6166</v>
      </c>
      <c r="O863" s="34"/>
      <c r="P863" s="34"/>
      <c r="Q863" s="24" t="str">
        <f t="shared" si="3"/>
        <v>https://docs.google.com/forms/d/e/1FAIpQLSeZ-R1GrWlAPkfaThGqxeTj0QTtrARw4rroxIIepf2kipn1nw/formResponse?usp=pp_url&amp;entry.1313582257=0082898817&amp;entry.1578404635=Hadir</v>
      </c>
      <c r="R863" s="23" t="s">
        <v>7531</v>
      </c>
      <c r="S863" s="39"/>
      <c r="T863" s="39"/>
      <c r="U863" s="39"/>
      <c r="V863" s="39"/>
    </row>
    <row r="864" ht="22.5" customHeight="1">
      <c r="A864" s="12">
        <v>454.0</v>
      </c>
      <c r="B864" s="32">
        <v>24.0</v>
      </c>
      <c r="C864" s="55" t="s">
        <v>43</v>
      </c>
      <c r="D864" s="56">
        <v>2.42510294E8</v>
      </c>
      <c r="E864" s="32" t="s">
        <v>4799</v>
      </c>
      <c r="F864" s="32" t="s">
        <v>220</v>
      </c>
      <c r="G864" s="12">
        <v>32.0</v>
      </c>
      <c r="H864" s="48" t="str">
        <f t="shared" si="4"/>
        <v>  XI E-2</v>
      </c>
      <c r="I864" s="28" t="str">
        <f t="shared" si="2"/>
        <v>33 - BC X-10</v>
      </c>
      <c r="J864" s="20" t="str">
        <f>VLOOKUP(I864,'Database Grup SCC'!$B$2:$C1382,2,false)</f>
        <v>Irghi (XII)</v>
      </c>
      <c r="K864" s="50" t="str">
        <f>VLOOKUP(D864,'Data Siswa Mentah 32 Kelas X'!$C$8:$E1382,3,false)</f>
        <v>X-10</v>
      </c>
      <c r="L864" s="50" t="s">
        <v>7486</v>
      </c>
      <c r="M864" s="50"/>
      <c r="N864" s="33" t="s">
        <v>6425</v>
      </c>
      <c r="O864" s="34"/>
      <c r="P864" s="34"/>
      <c r="Q864" s="24" t="str">
        <f t="shared" si="3"/>
        <v>https://docs.google.com/forms/d/e/1FAIpQLSeZ-R1GrWlAPkfaThGqxeTj0QTtrARw4rroxIIepf2kipn1nw/formResponse?usp=pp_url&amp;entry.1313582257=0094465097&amp;entry.1578404635=Hadir</v>
      </c>
      <c r="R864" s="23" t="s">
        <v>7532</v>
      </c>
      <c r="S864" s="39"/>
      <c r="T864" s="39"/>
      <c r="U864" s="39"/>
      <c r="V864" s="39"/>
    </row>
    <row r="865" ht="22.5" customHeight="1">
      <c r="A865" s="12">
        <v>455.0</v>
      </c>
      <c r="B865" s="32">
        <v>25.0</v>
      </c>
      <c r="C865" s="55" t="s">
        <v>7533</v>
      </c>
      <c r="D865" s="56">
        <v>2.42510322E8</v>
      </c>
      <c r="E865" s="32" t="s">
        <v>4804</v>
      </c>
      <c r="F865" s="32" t="s">
        <v>227</v>
      </c>
      <c r="G865" s="12">
        <v>32.0</v>
      </c>
      <c r="H865" s="48" t="str">
        <f t="shared" si="4"/>
        <v>  XI E-2</v>
      </c>
      <c r="I865" s="28" t="str">
        <f t="shared" si="2"/>
        <v>32 - GC X-2</v>
      </c>
      <c r="J865" s="20" t="str">
        <f>VLOOKUP(I865,'Database Grup SCC'!$B$2:$C1382,2,false)</f>
        <v>Iga</v>
      </c>
      <c r="K865" s="50" t="str">
        <f>VLOOKUP(D865,'Data Siswa Mentah 32 Kelas X'!$C$8:$E1382,3,false)</f>
        <v>X-2</v>
      </c>
      <c r="L865" s="50" t="s">
        <v>7486</v>
      </c>
      <c r="M865" s="50"/>
      <c r="N865" s="33" t="s">
        <v>6921</v>
      </c>
      <c r="O865" s="34"/>
      <c r="P865" s="34"/>
      <c r="Q865" s="24" t="str">
        <f t="shared" si="3"/>
        <v>https://docs.google.com/forms/d/e/1FAIpQLSeZ-R1GrWlAPkfaThGqxeTj0QTtrARw4rroxIIepf2kipn1nw/formResponse?usp=pp_url&amp;entry.1313582257=0084114869&amp;entry.1578404635=Hadir</v>
      </c>
      <c r="R865" s="23" t="s">
        <v>7534</v>
      </c>
      <c r="S865" s="39"/>
      <c r="T865" s="39"/>
      <c r="U865" s="39"/>
      <c r="V865" s="39"/>
    </row>
    <row r="866" ht="22.5" customHeight="1">
      <c r="A866" s="12">
        <v>456.0</v>
      </c>
      <c r="B866" s="32">
        <v>26.0</v>
      </c>
      <c r="C866" s="55" t="s">
        <v>7535</v>
      </c>
      <c r="D866" s="56">
        <v>2.4251033E8</v>
      </c>
      <c r="E866" s="32" t="s">
        <v>4809</v>
      </c>
      <c r="F866" s="32" t="s">
        <v>220</v>
      </c>
      <c r="G866" s="12">
        <v>32.0</v>
      </c>
      <c r="H866" s="48" t="str">
        <f t="shared" si="4"/>
        <v>  XI E-2</v>
      </c>
      <c r="I866" s="28" t="str">
        <f t="shared" si="2"/>
        <v>33 - BC X-5</v>
      </c>
      <c r="J866" s="20" t="str">
        <f>VLOOKUP(I866,'Database Grup SCC'!$B$2:$C1382,2,false)</f>
        <v>Topik &amp; Adrian</v>
      </c>
      <c r="K866" s="50" t="str">
        <f>VLOOKUP(D866,'Data Siswa Mentah 32 Kelas X'!$C$8:$E1382,3,false)</f>
        <v>X-5</v>
      </c>
      <c r="L866" s="50" t="s">
        <v>7486</v>
      </c>
      <c r="M866" s="50"/>
      <c r="N866" s="33" t="s">
        <v>5770</v>
      </c>
      <c r="O866" s="34"/>
      <c r="P866" s="34"/>
      <c r="Q866" s="24" t="str">
        <f t="shared" si="3"/>
        <v>https://docs.google.com/forms/d/e/1FAIpQLSeZ-R1GrWlAPkfaThGqxeTj0QTtrARw4rroxIIepf2kipn1nw/formResponse?usp=pp_url&amp;entry.1313582257=0092577014&amp;entry.1578404635=Hadir</v>
      </c>
      <c r="R866" s="23" t="s">
        <v>7536</v>
      </c>
      <c r="S866" s="39"/>
      <c r="T866" s="39"/>
      <c r="U866" s="39"/>
      <c r="V866" s="39"/>
    </row>
    <row r="867" ht="22.5" customHeight="1">
      <c r="A867" s="12">
        <v>457.0</v>
      </c>
      <c r="B867" s="32">
        <v>27.0</v>
      </c>
      <c r="C867" s="55" t="s">
        <v>7537</v>
      </c>
      <c r="D867" s="56">
        <v>2.42510344E8</v>
      </c>
      <c r="E867" s="32" t="s">
        <v>4814</v>
      </c>
      <c r="F867" s="32" t="s">
        <v>220</v>
      </c>
      <c r="G867" s="12">
        <v>32.0</v>
      </c>
      <c r="H867" s="48" t="str">
        <f t="shared" si="4"/>
        <v>  XI E-2</v>
      </c>
      <c r="I867" s="28" t="str">
        <f t="shared" si="2"/>
        <v>33 - BC X-3</v>
      </c>
      <c r="J867" s="20" t="str">
        <f>VLOOKUP(I867,'Database Grup SCC'!$B$2:$C1382,2,false)</f>
        <v>Angga</v>
      </c>
      <c r="K867" s="50" t="str">
        <f>VLOOKUP(D867,'Data Siswa Mentah 32 Kelas X'!$C$8:$E1382,3,false)</f>
        <v>X-3</v>
      </c>
      <c r="L867" s="50" t="s">
        <v>7486</v>
      </c>
      <c r="M867" s="50"/>
      <c r="N867" s="33" t="s">
        <v>5507</v>
      </c>
      <c r="O867" s="34"/>
      <c r="P867" s="34"/>
      <c r="Q867" s="24" t="str">
        <f t="shared" si="3"/>
        <v>https://docs.google.com/forms/d/e/1FAIpQLSeZ-R1GrWlAPkfaThGqxeTj0QTtrARw4rroxIIepf2kipn1nw/formResponse?usp=pp_url&amp;entry.1313582257=3083166460&amp;entry.1578404635=Hadir</v>
      </c>
      <c r="R867" s="23" t="s">
        <v>7538</v>
      </c>
      <c r="S867" s="39"/>
      <c r="T867" s="39"/>
      <c r="U867" s="39"/>
      <c r="V867" s="39"/>
    </row>
    <row r="868" ht="22.5" customHeight="1">
      <c r="A868" s="12">
        <v>458.0</v>
      </c>
      <c r="B868" s="32">
        <v>28.0</v>
      </c>
      <c r="C868" s="55" t="s">
        <v>7539</v>
      </c>
      <c r="D868" s="56">
        <v>2.42510357E8</v>
      </c>
      <c r="E868" s="32" t="s">
        <v>4819</v>
      </c>
      <c r="F868" s="32" t="s">
        <v>220</v>
      </c>
      <c r="G868" s="12">
        <v>32.0</v>
      </c>
      <c r="H868" s="48" t="str">
        <f t="shared" si="4"/>
        <v>  XI E-2</v>
      </c>
      <c r="I868" s="28" t="str">
        <f t="shared" si="2"/>
        <v>33 - BC X-10</v>
      </c>
      <c r="J868" s="20" t="str">
        <f>VLOOKUP(I868,'Database Grup SCC'!$B$2:$C1382,2,false)</f>
        <v>Irghi (XII)</v>
      </c>
      <c r="K868" s="50" t="str">
        <f>VLOOKUP(D868,'Data Siswa Mentah 32 Kelas X'!$C$8:$E1382,3,false)</f>
        <v>X-10</v>
      </c>
      <c r="L868" s="50" t="s">
        <v>7486</v>
      </c>
      <c r="M868" s="50"/>
      <c r="N868" s="33" t="s">
        <v>6425</v>
      </c>
      <c r="O868" s="34"/>
      <c r="P868" s="34"/>
      <c r="Q868" s="24" t="str">
        <f t="shared" si="3"/>
        <v>https://docs.google.com/forms/d/e/1FAIpQLSeZ-R1GrWlAPkfaThGqxeTj0QTtrARw4rroxIIepf2kipn1nw/formResponse?usp=pp_url&amp;entry.1313582257=3094789704&amp;entry.1578404635=Hadir</v>
      </c>
      <c r="R868" s="23" t="s">
        <v>7540</v>
      </c>
      <c r="S868" s="39"/>
      <c r="T868" s="39"/>
      <c r="U868" s="39"/>
      <c r="V868" s="39"/>
    </row>
    <row r="869" ht="22.5" customHeight="1">
      <c r="A869" s="12">
        <v>459.0</v>
      </c>
      <c r="B869" s="32">
        <v>29.0</v>
      </c>
      <c r="C869" s="55" t="s">
        <v>7541</v>
      </c>
      <c r="D869" s="56">
        <v>2.42510361E8</v>
      </c>
      <c r="E869" s="32" t="s">
        <v>4824</v>
      </c>
      <c r="F869" s="32" t="s">
        <v>227</v>
      </c>
      <c r="G869" s="12">
        <v>32.0</v>
      </c>
      <c r="H869" s="48" t="str">
        <f t="shared" si="4"/>
        <v>  XI E-2</v>
      </c>
      <c r="I869" s="28" t="str">
        <f t="shared" si="2"/>
        <v>32 - GC X-1</v>
      </c>
      <c r="J869" s="20" t="str">
        <f>VLOOKUP(I869,'Database Grup SCC'!$B$2:$C1382,2,false)</f>
        <v>Nia</v>
      </c>
      <c r="K869" s="50" t="str">
        <f>VLOOKUP(D869,'Data Siswa Mentah 32 Kelas X'!$C$8:$E1382,3,false)</f>
        <v>X-1</v>
      </c>
      <c r="L869" s="50" t="s">
        <v>7486</v>
      </c>
      <c r="M869" s="50"/>
      <c r="N869" s="33" t="s">
        <v>6829</v>
      </c>
      <c r="O869" s="34"/>
      <c r="P869" s="34"/>
      <c r="Q869" s="24" t="str">
        <f t="shared" si="3"/>
        <v>https://docs.google.com/forms/d/e/1FAIpQLSeZ-R1GrWlAPkfaThGqxeTj0QTtrARw4rroxIIepf2kipn1nw/formResponse?usp=pp_url&amp;entry.1313582257=0089336981&amp;entry.1578404635=Hadir</v>
      </c>
      <c r="R869" s="23" t="s">
        <v>7542</v>
      </c>
      <c r="S869" s="39"/>
      <c r="T869" s="39"/>
      <c r="U869" s="39"/>
      <c r="V869" s="39"/>
    </row>
    <row r="870" ht="22.5" customHeight="1">
      <c r="A870" s="12">
        <v>460.0</v>
      </c>
      <c r="B870" s="32">
        <v>30.0</v>
      </c>
      <c r="C870" s="55" t="s">
        <v>7543</v>
      </c>
      <c r="D870" s="56">
        <v>2.42510381E8</v>
      </c>
      <c r="E870" s="32" t="s">
        <v>4830</v>
      </c>
      <c r="F870" s="32" t="s">
        <v>227</v>
      </c>
      <c r="G870" s="12">
        <v>32.0</v>
      </c>
      <c r="H870" s="48" t="str">
        <f t="shared" si="4"/>
        <v>  XI E-2</v>
      </c>
      <c r="I870" s="28" t="str">
        <f t="shared" si="2"/>
        <v>32 - GC X-2</v>
      </c>
      <c r="J870" s="20" t="str">
        <f>VLOOKUP(I870,'Database Grup SCC'!$B$2:$C1382,2,false)</f>
        <v>Iga</v>
      </c>
      <c r="K870" s="50" t="str">
        <f>VLOOKUP(D870,'Data Siswa Mentah 32 Kelas X'!$C$8:$E1382,3,false)</f>
        <v>X-2</v>
      </c>
      <c r="L870" s="50" t="s">
        <v>7486</v>
      </c>
      <c r="M870" s="50"/>
      <c r="N870" s="33" t="s">
        <v>6921</v>
      </c>
      <c r="O870" s="34"/>
      <c r="P870" s="34"/>
      <c r="Q870" s="24" t="str">
        <f t="shared" si="3"/>
        <v>https://docs.google.com/forms/d/e/1FAIpQLSeZ-R1GrWlAPkfaThGqxeTj0QTtrARw4rroxIIepf2kipn1nw/formResponse?usp=pp_url&amp;entry.1313582257=0093441573&amp;entry.1578404635=Hadir</v>
      </c>
      <c r="R870" s="23" t="s">
        <v>7544</v>
      </c>
      <c r="S870" s="39"/>
      <c r="T870" s="39"/>
      <c r="U870" s="39"/>
      <c r="V870" s="39"/>
    </row>
    <row r="871" ht="22.5" customHeight="1">
      <c r="A871" s="12">
        <v>461.0</v>
      </c>
      <c r="B871" s="32">
        <v>31.0</v>
      </c>
      <c r="C871" s="55" t="s">
        <v>7545</v>
      </c>
      <c r="D871" s="56">
        <v>2.42510384E8</v>
      </c>
      <c r="E871" s="32" t="s">
        <v>4835</v>
      </c>
      <c r="F871" s="32" t="s">
        <v>227</v>
      </c>
      <c r="G871" s="12">
        <v>32.0</v>
      </c>
      <c r="H871" s="48" t="str">
        <f t="shared" si="4"/>
        <v>  XI E-2</v>
      </c>
      <c r="I871" s="28" t="str">
        <f t="shared" si="2"/>
        <v>32 - GC X-11</v>
      </c>
      <c r="J871" s="20" t="str">
        <f>VLOOKUP(I871,'Database Grup SCC'!$B$2:$C1382,2,false)</f>
        <v>Kia (XII)</v>
      </c>
      <c r="K871" s="50" t="str">
        <f>VLOOKUP(D871,'Data Siswa Mentah 32 Kelas X'!$C$8:$E1382,3,false)</f>
        <v>X-11</v>
      </c>
      <c r="L871" s="50" t="s">
        <v>7486</v>
      </c>
      <c r="M871" s="50"/>
      <c r="N871" s="33" t="s">
        <v>6883</v>
      </c>
      <c r="O871" s="34"/>
      <c r="P871" s="34"/>
      <c r="Q871" s="24" t="str">
        <f t="shared" si="3"/>
        <v>https://docs.google.com/forms/d/e/1FAIpQLSeZ-R1GrWlAPkfaThGqxeTj0QTtrARw4rroxIIepf2kipn1nw/formResponse?usp=pp_url&amp;entry.1313582257=0089493881&amp;entry.1578404635=Hadir</v>
      </c>
      <c r="R871" s="23" t="s">
        <v>7546</v>
      </c>
      <c r="S871" s="39"/>
      <c r="T871" s="39"/>
      <c r="U871" s="39"/>
      <c r="V871" s="39"/>
    </row>
    <row r="872" ht="22.5" customHeight="1">
      <c r="A872" s="12">
        <v>462.0</v>
      </c>
      <c r="B872" s="32">
        <v>32.0</v>
      </c>
      <c r="C872" s="55" t="s">
        <v>7547</v>
      </c>
      <c r="D872" s="56">
        <v>2.42510386E8</v>
      </c>
      <c r="E872" s="32" t="s">
        <v>4840</v>
      </c>
      <c r="F872" s="32" t="s">
        <v>220</v>
      </c>
      <c r="G872" s="12">
        <v>32.0</v>
      </c>
      <c r="H872" s="48" t="str">
        <f t="shared" si="4"/>
        <v>  XI E-2</v>
      </c>
      <c r="I872" s="28" t="str">
        <f t="shared" si="2"/>
        <v>32 - BC X-12</v>
      </c>
      <c r="J872" s="20" t="str">
        <f>VLOOKUP(I872,'Database Grup SCC'!$B$2:$C1382,2,false)</f>
        <v>Syafiq</v>
      </c>
      <c r="K872" s="50" t="str">
        <f>VLOOKUP(D872,'Data Siswa Mentah 32 Kelas X'!$C$8:$E1382,3,false)</f>
        <v>X-12</v>
      </c>
      <c r="L872" s="50" t="s">
        <v>7486</v>
      </c>
      <c r="M872" s="50"/>
      <c r="N872" s="33" t="s">
        <v>6951</v>
      </c>
      <c r="O872" s="34"/>
      <c r="P872" s="34"/>
      <c r="Q872" s="24" t="str">
        <f t="shared" si="3"/>
        <v>https://docs.google.com/forms/d/e/1FAIpQLSeZ-R1GrWlAPkfaThGqxeTj0QTtrARw4rroxIIepf2kipn1nw/formResponse?usp=pp_url&amp;entry.1313582257=0086778655&amp;entry.1578404635=Hadir</v>
      </c>
      <c r="R872" s="23" t="s">
        <v>7548</v>
      </c>
      <c r="S872" s="39"/>
      <c r="T872" s="39"/>
      <c r="U872" s="39"/>
      <c r="V872" s="39"/>
    </row>
    <row r="873" ht="22.5" customHeight="1">
      <c r="A873" s="12">
        <v>463.0</v>
      </c>
      <c r="B873" s="32">
        <v>33.0</v>
      </c>
      <c r="C873" s="55" t="s">
        <v>7549</v>
      </c>
      <c r="D873" s="56">
        <v>2.42510401E8</v>
      </c>
      <c r="E873" s="32" t="s">
        <v>4845</v>
      </c>
      <c r="F873" s="32" t="s">
        <v>220</v>
      </c>
      <c r="G873" s="12">
        <v>32.0</v>
      </c>
      <c r="H873" s="48" t="str">
        <f t="shared" si="4"/>
        <v>  XI E-2</v>
      </c>
      <c r="I873" s="28" t="str">
        <f t="shared" si="2"/>
        <v>32 - BC X-2</v>
      </c>
      <c r="J873" s="20" t="str">
        <f>VLOOKUP(I873,'Database Grup SCC'!$B$2:$C1382,2,false)</f>
        <v>Rafli (XII)</v>
      </c>
      <c r="K873" s="50" t="str">
        <f>VLOOKUP(D873,'Data Siswa Mentah 32 Kelas X'!$C$8:$E1382,3,false)</f>
        <v>X-2</v>
      </c>
      <c r="L873" s="50" t="s">
        <v>7486</v>
      </c>
      <c r="M873" s="50"/>
      <c r="N873" s="33" t="s">
        <v>6869</v>
      </c>
      <c r="O873" s="34"/>
      <c r="P873" s="34"/>
      <c r="Q873" s="24" t="str">
        <f t="shared" si="3"/>
        <v>https://docs.google.com/forms/d/e/1FAIpQLSeZ-R1GrWlAPkfaThGqxeTj0QTtrARw4rroxIIepf2kipn1nw/formResponse?usp=pp_url&amp;entry.1313582257=0085904748&amp;entry.1578404635=Hadir</v>
      </c>
      <c r="R873" s="23" t="s">
        <v>7550</v>
      </c>
      <c r="S873" s="39"/>
      <c r="T873" s="39"/>
      <c r="U873" s="39"/>
      <c r="V873" s="39"/>
    </row>
    <row r="874" ht="22.5" customHeight="1">
      <c r="A874" s="12">
        <v>464.0</v>
      </c>
      <c r="B874" s="32">
        <v>34.0</v>
      </c>
      <c r="C874" s="55" t="s">
        <v>7551</v>
      </c>
      <c r="D874" s="56">
        <v>2.42510413E8</v>
      </c>
      <c r="E874" s="32" t="s">
        <v>4850</v>
      </c>
      <c r="F874" s="32" t="s">
        <v>220</v>
      </c>
      <c r="G874" s="12">
        <v>32.0</v>
      </c>
      <c r="H874" s="48" t="str">
        <f t="shared" si="4"/>
        <v>  XI E-2</v>
      </c>
      <c r="I874" s="28" t="str">
        <f t="shared" si="2"/>
        <v>33 - BC X-7</v>
      </c>
      <c r="J874" s="20" t="str">
        <f>VLOOKUP(I874,'Database Grup SCC'!$B$2:$C1382,2,false)</f>
        <v>Rizza Al-Farisi</v>
      </c>
      <c r="K874" s="50" t="str">
        <f>VLOOKUP(D874,'Data Siswa Mentah 32 Kelas X'!$C$8:$E1382,3,false)</f>
        <v>X-7</v>
      </c>
      <c r="L874" s="50" t="s">
        <v>7486</v>
      </c>
      <c r="M874" s="50"/>
      <c r="N874" s="33" t="s">
        <v>6005</v>
      </c>
      <c r="O874" s="34"/>
      <c r="P874" s="34"/>
      <c r="Q874" s="24" t="str">
        <f t="shared" si="3"/>
        <v>https://docs.google.com/forms/d/e/1FAIpQLSeZ-R1GrWlAPkfaThGqxeTj0QTtrARw4rroxIIepf2kipn1nw/formResponse?usp=pp_url&amp;entry.1313582257=0084316906&amp;entry.1578404635=Hadir</v>
      </c>
      <c r="R874" s="23" t="s">
        <v>7552</v>
      </c>
      <c r="S874" s="39"/>
      <c r="T874" s="39"/>
      <c r="U874" s="39"/>
      <c r="V874" s="39"/>
    </row>
    <row r="875" ht="22.5" customHeight="1">
      <c r="A875" s="12">
        <v>465.0</v>
      </c>
      <c r="B875" s="32">
        <v>35.0</v>
      </c>
      <c r="C875" s="55" t="s">
        <v>7553</v>
      </c>
      <c r="D875" s="56">
        <v>2.42510423E8</v>
      </c>
      <c r="E875" s="32" t="s">
        <v>4855</v>
      </c>
      <c r="F875" s="32" t="s">
        <v>220</v>
      </c>
      <c r="G875" s="12">
        <v>32.0</v>
      </c>
      <c r="H875" s="48" t="str">
        <f t="shared" si="4"/>
        <v>  XI E-2</v>
      </c>
      <c r="I875" s="28" t="str">
        <f t="shared" si="2"/>
        <v>33 - BC X-7</v>
      </c>
      <c r="J875" s="20" t="str">
        <f>VLOOKUP(I875,'Database Grup SCC'!$B$2:$C1382,2,false)</f>
        <v>Rizza Al-Farisi</v>
      </c>
      <c r="K875" s="50" t="str">
        <f>VLOOKUP(D875,'Data Siswa Mentah 32 Kelas X'!$C$8:$E1382,3,false)</f>
        <v>X-7</v>
      </c>
      <c r="L875" s="50" t="s">
        <v>7486</v>
      </c>
      <c r="M875" s="50"/>
      <c r="N875" s="33" t="s">
        <v>6005</v>
      </c>
      <c r="O875" s="34"/>
      <c r="P875" s="34"/>
      <c r="Q875" s="24" t="str">
        <f t="shared" si="3"/>
        <v>https://docs.google.com/forms/d/e/1FAIpQLSeZ-R1GrWlAPkfaThGqxeTj0QTtrARw4rroxIIepf2kipn1nw/formResponse?usp=pp_url&amp;entry.1313582257=0095848946&amp;entry.1578404635=Hadir</v>
      </c>
      <c r="R875" s="23" t="s">
        <v>7554</v>
      </c>
      <c r="S875" s="39"/>
      <c r="T875" s="39"/>
      <c r="U875" s="39"/>
      <c r="V875" s="39"/>
    </row>
    <row r="876" ht="22.5" customHeight="1">
      <c r="A876" s="12">
        <v>466.0</v>
      </c>
      <c r="B876" s="32">
        <v>36.0</v>
      </c>
      <c r="C876" s="55" t="s">
        <v>7555</v>
      </c>
      <c r="D876" s="56">
        <v>2.42510027E8</v>
      </c>
      <c r="E876" s="32" t="s">
        <v>4860</v>
      </c>
      <c r="F876" s="32" t="s">
        <v>227</v>
      </c>
      <c r="G876" s="12">
        <v>32.0</v>
      </c>
      <c r="H876" s="48" t="str">
        <f t="shared" si="4"/>
        <v>  XI E-2</v>
      </c>
      <c r="I876" s="28" t="str">
        <f t="shared" si="2"/>
        <v>32 - GC X-5</v>
      </c>
      <c r="J876" s="20" t="str">
        <f>VLOOKUP(I876,'Database Grup SCC'!$B$2:$C1382,2,false)</f>
        <v>Amel</v>
      </c>
      <c r="K876" s="50" t="str">
        <f>VLOOKUP(D876,'Data Siswa Mentah 32 Kelas X'!$C$8:$E1382,3,false)</f>
        <v>X-5</v>
      </c>
      <c r="L876" s="50" t="s">
        <v>7486</v>
      </c>
      <c r="M876" s="50"/>
      <c r="N876" s="33" t="s">
        <v>6872</v>
      </c>
      <c r="O876" s="34"/>
      <c r="P876" s="34"/>
      <c r="Q876" s="24" t="str">
        <f t="shared" si="3"/>
        <v>https://docs.google.com/forms/d/e/1FAIpQLSeZ-R1GrWlAPkfaThGqxeTj0QTtrARw4rroxIIepf2kipn1nw/formResponse?usp=pp_url&amp;entry.1313582257=0099880719&amp;entry.1578404635=Hadir</v>
      </c>
      <c r="R876" s="23" t="s">
        <v>7556</v>
      </c>
      <c r="S876" s="39"/>
      <c r="T876" s="39"/>
      <c r="U876" s="39"/>
      <c r="V876" s="39"/>
    </row>
    <row r="877" ht="22.5" customHeight="1">
      <c r="A877" s="12">
        <v>478.0</v>
      </c>
      <c r="B877" s="32">
        <v>1.0</v>
      </c>
      <c r="C877" s="55" t="s">
        <v>7557</v>
      </c>
      <c r="D877" s="56">
        <v>2.42510021E8</v>
      </c>
      <c r="E877" s="32" t="s">
        <v>4866</v>
      </c>
      <c r="F877" s="32" t="s">
        <v>220</v>
      </c>
      <c r="G877" s="12">
        <v>32.0</v>
      </c>
      <c r="H877" s="48" t="str">
        <f t="shared" si="4"/>
        <v>  XI F-1</v>
      </c>
      <c r="I877" s="28" t="str">
        <f t="shared" si="2"/>
        <v>33 - BC X-7</v>
      </c>
      <c r="J877" s="20" t="str">
        <f>VLOOKUP(I877,'Database Grup SCC'!$B$2:$C1382,2,false)</f>
        <v>Rizza Al-Farisi</v>
      </c>
      <c r="K877" s="50" t="str">
        <f>VLOOKUP(D877,'Data Siswa Mentah 32 Kelas X'!$C$8:$E1382,3,false)</f>
        <v>X-7</v>
      </c>
      <c r="L877" s="50" t="s">
        <v>7558</v>
      </c>
      <c r="M877" s="50"/>
      <c r="N877" s="33" t="s">
        <v>6005</v>
      </c>
      <c r="O877" s="34"/>
      <c r="P877" s="34"/>
      <c r="Q877" s="24" t="str">
        <f t="shared" si="3"/>
        <v>https://docs.google.com/forms/d/e/1FAIpQLSeZ-R1GrWlAPkfaThGqxeTj0QTtrARw4rroxIIepf2kipn1nw/formResponse?usp=pp_url&amp;entry.1313582257=0099988861&amp;entry.1578404635=Hadir</v>
      </c>
      <c r="R877" s="23" t="s">
        <v>7559</v>
      </c>
      <c r="S877" s="39"/>
      <c r="T877" s="39"/>
      <c r="U877" s="39"/>
      <c r="V877" s="39"/>
    </row>
    <row r="878" ht="22.5" customHeight="1">
      <c r="A878" s="12">
        <v>479.0</v>
      </c>
      <c r="B878" s="32">
        <v>2.0</v>
      </c>
      <c r="C878" s="55" t="s">
        <v>7560</v>
      </c>
      <c r="D878" s="56">
        <v>2.42510026E8</v>
      </c>
      <c r="E878" s="32" t="s">
        <v>4872</v>
      </c>
      <c r="F878" s="32" t="s">
        <v>227</v>
      </c>
      <c r="G878" s="12">
        <v>32.0</v>
      </c>
      <c r="H878" s="48" t="str">
        <f t="shared" si="4"/>
        <v>  XI F-1</v>
      </c>
      <c r="I878" s="28" t="str">
        <f t="shared" si="2"/>
        <v>32 - GC X-4</v>
      </c>
      <c r="J878" s="20" t="str">
        <f>VLOOKUP(I878,'Database Grup SCC'!$B$2:$C1382,2,false)</f>
        <v>Nadira</v>
      </c>
      <c r="K878" s="50" t="str">
        <f>VLOOKUP(D878,'Data Siswa Mentah 32 Kelas X'!$C$8:$E1382,3,false)</f>
        <v>X-4</v>
      </c>
      <c r="L878" s="50" t="s">
        <v>7558</v>
      </c>
      <c r="M878" s="50"/>
      <c r="N878" s="33" t="s">
        <v>6853</v>
      </c>
      <c r="O878" s="34"/>
      <c r="P878" s="34"/>
      <c r="Q878" s="24" t="str">
        <f t="shared" si="3"/>
        <v>https://docs.google.com/forms/d/e/1FAIpQLSeZ-R1GrWlAPkfaThGqxeTj0QTtrARw4rroxIIepf2kipn1nw/formResponse?usp=pp_url&amp;entry.1313582257=0082151570&amp;entry.1578404635=Hadir</v>
      </c>
      <c r="R878" s="23" t="s">
        <v>7561</v>
      </c>
      <c r="S878" s="39"/>
      <c r="T878" s="39"/>
      <c r="U878" s="39"/>
      <c r="V878" s="39"/>
    </row>
    <row r="879" ht="22.5" customHeight="1">
      <c r="A879" s="12">
        <v>480.0</v>
      </c>
      <c r="B879" s="32">
        <v>3.0</v>
      </c>
      <c r="C879" s="55" t="s">
        <v>7562</v>
      </c>
      <c r="D879" s="56">
        <v>2.4251005E8</v>
      </c>
      <c r="E879" s="32" t="s">
        <v>4877</v>
      </c>
      <c r="F879" s="32" t="s">
        <v>227</v>
      </c>
      <c r="G879" s="12">
        <v>32.0</v>
      </c>
      <c r="H879" s="48" t="str">
        <f t="shared" si="4"/>
        <v>  XI F-1</v>
      </c>
      <c r="I879" s="28" t="str">
        <f t="shared" si="2"/>
        <v>32 - GC X-4</v>
      </c>
      <c r="J879" s="20" t="str">
        <f>VLOOKUP(I879,'Database Grup SCC'!$B$2:$C1382,2,false)</f>
        <v>Nadira</v>
      </c>
      <c r="K879" s="50" t="str">
        <f>VLOOKUP(D879,'Data Siswa Mentah 32 Kelas X'!$C$8:$E1382,3,false)</f>
        <v>X-4</v>
      </c>
      <c r="L879" s="50" t="s">
        <v>7558</v>
      </c>
      <c r="M879" s="50"/>
      <c r="N879" s="33" t="s">
        <v>6853</v>
      </c>
      <c r="O879" s="34"/>
      <c r="P879" s="34"/>
      <c r="Q879" s="24" t="str">
        <f t="shared" si="3"/>
        <v>https://docs.google.com/forms/d/e/1FAIpQLSeZ-R1GrWlAPkfaThGqxeTj0QTtrARw4rroxIIepf2kipn1nw/formResponse?usp=pp_url&amp;entry.1313582257=0087588818&amp;entry.1578404635=Hadir</v>
      </c>
      <c r="R879" s="23" t="s">
        <v>7563</v>
      </c>
      <c r="S879" s="39"/>
      <c r="T879" s="39"/>
      <c r="U879" s="39"/>
      <c r="V879" s="39"/>
    </row>
    <row r="880" ht="22.5" customHeight="1">
      <c r="A880" s="12">
        <v>481.0</v>
      </c>
      <c r="B880" s="32">
        <v>4.0</v>
      </c>
      <c r="C880" s="55" t="s">
        <v>7564</v>
      </c>
      <c r="D880" s="56">
        <v>2.42510061E8</v>
      </c>
      <c r="E880" s="32" t="s">
        <v>4882</v>
      </c>
      <c r="F880" s="32" t="s">
        <v>227</v>
      </c>
      <c r="G880" s="12">
        <v>32.0</v>
      </c>
      <c r="H880" s="48" t="str">
        <f t="shared" si="4"/>
        <v>  XI F-1</v>
      </c>
      <c r="I880" s="28" t="str">
        <f t="shared" si="2"/>
        <v>32 - GC X-4</v>
      </c>
      <c r="J880" s="20" t="str">
        <f>VLOOKUP(I880,'Database Grup SCC'!$B$2:$C1382,2,false)</f>
        <v>Nadira</v>
      </c>
      <c r="K880" s="50" t="str">
        <f>VLOOKUP(D880,'Data Siswa Mentah 32 Kelas X'!$C$8:$E1382,3,false)</f>
        <v>X-4</v>
      </c>
      <c r="L880" s="50" t="s">
        <v>7558</v>
      </c>
      <c r="M880" s="50"/>
      <c r="N880" s="33" t="s">
        <v>6853</v>
      </c>
      <c r="O880" s="34"/>
      <c r="P880" s="34"/>
      <c r="Q880" s="24" t="str">
        <f t="shared" si="3"/>
        <v>https://docs.google.com/forms/d/e/1FAIpQLSeZ-R1GrWlAPkfaThGqxeTj0QTtrARw4rroxIIepf2kipn1nw/formResponse?usp=pp_url&amp;entry.1313582257=2093857917&amp;entry.1578404635=Hadir</v>
      </c>
      <c r="R880" s="23" t="s">
        <v>7565</v>
      </c>
      <c r="S880" s="39"/>
      <c r="T880" s="39"/>
      <c r="U880" s="39"/>
      <c r="V880" s="39"/>
    </row>
    <row r="881" ht="22.5" customHeight="1">
      <c r="A881" s="12">
        <v>482.0</v>
      </c>
      <c r="B881" s="32">
        <v>5.0</v>
      </c>
      <c r="C881" s="55" t="s">
        <v>7566</v>
      </c>
      <c r="D881" s="56">
        <v>2.52611569E8</v>
      </c>
      <c r="E881" s="32" t="s">
        <v>4887</v>
      </c>
      <c r="F881" s="32" t="s">
        <v>227</v>
      </c>
      <c r="G881" s="12">
        <v>32.0</v>
      </c>
      <c r="H881" s="48" t="str">
        <f t="shared" si="4"/>
        <v>  XI F-1</v>
      </c>
      <c r="I881" s="28" t="str">
        <f t="shared" si="2"/>
        <v/>
      </c>
      <c r="J881" s="20" t="str">
        <f>VLOOKUP(I881,'Database Grup SCC'!$B$2:$C1382,2,false)</f>
        <v>#N/A</v>
      </c>
      <c r="K881" s="50" t="s">
        <v>7050</v>
      </c>
      <c r="L881" s="50" t="s">
        <v>7558</v>
      </c>
      <c r="M881" s="50"/>
      <c r="N881" s="35"/>
      <c r="O881" s="34"/>
      <c r="P881" s="34"/>
      <c r="Q881" s="24" t="str">
        <f t="shared" si="3"/>
        <v>https://docs.google.com/forms/d/e/1FAIpQLSeZ-R1GrWlAPkfaThGqxeTj0QTtrARw4rroxIIepf2kipn1nw/formResponse?usp=pp_url&amp;entry.1313582257=0087522984&amp;entry.1578404635=Hadir</v>
      </c>
      <c r="R881" s="23" t="s">
        <v>7567</v>
      </c>
      <c r="S881" s="39"/>
      <c r="T881" s="39"/>
      <c r="U881" s="39"/>
      <c r="V881" s="39"/>
    </row>
    <row r="882" ht="22.5" customHeight="1">
      <c r="A882" s="12">
        <v>483.0</v>
      </c>
      <c r="B882" s="32">
        <v>6.0</v>
      </c>
      <c r="C882" s="55" t="s">
        <v>7568</v>
      </c>
      <c r="D882" s="56">
        <v>2.4251008E8</v>
      </c>
      <c r="E882" s="32" t="s">
        <v>4892</v>
      </c>
      <c r="F882" s="32" t="s">
        <v>220</v>
      </c>
      <c r="G882" s="12">
        <v>32.0</v>
      </c>
      <c r="H882" s="48" t="str">
        <f t="shared" si="4"/>
        <v>  XI F-1</v>
      </c>
      <c r="I882" s="28" t="str">
        <f t="shared" si="2"/>
        <v>32 - BC X-2</v>
      </c>
      <c r="J882" s="20" t="str">
        <f>VLOOKUP(I882,'Database Grup SCC'!$B$2:$C1382,2,false)</f>
        <v>Rafli (XII)</v>
      </c>
      <c r="K882" s="50" t="str">
        <f>VLOOKUP(D882,'Data Siswa Mentah 32 Kelas X'!$C$8:$E1382,3,false)</f>
        <v>X-2</v>
      </c>
      <c r="L882" s="50" t="s">
        <v>7558</v>
      </c>
      <c r="M882" s="50"/>
      <c r="N882" s="33" t="s">
        <v>6869</v>
      </c>
      <c r="O882" s="34"/>
      <c r="P882" s="34"/>
      <c r="Q882" s="24" t="str">
        <f t="shared" si="3"/>
        <v>https://docs.google.com/forms/d/e/1FAIpQLSeZ-R1GrWlAPkfaThGqxeTj0QTtrARw4rroxIIepf2kipn1nw/formResponse?usp=pp_url&amp;entry.1313582257=0091072005&amp;entry.1578404635=Hadir</v>
      </c>
      <c r="R882" s="23" t="s">
        <v>7569</v>
      </c>
      <c r="S882" s="39"/>
      <c r="T882" s="39"/>
      <c r="U882" s="39"/>
      <c r="V882" s="39"/>
    </row>
    <row r="883" ht="22.5" customHeight="1">
      <c r="A883" s="12">
        <v>484.0</v>
      </c>
      <c r="B883" s="32">
        <v>7.0</v>
      </c>
      <c r="C883" s="55" t="s">
        <v>7570</v>
      </c>
      <c r="D883" s="56">
        <v>2.42510105E8</v>
      </c>
      <c r="E883" s="32" t="s">
        <v>4897</v>
      </c>
      <c r="F883" s="32" t="s">
        <v>227</v>
      </c>
      <c r="G883" s="12">
        <v>32.0</v>
      </c>
      <c r="H883" s="48" t="str">
        <f t="shared" si="4"/>
        <v>  XI F-1</v>
      </c>
      <c r="I883" s="28" t="str">
        <f t="shared" si="2"/>
        <v>32 - GC X-4</v>
      </c>
      <c r="J883" s="20" t="str">
        <f>VLOOKUP(I883,'Database Grup SCC'!$B$2:$C1382,2,false)</f>
        <v>Nadira</v>
      </c>
      <c r="K883" s="50" t="str">
        <f>VLOOKUP(D883,'Data Siswa Mentah 32 Kelas X'!$C$8:$E1382,3,false)</f>
        <v>X-4</v>
      </c>
      <c r="L883" s="50" t="s">
        <v>7558</v>
      </c>
      <c r="M883" s="50"/>
      <c r="N883" s="33" t="s">
        <v>6853</v>
      </c>
      <c r="O883" s="34"/>
      <c r="P883" s="34"/>
      <c r="Q883" s="24" t="str">
        <f t="shared" si="3"/>
        <v>https://docs.google.com/forms/d/e/1FAIpQLSeZ-R1GrWlAPkfaThGqxeTj0QTtrARw4rroxIIepf2kipn1nw/formResponse?usp=pp_url&amp;entry.1313582257=0093123066&amp;entry.1578404635=Hadir</v>
      </c>
      <c r="R883" s="23" t="s">
        <v>7571</v>
      </c>
      <c r="S883" s="39"/>
      <c r="T883" s="39"/>
      <c r="U883" s="39"/>
      <c r="V883" s="39"/>
    </row>
    <row r="884" ht="22.5" customHeight="1">
      <c r="A884" s="12">
        <v>485.0</v>
      </c>
      <c r="B884" s="32">
        <v>8.0</v>
      </c>
      <c r="C884" s="55" t="s">
        <v>7572</v>
      </c>
      <c r="D884" s="56">
        <v>2.42510118E8</v>
      </c>
      <c r="E884" s="32" t="s">
        <v>4902</v>
      </c>
      <c r="F884" s="32" t="s">
        <v>227</v>
      </c>
      <c r="G884" s="12">
        <v>32.0</v>
      </c>
      <c r="H884" s="48" t="str">
        <f t="shared" si="4"/>
        <v>  XI F-1</v>
      </c>
      <c r="I884" s="28" t="str">
        <f t="shared" si="2"/>
        <v>32 - GC X-8</v>
      </c>
      <c r="J884" s="20" t="str">
        <f>VLOOKUP(I884,'Database Grup SCC'!$B$2:$C1382,2,false)</f>
        <v>Amel (XII)</v>
      </c>
      <c r="K884" s="50" t="str">
        <f>VLOOKUP(D884,'Data Siswa Mentah 32 Kelas X'!$C$8:$E1382,3,false)</f>
        <v>X-8</v>
      </c>
      <c r="L884" s="50" t="s">
        <v>7558</v>
      </c>
      <c r="M884" s="50"/>
      <c r="N884" s="33" t="s">
        <v>6858</v>
      </c>
      <c r="O884" s="34"/>
      <c r="P884" s="34"/>
      <c r="Q884" s="24" t="str">
        <f t="shared" si="3"/>
        <v>https://docs.google.com/forms/d/e/1FAIpQLSeZ-R1GrWlAPkfaThGqxeTj0QTtrARw4rroxIIepf2kipn1nw/formResponse?usp=pp_url&amp;entry.1313582257=0097482971&amp;entry.1578404635=Hadir</v>
      </c>
      <c r="R884" s="23" t="s">
        <v>7573</v>
      </c>
      <c r="S884" s="39"/>
      <c r="T884" s="39"/>
      <c r="U884" s="39"/>
      <c r="V884" s="39"/>
    </row>
    <row r="885" ht="22.5" customHeight="1">
      <c r="A885" s="12">
        <v>486.0</v>
      </c>
      <c r="B885" s="32">
        <v>9.0</v>
      </c>
      <c r="C885" s="55" t="s">
        <v>7574</v>
      </c>
      <c r="D885" s="56">
        <v>2.42510122E8</v>
      </c>
      <c r="E885" s="32" t="s">
        <v>4908</v>
      </c>
      <c r="F885" s="32" t="s">
        <v>227</v>
      </c>
      <c r="G885" s="12">
        <v>32.0</v>
      </c>
      <c r="H885" s="48" t="str">
        <f t="shared" si="4"/>
        <v>  XI F-1</v>
      </c>
      <c r="I885" s="28" t="str">
        <f t="shared" si="2"/>
        <v>32 - GC X-2</v>
      </c>
      <c r="J885" s="20" t="str">
        <f>VLOOKUP(I885,'Database Grup SCC'!$B$2:$C1382,2,false)</f>
        <v>Iga</v>
      </c>
      <c r="K885" s="50" t="str">
        <f>VLOOKUP(D885,'Data Siswa Mentah 32 Kelas X'!$C$8:$E1382,3,false)</f>
        <v>X-2</v>
      </c>
      <c r="L885" s="50" t="s">
        <v>7558</v>
      </c>
      <c r="M885" s="50"/>
      <c r="N885" s="33" t="s">
        <v>6921</v>
      </c>
      <c r="O885" s="34"/>
      <c r="P885" s="34"/>
      <c r="Q885" s="24" t="str">
        <f t="shared" si="3"/>
        <v>https://docs.google.com/forms/d/e/1FAIpQLSeZ-R1GrWlAPkfaThGqxeTj0QTtrARw4rroxIIepf2kipn1nw/formResponse?usp=pp_url&amp;entry.1313582257=0087551985&amp;entry.1578404635=Hadir</v>
      </c>
      <c r="R885" s="23" t="s">
        <v>7575</v>
      </c>
      <c r="S885" s="39"/>
      <c r="T885" s="39"/>
      <c r="U885" s="39"/>
      <c r="V885" s="39"/>
    </row>
    <row r="886" ht="22.5" customHeight="1">
      <c r="A886" s="12">
        <v>487.0</v>
      </c>
      <c r="B886" s="32">
        <v>10.0</v>
      </c>
      <c r="C886" s="55" t="s">
        <v>7576</v>
      </c>
      <c r="D886" s="56">
        <v>2.42510132E8</v>
      </c>
      <c r="E886" s="32" t="s">
        <v>4913</v>
      </c>
      <c r="F886" s="32" t="s">
        <v>227</v>
      </c>
      <c r="G886" s="12">
        <v>32.0</v>
      </c>
      <c r="H886" s="48" t="str">
        <f t="shared" si="4"/>
        <v>  XI F-1</v>
      </c>
      <c r="I886" s="28" t="str">
        <f t="shared" si="2"/>
        <v>32 - GC X-1</v>
      </c>
      <c r="J886" s="20" t="str">
        <f>VLOOKUP(I886,'Database Grup SCC'!$B$2:$C1382,2,false)</f>
        <v>Nia</v>
      </c>
      <c r="K886" s="50" t="str">
        <f>VLOOKUP(D886,'Data Siswa Mentah 32 Kelas X'!$C$8:$E1382,3,false)</f>
        <v>X-1</v>
      </c>
      <c r="L886" s="50" t="s">
        <v>7558</v>
      </c>
      <c r="M886" s="50"/>
      <c r="N886" s="33" t="s">
        <v>6829</v>
      </c>
      <c r="O886" s="34"/>
      <c r="P886" s="34"/>
      <c r="Q886" s="24" t="str">
        <f t="shared" si="3"/>
        <v>https://docs.google.com/forms/d/e/1FAIpQLSeZ-R1GrWlAPkfaThGqxeTj0QTtrARw4rroxIIepf2kipn1nw/formResponse?usp=pp_url&amp;entry.1313582257=0095657957&amp;entry.1578404635=Hadir</v>
      </c>
      <c r="R886" s="23" t="s">
        <v>7577</v>
      </c>
      <c r="S886" s="39"/>
      <c r="T886" s="39"/>
      <c r="U886" s="39"/>
      <c r="V886" s="39"/>
    </row>
    <row r="887" ht="22.5" customHeight="1">
      <c r="A887" s="12">
        <v>488.0</v>
      </c>
      <c r="B887" s="32">
        <v>11.0</v>
      </c>
      <c r="C887" s="55" t="s">
        <v>7578</v>
      </c>
      <c r="D887" s="56">
        <v>2.42510139E8</v>
      </c>
      <c r="E887" s="32" t="s">
        <v>4918</v>
      </c>
      <c r="F887" s="32" t="s">
        <v>220</v>
      </c>
      <c r="G887" s="12">
        <v>32.0</v>
      </c>
      <c r="H887" s="48" t="str">
        <f t="shared" si="4"/>
        <v>  XI F-1</v>
      </c>
      <c r="I887" s="28" t="str">
        <f t="shared" si="2"/>
        <v>33 - BC X-5</v>
      </c>
      <c r="J887" s="20" t="str">
        <f>VLOOKUP(I887,'Database Grup SCC'!$B$2:$C1382,2,false)</f>
        <v>Topik &amp; Adrian</v>
      </c>
      <c r="K887" s="50" t="str">
        <f>VLOOKUP(D887,'Data Siswa Mentah 32 Kelas X'!$C$8:$E1382,3,false)</f>
        <v>X-5</v>
      </c>
      <c r="L887" s="50" t="s">
        <v>7558</v>
      </c>
      <c r="M887" s="50"/>
      <c r="N887" s="33" t="s">
        <v>5770</v>
      </c>
      <c r="O887" s="34"/>
      <c r="P887" s="34"/>
      <c r="Q887" s="24" t="str">
        <f t="shared" si="3"/>
        <v>https://docs.google.com/forms/d/e/1FAIpQLSeZ-R1GrWlAPkfaThGqxeTj0QTtrARw4rroxIIepf2kipn1nw/formResponse?usp=pp_url&amp;entry.1313582257=0083924202&amp;entry.1578404635=Hadir</v>
      </c>
      <c r="R887" s="23" t="s">
        <v>7579</v>
      </c>
      <c r="S887" s="39"/>
      <c r="T887" s="39"/>
      <c r="U887" s="39"/>
      <c r="V887" s="39"/>
    </row>
    <row r="888" ht="22.5" customHeight="1">
      <c r="A888" s="12">
        <v>489.0</v>
      </c>
      <c r="B888" s="32">
        <v>12.0</v>
      </c>
      <c r="C888" s="55" t="s">
        <v>7580</v>
      </c>
      <c r="D888" s="56">
        <v>2.4251014E8</v>
      </c>
      <c r="E888" s="32" t="s">
        <v>4923</v>
      </c>
      <c r="F888" s="32" t="s">
        <v>227</v>
      </c>
      <c r="G888" s="12">
        <v>32.0</v>
      </c>
      <c r="H888" s="48" t="str">
        <f t="shared" si="4"/>
        <v>  XI F-1</v>
      </c>
      <c r="I888" s="28" t="str">
        <f t="shared" si="2"/>
        <v>32 - GC X-1</v>
      </c>
      <c r="J888" s="20" t="str">
        <f>VLOOKUP(I888,'Database Grup SCC'!$B$2:$C1382,2,false)</f>
        <v>Nia</v>
      </c>
      <c r="K888" s="50" t="str">
        <f>VLOOKUP(D888,'Data Siswa Mentah 32 Kelas X'!$C$8:$E1382,3,false)</f>
        <v>X-1</v>
      </c>
      <c r="L888" s="50" t="s">
        <v>7558</v>
      </c>
      <c r="M888" s="50"/>
      <c r="N888" s="33" t="s">
        <v>6829</v>
      </c>
      <c r="O888" s="34"/>
      <c r="P888" s="34"/>
      <c r="Q888" s="24" t="str">
        <f t="shared" si="3"/>
        <v>https://docs.google.com/forms/d/e/1FAIpQLSeZ-R1GrWlAPkfaThGqxeTj0QTtrARw4rroxIIepf2kipn1nw/formResponse?usp=pp_url&amp;entry.1313582257=0082690807&amp;entry.1578404635=Hadir</v>
      </c>
      <c r="R888" s="23" t="s">
        <v>7581</v>
      </c>
      <c r="S888" s="39"/>
      <c r="T888" s="39"/>
      <c r="U888" s="39"/>
      <c r="V888" s="39"/>
    </row>
    <row r="889" ht="22.5" customHeight="1">
      <c r="A889" s="12">
        <v>490.0</v>
      </c>
      <c r="B889" s="32">
        <v>13.0</v>
      </c>
      <c r="C889" s="55" t="s">
        <v>7582</v>
      </c>
      <c r="D889" s="56">
        <v>2.42510145E8</v>
      </c>
      <c r="E889" s="32" t="s">
        <v>4928</v>
      </c>
      <c r="F889" s="32" t="s">
        <v>220</v>
      </c>
      <c r="G889" s="12">
        <v>32.0</v>
      </c>
      <c r="H889" s="48" t="str">
        <f t="shared" si="4"/>
        <v>  XI F-1</v>
      </c>
      <c r="I889" s="28" t="str">
        <f t="shared" si="2"/>
        <v>32 - BC X-1</v>
      </c>
      <c r="J889" s="20" t="str">
        <f>VLOOKUP(I889,'Database Grup SCC'!$B$2:$C1382,2,false)</f>
        <v>Arya</v>
      </c>
      <c r="K889" s="50" t="str">
        <f>VLOOKUP(D889,'Data Siswa Mentah 32 Kelas X'!$C$8:$E1382,3,false)</f>
        <v>X-1</v>
      </c>
      <c r="L889" s="50" t="s">
        <v>7558</v>
      </c>
      <c r="M889" s="50"/>
      <c r="N889" s="33" t="s">
        <v>6839</v>
      </c>
      <c r="O889" s="34"/>
      <c r="P889" s="34"/>
      <c r="Q889" s="24" t="str">
        <f t="shared" si="3"/>
        <v>https://docs.google.com/forms/d/e/1FAIpQLSeZ-R1GrWlAPkfaThGqxeTj0QTtrARw4rroxIIepf2kipn1nw/formResponse?usp=pp_url&amp;entry.1313582257=0082256467&amp;entry.1578404635=Hadir</v>
      </c>
      <c r="R889" s="23" t="s">
        <v>7583</v>
      </c>
      <c r="S889" s="39"/>
      <c r="T889" s="39"/>
      <c r="U889" s="39"/>
      <c r="V889" s="39"/>
    </row>
    <row r="890" ht="22.5" customHeight="1">
      <c r="A890" s="12">
        <v>491.0</v>
      </c>
      <c r="B890" s="32">
        <v>14.0</v>
      </c>
      <c r="C890" s="55" t="s">
        <v>7584</v>
      </c>
      <c r="D890" s="56">
        <v>2.42510149E8</v>
      </c>
      <c r="E890" s="32" t="s">
        <v>4933</v>
      </c>
      <c r="F890" s="32" t="s">
        <v>227</v>
      </c>
      <c r="G890" s="12">
        <v>32.0</v>
      </c>
      <c r="H890" s="48" t="str">
        <f t="shared" si="4"/>
        <v>  XI F-1</v>
      </c>
      <c r="I890" s="28" t="str">
        <f t="shared" si="2"/>
        <v>32 - GC X-8</v>
      </c>
      <c r="J890" s="20" t="str">
        <f>VLOOKUP(I890,'Database Grup SCC'!$B$2:$C1382,2,false)</f>
        <v>Amel (XII)</v>
      </c>
      <c r="K890" s="50" t="str">
        <f>VLOOKUP(D890,'Data Siswa Mentah 32 Kelas X'!$C$8:$E1382,3,false)</f>
        <v>X-8</v>
      </c>
      <c r="L890" s="50" t="s">
        <v>7558</v>
      </c>
      <c r="M890" s="50"/>
      <c r="N890" s="33" t="s">
        <v>6858</v>
      </c>
      <c r="O890" s="34"/>
      <c r="P890" s="34"/>
      <c r="Q890" s="24" t="str">
        <f t="shared" si="3"/>
        <v>https://docs.google.com/forms/d/e/1FAIpQLSeZ-R1GrWlAPkfaThGqxeTj0QTtrARw4rroxIIepf2kipn1nw/formResponse?usp=pp_url&amp;entry.1313582257=0087408326&amp;entry.1578404635=Hadir</v>
      </c>
      <c r="R890" s="23" t="s">
        <v>7585</v>
      </c>
      <c r="S890" s="39"/>
      <c r="T890" s="39"/>
      <c r="U890" s="39"/>
      <c r="V890" s="39"/>
    </row>
    <row r="891" ht="22.5" customHeight="1">
      <c r="A891" s="12">
        <v>492.0</v>
      </c>
      <c r="B891" s="32">
        <v>15.0</v>
      </c>
      <c r="C891" s="55" t="s">
        <v>7586</v>
      </c>
      <c r="D891" s="56">
        <v>2.42510152E8</v>
      </c>
      <c r="E891" s="32" t="s">
        <v>4938</v>
      </c>
      <c r="F891" s="32" t="s">
        <v>227</v>
      </c>
      <c r="G891" s="12">
        <v>32.0</v>
      </c>
      <c r="H891" s="48" t="str">
        <f t="shared" si="4"/>
        <v>  XI F-1</v>
      </c>
      <c r="I891" s="28" t="str">
        <f t="shared" si="2"/>
        <v>32 - GC X-9</v>
      </c>
      <c r="J891" s="20" t="str">
        <f>VLOOKUP(I891,'Database Grup SCC'!$B$2:$C1382,2,false)</f>
        <v>Athaya</v>
      </c>
      <c r="K891" s="50" t="str">
        <f>VLOOKUP(D891,'Data Siswa Mentah 32 Kelas X'!$C$8:$E1382,3,false)</f>
        <v>X-9</v>
      </c>
      <c r="L891" s="50" t="s">
        <v>7558</v>
      </c>
      <c r="M891" s="50"/>
      <c r="N891" s="33" t="s">
        <v>6826</v>
      </c>
      <c r="O891" s="34"/>
      <c r="P891" s="34"/>
      <c r="Q891" s="24" t="str">
        <f t="shared" si="3"/>
        <v>https://docs.google.com/forms/d/e/1FAIpQLSeZ-R1GrWlAPkfaThGqxeTj0QTtrARw4rroxIIepf2kipn1nw/formResponse?usp=pp_url&amp;entry.1313582257=0096589760&amp;entry.1578404635=Hadir</v>
      </c>
      <c r="R891" s="23" t="s">
        <v>7587</v>
      </c>
      <c r="S891" s="39"/>
      <c r="T891" s="39"/>
      <c r="U891" s="39"/>
      <c r="V891" s="39"/>
    </row>
    <row r="892" ht="22.5" customHeight="1">
      <c r="A892" s="12">
        <v>493.0</v>
      </c>
      <c r="B892" s="32">
        <v>16.0</v>
      </c>
      <c r="C892" s="55" t="s">
        <v>7588</v>
      </c>
      <c r="D892" s="56">
        <v>2.42510157E8</v>
      </c>
      <c r="E892" s="32" t="s">
        <v>4944</v>
      </c>
      <c r="F892" s="32" t="s">
        <v>227</v>
      </c>
      <c r="G892" s="12">
        <v>32.0</v>
      </c>
      <c r="H892" s="48" t="str">
        <f t="shared" si="4"/>
        <v>  XI F-1</v>
      </c>
      <c r="I892" s="28" t="str">
        <f t="shared" si="2"/>
        <v>32 - GC X-11</v>
      </c>
      <c r="J892" s="20" t="str">
        <f>VLOOKUP(I892,'Database Grup SCC'!$B$2:$C1382,2,false)</f>
        <v>Kia (XII)</v>
      </c>
      <c r="K892" s="50" t="str">
        <f>VLOOKUP(D892,'Data Siswa Mentah 32 Kelas X'!$C$8:$E1382,3,false)</f>
        <v>X-11</v>
      </c>
      <c r="L892" s="50" t="s">
        <v>7558</v>
      </c>
      <c r="M892" s="50"/>
      <c r="N892" s="33" t="s">
        <v>6883</v>
      </c>
      <c r="O892" s="34"/>
      <c r="P892" s="34"/>
      <c r="Q892" s="24" t="str">
        <f t="shared" si="3"/>
        <v>https://docs.google.com/forms/d/e/1FAIpQLSeZ-R1GrWlAPkfaThGqxeTj0QTtrARw4rroxIIepf2kipn1nw/formResponse?usp=pp_url&amp;entry.1313582257=3094653721&amp;entry.1578404635=Hadir</v>
      </c>
      <c r="R892" s="23" t="s">
        <v>7589</v>
      </c>
      <c r="S892" s="39"/>
      <c r="T892" s="39"/>
      <c r="U892" s="39"/>
      <c r="V892" s="39"/>
    </row>
    <row r="893" ht="22.5" customHeight="1">
      <c r="A893" s="12">
        <v>494.0</v>
      </c>
      <c r="B893" s="32">
        <v>17.0</v>
      </c>
      <c r="C893" s="55" t="s">
        <v>7590</v>
      </c>
      <c r="D893" s="56">
        <v>2.42510168E8</v>
      </c>
      <c r="E893" s="32" t="s">
        <v>4949</v>
      </c>
      <c r="F893" s="32" t="s">
        <v>227</v>
      </c>
      <c r="G893" s="12">
        <v>32.0</v>
      </c>
      <c r="H893" s="48" t="str">
        <f t="shared" si="4"/>
        <v>  XI F-1</v>
      </c>
      <c r="I893" s="28" t="str">
        <f t="shared" si="2"/>
        <v>32 - GC X-5</v>
      </c>
      <c r="J893" s="20" t="str">
        <f>VLOOKUP(I893,'Database Grup SCC'!$B$2:$C1382,2,false)</f>
        <v>Amel</v>
      </c>
      <c r="K893" s="50" t="str">
        <f>VLOOKUP(D893,'Data Siswa Mentah 32 Kelas X'!$C$8:$E1382,3,false)</f>
        <v>X-5</v>
      </c>
      <c r="L893" s="50" t="s">
        <v>7558</v>
      </c>
      <c r="M893" s="50"/>
      <c r="N893" s="33" t="s">
        <v>6872</v>
      </c>
      <c r="O893" s="34"/>
      <c r="P893" s="34"/>
      <c r="Q893" s="24" t="str">
        <f t="shared" si="3"/>
        <v>https://docs.google.com/forms/d/e/1FAIpQLSeZ-R1GrWlAPkfaThGqxeTj0QTtrARw4rroxIIepf2kipn1nw/formResponse?usp=pp_url&amp;entry.1313582257=0091633107&amp;entry.1578404635=Hadir</v>
      </c>
      <c r="R893" s="23" t="s">
        <v>7591</v>
      </c>
      <c r="S893" s="39"/>
      <c r="T893" s="39"/>
      <c r="U893" s="39"/>
      <c r="V893" s="39"/>
    </row>
    <row r="894" ht="22.5" customHeight="1">
      <c r="A894" s="12">
        <v>495.0</v>
      </c>
      <c r="B894" s="32">
        <v>18.0</v>
      </c>
      <c r="C894" s="55" t="s">
        <v>7592</v>
      </c>
      <c r="D894" s="56">
        <v>2.42510178E8</v>
      </c>
      <c r="E894" s="32" t="s">
        <v>4954</v>
      </c>
      <c r="F894" s="32" t="s">
        <v>227</v>
      </c>
      <c r="G894" s="12">
        <v>32.0</v>
      </c>
      <c r="H894" s="48" t="str">
        <f t="shared" si="4"/>
        <v>  XI F-1</v>
      </c>
      <c r="I894" s="28" t="str">
        <f t="shared" si="2"/>
        <v>32 - GC X-4</v>
      </c>
      <c r="J894" s="20" t="str">
        <f>VLOOKUP(I894,'Database Grup SCC'!$B$2:$C1382,2,false)</f>
        <v>Nadira</v>
      </c>
      <c r="K894" s="50" t="str">
        <f>VLOOKUP(D894,'Data Siswa Mentah 32 Kelas X'!$C$8:$E1382,3,false)</f>
        <v>X-4</v>
      </c>
      <c r="L894" s="50" t="s">
        <v>7558</v>
      </c>
      <c r="M894" s="50"/>
      <c r="N894" s="33" t="s">
        <v>6853</v>
      </c>
      <c r="O894" s="34"/>
      <c r="P894" s="34"/>
      <c r="Q894" s="24" t="str">
        <f t="shared" si="3"/>
        <v>https://docs.google.com/forms/d/e/1FAIpQLSeZ-R1GrWlAPkfaThGqxeTj0QTtrARw4rroxIIepf2kipn1nw/formResponse?usp=pp_url&amp;entry.1313582257=0092593035&amp;entry.1578404635=Hadir</v>
      </c>
      <c r="R894" s="23" t="s">
        <v>7593</v>
      </c>
      <c r="S894" s="39"/>
      <c r="T894" s="39"/>
      <c r="U894" s="39"/>
      <c r="V894" s="39"/>
    </row>
    <row r="895" ht="22.5" customHeight="1">
      <c r="A895" s="12">
        <v>496.0</v>
      </c>
      <c r="B895" s="32">
        <v>19.0</v>
      </c>
      <c r="C895" s="55" t="s">
        <v>7594</v>
      </c>
      <c r="D895" s="56">
        <v>2.5261157E8</v>
      </c>
      <c r="E895" s="32" t="s">
        <v>4959</v>
      </c>
      <c r="F895" s="32" t="s">
        <v>227</v>
      </c>
      <c r="G895" s="12">
        <v>32.0</v>
      </c>
      <c r="H895" s="48" t="str">
        <f t="shared" si="4"/>
        <v>  XI F-1</v>
      </c>
      <c r="I895" s="28" t="str">
        <f t="shared" si="2"/>
        <v/>
      </c>
      <c r="J895" s="20" t="str">
        <f>VLOOKUP(I895,'Database Grup SCC'!$B$2:$C1382,2,false)</f>
        <v>#N/A</v>
      </c>
      <c r="K895" s="50" t="s">
        <v>7050</v>
      </c>
      <c r="L895" s="50" t="s">
        <v>7558</v>
      </c>
      <c r="M895" s="50"/>
      <c r="N895" s="35"/>
      <c r="O895" s="34"/>
      <c r="P895" s="34"/>
      <c r="Q895" s="24" t="str">
        <f t="shared" si="3"/>
        <v>https://docs.google.com/forms/d/e/1FAIpQLSeZ-R1GrWlAPkfaThGqxeTj0QTtrARw4rroxIIepf2kipn1nw/formResponse?usp=pp_url&amp;entry.1313582257=3084804073&amp;entry.1578404635=Hadir</v>
      </c>
      <c r="R895" s="23" t="s">
        <v>7595</v>
      </c>
      <c r="S895" s="39"/>
      <c r="T895" s="39"/>
      <c r="U895" s="39"/>
      <c r="V895" s="39"/>
    </row>
    <row r="896" ht="22.5" customHeight="1">
      <c r="A896" s="12">
        <v>497.0</v>
      </c>
      <c r="B896" s="32">
        <v>20.0</v>
      </c>
      <c r="C896" s="55" t="s">
        <v>7596</v>
      </c>
      <c r="D896" s="56">
        <v>2.42510192E8</v>
      </c>
      <c r="E896" s="32" t="s">
        <v>4964</v>
      </c>
      <c r="F896" s="32" t="s">
        <v>227</v>
      </c>
      <c r="G896" s="12">
        <v>32.0</v>
      </c>
      <c r="H896" s="48" t="str">
        <f t="shared" si="4"/>
        <v>  XI F-1</v>
      </c>
      <c r="I896" s="28" t="str">
        <f t="shared" si="2"/>
        <v>32 - GC X-8</v>
      </c>
      <c r="J896" s="20" t="str">
        <f>VLOOKUP(I896,'Database Grup SCC'!$B$2:$C1382,2,false)</f>
        <v>Amel (XII)</v>
      </c>
      <c r="K896" s="50" t="str">
        <f>VLOOKUP(D896,'Data Siswa Mentah 32 Kelas X'!$C$8:$E1382,3,false)</f>
        <v>X-8</v>
      </c>
      <c r="L896" s="50" t="s">
        <v>7558</v>
      </c>
      <c r="M896" s="50"/>
      <c r="N896" s="33" t="s">
        <v>6858</v>
      </c>
      <c r="O896" s="34"/>
      <c r="P896" s="34"/>
      <c r="Q896" s="24" t="str">
        <f t="shared" si="3"/>
        <v>https://docs.google.com/forms/d/e/1FAIpQLSeZ-R1GrWlAPkfaThGqxeTj0QTtrARw4rroxIIepf2kipn1nw/formResponse?usp=pp_url&amp;entry.1313582257=0085208150&amp;entry.1578404635=Hadir</v>
      </c>
      <c r="R896" s="23" t="s">
        <v>7597</v>
      </c>
      <c r="S896" s="39"/>
      <c r="T896" s="39"/>
      <c r="U896" s="39"/>
      <c r="V896" s="39"/>
    </row>
    <row r="897" ht="22.5" customHeight="1">
      <c r="A897" s="12">
        <v>498.0</v>
      </c>
      <c r="B897" s="32">
        <v>21.0</v>
      </c>
      <c r="C897" s="55" t="s">
        <v>7598</v>
      </c>
      <c r="D897" s="56">
        <v>2.42510194E8</v>
      </c>
      <c r="E897" s="32" t="s">
        <v>4969</v>
      </c>
      <c r="F897" s="32" t="s">
        <v>220</v>
      </c>
      <c r="G897" s="12">
        <v>32.0</v>
      </c>
      <c r="H897" s="48" t="str">
        <f t="shared" si="4"/>
        <v>  XI F-1</v>
      </c>
      <c r="I897" s="28" t="str">
        <f t="shared" si="2"/>
        <v>32 - BC X-1</v>
      </c>
      <c r="J897" s="20" t="str">
        <f>VLOOKUP(I897,'Database Grup SCC'!$B$2:$C1382,2,false)</f>
        <v>Arya</v>
      </c>
      <c r="K897" s="50" t="str">
        <f>VLOOKUP(D897,'Data Siswa Mentah 32 Kelas X'!$C$8:$E1382,3,false)</f>
        <v>X-1</v>
      </c>
      <c r="L897" s="50" t="s">
        <v>7558</v>
      </c>
      <c r="M897" s="50"/>
      <c r="N897" s="33" t="s">
        <v>6839</v>
      </c>
      <c r="O897" s="34"/>
      <c r="P897" s="34"/>
      <c r="Q897" s="24" t="str">
        <f t="shared" si="3"/>
        <v>https://docs.google.com/forms/d/e/1FAIpQLSeZ-R1GrWlAPkfaThGqxeTj0QTtrARw4rroxIIepf2kipn1nw/formResponse?usp=pp_url&amp;entry.1313582257=0089115919&amp;entry.1578404635=Hadir</v>
      </c>
      <c r="R897" s="23" t="s">
        <v>7599</v>
      </c>
      <c r="S897" s="39"/>
      <c r="T897" s="39"/>
      <c r="U897" s="39"/>
      <c r="V897" s="39"/>
    </row>
    <row r="898" ht="22.5" customHeight="1">
      <c r="A898" s="12">
        <v>499.0</v>
      </c>
      <c r="B898" s="32">
        <v>22.0</v>
      </c>
      <c r="C898" s="55" t="s">
        <v>7600</v>
      </c>
      <c r="D898" s="56">
        <v>2.42510198E8</v>
      </c>
      <c r="E898" s="32" t="s">
        <v>4974</v>
      </c>
      <c r="F898" s="32" t="s">
        <v>227</v>
      </c>
      <c r="G898" s="12">
        <v>32.0</v>
      </c>
      <c r="H898" s="48" t="str">
        <f t="shared" si="4"/>
        <v>  XI F-1</v>
      </c>
      <c r="I898" s="28" t="str">
        <f t="shared" si="2"/>
        <v>32 - GC X-4</v>
      </c>
      <c r="J898" s="20" t="str">
        <f>VLOOKUP(I898,'Database Grup SCC'!$B$2:$C1382,2,false)</f>
        <v>Nadira</v>
      </c>
      <c r="K898" s="50" t="str">
        <f>VLOOKUP(D898,'Data Siswa Mentah 32 Kelas X'!$C$8:$E1382,3,false)</f>
        <v>X-4</v>
      </c>
      <c r="L898" s="50" t="s">
        <v>7558</v>
      </c>
      <c r="M898" s="50"/>
      <c r="N898" s="33" t="s">
        <v>6853</v>
      </c>
      <c r="O898" s="34"/>
      <c r="P898" s="34"/>
      <c r="Q898" s="24" t="str">
        <f t="shared" si="3"/>
        <v>https://docs.google.com/forms/d/e/1FAIpQLSeZ-R1GrWlAPkfaThGqxeTj0QTtrARw4rroxIIepf2kipn1nw/formResponse?usp=pp_url&amp;entry.1313582257=0092834368&amp;entry.1578404635=Hadir</v>
      </c>
      <c r="R898" s="23" t="s">
        <v>7601</v>
      </c>
      <c r="S898" s="39"/>
      <c r="T898" s="39"/>
      <c r="U898" s="39"/>
      <c r="V898" s="39"/>
    </row>
    <row r="899" ht="22.5" customHeight="1">
      <c r="A899" s="12">
        <v>500.0</v>
      </c>
      <c r="B899" s="32">
        <v>23.0</v>
      </c>
      <c r="C899" s="55" t="s">
        <v>7602</v>
      </c>
      <c r="D899" s="56">
        <v>2.42510237E8</v>
      </c>
      <c r="E899" s="32" t="s">
        <v>4980</v>
      </c>
      <c r="F899" s="32" t="s">
        <v>220</v>
      </c>
      <c r="G899" s="12">
        <v>32.0</v>
      </c>
      <c r="H899" s="48" t="str">
        <f t="shared" si="4"/>
        <v>  XI F-1</v>
      </c>
      <c r="I899" s="28" t="str">
        <f t="shared" si="2"/>
        <v>33 - BC X-7</v>
      </c>
      <c r="J899" s="20" t="str">
        <f>VLOOKUP(I899,'Database Grup SCC'!$B$2:$C1382,2,false)</f>
        <v>Rizza Al-Farisi</v>
      </c>
      <c r="K899" s="50" t="str">
        <f>VLOOKUP(D899,'Data Siswa Mentah 32 Kelas X'!$C$8:$E1382,3,false)</f>
        <v>X-7</v>
      </c>
      <c r="L899" s="50" t="s">
        <v>7558</v>
      </c>
      <c r="M899" s="50"/>
      <c r="N899" s="33" t="s">
        <v>6005</v>
      </c>
      <c r="O899" s="34"/>
      <c r="P899" s="34"/>
      <c r="Q899" s="24" t="str">
        <f t="shared" si="3"/>
        <v>https://docs.google.com/forms/d/e/1FAIpQLSeZ-R1GrWlAPkfaThGqxeTj0QTtrARw4rroxIIepf2kipn1nw/formResponse?usp=pp_url&amp;entry.1313582257=3099484913&amp;entry.1578404635=Hadir</v>
      </c>
      <c r="R899" s="23" t="s">
        <v>7603</v>
      </c>
      <c r="S899" s="39"/>
      <c r="T899" s="39"/>
      <c r="U899" s="39"/>
      <c r="V899" s="39"/>
    </row>
    <row r="900" ht="22.5" customHeight="1">
      <c r="A900" s="12">
        <v>501.0</v>
      </c>
      <c r="B900" s="32">
        <v>24.0</v>
      </c>
      <c r="C900" s="55" t="s">
        <v>7604</v>
      </c>
      <c r="D900" s="56">
        <v>2.42510218E8</v>
      </c>
      <c r="E900" s="32" t="s">
        <v>4985</v>
      </c>
      <c r="F900" s="32" t="s">
        <v>220</v>
      </c>
      <c r="G900" s="12">
        <v>32.0</v>
      </c>
      <c r="H900" s="48" t="str">
        <f t="shared" si="4"/>
        <v>  XI F-1</v>
      </c>
      <c r="I900" s="28" t="str">
        <f t="shared" si="2"/>
        <v>32 - BC X-1</v>
      </c>
      <c r="J900" s="20" t="str">
        <f>VLOOKUP(I900,'Database Grup SCC'!$B$2:$C1382,2,false)</f>
        <v>Arya</v>
      </c>
      <c r="K900" s="50" t="str">
        <f>VLOOKUP(D900,'Data Siswa Mentah 32 Kelas X'!$C$8:$E1382,3,false)</f>
        <v>X-1</v>
      </c>
      <c r="L900" s="50" t="s">
        <v>7558</v>
      </c>
      <c r="M900" s="50"/>
      <c r="N900" s="33" t="s">
        <v>6839</v>
      </c>
      <c r="O900" s="34"/>
      <c r="P900" s="34"/>
      <c r="Q900" s="24" t="str">
        <f t="shared" si="3"/>
        <v>https://docs.google.com/forms/d/e/1FAIpQLSeZ-R1GrWlAPkfaThGqxeTj0QTtrARw4rroxIIepf2kipn1nw/formResponse?usp=pp_url&amp;entry.1313582257=0087176231&amp;entry.1578404635=Hadir</v>
      </c>
      <c r="R900" s="23" t="s">
        <v>7605</v>
      </c>
      <c r="S900" s="39"/>
      <c r="T900" s="39"/>
      <c r="U900" s="39"/>
      <c r="V900" s="39"/>
    </row>
    <row r="901" ht="22.5" customHeight="1">
      <c r="A901" s="12">
        <v>502.0</v>
      </c>
      <c r="B901" s="32">
        <v>25.0</v>
      </c>
      <c r="C901" s="55" t="s">
        <v>7606</v>
      </c>
      <c r="D901" s="56">
        <v>2.42510258E8</v>
      </c>
      <c r="E901" s="32" t="s">
        <v>4990</v>
      </c>
      <c r="F901" s="32" t="s">
        <v>220</v>
      </c>
      <c r="G901" s="12">
        <v>32.0</v>
      </c>
      <c r="H901" s="48" t="str">
        <f t="shared" si="4"/>
        <v>  XI F-1</v>
      </c>
      <c r="I901" s="28" t="str">
        <f t="shared" si="2"/>
        <v>33 - BC X-5</v>
      </c>
      <c r="J901" s="20" t="str">
        <f>VLOOKUP(I901,'Database Grup SCC'!$B$2:$C1382,2,false)</f>
        <v>Topik &amp; Adrian</v>
      </c>
      <c r="K901" s="50" t="str">
        <f>VLOOKUP(D901,'Data Siswa Mentah 32 Kelas X'!$C$8:$E1382,3,false)</f>
        <v>X-5</v>
      </c>
      <c r="L901" s="50" t="s">
        <v>7558</v>
      </c>
      <c r="M901" s="50"/>
      <c r="N901" s="33" t="s">
        <v>5770</v>
      </c>
      <c r="O901" s="34"/>
      <c r="P901" s="34"/>
      <c r="Q901" s="24" t="str">
        <f t="shared" si="3"/>
        <v>https://docs.google.com/forms/d/e/1FAIpQLSeZ-R1GrWlAPkfaThGqxeTj0QTtrARw4rroxIIepf2kipn1nw/formResponse?usp=pp_url&amp;entry.1313582257=3097549496&amp;entry.1578404635=Hadir</v>
      </c>
      <c r="R901" s="23" t="s">
        <v>7607</v>
      </c>
      <c r="S901" s="39"/>
      <c r="T901" s="39"/>
      <c r="U901" s="39"/>
      <c r="V901" s="39"/>
    </row>
    <row r="902" ht="22.5" customHeight="1">
      <c r="A902" s="12">
        <v>503.0</v>
      </c>
      <c r="B902" s="32">
        <v>26.0</v>
      </c>
      <c r="C902" s="55" t="s">
        <v>7608</v>
      </c>
      <c r="D902" s="56">
        <v>2.4251029E8</v>
      </c>
      <c r="E902" s="32" t="s">
        <v>4995</v>
      </c>
      <c r="F902" s="32" t="s">
        <v>220</v>
      </c>
      <c r="G902" s="12">
        <v>32.0</v>
      </c>
      <c r="H902" s="48" t="str">
        <f t="shared" si="4"/>
        <v>  XI F-1</v>
      </c>
      <c r="I902" s="28" t="str">
        <f t="shared" si="2"/>
        <v>33 - BC X-7</v>
      </c>
      <c r="J902" s="20" t="str">
        <f>VLOOKUP(I902,'Database Grup SCC'!$B$2:$C1382,2,false)</f>
        <v>Rizza Al-Farisi</v>
      </c>
      <c r="K902" s="50" t="str">
        <f>VLOOKUP(D902,'Data Siswa Mentah 32 Kelas X'!$C$8:$E1382,3,false)</f>
        <v>X-7</v>
      </c>
      <c r="L902" s="50" t="s">
        <v>7558</v>
      </c>
      <c r="M902" s="50"/>
      <c r="N902" s="33" t="s">
        <v>6005</v>
      </c>
      <c r="O902" s="34"/>
      <c r="P902" s="34"/>
      <c r="Q902" s="24" t="str">
        <f t="shared" si="3"/>
        <v>https://docs.google.com/forms/d/e/1FAIpQLSeZ-R1GrWlAPkfaThGqxeTj0QTtrARw4rroxIIepf2kipn1nw/formResponse?usp=pp_url&amp;entry.1313582257=0096931224&amp;entry.1578404635=Hadir</v>
      </c>
      <c r="R902" s="23" t="s">
        <v>7609</v>
      </c>
      <c r="S902" s="39"/>
      <c r="T902" s="39"/>
      <c r="U902" s="39"/>
      <c r="V902" s="39"/>
    </row>
    <row r="903" ht="22.5" customHeight="1">
      <c r="A903" s="12">
        <v>504.0</v>
      </c>
      <c r="B903" s="32">
        <v>27.0</v>
      </c>
      <c r="C903" s="55" t="s">
        <v>7610</v>
      </c>
      <c r="D903" s="56">
        <v>2.42510311E8</v>
      </c>
      <c r="E903" s="32" t="s">
        <v>5000</v>
      </c>
      <c r="F903" s="32" t="s">
        <v>227</v>
      </c>
      <c r="G903" s="12">
        <v>32.0</v>
      </c>
      <c r="H903" s="48" t="str">
        <f t="shared" si="4"/>
        <v>  XI F-1</v>
      </c>
      <c r="I903" s="28" t="str">
        <f t="shared" si="2"/>
        <v>32 - GC X-9</v>
      </c>
      <c r="J903" s="20" t="str">
        <f>VLOOKUP(I903,'Database Grup SCC'!$B$2:$C1382,2,false)</f>
        <v>Athaya</v>
      </c>
      <c r="K903" s="50" t="str">
        <f>VLOOKUP(D903,'Data Siswa Mentah 32 Kelas X'!$C$8:$E1382,3,false)</f>
        <v>X-9</v>
      </c>
      <c r="L903" s="50" t="s">
        <v>7558</v>
      </c>
      <c r="M903" s="50"/>
      <c r="N903" s="33" t="s">
        <v>6826</v>
      </c>
      <c r="O903" s="34"/>
      <c r="P903" s="34"/>
      <c r="Q903" s="24" t="str">
        <f t="shared" si="3"/>
        <v>https://docs.google.com/forms/d/e/1FAIpQLSeZ-R1GrWlAPkfaThGqxeTj0QTtrARw4rroxIIepf2kipn1nw/formResponse?usp=pp_url&amp;entry.1313582257=0107494938&amp;entry.1578404635=Hadir</v>
      </c>
      <c r="R903" s="23" t="s">
        <v>7611</v>
      </c>
      <c r="S903" s="39"/>
      <c r="T903" s="39"/>
      <c r="U903" s="39"/>
      <c r="V903" s="39"/>
    </row>
    <row r="904" ht="22.5" customHeight="1">
      <c r="A904" s="12">
        <v>505.0</v>
      </c>
      <c r="B904" s="32">
        <v>28.0</v>
      </c>
      <c r="C904" s="55" t="s">
        <v>7612</v>
      </c>
      <c r="D904" s="56">
        <v>2.42510314E8</v>
      </c>
      <c r="E904" s="32" t="s">
        <v>5005</v>
      </c>
      <c r="F904" s="32" t="s">
        <v>220</v>
      </c>
      <c r="G904" s="12">
        <v>32.0</v>
      </c>
      <c r="H904" s="48" t="str">
        <f t="shared" si="4"/>
        <v>  XI F-1</v>
      </c>
      <c r="I904" s="28" t="str">
        <f t="shared" si="2"/>
        <v>33 - BC X-5</v>
      </c>
      <c r="J904" s="20" t="str">
        <f>VLOOKUP(I904,'Database Grup SCC'!$B$2:$C1382,2,false)</f>
        <v>Topik &amp; Adrian</v>
      </c>
      <c r="K904" s="50" t="str">
        <f>VLOOKUP(D904,'Data Siswa Mentah 32 Kelas X'!$C$8:$E1382,3,false)</f>
        <v>X-5</v>
      </c>
      <c r="L904" s="50" t="s">
        <v>7558</v>
      </c>
      <c r="M904" s="50"/>
      <c r="N904" s="33" t="s">
        <v>5770</v>
      </c>
      <c r="O904" s="34"/>
      <c r="P904" s="34"/>
      <c r="Q904" s="24" t="str">
        <f t="shared" si="3"/>
        <v>https://docs.google.com/forms/d/e/1FAIpQLSeZ-R1GrWlAPkfaThGqxeTj0QTtrARw4rroxIIepf2kipn1nw/formResponse?usp=pp_url&amp;entry.1313582257=0095386380&amp;entry.1578404635=Hadir</v>
      </c>
      <c r="R904" s="23" t="s">
        <v>7613</v>
      </c>
      <c r="S904" s="39"/>
      <c r="T904" s="39"/>
      <c r="U904" s="39"/>
      <c r="V904" s="39"/>
    </row>
    <row r="905" ht="22.5" customHeight="1">
      <c r="A905" s="12">
        <v>506.0</v>
      </c>
      <c r="B905" s="32">
        <v>29.0</v>
      </c>
      <c r="C905" s="55" t="s">
        <v>7614</v>
      </c>
      <c r="D905" s="56">
        <v>2.42510331E8</v>
      </c>
      <c r="E905" s="32" t="s">
        <v>5010</v>
      </c>
      <c r="F905" s="32" t="s">
        <v>227</v>
      </c>
      <c r="G905" s="12">
        <v>32.0</v>
      </c>
      <c r="H905" s="48" t="str">
        <f t="shared" si="4"/>
        <v>  XI F-1</v>
      </c>
      <c r="I905" s="28" t="str">
        <f t="shared" si="2"/>
        <v>32 - GC X-9</v>
      </c>
      <c r="J905" s="20" t="str">
        <f>VLOOKUP(I905,'Database Grup SCC'!$B$2:$C1382,2,false)</f>
        <v>Athaya</v>
      </c>
      <c r="K905" s="50" t="str">
        <f>VLOOKUP(D905,'Data Siswa Mentah 32 Kelas X'!$C$8:$E1382,3,false)</f>
        <v>X-9</v>
      </c>
      <c r="L905" s="50" t="s">
        <v>7558</v>
      </c>
      <c r="M905" s="50"/>
      <c r="N905" s="33" t="s">
        <v>6826</v>
      </c>
      <c r="O905" s="34"/>
      <c r="P905" s="34"/>
      <c r="Q905" s="24" t="str">
        <f t="shared" si="3"/>
        <v>https://docs.google.com/forms/d/e/1FAIpQLSeZ-R1GrWlAPkfaThGqxeTj0QTtrARw4rroxIIepf2kipn1nw/formResponse?usp=pp_url&amp;entry.1313582257=0094807008&amp;entry.1578404635=Hadir</v>
      </c>
      <c r="R905" s="23" t="s">
        <v>7615</v>
      </c>
      <c r="S905" s="39"/>
      <c r="T905" s="39"/>
      <c r="U905" s="39"/>
      <c r="V905" s="39"/>
    </row>
    <row r="906" ht="22.5" customHeight="1">
      <c r="A906" s="12">
        <v>507.0</v>
      </c>
      <c r="B906" s="32">
        <v>30.0</v>
      </c>
      <c r="C906" s="55" t="s">
        <v>7616</v>
      </c>
      <c r="D906" s="56">
        <v>2.42510332E8</v>
      </c>
      <c r="E906" s="32" t="s">
        <v>5015</v>
      </c>
      <c r="F906" s="32" t="s">
        <v>220</v>
      </c>
      <c r="G906" s="12">
        <v>32.0</v>
      </c>
      <c r="H906" s="48" t="str">
        <f t="shared" si="4"/>
        <v>  XI F-1</v>
      </c>
      <c r="I906" s="28" t="str">
        <f t="shared" si="2"/>
        <v>33 - BC X-9</v>
      </c>
      <c r="J906" s="20" t="str">
        <f>VLOOKUP(I906,'Database Grup SCC'!$B$2:$C1382,2,false)</f>
        <v>Veril (XII)</v>
      </c>
      <c r="K906" s="50" t="str">
        <f>VLOOKUP(D906,'Data Siswa Mentah 32 Kelas X'!$C$8:$E1382,3,false)</f>
        <v>X-9</v>
      </c>
      <c r="L906" s="50" t="s">
        <v>7558</v>
      </c>
      <c r="M906" s="50"/>
      <c r="N906" s="33" t="s">
        <v>6296</v>
      </c>
      <c r="O906" s="34"/>
      <c r="P906" s="34"/>
      <c r="Q906" s="24" t="str">
        <f t="shared" si="3"/>
        <v>https://docs.google.com/forms/d/e/1FAIpQLSeZ-R1GrWlAPkfaThGqxeTj0QTtrARw4rroxIIepf2kipn1nw/formResponse?usp=pp_url&amp;entry.1313582257=0099423367&amp;entry.1578404635=Hadir</v>
      </c>
      <c r="R906" s="23" t="s">
        <v>7617</v>
      </c>
      <c r="S906" s="39"/>
      <c r="T906" s="39"/>
      <c r="U906" s="39"/>
      <c r="V906" s="39"/>
    </row>
    <row r="907" ht="22.5" customHeight="1">
      <c r="A907" s="12">
        <v>508.0</v>
      </c>
      <c r="B907" s="32">
        <v>31.0</v>
      </c>
      <c r="C907" s="55" t="s">
        <v>7618</v>
      </c>
      <c r="D907" s="56">
        <v>2.42510339E8</v>
      </c>
      <c r="E907" s="32" t="s">
        <v>5021</v>
      </c>
      <c r="F907" s="32" t="s">
        <v>227</v>
      </c>
      <c r="G907" s="12">
        <v>32.0</v>
      </c>
      <c r="H907" s="48" t="str">
        <f t="shared" si="4"/>
        <v>  XI F-1</v>
      </c>
      <c r="I907" s="28" t="str">
        <f t="shared" si="2"/>
        <v>32 - GC X-1</v>
      </c>
      <c r="J907" s="20" t="str">
        <f>VLOOKUP(I907,'Database Grup SCC'!$B$2:$C1382,2,false)</f>
        <v>Nia</v>
      </c>
      <c r="K907" s="50" t="str">
        <f>VLOOKUP(D907,'Data Siswa Mentah 32 Kelas X'!$C$8:$E1382,3,false)</f>
        <v>X-1</v>
      </c>
      <c r="L907" s="50" t="s">
        <v>7558</v>
      </c>
      <c r="M907" s="50"/>
      <c r="N907" s="33" t="s">
        <v>6829</v>
      </c>
      <c r="O907" s="34"/>
      <c r="P907" s="34"/>
      <c r="Q907" s="24" t="str">
        <f t="shared" si="3"/>
        <v>https://docs.google.com/forms/d/e/1FAIpQLSeZ-R1GrWlAPkfaThGqxeTj0QTtrARw4rroxIIepf2kipn1nw/formResponse?usp=pp_url&amp;entry.1313582257=0094095735&amp;entry.1578404635=Hadir</v>
      </c>
      <c r="R907" s="23" t="s">
        <v>7619</v>
      </c>
      <c r="S907" s="39"/>
      <c r="T907" s="39"/>
      <c r="U907" s="39"/>
      <c r="V907" s="39"/>
    </row>
    <row r="908" ht="22.5" customHeight="1">
      <c r="A908" s="12">
        <v>509.0</v>
      </c>
      <c r="B908" s="32">
        <v>32.0</v>
      </c>
      <c r="C908" s="55" t="s">
        <v>7620</v>
      </c>
      <c r="D908" s="56">
        <v>2.42510389E8</v>
      </c>
      <c r="E908" s="32" t="s">
        <v>5026</v>
      </c>
      <c r="F908" s="32" t="s">
        <v>220</v>
      </c>
      <c r="G908" s="12">
        <v>32.0</v>
      </c>
      <c r="H908" s="48" t="str">
        <f t="shared" si="4"/>
        <v>  XI F-1</v>
      </c>
      <c r="I908" s="28" t="str">
        <f t="shared" si="2"/>
        <v>33 - BC X-9</v>
      </c>
      <c r="J908" s="20" t="str">
        <f>VLOOKUP(I908,'Database Grup SCC'!$B$2:$C1382,2,false)</f>
        <v>Veril (XII)</v>
      </c>
      <c r="K908" s="50" t="str">
        <f>VLOOKUP(D908,'Data Siswa Mentah 32 Kelas X'!$C$8:$E1382,3,false)</f>
        <v>X-9</v>
      </c>
      <c r="L908" s="50" t="s">
        <v>7558</v>
      </c>
      <c r="M908" s="50"/>
      <c r="N908" s="33" t="s">
        <v>6296</v>
      </c>
      <c r="O908" s="34"/>
      <c r="P908" s="34"/>
      <c r="Q908" s="24" t="str">
        <f t="shared" si="3"/>
        <v>https://docs.google.com/forms/d/e/1FAIpQLSeZ-R1GrWlAPkfaThGqxeTj0QTtrARw4rroxIIepf2kipn1nw/formResponse?usp=pp_url&amp;entry.1313582257=3087304976&amp;entry.1578404635=Hadir</v>
      </c>
      <c r="R908" s="23" t="s">
        <v>7621</v>
      </c>
      <c r="S908" s="39"/>
      <c r="T908" s="39"/>
      <c r="U908" s="39"/>
      <c r="V908" s="39"/>
    </row>
    <row r="909" ht="22.5" customHeight="1">
      <c r="A909" s="12">
        <v>510.0</v>
      </c>
      <c r="B909" s="32">
        <v>33.0</v>
      </c>
      <c r="C909" s="55" t="s">
        <v>7622</v>
      </c>
      <c r="D909" s="56">
        <v>2.42510394E8</v>
      </c>
      <c r="E909" s="32" t="s">
        <v>5031</v>
      </c>
      <c r="F909" s="32" t="s">
        <v>227</v>
      </c>
      <c r="G909" s="12">
        <v>32.0</v>
      </c>
      <c r="H909" s="48" t="str">
        <f t="shared" si="4"/>
        <v>  XI F-1</v>
      </c>
      <c r="I909" s="28" t="str">
        <f t="shared" si="2"/>
        <v>32 - GC X-10</v>
      </c>
      <c r="J909" s="20" t="str">
        <f>VLOOKUP(I909,'Database Grup SCC'!$B$2:$C1382,2,false)</f>
        <v>Athaya</v>
      </c>
      <c r="K909" s="50" t="str">
        <f>VLOOKUP(D909,'Data Siswa Mentah 32 Kelas X'!$C$8:$E1382,3,false)</f>
        <v>X-10</v>
      </c>
      <c r="L909" s="50" t="s">
        <v>7558</v>
      </c>
      <c r="M909" s="50"/>
      <c r="N909" s="33" t="s">
        <v>6865</v>
      </c>
      <c r="O909" s="34"/>
      <c r="P909" s="34"/>
      <c r="Q909" s="24" t="str">
        <f t="shared" si="3"/>
        <v>https://docs.google.com/forms/d/e/1FAIpQLSeZ-R1GrWlAPkfaThGqxeTj0QTtrARw4rroxIIepf2kipn1nw/formResponse?usp=pp_url&amp;entry.1313582257=0097734463&amp;entry.1578404635=Hadir</v>
      </c>
      <c r="R909" s="23" t="s">
        <v>7623</v>
      </c>
      <c r="S909" s="39"/>
      <c r="T909" s="39"/>
      <c r="U909" s="39"/>
      <c r="V909" s="39"/>
    </row>
    <row r="910" ht="22.5" customHeight="1">
      <c r="A910" s="12">
        <v>511.0</v>
      </c>
      <c r="B910" s="32">
        <v>34.0</v>
      </c>
      <c r="C910" s="55" t="s">
        <v>7624</v>
      </c>
      <c r="D910" s="56">
        <v>2.42510396E8</v>
      </c>
      <c r="E910" s="32" t="s">
        <v>5036</v>
      </c>
      <c r="F910" s="32" t="s">
        <v>227</v>
      </c>
      <c r="G910" s="12">
        <v>32.0</v>
      </c>
      <c r="H910" s="48" t="str">
        <f t="shared" si="4"/>
        <v>  XI F-1</v>
      </c>
      <c r="I910" s="28" t="str">
        <f t="shared" si="2"/>
        <v>32 - GC X-4</v>
      </c>
      <c r="J910" s="20" t="str">
        <f>VLOOKUP(I910,'Database Grup SCC'!$B$2:$C1382,2,false)</f>
        <v>Nadira</v>
      </c>
      <c r="K910" s="50" t="str">
        <f>VLOOKUP(D910,'Data Siswa Mentah 32 Kelas X'!$C$8:$E1382,3,false)</f>
        <v>X-4</v>
      </c>
      <c r="L910" s="50" t="s">
        <v>7558</v>
      </c>
      <c r="M910" s="50"/>
      <c r="N910" s="33" t="s">
        <v>6853</v>
      </c>
      <c r="O910" s="34"/>
      <c r="P910" s="34"/>
      <c r="Q910" s="24" t="str">
        <f t="shared" si="3"/>
        <v>https://docs.google.com/forms/d/e/1FAIpQLSeZ-R1GrWlAPkfaThGqxeTj0QTtrARw4rroxIIepf2kipn1nw/formResponse?usp=pp_url&amp;entry.1313582257=0094647744&amp;entry.1578404635=Hadir</v>
      </c>
      <c r="R910" s="23" t="s">
        <v>7625</v>
      </c>
      <c r="S910" s="39"/>
      <c r="T910" s="39"/>
      <c r="U910" s="39"/>
      <c r="V910" s="39"/>
    </row>
    <row r="911" ht="22.5" customHeight="1">
      <c r="A911" s="12">
        <v>512.0</v>
      </c>
      <c r="B911" s="32">
        <v>35.0</v>
      </c>
      <c r="C911" s="55" t="s">
        <v>7626</v>
      </c>
      <c r="D911" s="56">
        <v>2.42510411E8</v>
      </c>
      <c r="E911" s="32" t="s">
        <v>5041</v>
      </c>
      <c r="F911" s="32" t="s">
        <v>227</v>
      </c>
      <c r="G911" s="12">
        <v>32.0</v>
      </c>
      <c r="H911" s="48" t="str">
        <f t="shared" si="4"/>
        <v>  XI F-1</v>
      </c>
      <c r="I911" s="28" t="str">
        <f t="shared" si="2"/>
        <v>32 - GC X-11</v>
      </c>
      <c r="J911" s="20" t="str">
        <f>VLOOKUP(I911,'Database Grup SCC'!$B$2:$C1382,2,false)</f>
        <v>Kia (XII)</v>
      </c>
      <c r="K911" s="50" t="str">
        <f>VLOOKUP(D911,'Data Siswa Mentah 32 Kelas X'!$C$8:$E1382,3,false)</f>
        <v>X-11</v>
      </c>
      <c r="L911" s="50" t="s">
        <v>7558</v>
      </c>
      <c r="M911" s="50"/>
      <c r="N911" s="33" t="s">
        <v>6883</v>
      </c>
      <c r="O911" s="34"/>
      <c r="P911" s="34"/>
      <c r="Q911" s="24" t="str">
        <f t="shared" si="3"/>
        <v>https://docs.google.com/forms/d/e/1FAIpQLSeZ-R1GrWlAPkfaThGqxeTj0QTtrARw4rroxIIepf2kipn1nw/formResponse?usp=pp_url&amp;entry.1313582257=0084357788&amp;entry.1578404635=Hadir</v>
      </c>
      <c r="R911" s="23" t="s">
        <v>7627</v>
      </c>
      <c r="S911" s="39"/>
      <c r="T911" s="39"/>
      <c r="U911" s="39"/>
      <c r="V911" s="39"/>
    </row>
    <row r="912" ht="22.5" customHeight="1">
      <c r="A912" s="12">
        <v>513.0</v>
      </c>
      <c r="B912" s="32">
        <v>36.0</v>
      </c>
      <c r="C912" s="55" t="s">
        <v>7628</v>
      </c>
      <c r="D912" s="56">
        <v>2.42510415E8</v>
      </c>
      <c r="E912" s="32" t="s">
        <v>5046</v>
      </c>
      <c r="F912" s="32" t="s">
        <v>227</v>
      </c>
      <c r="G912" s="12">
        <v>32.0</v>
      </c>
      <c r="H912" s="48" t="str">
        <f t="shared" si="4"/>
        <v>  XI F-1</v>
      </c>
      <c r="I912" s="28" t="str">
        <f t="shared" si="2"/>
        <v>32 - GC X-3</v>
      </c>
      <c r="J912" s="20" t="str">
        <f>VLOOKUP(I912,'Database Grup SCC'!$B$2:$C1382,2,false)</f>
        <v>Devi</v>
      </c>
      <c r="K912" s="50" t="str">
        <f>VLOOKUP(D912,'Data Siswa Mentah 32 Kelas X'!$C$8:$E1382,3,false)</f>
        <v>X-3</v>
      </c>
      <c r="L912" s="50" t="s">
        <v>7558</v>
      </c>
      <c r="M912" s="50"/>
      <c r="N912" s="33" t="s">
        <v>6879</v>
      </c>
      <c r="O912" s="34"/>
      <c r="P912" s="34"/>
      <c r="Q912" s="24" t="str">
        <f t="shared" si="3"/>
        <v>https://docs.google.com/forms/d/e/1FAIpQLSeZ-R1GrWlAPkfaThGqxeTj0QTtrARw4rroxIIepf2kipn1nw/formResponse?usp=pp_url&amp;entry.1313582257=0097253280&amp;entry.1578404635=Hadir</v>
      </c>
      <c r="R912" s="23" t="s">
        <v>7629</v>
      </c>
      <c r="S912" s="39"/>
      <c r="T912" s="39"/>
      <c r="U912" s="39"/>
      <c r="V912" s="39"/>
    </row>
    <row r="913" ht="22.5" customHeight="1">
      <c r="A913" s="12">
        <v>525.0</v>
      </c>
      <c r="B913" s="32">
        <v>1.0</v>
      </c>
      <c r="C913" s="55" t="s">
        <v>7630</v>
      </c>
      <c r="D913" s="56">
        <v>2.42510009E8</v>
      </c>
      <c r="E913" s="32" t="s">
        <v>5051</v>
      </c>
      <c r="F913" s="32" t="s">
        <v>227</v>
      </c>
      <c r="G913" s="12">
        <v>32.0</v>
      </c>
      <c r="H913" s="48" t="str">
        <f t="shared" si="4"/>
        <v>  XI F-2</v>
      </c>
      <c r="I913" s="28" t="str">
        <f t="shared" si="2"/>
        <v>32 - GC X-6</v>
      </c>
      <c r="J913" s="20" t="str">
        <f>VLOOKUP(I913,'Database Grup SCC'!$B$2:$C1382,2,false)</f>
        <v>Zalika</v>
      </c>
      <c r="K913" s="50" t="str">
        <f>VLOOKUP(D913,'Data Siswa Mentah 32 Kelas X'!$C$8:$E1382,3,false)</f>
        <v>X-6</v>
      </c>
      <c r="L913" s="50" t="s">
        <v>7631</v>
      </c>
      <c r="M913" s="50"/>
      <c r="N913" s="33" t="s">
        <v>6924</v>
      </c>
      <c r="O913" s="34"/>
      <c r="P913" s="34"/>
      <c r="Q913" s="24" t="str">
        <f t="shared" si="3"/>
        <v>https://docs.google.com/forms/d/e/1FAIpQLSeZ-R1GrWlAPkfaThGqxeTj0QTtrARw4rroxIIepf2kipn1nw/formResponse?usp=pp_url&amp;entry.1313582257=0083949375&amp;entry.1578404635=Hadir</v>
      </c>
      <c r="R913" s="23" t="s">
        <v>7632</v>
      </c>
      <c r="S913" s="39"/>
      <c r="T913" s="39"/>
      <c r="U913" s="39"/>
      <c r="V913" s="39"/>
    </row>
    <row r="914" ht="22.5" customHeight="1">
      <c r="A914" s="12">
        <v>526.0</v>
      </c>
      <c r="B914" s="32">
        <v>2.0</v>
      </c>
      <c r="C914" s="55" t="s">
        <v>7633</v>
      </c>
      <c r="D914" s="56">
        <v>2.42510015E8</v>
      </c>
      <c r="E914" s="32" t="s">
        <v>5058</v>
      </c>
      <c r="F914" s="32" t="s">
        <v>227</v>
      </c>
      <c r="G914" s="12">
        <v>32.0</v>
      </c>
      <c r="H914" s="48" t="str">
        <f t="shared" si="4"/>
        <v>  XI F-2</v>
      </c>
      <c r="I914" s="28" t="str">
        <f t="shared" si="2"/>
        <v>32 - GC X-10</v>
      </c>
      <c r="J914" s="20" t="str">
        <f>VLOOKUP(I914,'Database Grup SCC'!$B$2:$C1382,2,false)</f>
        <v>Athaya</v>
      </c>
      <c r="K914" s="50" t="str">
        <f>VLOOKUP(D914,'Data Siswa Mentah 32 Kelas X'!$C$8:$E1382,3,false)</f>
        <v>X-10</v>
      </c>
      <c r="L914" s="50" t="s">
        <v>7631</v>
      </c>
      <c r="M914" s="50"/>
      <c r="N914" s="33" t="s">
        <v>6865</v>
      </c>
      <c r="O914" s="34"/>
      <c r="P914" s="34"/>
      <c r="Q914" s="24" t="str">
        <f t="shared" si="3"/>
        <v>https://docs.google.com/forms/d/e/1FAIpQLSeZ-R1GrWlAPkfaThGqxeTj0QTtrARw4rroxIIepf2kipn1nw/formResponse?usp=pp_url&amp;entry.1313582257=3091238165&amp;entry.1578404635=Hadir</v>
      </c>
      <c r="R914" s="23" t="s">
        <v>7634</v>
      </c>
      <c r="S914" s="39"/>
      <c r="T914" s="39"/>
      <c r="U914" s="39"/>
      <c r="V914" s="39"/>
    </row>
    <row r="915" ht="22.5" customHeight="1">
      <c r="A915" s="12">
        <v>527.0</v>
      </c>
      <c r="B915" s="32">
        <v>3.0</v>
      </c>
      <c r="C915" s="55" t="s">
        <v>7635</v>
      </c>
      <c r="D915" s="56">
        <v>2.42510016E8</v>
      </c>
      <c r="E915" s="32" t="s">
        <v>5063</v>
      </c>
      <c r="F915" s="32" t="s">
        <v>227</v>
      </c>
      <c r="G915" s="12">
        <v>32.0</v>
      </c>
      <c r="H915" s="48" t="str">
        <f t="shared" si="4"/>
        <v>  XI F-2</v>
      </c>
      <c r="I915" s="28" t="str">
        <f t="shared" si="2"/>
        <v>32 - GC X-3</v>
      </c>
      <c r="J915" s="20" t="str">
        <f>VLOOKUP(I915,'Database Grup SCC'!$B$2:$C1382,2,false)</f>
        <v>Devi</v>
      </c>
      <c r="K915" s="50" t="str">
        <f>VLOOKUP(D915,'Data Siswa Mentah 32 Kelas X'!$C$8:$E1382,3,false)</f>
        <v>X-3</v>
      </c>
      <c r="L915" s="50" t="s">
        <v>7631</v>
      </c>
      <c r="M915" s="50"/>
      <c r="N915" s="33" t="s">
        <v>6879</v>
      </c>
      <c r="O915" s="34"/>
      <c r="P915" s="34"/>
      <c r="Q915" s="24" t="str">
        <f t="shared" si="3"/>
        <v>https://docs.google.com/forms/d/e/1FAIpQLSeZ-R1GrWlAPkfaThGqxeTj0QTtrARw4rroxIIepf2kipn1nw/formResponse?usp=pp_url&amp;entry.1313582257=0084218795&amp;entry.1578404635=Hadir</v>
      </c>
      <c r="R915" s="23" t="s">
        <v>7636</v>
      </c>
      <c r="S915" s="39"/>
      <c r="T915" s="39"/>
      <c r="U915" s="39"/>
      <c r="V915" s="39"/>
    </row>
    <row r="916" ht="22.5" customHeight="1">
      <c r="A916" s="12">
        <v>528.0</v>
      </c>
      <c r="B916" s="32">
        <v>4.0</v>
      </c>
      <c r="C916" s="55" t="s">
        <v>7637</v>
      </c>
      <c r="D916" s="56">
        <v>2.4251002E8</v>
      </c>
      <c r="E916" s="32" t="s">
        <v>5068</v>
      </c>
      <c r="F916" s="32" t="s">
        <v>220</v>
      </c>
      <c r="G916" s="12">
        <v>32.0</v>
      </c>
      <c r="H916" s="48" t="str">
        <f t="shared" si="4"/>
        <v>  XI F-2</v>
      </c>
      <c r="I916" s="28" t="str">
        <f t="shared" si="2"/>
        <v>32 - BC X-1</v>
      </c>
      <c r="J916" s="20" t="str">
        <f>VLOOKUP(I916,'Database Grup SCC'!$B$2:$C1382,2,false)</f>
        <v>Arya</v>
      </c>
      <c r="K916" s="50" t="str">
        <f>VLOOKUP(D916,'Data Siswa Mentah 32 Kelas X'!$C$8:$E1382,3,false)</f>
        <v>X-1</v>
      </c>
      <c r="L916" s="50" t="s">
        <v>7631</v>
      </c>
      <c r="M916" s="50"/>
      <c r="N916" s="33" t="s">
        <v>6839</v>
      </c>
      <c r="O916" s="34"/>
      <c r="P916" s="34"/>
      <c r="Q916" s="24" t="str">
        <f t="shared" si="3"/>
        <v>https://docs.google.com/forms/d/e/1FAIpQLSeZ-R1GrWlAPkfaThGqxeTj0QTtrARw4rroxIIepf2kipn1nw/formResponse?usp=pp_url&amp;entry.1313582257=0098551657&amp;entry.1578404635=Hadir</v>
      </c>
      <c r="R916" s="23" t="s">
        <v>7638</v>
      </c>
      <c r="S916" s="39"/>
      <c r="T916" s="39"/>
      <c r="U916" s="39"/>
      <c r="V916" s="39"/>
    </row>
    <row r="917" ht="22.5" customHeight="1">
      <c r="A917" s="12">
        <v>529.0</v>
      </c>
      <c r="B917" s="32">
        <v>5.0</v>
      </c>
      <c r="C917" s="55" t="s">
        <v>7639</v>
      </c>
      <c r="D917" s="56">
        <v>2.4251006E8</v>
      </c>
      <c r="E917" s="32" t="s">
        <v>5073</v>
      </c>
      <c r="F917" s="32" t="s">
        <v>227</v>
      </c>
      <c r="G917" s="12">
        <v>32.0</v>
      </c>
      <c r="H917" s="48" t="str">
        <f t="shared" si="4"/>
        <v>  XI F-2</v>
      </c>
      <c r="I917" s="28" t="str">
        <f t="shared" si="2"/>
        <v>32 - GC X-3</v>
      </c>
      <c r="J917" s="20" t="str">
        <f>VLOOKUP(I917,'Database Grup SCC'!$B$2:$C1382,2,false)</f>
        <v>Devi</v>
      </c>
      <c r="K917" s="50" t="str">
        <f>VLOOKUP(D917,'Data Siswa Mentah 32 Kelas X'!$C$8:$E1382,3,false)</f>
        <v>X-3</v>
      </c>
      <c r="L917" s="50" t="s">
        <v>7631</v>
      </c>
      <c r="M917" s="50"/>
      <c r="N917" s="33" t="s">
        <v>6879</v>
      </c>
      <c r="O917" s="34"/>
      <c r="P917" s="34"/>
      <c r="Q917" s="24" t="str">
        <f t="shared" si="3"/>
        <v>https://docs.google.com/forms/d/e/1FAIpQLSeZ-R1GrWlAPkfaThGqxeTj0QTtrARw4rroxIIepf2kipn1nw/formResponse?usp=pp_url&amp;entry.1313582257=0087718590&amp;entry.1578404635=Hadir</v>
      </c>
      <c r="R917" s="23" t="s">
        <v>7640</v>
      </c>
      <c r="S917" s="39"/>
      <c r="T917" s="39"/>
      <c r="U917" s="39"/>
      <c r="V917" s="39"/>
    </row>
    <row r="918" ht="22.5" customHeight="1">
      <c r="A918" s="12">
        <v>530.0</v>
      </c>
      <c r="B918" s="32">
        <v>6.0</v>
      </c>
      <c r="C918" s="55" t="s">
        <v>7641</v>
      </c>
      <c r="D918" s="56">
        <v>2.42510078E8</v>
      </c>
      <c r="E918" s="32" t="s">
        <v>5078</v>
      </c>
      <c r="F918" s="32" t="s">
        <v>227</v>
      </c>
      <c r="G918" s="12">
        <v>32.0</v>
      </c>
      <c r="H918" s="48" t="str">
        <f t="shared" si="4"/>
        <v>  XI F-2</v>
      </c>
      <c r="I918" s="28" t="str">
        <f t="shared" si="2"/>
        <v>32 - GC X-12</v>
      </c>
      <c r="J918" s="20" t="str">
        <f>VLOOKUP(I918,'Database Grup SCC'!$B$2:$C1382,2,false)</f>
        <v>Farisa (XII)</v>
      </c>
      <c r="K918" s="50" t="str">
        <f>VLOOKUP(D918,'Data Siswa Mentah 32 Kelas X'!$C$8:$E1382,3,false)</f>
        <v>X-12</v>
      </c>
      <c r="L918" s="50" t="s">
        <v>7631</v>
      </c>
      <c r="M918" s="50"/>
      <c r="N918" s="33" t="s">
        <v>6845</v>
      </c>
      <c r="O918" s="34"/>
      <c r="P918" s="34"/>
      <c r="Q918" s="24" t="str">
        <f t="shared" si="3"/>
        <v>https://docs.google.com/forms/d/e/1FAIpQLSeZ-R1GrWlAPkfaThGqxeTj0QTtrARw4rroxIIepf2kipn1nw/formResponse?usp=pp_url&amp;entry.1313582257=0096418415&amp;entry.1578404635=Hadir</v>
      </c>
      <c r="R918" s="23" t="s">
        <v>7642</v>
      </c>
      <c r="S918" s="39"/>
      <c r="T918" s="39"/>
      <c r="U918" s="39"/>
      <c r="V918" s="39"/>
    </row>
    <row r="919" ht="22.5" customHeight="1">
      <c r="A919" s="12">
        <v>531.0</v>
      </c>
      <c r="B919" s="32">
        <v>7.0</v>
      </c>
      <c r="C919" s="55" t="s">
        <v>7643</v>
      </c>
      <c r="D919" s="56">
        <v>2.42510089E8</v>
      </c>
      <c r="E919" s="32" t="s">
        <v>5082</v>
      </c>
      <c r="F919" s="32" t="s">
        <v>227</v>
      </c>
      <c r="G919" s="12">
        <v>32.0</v>
      </c>
      <c r="H919" s="48" t="str">
        <f t="shared" si="4"/>
        <v>  XI F-2</v>
      </c>
      <c r="I919" s="28" t="str">
        <f t="shared" si="2"/>
        <v>32 - GC X-2</v>
      </c>
      <c r="J919" s="20" t="str">
        <f>VLOOKUP(I919,'Database Grup SCC'!$B$2:$C1382,2,false)</f>
        <v>Iga</v>
      </c>
      <c r="K919" s="50" t="str">
        <f>VLOOKUP(D919,'Data Siswa Mentah 32 Kelas X'!$C$8:$E1382,3,false)</f>
        <v>X-2</v>
      </c>
      <c r="L919" s="50" t="s">
        <v>7631</v>
      </c>
      <c r="M919" s="50"/>
      <c r="N919" s="33" t="s">
        <v>6921</v>
      </c>
      <c r="O919" s="34"/>
      <c r="P919" s="34"/>
      <c r="Q919" s="24" t="str">
        <f t="shared" si="3"/>
        <v>https://docs.google.com/forms/d/e/1FAIpQLSeZ-R1GrWlAPkfaThGqxeTj0QTtrARw4rroxIIepf2kipn1nw/formResponse?usp=pp_url&amp;entry.1313582257=0096383417&amp;entry.1578404635=Hadir</v>
      </c>
      <c r="R919" s="23" t="s">
        <v>7644</v>
      </c>
      <c r="S919" s="39"/>
      <c r="T919" s="39"/>
      <c r="U919" s="39"/>
      <c r="V919" s="39"/>
    </row>
    <row r="920" ht="22.5" customHeight="1">
      <c r="A920" s="12">
        <v>532.0</v>
      </c>
      <c r="B920" s="32">
        <v>8.0</v>
      </c>
      <c r="C920" s="55" t="s">
        <v>7645</v>
      </c>
      <c r="D920" s="56">
        <v>2.42510093E8</v>
      </c>
      <c r="E920" s="32" t="s">
        <v>5087</v>
      </c>
      <c r="F920" s="32" t="s">
        <v>227</v>
      </c>
      <c r="G920" s="12">
        <v>32.0</v>
      </c>
      <c r="H920" s="48" t="str">
        <f t="shared" si="4"/>
        <v>  XI F-2</v>
      </c>
      <c r="I920" s="28" t="str">
        <f t="shared" si="2"/>
        <v>32 - GC X-6</v>
      </c>
      <c r="J920" s="20" t="str">
        <f>VLOOKUP(I920,'Database Grup SCC'!$B$2:$C1382,2,false)</f>
        <v>Zalika</v>
      </c>
      <c r="K920" s="50" t="str">
        <f>VLOOKUP(D920,'Data Siswa Mentah 32 Kelas X'!$C$8:$E1382,3,false)</f>
        <v>X-6</v>
      </c>
      <c r="L920" s="50" t="s">
        <v>7631</v>
      </c>
      <c r="M920" s="50"/>
      <c r="N920" s="33" t="s">
        <v>6924</v>
      </c>
      <c r="O920" s="34"/>
      <c r="P920" s="34"/>
      <c r="Q920" s="24" t="str">
        <f t="shared" si="3"/>
        <v>https://docs.google.com/forms/d/e/1FAIpQLSeZ-R1GrWlAPkfaThGqxeTj0QTtrARw4rroxIIepf2kipn1nw/formResponse?usp=pp_url&amp;entry.1313582257=0093167605&amp;entry.1578404635=Hadir</v>
      </c>
      <c r="R920" s="23" t="s">
        <v>7646</v>
      </c>
      <c r="S920" s="39"/>
      <c r="T920" s="39"/>
      <c r="U920" s="39"/>
      <c r="V920" s="39"/>
    </row>
    <row r="921" ht="22.5" customHeight="1">
      <c r="A921" s="12">
        <v>533.0</v>
      </c>
      <c r="B921" s="32">
        <v>9.0</v>
      </c>
      <c r="C921" s="55" t="s">
        <v>7647</v>
      </c>
      <c r="D921" s="56">
        <v>2.42510106E8</v>
      </c>
      <c r="E921" s="32" t="s">
        <v>5092</v>
      </c>
      <c r="F921" s="32" t="s">
        <v>227</v>
      </c>
      <c r="G921" s="12">
        <v>32.0</v>
      </c>
      <c r="H921" s="48" t="str">
        <f t="shared" si="4"/>
        <v>  XI F-2</v>
      </c>
      <c r="I921" s="28" t="str">
        <f t="shared" si="2"/>
        <v>32 - GC X-6</v>
      </c>
      <c r="J921" s="20" t="str">
        <f>VLOOKUP(I921,'Database Grup SCC'!$B$2:$C1382,2,false)</f>
        <v>Zalika</v>
      </c>
      <c r="K921" s="50" t="str">
        <f>VLOOKUP(D921,'Data Siswa Mentah 32 Kelas X'!$C$8:$E1382,3,false)</f>
        <v>X-6</v>
      </c>
      <c r="L921" s="50" t="s">
        <v>7631</v>
      </c>
      <c r="M921" s="50"/>
      <c r="N921" s="33" t="s">
        <v>6924</v>
      </c>
      <c r="O921" s="34"/>
      <c r="P921" s="34"/>
      <c r="Q921" s="24" t="str">
        <f t="shared" si="3"/>
        <v>https://docs.google.com/forms/d/e/1FAIpQLSeZ-R1GrWlAPkfaThGqxeTj0QTtrARw4rroxIIepf2kipn1nw/formResponse?usp=pp_url&amp;entry.1313582257=0096872219&amp;entry.1578404635=Hadir</v>
      </c>
      <c r="R921" s="23" t="s">
        <v>7648</v>
      </c>
      <c r="S921" s="39"/>
      <c r="T921" s="39"/>
      <c r="U921" s="39"/>
      <c r="V921" s="39"/>
    </row>
    <row r="922" ht="22.5" customHeight="1">
      <c r="A922" s="12">
        <v>534.0</v>
      </c>
      <c r="B922" s="32">
        <v>10.0</v>
      </c>
      <c r="C922" s="55" t="s">
        <v>7649</v>
      </c>
      <c r="D922" s="56">
        <v>2.42510107E8</v>
      </c>
      <c r="E922" s="32" t="s">
        <v>5098</v>
      </c>
      <c r="F922" s="32" t="s">
        <v>227</v>
      </c>
      <c r="G922" s="12">
        <v>32.0</v>
      </c>
      <c r="H922" s="48" t="str">
        <f t="shared" si="4"/>
        <v>  XI F-2</v>
      </c>
      <c r="I922" s="28" t="str">
        <f t="shared" si="2"/>
        <v>32 - GC X-4</v>
      </c>
      <c r="J922" s="20" t="str">
        <f>VLOOKUP(I922,'Database Grup SCC'!$B$2:$C1382,2,false)</f>
        <v>Nadira</v>
      </c>
      <c r="K922" s="50" t="str">
        <f>VLOOKUP(D922,'Data Siswa Mentah 32 Kelas X'!$C$8:$E1382,3,false)</f>
        <v>X-4</v>
      </c>
      <c r="L922" s="50" t="s">
        <v>7631</v>
      </c>
      <c r="M922" s="50"/>
      <c r="N922" s="33" t="s">
        <v>6853</v>
      </c>
      <c r="O922" s="34"/>
      <c r="P922" s="34"/>
      <c r="Q922" s="24" t="str">
        <f t="shared" si="3"/>
        <v>https://docs.google.com/forms/d/e/1FAIpQLSeZ-R1GrWlAPkfaThGqxeTj0QTtrARw4rroxIIepf2kipn1nw/formResponse?usp=pp_url&amp;entry.1313582257=0093311941&amp;entry.1578404635=Hadir</v>
      </c>
      <c r="R922" s="23" t="s">
        <v>7650</v>
      </c>
      <c r="S922" s="39"/>
      <c r="T922" s="39"/>
      <c r="U922" s="39"/>
      <c r="V922" s="39"/>
    </row>
    <row r="923" ht="22.5" customHeight="1">
      <c r="A923" s="12">
        <v>535.0</v>
      </c>
      <c r="B923" s="32">
        <v>11.0</v>
      </c>
      <c r="C923" s="55" t="s">
        <v>7651</v>
      </c>
      <c r="D923" s="56">
        <v>2.42510109E8</v>
      </c>
      <c r="E923" s="32" t="s">
        <v>5103</v>
      </c>
      <c r="F923" s="32" t="s">
        <v>220</v>
      </c>
      <c r="G923" s="12">
        <v>32.0</v>
      </c>
      <c r="H923" s="48" t="str">
        <f t="shared" si="4"/>
        <v>  XI F-2</v>
      </c>
      <c r="I923" s="28" t="str">
        <f t="shared" si="2"/>
        <v>33 - BC X-10</v>
      </c>
      <c r="J923" s="20" t="str">
        <f>VLOOKUP(I923,'Database Grup SCC'!$B$2:$C1382,2,false)</f>
        <v>Irghi (XII)</v>
      </c>
      <c r="K923" s="50" t="str">
        <f>VLOOKUP(D923,'Data Siswa Mentah 32 Kelas X'!$C$8:$E1382,3,false)</f>
        <v>X-10</v>
      </c>
      <c r="L923" s="50" t="s">
        <v>7631</v>
      </c>
      <c r="M923" s="50"/>
      <c r="N923" s="33" t="s">
        <v>6425</v>
      </c>
      <c r="O923" s="34"/>
      <c r="P923" s="34"/>
      <c r="Q923" s="24" t="str">
        <f t="shared" si="3"/>
        <v>https://docs.google.com/forms/d/e/1FAIpQLSeZ-R1GrWlAPkfaThGqxeTj0QTtrARw4rroxIIepf2kipn1nw/formResponse?usp=pp_url&amp;entry.1313582257=0091519291&amp;entry.1578404635=Hadir</v>
      </c>
      <c r="R923" s="23" t="s">
        <v>7652</v>
      </c>
      <c r="S923" s="39"/>
      <c r="T923" s="39"/>
      <c r="U923" s="39"/>
      <c r="V923" s="39"/>
    </row>
    <row r="924" ht="22.5" customHeight="1">
      <c r="A924" s="12">
        <v>536.0</v>
      </c>
      <c r="B924" s="32">
        <v>12.0</v>
      </c>
      <c r="C924" s="55" t="s">
        <v>7653</v>
      </c>
      <c r="D924" s="56">
        <v>2.42510125E8</v>
      </c>
      <c r="E924" s="32" t="s">
        <v>5108</v>
      </c>
      <c r="F924" s="32" t="s">
        <v>220</v>
      </c>
      <c r="G924" s="12">
        <v>32.0</v>
      </c>
      <c r="H924" s="48" t="str">
        <f t="shared" si="4"/>
        <v>  XI F-2</v>
      </c>
      <c r="I924" s="28" t="str">
        <f t="shared" si="2"/>
        <v>33 - BC X-10</v>
      </c>
      <c r="J924" s="20" t="str">
        <f>VLOOKUP(I924,'Database Grup SCC'!$B$2:$C1382,2,false)</f>
        <v>Irghi (XII)</v>
      </c>
      <c r="K924" s="50" t="str">
        <f>VLOOKUP(D924,'Data Siswa Mentah 32 Kelas X'!$C$8:$E1382,3,false)</f>
        <v>X-10</v>
      </c>
      <c r="L924" s="50" t="s">
        <v>7631</v>
      </c>
      <c r="M924" s="50"/>
      <c r="N924" s="33" t="s">
        <v>6425</v>
      </c>
      <c r="O924" s="34"/>
      <c r="P924" s="34"/>
      <c r="Q924" s="24" t="str">
        <f t="shared" si="3"/>
        <v>https://docs.google.com/forms/d/e/1FAIpQLSeZ-R1GrWlAPkfaThGqxeTj0QTtrARw4rroxIIepf2kipn1nw/formResponse?usp=pp_url&amp;entry.1313582257=0093772011&amp;entry.1578404635=Hadir</v>
      </c>
      <c r="R924" s="23" t="s">
        <v>7654</v>
      </c>
      <c r="S924" s="39"/>
      <c r="T924" s="39"/>
      <c r="U924" s="39"/>
      <c r="V924" s="39"/>
    </row>
    <row r="925" ht="22.5" customHeight="1">
      <c r="A925" s="12">
        <v>537.0</v>
      </c>
      <c r="B925" s="32">
        <v>13.0</v>
      </c>
      <c r="C925" s="55" t="s">
        <v>7655</v>
      </c>
      <c r="D925" s="56">
        <v>2.42510127E8</v>
      </c>
      <c r="E925" s="32" t="s">
        <v>5113</v>
      </c>
      <c r="F925" s="32" t="s">
        <v>227</v>
      </c>
      <c r="G925" s="12">
        <v>32.0</v>
      </c>
      <c r="H925" s="48" t="str">
        <f t="shared" si="4"/>
        <v>  XI F-2</v>
      </c>
      <c r="I925" s="28" t="str">
        <f t="shared" si="2"/>
        <v>32 - GC X-11</v>
      </c>
      <c r="J925" s="20" t="str">
        <f>VLOOKUP(I925,'Database Grup SCC'!$B$2:$C1382,2,false)</f>
        <v>Kia (XII)</v>
      </c>
      <c r="K925" s="50" t="str">
        <f>VLOOKUP(D925,'Data Siswa Mentah 32 Kelas X'!$C$8:$E1382,3,false)</f>
        <v>X-11</v>
      </c>
      <c r="L925" s="50" t="s">
        <v>7631</v>
      </c>
      <c r="M925" s="50"/>
      <c r="N925" s="33" t="s">
        <v>6883</v>
      </c>
      <c r="O925" s="34"/>
      <c r="P925" s="34"/>
      <c r="Q925" s="24" t="str">
        <f t="shared" si="3"/>
        <v>https://docs.google.com/forms/d/e/1FAIpQLSeZ-R1GrWlAPkfaThGqxeTj0QTtrARw4rroxIIepf2kipn1nw/formResponse?usp=pp_url&amp;entry.1313582257=0083597126&amp;entry.1578404635=Hadir</v>
      </c>
      <c r="R925" s="23" t="s">
        <v>7656</v>
      </c>
      <c r="S925" s="39"/>
      <c r="T925" s="39"/>
      <c r="U925" s="39"/>
      <c r="V925" s="39"/>
    </row>
    <row r="926" ht="22.5" customHeight="1">
      <c r="A926" s="12">
        <v>538.0</v>
      </c>
      <c r="B926" s="32">
        <v>14.0</v>
      </c>
      <c r="C926" s="55" t="s">
        <v>7657</v>
      </c>
      <c r="D926" s="56">
        <v>2.42510147E8</v>
      </c>
      <c r="E926" s="32" t="s">
        <v>5118</v>
      </c>
      <c r="F926" s="32" t="s">
        <v>220</v>
      </c>
      <c r="G926" s="12">
        <v>32.0</v>
      </c>
      <c r="H926" s="48" t="str">
        <f t="shared" si="4"/>
        <v>  XI F-2</v>
      </c>
      <c r="I926" s="28" t="str">
        <f t="shared" si="2"/>
        <v>33 - BC X-3</v>
      </c>
      <c r="J926" s="20" t="str">
        <f>VLOOKUP(I926,'Database Grup SCC'!$B$2:$C1382,2,false)</f>
        <v>Angga</v>
      </c>
      <c r="K926" s="50" t="str">
        <f>VLOOKUP(D926,'Data Siswa Mentah 32 Kelas X'!$C$8:$E1382,3,false)</f>
        <v>X-3</v>
      </c>
      <c r="L926" s="50" t="s">
        <v>7631</v>
      </c>
      <c r="M926" s="50"/>
      <c r="N926" s="33" t="s">
        <v>5507</v>
      </c>
      <c r="O926" s="34"/>
      <c r="P926" s="34"/>
      <c r="Q926" s="24" t="str">
        <f t="shared" si="3"/>
        <v>https://docs.google.com/forms/d/e/1FAIpQLSeZ-R1GrWlAPkfaThGqxeTj0QTtrARw4rroxIIepf2kipn1nw/formResponse?usp=pp_url&amp;entry.1313582257=0081527579&amp;entry.1578404635=Hadir</v>
      </c>
      <c r="R926" s="23" t="s">
        <v>7658</v>
      </c>
      <c r="S926" s="39"/>
      <c r="T926" s="39"/>
      <c r="U926" s="39"/>
      <c r="V926" s="39"/>
    </row>
    <row r="927" ht="22.5" customHeight="1">
      <c r="A927" s="12">
        <v>539.0</v>
      </c>
      <c r="B927" s="32">
        <v>15.0</v>
      </c>
      <c r="C927" s="55" t="s">
        <v>7659</v>
      </c>
      <c r="D927" s="56">
        <v>2.42510154E8</v>
      </c>
      <c r="E927" s="32" t="s">
        <v>5123</v>
      </c>
      <c r="F927" s="32" t="s">
        <v>227</v>
      </c>
      <c r="G927" s="12">
        <v>32.0</v>
      </c>
      <c r="H927" s="48" t="str">
        <f t="shared" si="4"/>
        <v>  XI F-2</v>
      </c>
      <c r="I927" s="28" t="str">
        <f t="shared" si="2"/>
        <v>32 - GC X-7</v>
      </c>
      <c r="J927" s="20" t="str">
        <f>VLOOKUP(I927,'Database Grup SCC'!$B$2:$C1382,2,false)</f>
        <v>Najmi (XII)</v>
      </c>
      <c r="K927" s="50" t="str">
        <f>VLOOKUP(D927,'Data Siswa Mentah 32 Kelas X'!$C$8:$E1382,3,false)</f>
        <v>X-7</v>
      </c>
      <c r="L927" s="50" t="s">
        <v>7631</v>
      </c>
      <c r="M927" s="50"/>
      <c r="N927" s="33" t="s">
        <v>6842</v>
      </c>
      <c r="O927" s="34"/>
      <c r="P927" s="34"/>
      <c r="Q927" s="24" t="str">
        <f t="shared" si="3"/>
        <v>https://docs.google.com/forms/d/e/1FAIpQLSeZ-R1GrWlAPkfaThGqxeTj0QTtrARw4rroxIIepf2kipn1nw/formResponse?usp=pp_url&amp;entry.1313582257=3088903236&amp;entry.1578404635=Hadir</v>
      </c>
      <c r="R927" s="23" t="s">
        <v>7660</v>
      </c>
      <c r="S927" s="39"/>
      <c r="T927" s="39"/>
      <c r="U927" s="39"/>
      <c r="V927" s="39"/>
    </row>
    <row r="928" ht="22.5" customHeight="1">
      <c r="A928" s="12">
        <v>540.0</v>
      </c>
      <c r="B928" s="32">
        <v>16.0</v>
      </c>
      <c r="C928" s="55" t="s">
        <v>7661</v>
      </c>
      <c r="D928" s="56">
        <v>2.42510156E8</v>
      </c>
      <c r="E928" s="32" t="s">
        <v>5128</v>
      </c>
      <c r="F928" s="32" t="s">
        <v>227</v>
      </c>
      <c r="G928" s="12">
        <v>32.0</v>
      </c>
      <c r="H928" s="48" t="str">
        <f t="shared" si="4"/>
        <v>  XI F-2</v>
      </c>
      <c r="I928" s="28" t="str">
        <f t="shared" si="2"/>
        <v>32 - GC X-9</v>
      </c>
      <c r="J928" s="20" t="str">
        <f>VLOOKUP(I928,'Database Grup SCC'!$B$2:$C1382,2,false)</f>
        <v>Athaya</v>
      </c>
      <c r="K928" s="50" t="str">
        <f>VLOOKUP(D928,'Data Siswa Mentah 32 Kelas X'!$C$8:$E1382,3,false)</f>
        <v>X-9</v>
      </c>
      <c r="L928" s="50" t="s">
        <v>7631</v>
      </c>
      <c r="M928" s="50"/>
      <c r="N928" s="33" t="s">
        <v>6826</v>
      </c>
      <c r="O928" s="34"/>
      <c r="P928" s="34"/>
      <c r="Q928" s="24" t="str">
        <f t="shared" si="3"/>
        <v>https://docs.google.com/forms/d/e/1FAIpQLSeZ-R1GrWlAPkfaThGqxeTj0QTtrARw4rroxIIepf2kipn1nw/formResponse?usp=pp_url&amp;entry.1313582257=0098700438&amp;entry.1578404635=Hadir</v>
      </c>
      <c r="R928" s="23" t="s">
        <v>7662</v>
      </c>
      <c r="S928" s="39"/>
      <c r="T928" s="39"/>
      <c r="U928" s="39"/>
      <c r="V928" s="39"/>
    </row>
    <row r="929" ht="22.5" customHeight="1">
      <c r="A929" s="12">
        <v>541.0</v>
      </c>
      <c r="B929" s="32">
        <v>17.0</v>
      </c>
      <c r="C929" s="55" t="s">
        <v>7663</v>
      </c>
      <c r="D929" s="56">
        <v>2.42510166E8</v>
      </c>
      <c r="E929" s="32" t="s">
        <v>5133</v>
      </c>
      <c r="F929" s="32" t="s">
        <v>227</v>
      </c>
      <c r="G929" s="12">
        <v>32.0</v>
      </c>
      <c r="H929" s="48" t="str">
        <f t="shared" si="4"/>
        <v>  XI F-2</v>
      </c>
      <c r="I929" s="28" t="str">
        <f t="shared" si="2"/>
        <v>32 - GC X-6</v>
      </c>
      <c r="J929" s="20" t="str">
        <f>VLOOKUP(I929,'Database Grup SCC'!$B$2:$C1382,2,false)</f>
        <v>Zalika</v>
      </c>
      <c r="K929" s="50" t="str">
        <f>VLOOKUP(D929,'Data Siswa Mentah 32 Kelas X'!$C$8:$E1382,3,false)</f>
        <v>X-6</v>
      </c>
      <c r="L929" s="50" t="s">
        <v>7631</v>
      </c>
      <c r="M929" s="50"/>
      <c r="N929" s="33" t="s">
        <v>6924</v>
      </c>
      <c r="O929" s="34"/>
      <c r="P929" s="34"/>
      <c r="Q929" s="24" t="str">
        <f t="shared" si="3"/>
        <v>https://docs.google.com/forms/d/e/1FAIpQLSeZ-R1GrWlAPkfaThGqxeTj0QTtrARw4rroxIIepf2kipn1nw/formResponse?usp=pp_url&amp;entry.1313582257=0095159012&amp;entry.1578404635=Hadir</v>
      </c>
      <c r="R929" s="23" t="s">
        <v>7664</v>
      </c>
      <c r="S929" s="39"/>
      <c r="T929" s="39"/>
      <c r="U929" s="39"/>
      <c r="V929" s="39"/>
    </row>
    <row r="930" ht="22.5" customHeight="1">
      <c r="A930" s="12">
        <v>542.0</v>
      </c>
      <c r="B930" s="32">
        <v>18.0</v>
      </c>
      <c r="C930" s="55" t="s">
        <v>7665</v>
      </c>
      <c r="D930" s="56">
        <v>2.52611567E8</v>
      </c>
      <c r="E930" s="32" t="s">
        <v>5139</v>
      </c>
      <c r="F930" s="32" t="s">
        <v>220</v>
      </c>
      <c r="G930" s="12">
        <v>32.0</v>
      </c>
      <c r="H930" s="48" t="str">
        <f t="shared" si="4"/>
        <v>  XI F-2</v>
      </c>
      <c r="I930" s="28" t="str">
        <f t="shared" si="2"/>
        <v/>
      </c>
      <c r="J930" s="20" t="str">
        <f>VLOOKUP(I930,'Database Grup SCC'!$B$2:$C1382,2,false)</f>
        <v>#N/A</v>
      </c>
      <c r="K930" s="50" t="s">
        <v>7050</v>
      </c>
      <c r="L930" s="50" t="s">
        <v>7631</v>
      </c>
      <c r="M930" s="50"/>
      <c r="N930" s="35"/>
      <c r="O930" s="34"/>
      <c r="P930" s="34"/>
      <c r="Q930" s="24" t="str">
        <f t="shared" si="3"/>
        <v>https://docs.google.com/forms/d/e/1FAIpQLSeZ-R1GrWlAPkfaThGqxeTj0QTtrARw4rroxIIepf2kipn1nw/formResponse?usp=pp_url&amp;entry.1313582257=0098994125&amp;entry.1578404635=Hadir</v>
      </c>
      <c r="R930" s="23" t="s">
        <v>7666</v>
      </c>
      <c r="S930" s="39"/>
      <c r="T930" s="39"/>
      <c r="U930" s="39"/>
      <c r="V930" s="39"/>
    </row>
    <row r="931" ht="22.5" customHeight="1">
      <c r="A931" s="12">
        <v>543.0</v>
      </c>
      <c r="B931" s="32">
        <v>19.0</v>
      </c>
      <c r="C931" s="55" t="s">
        <v>7667</v>
      </c>
      <c r="D931" s="56">
        <v>2.42510195E8</v>
      </c>
      <c r="E931" s="32" t="s">
        <v>5144</v>
      </c>
      <c r="F931" s="32" t="s">
        <v>227</v>
      </c>
      <c r="G931" s="12">
        <v>32.0</v>
      </c>
      <c r="H931" s="48" t="str">
        <f t="shared" si="4"/>
        <v>  XI F-2</v>
      </c>
      <c r="I931" s="28" t="str">
        <f t="shared" si="2"/>
        <v>32 - GC X-2</v>
      </c>
      <c r="J931" s="20" t="str">
        <f>VLOOKUP(I931,'Database Grup SCC'!$B$2:$C1382,2,false)</f>
        <v>Iga</v>
      </c>
      <c r="K931" s="50" t="str">
        <f>VLOOKUP(D931,'Data Siswa Mentah 32 Kelas X'!$C$8:$E1382,3,false)</f>
        <v>X-2</v>
      </c>
      <c r="L931" s="50" t="s">
        <v>7631</v>
      </c>
      <c r="M931" s="50"/>
      <c r="N931" s="33" t="s">
        <v>6921</v>
      </c>
      <c r="O931" s="34"/>
      <c r="P931" s="34"/>
      <c r="Q931" s="24" t="str">
        <f t="shared" si="3"/>
        <v>https://docs.google.com/forms/d/e/1FAIpQLSeZ-R1GrWlAPkfaThGqxeTj0QTtrARw4rroxIIepf2kipn1nw/formResponse?usp=pp_url&amp;entry.1313582257=0087336074&amp;entry.1578404635=Hadir</v>
      </c>
      <c r="R931" s="23" t="s">
        <v>7668</v>
      </c>
      <c r="S931" s="39"/>
      <c r="T931" s="39"/>
      <c r="U931" s="39"/>
      <c r="V931" s="39"/>
    </row>
    <row r="932" ht="22.5" customHeight="1">
      <c r="A932" s="12">
        <v>544.0</v>
      </c>
      <c r="B932" s="32">
        <v>20.0</v>
      </c>
      <c r="C932" s="55" t="s">
        <v>7669</v>
      </c>
      <c r="D932" s="56">
        <v>2.42510203E8</v>
      </c>
      <c r="E932" s="32" t="s">
        <v>5149</v>
      </c>
      <c r="F932" s="32" t="s">
        <v>227</v>
      </c>
      <c r="G932" s="12">
        <v>32.0</v>
      </c>
      <c r="H932" s="48" t="str">
        <f t="shared" si="4"/>
        <v>  XI F-2</v>
      </c>
      <c r="I932" s="28" t="str">
        <f t="shared" si="2"/>
        <v>32 - GC X-6</v>
      </c>
      <c r="J932" s="20" t="str">
        <f>VLOOKUP(I932,'Database Grup SCC'!$B$2:$C1382,2,false)</f>
        <v>Zalika</v>
      </c>
      <c r="K932" s="50" t="str">
        <f>VLOOKUP(D932,'Data Siswa Mentah 32 Kelas X'!$C$8:$E1382,3,false)</f>
        <v>X-6</v>
      </c>
      <c r="L932" s="50" t="s">
        <v>7631</v>
      </c>
      <c r="M932" s="50"/>
      <c r="N932" s="33" t="s">
        <v>6924</v>
      </c>
      <c r="O932" s="34"/>
      <c r="P932" s="34"/>
      <c r="Q932" s="24" t="str">
        <f t="shared" si="3"/>
        <v>https://docs.google.com/forms/d/e/1FAIpQLSeZ-R1GrWlAPkfaThGqxeTj0QTtrARw4rroxIIepf2kipn1nw/formResponse?usp=pp_url&amp;entry.1313582257=0083317171&amp;entry.1578404635=Hadir</v>
      </c>
      <c r="R932" s="23" t="s">
        <v>7670</v>
      </c>
      <c r="S932" s="39"/>
      <c r="T932" s="39"/>
      <c r="U932" s="39"/>
      <c r="V932" s="39"/>
    </row>
    <row r="933" ht="22.5" customHeight="1">
      <c r="A933" s="12">
        <v>545.0</v>
      </c>
      <c r="B933" s="32">
        <v>21.0</v>
      </c>
      <c r="C933" s="55" t="s">
        <v>7671</v>
      </c>
      <c r="D933" s="56">
        <v>2.42510219E8</v>
      </c>
      <c r="E933" s="32" t="s">
        <v>5154</v>
      </c>
      <c r="F933" s="32" t="s">
        <v>220</v>
      </c>
      <c r="G933" s="12">
        <v>32.0</v>
      </c>
      <c r="H933" s="48" t="str">
        <f t="shared" si="4"/>
        <v>  XI F-2</v>
      </c>
      <c r="I933" s="28" t="str">
        <f t="shared" si="2"/>
        <v>33 - BC X-3</v>
      </c>
      <c r="J933" s="20" t="str">
        <f>VLOOKUP(I933,'Database Grup SCC'!$B$2:$C1382,2,false)</f>
        <v>Angga</v>
      </c>
      <c r="K933" s="50" t="str">
        <f>VLOOKUP(D933,'Data Siswa Mentah 32 Kelas X'!$C$8:$E1382,3,false)</f>
        <v>X-3</v>
      </c>
      <c r="L933" s="50" t="s">
        <v>7631</v>
      </c>
      <c r="M933" s="50"/>
      <c r="N933" s="33" t="s">
        <v>5507</v>
      </c>
      <c r="O933" s="34"/>
      <c r="P933" s="34"/>
      <c r="Q933" s="24" t="str">
        <f t="shared" si="3"/>
        <v>https://docs.google.com/forms/d/e/1FAIpQLSeZ-R1GrWlAPkfaThGqxeTj0QTtrARw4rroxIIepf2kipn1nw/formResponse?usp=pp_url&amp;entry.1313582257=3081754398&amp;entry.1578404635=Hadir</v>
      </c>
      <c r="R933" s="23" t="s">
        <v>7672</v>
      </c>
      <c r="S933" s="39"/>
      <c r="T933" s="39"/>
      <c r="U933" s="39"/>
      <c r="V933" s="39"/>
    </row>
    <row r="934" ht="22.5" customHeight="1">
      <c r="A934" s="12">
        <v>546.0</v>
      </c>
      <c r="B934" s="32">
        <v>22.0</v>
      </c>
      <c r="C934" s="55" t="s">
        <v>7673</v>
      </c>
      <c r="D934" s="56">
        <v>2.42510223E8</v>
      </c>
      <c r="E934" s="32" t="s">
        <v>5159</v>
      </c>
      <c r="F934" s="32" t="s">
        <v>227</v>
      </c>
      <c r="G934" s="12">
        <v>32.0</v>
      </c>
      <c r="H934" s="48" t="str">
        <f t="shared" si="4"/>
        <v>  XI F-2</v>
      </c>
      <c r="I934" s="28" t="str">
        <f t="shared" si="2"/>
        <v>32 - GC X-3</v>
      </c>
      <c r="J934" s="20" t="str">
        <f>VLOOKUP(I934,'Database Grup SCC'!$B$2:$C1382,2,false)</f>
        <v>Devi</v>
      </c>
      <c r="K934" s="50" t="str">
        <f>VLOOKUP(D934,'Data Siswa Mentah 32 Kelas X'!$C$8:$E1382,3,false)</f>
        <v>X-3</v>
      </c>
      <c r="L934" s="50" t="s">
        <v>7631</v>
      </c>
      <c r="M934" s="50"/>
      <c r="N934" s="33" t="s">
        <v>6879</v>
      </c>
      <c r="O934" s="34"/>
      <c r="P934" s="34"/>
      <c r="Q934" s="24" t="str">
        <f t="shared" si="3"/>
        <v>https://docs.google.com/forms/d/e/1FAIpQLSeZ-R1GrWlAPkfaThGqxeTj0QTtrARw4rroxIIepf2kipn1nw/formResponse?usp=pp_url&amp;entry.1313582257=0098773886&amp;entry.1578404635=Hadir</v>
      </c>
      <c r="R934" s="23" t="s">
        <v>7674</v>
      </c>
      <c r="S934" s="39"/>
      <c r="T934" s="39"/>
      <c r="U934" s="39"/>
      <c r="V934" s="39"/>
    </row>
    <row r="935" ht="22.5" customHeight="1">
      <c r="A935" s="12">
        <v>547.0</v>
      </c>
      <c r="B935" s="32">
        <v>23.0</v>
      </c>
      <c r="C935" s="55" t="s">
        <v>7675</v>
      </c>
      <c r="D935" s="56">
        <v>2.42510228E8</v>
      </c>
      <c r="E935" s="32" t="s">
        <v>5163</v>
      </c>
      <c r="F935" s="32" t="s">
        <v>227</v>
      </c>
      <c r="G935" s="12">
        <v>32.0</v>
      </c>
      <c r="H935" s="48" t="str">
        <f t="shared" si="4"/>
        <v>  XI F-2</v>
      </c>
      <c r="I935" s="28" t="str">
        <f t="shared" si="2"/>
        <v>32 - GC X-12</v>
      </c>
      <c r="J935" s="20" t="str">
        <f>VLOOKUP(I935,'Database Grup SCC'!$B$2:$C1382,2,false)</f>
        <v>Farisa (XII)</v>
      </c>
      <c r="K935" s="50" t="str">
        <f>VLOOKUP(D935,'Data Siswa Mentah 32 Kelas X'!$C$8:$E1382,3,false)</f>
        <v>X-12</v>
      </c>
      <c r="L935" s="50" t="s">
        <v>7631</v>
      </c>
      <c r="M935" s="50"/>
      <c r="N935" s="33" t="s">
        <v>6845</v>
      </c>
      <c r="O935" s="34"/>
      <c r="P935" s="34"/>
      <c r="Q935" s="24" t="str">
        <f t="shared" si="3"/>
        <v>https://docs.google.com/forms/d/e/1FAIpQLSeZ-R1GrWlAPkfaThGqxeTj0QTtrARw4rroxIIepf2kipn1nw/formResponse?usp=pp_url&amp;entry.1313582257=0098848130&amp;entry.1578404635=Hadir</v>
      </c>
      <c r="R935" s="23" t="s">
        <v>7676</v>
      </c>
      <c r="S935" s="39"/>
      <c r="T935" s="39"/>
      <c r="U935" s="39"/>
      <c r="V935" s="39"/>
    </row>
    <row r="936" ht="22.5" customHeight="1">
      <c r="A936" s="12">
        <v>548.0</v>
      </c>
      <c r="B936" s="32">
        <v>24.0</v>
      </c>
      <c r="C936" s="55" t="s">
        <v>7677</v>
      </c>
      <c r="D936" s="56">
        <v>2.42510229E8</v>
      </c>
      <c r="E936" s="32" t="s">
        <v>5168</v>
      </c>
      <c r="F936" s="32" t="s">
        <v>227</v>
      </c>
      <c r="G936" s="12">
        <v>32.0</v>
      </c>
      <c r="H936" s="48" t="str">
        <f t="shared" si="4"/>
        <v>  XI F-2</v>
      </c>
      <c r="I936" s="28" t="str">
        <f t="shared" si="2"/>
        <v>32 - GC X-2</v>
      </c>
      <c r="J936" s="20" t="str">
        <f>VLOOKUP(I936,'Database Grup SCC'!$B$2:$C1382,2,false)</f>
        <v>Iga</v>
      </c>
      <c r="K936" s="50" t="str">
        <f>VLOOKUP(D936,'Data Siswa Mentah 32 Kelas X'!$C$8:$E1382,3,false)</f>
        <v>X-2</v>
      </c>
      <c r="L936" s="50" t="s">
        <v>7631</v>
      </c>
      <c r="M936" s="50"/>
      <c r="N936" s="33" t="s">
        <v>6921</v>
      </c>
      <c r="O936" s="34"/>
      <c r="P936" s="34"/>
      <c r="Q936" s="24" t="str">
        <f t="shared" si="3"/>
        <v>https://docs.google.com/forms/d/e/1FAIpQLSeZ-R1GrWlAPkfaThGqxeTj0QTtrARw4rroxIIepf2kipn1nw/formResponse?usp=pp_url&amp;entry.1313582257=0086293694&amp;entry.1578404635=Hadir</v>
      </c>
      <c r="R936" s="23" t="s">
        <v>7678</v>
      </c>
      <c r="S936" s="39"/>
      <c r="T936" s="39"/>
      <c r="U936" s="39"/>
      <c r="V936" s="39"/>
    </row>
    <row r="937" ht="22.5" customHeight="1">
      <c r="A937" s="12">
        <v>549.0</v>
      </c>
      <c r="B937" s="32">
        <v>25.0</v>
      </c>
      <c r="C937" s="55" t="s">
        <v>7679</v>
      </c>
      <c r="D937" s="56">
        <v>2.42510236E8</v>
      </c>
      <c r="E937" s="32" t="s">
        <v>5174</v>
      </c>
      <c r="F937" s="32" t="s">
        <v>220</v>
      </c>
      <c r="G937" s="12">
        <v>32.0</v>
      </c>
      <c r="H937" s="48" t="str">
        <f t="shared" si="4"/>
        <v>  XI F-2</v>
      </c>
      <c r="I937" s="28" t="str">
        <f t="shared" si="2"/>
        <v>33 - BC X-9</v>
      </c>
      <c r="J937" s="20" t="str">
        <f>VLOOKUP(I937,'Database Grup SCC'!$B$2:$C1382,2,false)</f>
        <v>Veril (XII)</v>
      </c>
      <c r="K937" s="50" t="str">
        <f>VLOOKUP(D937,'Data Siswa Mentah 32 Kelas X'!$C$8:$E1382,3,false)</f>
        <v>X-9</v>
      </c>
      <c r="L937" s="50" t="s">
        <v>7631</v>
      </c>
      <c r="M937" s="50"/>
      <c r="N937" s="33" t="s">
        <v>6296</v>
      </c>
      <c r="O937" s="34"/>
      <c r="P937" s="34"/>
      <c r="Q937" s="24" t="str">
        <f t="shared" si="3"/>
        <v>https://docs.google.com/forms/d/e/1FAIpQLSeZ-R1GrWlAPkfaThGqxeTj0QTtrARw4rroxIIepf2kipn1nw/formResponse?usp=pp_url&amp;entry.1313582257=0088667313&amp;entry.1578404635=Hadir</v>
      </c>
      <c r="R937" s="23" t="s">
        <v>7680</v>
      </c>
      <c r="S937" s="39"/>
      <c r="T937" s="39"/>
      <c r="U937" s="39"/>
      <c r="V937" s="39"/>
    </row>
    <row r="938" ht="22.5" customHeight="1">
      <c r="A938" s="12">
        <v>550.0</v>
      </c>
      <c r="B938" s="32">
        <v>26.0</v>
      </c>
      <c r="C938" s="55" t="s">
        <v>7681</v>
      </c>
      <c r="D938" s="56">
        <v>2.42510245E8</v>
      </c>
      <c r="E938" s="32" t="s">
        <v>5179</v>
      </c>
      <c r="F938" s="32" t="s">
        <v>220</v>
      </c>
      <c r="G938" s="12">
        <v>32.0</v>
      </c>
      <c r="H938" s="48" t="str">
        <f t="shared" si="4"/>
        <v>  XI F-2</v>
      </c>
      <c r="I938" s="28" t="str">
        <f t="shared" si="2"/>
        <v>33 - BC X-5</v>
      </c>
      <c r="J938" s="20" t="str">
        <f>VLOOKUP(I938,'Database Grup SCC'!$B$2:$C1382,2,false)</f>
        <v>Topik &amp; Adrian</v>
      </c>
      <c r="K938" s="50" t="str">
        <f>VLOOKUP(D938,'Data Siswa Mentah 32 Kelas X'!$C$8:$E1382,3,false)</f>
        <v>X-5</v>
      </c>
      <c r="L938" s="50" t="s">
        <v>7631</v>
      </c>
      <c r="M938" s="50"/>
      <c r="N938" s="33" t="s">
        <v>5770</v>
      </c>
      <c r="O938" s="34"/>
      <c r="P938" s="34"/>
      <c r="Q938" s="24" t="str">
        <f t="shared" si="3"/>
        <v>https://docs.google.com/forms/d/e/1FAIpQLSeZ-R1GrWlAPkfaThGqxeTj0QTtrARw4rroxIIepf2kipn1nw/formResponse?usp=pp_url&amp;entry.1313582257=0093423349&amp;entry.1578404635=Hadir</v>
      </c>
      <c r="R938" s="23" t="s">
        <v>7682</v>
      </c>
      <c r="S938" s="39"/>
      <c r="T938" s="39"/>
      <c r="U938" s="39"/>
      <c r="V938" s="39"/>
    </row>
    <row r="939" ht="22.5" customHeight="1">
      <c r="A939" s="12">
        <v>551.0</v>
      </c>
      <c r="B939" s="32">
        <v>27.0</v>
      </c>
      <c r="C939" s="55" t="s">
        <v>7683</v>
      </c>
      <c r="D939" s="56">
        <v>2.42510247E8</v>
      </c>
      <c r="E939" s="32" t="s">
        <v>5184</v>
      </c>
      <c r="F939" s="32" t="s">
        <v>220</v>
      </c>
      <c r="G939" s="12">
        <v>32.0</v>
      </c>
      <c r="H939" s="48" t="str">
        <f t="shared" si="4"/>
        <v>  XI F-2</v>
      </c>
      <c r="I939" s="28" t="str">
        <f t="shared" si="2"/>
        <v>33 - BC X-5</v>
      </c>
      <c r="J939" s="20" t="str">
        <f>VLOOKUP(I939,'Database Grup SCC'!$B$2:$C1382,2,false)</f>
        <v>Topik &amp; Adrian</v>
      </c>
      <c r="K939" s="50" t="str">
        <f>VLOOKUP(D939,'Data Siswa Mentah 32 Kelas X'!$C$8:$E1382,3,false)</f>
        <v>X-5</v>
      </c>
      <c r="L939" s="50" t="s">
        <v>7631</v>
      </c>
      <c r="M939" s="50"/>
      <c r="N939" s="33" t="s">
        <v>5770</v>
      </c>
      <c r="O939" s="34"/>
      <c r="P939" s="34"/>
      <c r="Q939" s="24" t="str">
        <f t="shared" si="3"/>
        <v>https://docs.google.com/forms/d/e/1FAIpQLSeZ-R1GrWlAPkfaThGqxeTj0QTtrARw4rroxIIepf2kipn1nw/formResponse?usp=pp_url&amp;entry.1313582257=0089737965&amp;entry.1578404635=Hadir</v>
      </c>
      <c r="R939" s="23" t="s">
        <v>7684</v>
      </c>
      <c r="S939" s="39"/>
      <c r="T939" s="39"/>
      <c r="U939" s="39"/>
      <c r="V939" s="39"/>
    </row>
    <row r="940" ht="22.5" customHeight="1">
      <c r="A940" s="12">
        <v>552.0</v>
      </c>
      <c r="B940" s="32">
        <v>28.0</v>
      </c>
      <c r="C940" s="55" t="s">
        <v>7685</v>
      </c>
      <c r="D940" s="56">
        <v>2.42510249E8</v>
      </c>
      <c r="E940" s="32" t="s">
        <v>5189</v>
      </c>
      <c r="F940" s="32" t="s">
        <v>220</v>
      </c>
      <c r="G940" s="12">
        <v>32.0</v>
      </c>
      <c r="H940" s="48" t="str">
        <f t="shared" si="4"/>
        <v>  XI F-2</v>
      </c>
      <c r="I940" s="28" t="str">
        <f t="shared" si="2"/>
        <v>33 - BC X-4</v>
      </c>
      <c r="J940" s="20" t="str">
        <f>VLOOKUP(I940,'Database Grup SCC'!$B$2:$C1382,2,false)</f>
        <v>Arumbinang</v>
      </c>
      <c r="K940" s="50" t="str">
        <f>VLOOKUP(D940,'Data Siswa Mentah 32 Kelas X'!$C$8:$E1382,3,false)</f>
        <v>X-4</v>
      </c>
      <c r="L940" s="50" t="s">
        <v>7631</v>
      </c>
      <c r="M940" s="50"/>
      <c r="N940" s="33" t="s">
        <v>5628</v>
      </c>
      <c r="O940" s="34"/>
      <c r="P940" s="34"/>
      <c r="Q940" s="24" t="str">
        <f t="shared" si="3"/>
        <v>https://docs.google.com/forms/d/e/1FAIpQLSeZ-R1GrWlAPkfaThGqxeTj0QTtrARw4rroxIIepf2kipn1nw/formResponse?usp=pp_url&amp;entry.1313582257=0091624427&amp;entry.1578404635=Hadir</v>
      </c>
      <c r="R940" s="23" t="s">
        <v>7686</v>
      </c>
      <c r="S940" s="39"/>
      <c r="T940" s="39"/>
      <c r="U940" s="39"/>
      <c r="V940" s="39"/>
    </row>
    <row r="941" ht="22.5" customHeight="1">
      <c r="A941" s="12">
        <v>553.0</v>
      </c>
      <c r="B941" s="32">
        <v>29.0</v>
      </c>
      <c r="C941" s="55" t="s">
        <v>7687</v>
      </c>
      <c r="D941" s="56">
        <v>2.42510267E8</v>
      </c>
      <c r="E941" s="32" t="s">
        <v>5194</v>
      </c>
      <c r="F941" s="32" t="s">
        <v>220</v>
      </c>
      <c r="G941" s="12">
        <v>32.0</v>
      </c>
      <c r="H941" s="48" t="str">
        <f t="shared" si="4"/>
        <v>  XI F-2</v>
      </c>
      <c r="I941" s="28" t="str">
        <f t="shared" si="2"/>
        <v>32 - BC X-12</v>
      </c>
      <c r="J941" s="20" t="str">
        <f>VLOOKUP(I941,'Database Grup SCC'!$B$2:$C1382,2,false)</f>
        <v>Syafiq</v>
      </c>
      <c r="K941" s="50" t="str">
        <f>VLOOKUP(D941,'Data Siswa Mentah 32 Kelas X'!$C$8:$E1382,3,false)</f>
        <v>X-12</v>
      </c>
      <c r="L941" s="50" t="s">
        <v>7631</v>
      </c>
      <c r="M941" s="50"/>
      <c r="N941" s="33" t="s">
        <v>6951</v>
      </c>
      <c r="O941" s="34"/>
      <c r="P941" s="34"/>
      <c r="Q941" s="24" t="str">
        <f t="shared" si="3"/>
        <v>https://docs.google.com/forms/d/e/1FAIpQLSeZ-R1GrWlAPkfaThGqxeTj0QTtrARw4rroxIIepf2kipn1nw/formResponse?usp=pp_url&amp;entry.1313582257=0083876462&amp;entry.1578404635=Hadir</v>
      </c>
      <c r="R941" s="23" t="s">
        <v>7688</v>
      </c>
      <c r="S941" s="39"/>
      <c r="T941" s="39"/>
      <c r="U941" s="39"/>
      <c r="V941" s="39"/>
    </row>
    <row r="942" ht="22.5" customHeight="1">
      <c r="A942" s="12">
        <v>554.0</v>
      </c>
      <c r="B942" s="32">
        <v>31.0</v>
      </c>
      <c r="C942" s="55" t="s">
        <v>7689</v>
      </c>
      <c r="D942" s="56">
        <v>2.42510276E8</v>
      </c>
      <c r="E942" s="32" t="s">
        <v>5199</v>
      </c>
      <c r="F942" s="32" t="s">
        <v>220</v>
      </c>
      <c r="G942" s="12">
        <v>32.0</v>
      </c>
      <c r="H942" s="48" t="str">
        <f t="shared" si="4"/>
        <v>  XI F-2</v>
      </c>
      <c r="I942" s="28" t="str">
        <f t="shared" si="2"/>
        <v>33 - BC X-3</v>
      </c>
      <c r="J942" s="20" t="str">
        <f>VLOOKUP(I942,'Database Grup SCC'!$B$2:$C1382,2,false)</f>
        <v>Angga</v>
      </c>
      <c r="K942" s="50" t="str">
        <f>VLOOKUP(D942,'Data Siswa Mentah 32 Kelas X'!$C$8:$E1382,3,false)</f>
        <v>X-3</v>
      </c>
      <c r="L942" s="50" t="s">
        <v>7631</v>
      </c>
      <c r="M942" s="50"/>
      <c r="N942" s="33" t="s">
        <v>5507</v>
      </c>
      <c r="O942" s="34"/>
      <c r="P942" s="34"/>
      <c r="Q942" s="24" t="str">
        <f t="shared" si="3"/>
        <v>https://docs.google.com/forms/d/e/1FAIpQLSeZ-R1GrWlAPkfaThGqxeTj0QTtrARw4rroxIIepf2kipn1nw/formResponse?usp=pp_url&amp;entry.1313582257=0082604990&amp;entry.1578404635=Hadir</v>
      </c>
      <c r="R942" s="23" t="s">
        <v>7690</v>
      </c>
      <c r="S942" s="39"/>
      <c r="T942" s="39"/>
      <c r="U942" s="39"/>
      <c r="V942" s="39"/>
    </row>
    <row r="943" ht="22.5" customHeight="1">
      <c r="A943" s="12">
        <v>555.0</v>
      </c>
      <c r="B943" s="32">
        <v>32.0</v>
      </c>
      <c r="C943" s="55" t="s">
        <v>7691</v>
      </c>
      <c r="D943" s="56">
        <v>2.42510307E8</v>
      </c>
      <c r="E943" s="32" t="s">
        <v>5204</v>
      </c>
      <c r="F943" s="32" t="s">
        <v>227</v>
      </c>
      <c r="G943" s="12">
        <v>32.0</v>
      </c>
      <c r="H943" s="48" t="str">
        <f t="shared" si="4"/>
        <v>  XI F-2</v>
      </c>
      <c r="I943" s="28" t="str">
        <f t="shared" si="2"/>
        <v>32 - GC X-8</v>
      </c>
      <c r="J943" s="20" t="str">
        <f>VLOOKUP(I943,'Database Grup SCC'!$B$2:$C1382,2,false)</f>
        <v>Amel (XII)</v>
      </c>
      <c r="K943" s="50" t="str">
        <f>VLOOKUP(D943,'Data Siswa Mentah 32 Kelas X'!$C$8:$E1382,3,false)</f>
        <v>X-8</v>
      </c>
      <c r="L943" s="50" t="s">
        <v>7631</v>
      </c>
      <c r="M943" s="50"/>
      <c r="N943" s="33" t="s">
        <v>6858</v>
      </c>
      <c r="O943" s="34"/>
      <c r="P943" s="34"/>
      <c r="Q943" s="24" t="str">
        <f t="shared" si="3"/>
        <v>https://docs.google.com/forms/d/e/1FAIpQLSeZ-R1GrWlAPkfaThGqxeTj0QTtrARw4rroxIIepf2kipn1nw/formResponse?usp=pp_url&amp;entry.1313582257=0087043705&amp;entry.1578404635=Hadir</v>
      </c>
      <c r="R943" s="23" t="s">
        <v>7692</v>
      </c>
      <c r="S943" s="39"/>
      <c r="T943" s="39"/>
      <c r="U943" s="39"/>
      <c r="V943" s="39"/>
    </row>
    <row r="944" ht="22.5" customHeight="1">
      <c r="A944" s="12">
        <v>556.0</v>
      </c>
      <c r="B944" s="32">
        <v>33.0</v>
      </c>
      <c r="C944" s="55" t="s">
        <v>7693</v>
      </c>
      <c r="D944" s="56">
        <v>2.42510316E8</v>
      </c>
      <c r="E944" s="32" t="s">
        <v>5210</v>
      </c>
      <c r="F944" s="32" t="s">
        <v>227</v>
      </c>
      <c r="G944" s="12">
        <v>32.0</v>
      </c>
      <c r="H944" s="48" t="str">
        <f t="shared" si="4"/>
        <v>  XI F-2</v>
      </c>
      <c r="I944" s="28" t="str">
        <f t="shared" si="2"/>
        <v>32 - GC X-2</v>
      </c>
      <c r="J944" s="20" t="str">
        <f>VLOOKUP(I944,'Database Grup SCC'!$B$2:$C1382,2,false)</f>
        <v>Iga</v>
      </c>
      <c r="K944" s="50" t="str">
        <f>VLOOKUP(D944,'Data Siswa Mentah 32 Kelas X'!$C$8:$E1382,3,false)</f>
        <v>X-2</v>
      </c>
      <c r="L944" s="50" t="s">
        <v>7631</v>
      </c>
      <c r="M944" s="50"/>
      <c r="N944" s="33" t="s">
        <v>6921</v>
      </c>
      <c r="O944" s="34"/>
      <c r="P944" s="34"/>
      <c r="Q944" s="24" t="str">
        <f t="shared" si="3"/>
        <v>https://docs.google.com/forms/d/e/1FAIpQLSeZ-R1GrWlAPkfaThGqxeTj0QTtrARw4rroxIIepf2kipn1nw/formResponse?usp=pp_url&amp;entry.1313582257=0081683598&amp;entry.1578404635=Hadir</v>
      </c>
      <c r="R944" s="23" t="s">
        <v>7694</v>
      </c>
      <c r="S944" s="39"/>
      <c r="T944" s="39"/>
      <c r="U944" s="39"/>
      <c r="V944" s="39"/>
    </row>
    <row r="945" ht="22.5" customHeight="1">
      <c r="A945" s="12">
        <v>557.0</v>
      </c>
      <c r="B945" s="32">
        <v>34.0</v>
      </c>
      <c r="C945" s="55" t="s">
        <v>7695</v>
      </c>
      <c r="D945" s="56">
        <v>2.52611572E8</v>
      </c>
      <c r="E945" s="32" t="s">
        <v>5215</v>
      </c>
      <c r="F945" s="32" t="s">
        <v>220</v>
      </c>
      <c r="G945" s="12">
        <v>32.0</v>
      </c>
      <c r="H945" s="48" t="str">
        <f t="shared" si="4"/>
        <v>  XI F-2</v>
      </c>
      <c r="I945" s="28" t="str">
        <f t="shared" si="2"/>
        <v/>
      </c>
      <c r="J945" s="20" t="str">
        <f>VLOOKUP(I945,'Database Grup SCC'!$B$2:$C1382,2,false)</f>
        <v>#N/A</v>
      </c>
      <c r="K945" s="50" t="s">
        <v>7050</v>
      </c>
      <c r="L945" s="50" t="s">
        <v>7631</v>
      </c>
      <c r="M945" s="50"/>
      <c r="N945" s="35"/>
      <c r="O945" s="34"/>
      <c r="P945" s="34"/>
      <c r="Q945" s="24" t="str">
        <f t="shared" si="3"/>
        <v>https://docs.google.com/forms/d/e/1FAIpQLSeZ-R1GrWlAPkfaThGqxeTj0QTtrARw4rroxIIepf2kipn1nw/formResponse?usp=pp_url&amp;entry.1313582257=0094092301&amp;entry.1578404635=Hadir</v>
      </c>
      <c r="R945" s="23" t="s">
        <v>7696</v>
      </c>
      <c r="S945" s="39"/>
      <c r="T945" s="39"/>
      <c r="U945" s="39"/>
      <c r="V945" s="39"/>
    </row>
    <row r="946" ht="22.5" customHeight="1">
      <c r="A946" s="12">
        <v>558.0</v>
      </c>
      <c r="B946" s="32">
        <v>35.0</v>
      </c>
      <c r="C946" s="55" t="s">
        <v>7697</v>
      </c>
      <c r="D946" s="56">
        <v>2.52611573E8</v>
      </c>
      <c r="E946" s="32" t="s">
        <v>5220</v>
      </c>
      <c r="F946" s="32" t="s">
        <v>227</v>
      </c>
      <c r="G946" s="12">
        <v>32.0</v>
      </c>
      <c r="H946" s="48" t="str">
        <f t="shared" si="4"/>
        <v>  XI F-2</v>
      </c>
      <c r="I946" s="28" t="str">
        <f t="shared" si="2"/>
        <v/>
      </c>
      <c r="J946" s="20" t="str">
        <f>VLOOKUP(I946,'Database Grup SCC'!$B$2:$C1382,2,false)</f>
        <v>#N/A</v>
      </c>
      <c r="K946" s="50" t="s">
        <v>7050</v>
      </c>
      <c r="L946" s="50" t="s">
        <v>7631</v>
      </c>
      <c r="M946" s="50"/>
      <c r="N946" s="35"/>
      <c r="O946" s="34"/>
      <c r="P946" s="34"/>
      <c r="Q946" s="24" t="str">
        <f t="shared" si="3"/>
        <v>https://docs.google.com/forms/d/e/1FAIpQLSeZ-R1GrWlAPkfaThGqxeTj0QTtrARw4rroxIIepf2kipn1nw/formResponse?usp=pp_url&amp;entry.1313582257=0092685479&amp;entry.1578404635=Hadir</v>
      </c>
      <c r="R946" s="23" t="s">
        <v>7698</v>
      </c>
      <c r="S946" s="39"/>
      <c r="T946" s="39"/>
      <c r="U946" s="39"/>
      <c r="V946" s="39"/>
    </row>
    <row r="947" ht="22.5" customHeight="1">
      <c r="A947" s="12">
        <v>559.0</v>
      </c>
      <c r="B947" s="32">
        <v>36.0</v>
      </c>
      <c r="C947" s="55" t="s">
        <v>7699</v>
      </c>
      <c r="D947" s="56">
        <v>2.42510364E8</v>
      </c>
      <c r="E947" s="32" t="s">
        <v>5225</v>
      </c>
      <c r="F947" s="32" t="s">
        <v>227</v>
      </c>
      <c r="G947" s="12">
        <v>32.0</v>
      </c>
      <c r="H947" s="48" t="str">
        <f t="shared" si="4"/>
        <v>  XI F-2</v>
      </c>
      <c r="I947" s="28" t="str">
        <f t="shared" si="2"/>
        <v>32 - GC X-3</v>
      </c>
      <c r="J947" s="20" t="str">
        <f>VLOOKUP(I947,'Database Grup SCC'!$B$2:$C1382,2,false)</f>
        <v>Devi</v>
      </c>
      <c r="K947" s="50" t="str">
        <f>VLOOKUP(D947,'Data Siswa Mentah 32 Kelas X'!$C$8:$E1382,3,false)</f>
        <v>X-3</v>
      </c>
      <c r="L947" s="50" t="s">
        <v>7631</v>
      </c>
      <c r="M947" s="50"/>
      <c r="N947" s="33" t="s">
        <v>6879</v>
      </c>
      <c r="O947" s="34"/>
      <c r="P947" s="34"/>
      <c r="Q947" s="24" t="str">
        <f t="shared" si="3"/>
        <v>https://docs.google.com/forms/d/e/1FAIpQLSeZ-R1GrWlAPkfaThGqxeTj0QTtrARw4rroxIIepf2kipn1nw/formResponse?usp=pp_url&amp;entry.1313582257=0095319720&amp;entry.1578404635=Hadir</v>
      </c>
      <c r="R947" s="23" t="s">
        <v>7700</v>
      </c>
      <c r="S947" s="39"/>
      <c r="T947" s="39"/>
      <c r="U947" s="39"/>
      <c r="V947" s="39"/>
    </row>
    <row r="948" ht="22.5" customHeight="1">
      <c r="A948" s="12">
        <v>560.0</v>
      </c>
      <c r="B948" s="32">
        <v>37.0</v>
      </c>
      <c r="C948" s="55" t="s">
        <v>7701</v>
      </c>
      <c r="D948" s="56">
        <v>2.425104E8</v>
      </c>
      <c r="E948" s="32" t="s">
        <v>5230</v>
      </c>
      <c r="F948" s="32" t="s">
        <v>227</v>
      </c>
      <c r="G948" s="12">
        <v>32.0</v>
      </c>
      <c r="H948" s="48" t="str">
        <f t="shared" si="4"/>
        <v>  XI F-2</v>
      </c>
      <c r="I948" s="28" t="str">
        <f t="shared" si="2"/>
        <v>32 - GC X-6</v>
      </c>
      <c r="J948" s="20" t="str">
        <f>VLOOKUP(I948,'Database Grup SCC'!$B$2:$C1382,2,false)</f>
        <v>Zalika</v>
      </c>
      <c r="K948" s="50" t="str">
        <f>VLOOKUP(D948,'Data Siswa Mentah 32 Kelas X'!$C$8:$E1382,3,false)</f>
        <v>X-6</v>
      </c>
      <c r="L948" s="50" t="s">
        <v>7631</v>
      </c>
      <c r="M948" s="50"/>
      <c r="N948" s="33" t="s">
        <v>6924</v>
      </c>
      <c r="O948" s="34"/>
      <c r="P948" s="34"/>
      <c r="Q948" s="24" t="str">
        <f t="shared" si="3"/>
        <v>https://docs.google.com/forms/d/e/1FAIpQLSeZ-R1GrWlAPkfaThGqxeTj0QTtrARw4rroxIIepf2kipn1nw/formResponse?usp=pp_url&amp;entry.1313582257=0084006956&amp;entry.1578404635=Hadir</v>
      </c>
      <c r="R948" s="23" t="s">
        <v>7702</v>
      </c>
      <c r="S948" s="39"/>
      <c r="T948" s="39"/>
      <c r="U948" s="39"/>
      <c r="V948" s="39"/>
    </row>
    <row r="949" ht="22.5" customHeight="1">
      <c r="A949" s="18">
        <v>15.0</v>
      </c>
      <c r="B949" s="36">
        <v>1.0</v>
      </c>
      <c r="C949" s="36" t="s">
        <v>7703</v>
      </c>
      <c r="D949" s="47">
        <v>2.3241003E8</v>
      </c>
      <c r="E949" s="36" t="s">
        <v>7704</v>
      </c>
      <c r="F949" s="36" t="s">
        <v>227</v>
      </c>
      <c r="G949" s="12">
        <v>31.0</v>
      </c>
      <c r="H949" s="57" t="str">
        <f t="shared" ref="H949:H1380" si="5">K949</f>
        <v/>
      </c>
      <c r="I949" s="29" t="s">
        <v>7705</v>
      </c>
      <c r="J949" s="20" t="str">
        <f>VLOOKUP(I949,'Database Grup SCC'!$B$2:$C1382,2,false)</f>
        <v>-</v>
      </c>
      <c r="K949" s="50"/>
      <c r="L949" s="58" t="s">
        <v>6820</v>
      </c>
      <c r="M949" s="58" t="s">
        <v>7706</v>
      </c>
      <c r="N949" s="35"/>
      <c r="O949" s="34"/>
      <c r="P949" s="34"/>
      <c r="Q949" s="12" t="str">
        <f t="shared" ref="Q949:Q1380" si="6">"https://docs.google.com/forms/d/e/1FAIpQLSeZ-R1GrWlAPkfaThGqxeTj0QTtrARw4rroxIIepf2kipn1nw/formResponse?usp=pp_url&amp;entry.1313582257="&amp;#REF!&amp;"&amp;entry.1578404635=Hadir"</f>
        <v>#REF!</v>
      </c>
      <c r="R949" s="39" t="e">
        <v>#REF!</v>
      </c>
      <c r="S949" s="39"/>
      <c r="T949" s="39"/>
      <c r="U949" s="39"/>
      <c r="V949" s="39"/>
    </row>
    <row r="950" ht="22.5" customHeight="1">
      <c r="A950" s="18">
        <v>16.0</v>
      </c>
      <c r="B950" s="36">
        <v>2.0</v>
      </c>
      <c r="C950" s="59" t="s">
        <v>7707</v>
      </c>
      <c r="D950" s="47">
        <v>2.32410047E8</v>
      </c>
      <c r="E950" s="36" t="s">
        <v>7708</v>
      </c>
      <c r="F950" s="36" t="s">
        <v>227</v>
      </c>
      <c r="G950" s="12">
        <v>31.0</v>
      </c>
      <c r="H950" s="57" t="str">
        <f t="shared" si="5"/>
        <v/>
      </c>
      <c r="I950" s="29" t="s">
        <v>7705</v>
      </c>
      <c r="J950" s="20" t="str">
        <f>VLOOKUP(I950,'Database Grup SCC'!$B$2:$C1382,2,false)</f>
        <v>-</v>
      </c>
      <c r="K950" s="50"/>
      <c r="L950" s="50"/>
      <c r="M950" s="50"/>
      <c r="N950" s="35"/>
      <c r="O950" s="34"/>
      <c r="P950" s="34"/>
      <c r="Q950" s="12" t="str">
        <f t="shared" si="6"/>
        <v>#REF!</v>
      </c>
      <c r="R950" s="39" t="e">
        <v>#REF!</v>
      </c>
      <c r="S950" s="39"/>
      <c r="T950" s="39"/>
      <c r="U950" s="39"/>
      <c r="V950" s="39"/>
    </row>
    <row r="951" ht="22.5" customHeight="1">
      <c r="A951" s="18">
        <v>17.0</v>
      </c>
      <c r="B951" s="36">
        <v>3.0</v>
      </c>
      <c r="C951" s="36" t="s">
        <v>7709</v>
      </c>
      <c r="D951" s="47">
        <v>2.32410054E8</v>
      </c>
      <c r="E951" s="36" t="s">
        <v>7710</v>
      </c>
      <c r="F951" s="36" t="s">
        <v>220</v>
      </c>
      <c r="G951" s="12">
        <v>31.0</v>
      </c>
      <c r="H951" s="57" t="str">
        <f t="shared" si="5"/>
        <v/>
      </c>
      <c r="I951" s="29" t="s">
        <v>7705</v>
      </c>
      <c r="J951" s="20" t="str">
        <f>VLOOKUP(I951,'Database Grup SCC'!$B$2:$C1382,2,false)</f>
        <v>-</v>
      </c>
      <c r="K951" s="50"/>
      <c r="L951" s="50"/>
      <c r="M951" s="50"/>
      <c r="N951" s="35"/>
      <c r="O951" s="34"/>
      <c r="P951" s="34"/>
      <c r="Q951" s="12" t="str">
        <f t="shared" si="6"/>
        <v>#REF!</v>
      </c>
      <c r="R951" s="39" t="e">
        <v>#REF!</v>
      </c>
      <c r="S951" s="39"/>
      <c r="T951" s="39"/>
      <c r="U951" s="39"/>
      <c r="V951" s="39"/>
    </row>
    <row r="952" ht="22.5" customHeight="1">
      <c r="A952" s="18">
        <v>18.0</v>
      </c>
      <c r="B952" s="36">
        <v>4.0</v>
      </c>
      <c r="C952" s="59" t="s">
        <v>7711</v>
      </c>
      <c r="D952" s="47">
        <v>2.32410056E8</v>
      </c>
      <c r="E952" s="36" t="s">
        <v>7712</v>
      </c>
      <c r="F952" s="36" t="s">
        <v>227</v>
      </c>
      <c r="G952" s="12">
        <v>31.0</v>
      </c>
      <c r="H952" s="57" t="str">
        <f t="shared" si="5"/>
        <v/>
      </c>
      <c r="I952" s="29" t="s">
        <v>7705</v>
      </c>
      <c r="J952" s="20" t="str">
        <f>VLOOKUP(I952,'Database Grup SCC'!$B$2:$C1382,2,false)</f>
        <v>-</v>
      </c>
      <c r="K952" s="50"/>
      <c r="L952" s="50"/>
      <c r="M952" s="50"/>
      <c r="N952" s="35"/>
      <c r="O952" s="34"/>
      <c r="P952" s="34"/>
      <c r="Q952" s="12" t="str">
        <f t="shared" si="6"/>
        <v>#REF!</v>
      </c>
      <c r="R952" s="39" t="e">
        <v>#REF!</v>
      </c>
      <c r="S952" s="39"/>
      <c r="T952" s="39"/>
      <c r="U952" s="39"/>
      <c r="V952" s="39"/>
    </row>
    <row r="953" ht="22.5" customHeight="1">
      <c r="A953" s="18">
        <v>19.0</v>
      </c>
      <c r="B953" s="36">
        <v>5.0</v>
      </c>
      <c r="C953" s="59" t="s">
        <v>7713</v>
      </c>
      <c r="D953" s="47">
        <v>2.32410066E8</v>
      </c>
      <c r="E953" s="36" t="s">
        <v>7714</v>
      </c>
      <c r="F953" s="36" t="s">
        <v>227</v>
      </c>
      <c r="G953" s="12">
        <v>31.0</v>
      </c>
      <c r="H953" s="57" t="str">
        <f t="shared" si="5"/>
        <v/>
      </c>
      <c r="I953" s="29" t="s">
        <v>7705</v>
      </c>
      <c r="J953" s="20" t="str">
        <f>VLOOKUP(I953,'Database Grup SCC'!$B$2:$C1382,2,false)</f>
        <v>-</v>
      </c>
      <c r="K953" s="50"/>
      <c r="L953" s="50"/>
      <c r="M953" s="50"/>
      <c r="N953" s="35"/>
      <c r="O953" s="34"/>
      <c r="P953" s="34"/>
      <c r="Q953" s="12" t="str">
        <f t="shared" si="6"/>
        <v>#REF!</v>
      </c>
      <c r="R953" s="39" t="e">
        <v>#REF!</v>
      </c>
      <c r="S953" s="39"/>
      <c r="T953" s="39"/>
      <c r="U953" s="39"/>
      <c r="V953" s="39"/>
    </row>
    <row r="954" ht="22.5" customHeight="1">
      <c r="A954" s="18">
        <v>20.0</v>
      </c>
      <c r="B954" s="36">
        <v>6.0</v>
      </c>
      <c r="C954" s="59" t="s">
        <v>7715</v>
      </c>
      <c r="D954" s="47">
        <v>2.32410119E8</v>
      </c>
      <c r="E954" s="36" t="s">
        <v>7716</v>
      </c>
      <c r="F954" s="36" t="s">
        <v>227</v>
      </c>
      <c r="G954" s="12">
        <v>31.0</v>
      </c>
      <c r="H954" s="57" t="str">
        <f t="shared" si="5"/>
        <v/>
      </c>
      <c r="I954" s="29" t="s">
        <v>7705</v>
      </c>
      <c r="J954" s="20" t="str">
        <f>VLOOKUP(I954,'Database Grup SCC'!$B$2:$C1382,2,false)</f>
        <v>-</v>
      </c>
      <c r="K954" s="50"/>
      <c r="L954" s="50"/>
      <c r="M954" s="50"/>
      <c r="N954" s="35"/>
      <c r="O954" s="34"/>
      <c r="P954" s="34"/>
      <c r="Q954" s="12" t="str">
        <f t="shared" si="6"/>
        <v>#REF!</v>
      </c>
      <c r="R954" s="39" t="e">
        <v>#REF!</v>
      </c>
      <c r="S954" s="39"/>
      <c r="T954" s="39"/>
      <c r="U954" s="39"/>
      <c r="V954" s="39"/>
    </row>
    <row r="955" ht="22.5" customHeight="1">
      <c r="A955" s="18">
        <v>21.0</v>
      </c>
      <c r="B955" s="36">
        <v>7.0</v>
      </c>
      <c r="C955" s="59" t="s">
        <v>7717</v>
      </c>
      <c r="D955" s="47">
        <v>2.32410122E8</v>
      </c>
      <c r="E955" s="36" t="s">
        <v>7718</v>
      </c>
      <c r="F955" s="36" t="s">
        <v>227</v>
      </c>
      <c r="G955" s="12">
        <v>31.0</v>
      </c>
      <c r="H955" s="57" t="str">
        <f t="shared" si="5"/>
        <v/>
      </c>
      <c r="I955" s="29" t="s">
        <v>7705</v>
      </c>
      <c r="J955" s="20" t="str">
        <f>VLOOKUP(I955,'Database Grup SCC'!$B$2:$C1382,2,false)</f>
        <v>-</v>
      </c>
      <c r="K955" s="50"/>
      <c r="L955" s="50"/>
      <c r="M955" s="50"/>
      <c r="N955" s="35"/>
      <c r="O955" s="34"/>
      <c r="P955" s="34"/>
      <c r="Q955" s="12" t="str">
        <f t="shared" si="6"/>
        <v>#REF!</v>
      </c>
      <c r="R955" s="39" t="e">
        <v>#REF!</v>
      </c>
      <c r="S955" s="39"/>
      <c r="T955" s="39"/>
      <c r="U955" s="39"/>
      <c r="V955" s="39"/>
    </row>
    <row r="956" ht="22.5" customHeight="1">
      <c r="A956" s="18">
        <v>22.0</v>
      </c>
      <c r="B956" s="36">
        <v>8.0</v>
      </c>
      <c r="C956" s="59" t="s">
        <v>7719</v>
      </c>
      <c r="D956" s="47">
        <v>2.32410154E8</v>
      </c>
      <c r="E956" s="36" t="s">
        <v>7720</v>
      </c>
      <c r="F956" s="36" t="s">
        <v>227</v>
      </c>
      <c r="G956" s="12">
        <v>31.0</v>
      </c>
      <c r="H956" s="57" t="str">
        <f t="shared" si="5"/>
        <v/>
      </c>
      <c r="I956" s="29" t="s">
        <v>7705</v>
      </c>
      <c r="J956" s="20" t="str">
        <f>VLOOKUP(I956,'Database Grup SCC'!$B$2:$C1382,2,false)</f>
        <v>-</v>
      </c>
      <c r="K956" s="50"/>
      <c r="L956" s="50"/>
      <c r="M956" s="50"/>
      <c r="N956" s="35"/>
      <c r="O956" s="34"/>
      <c r="P956" s="34"/>
      <c r="Q956" s="12" t="str">
        <f t="shared" si="6"/>
        <v>#REF!</v>
      </c>
      <c r="R956" s="39" t="e">
        <v>#REF!</v>
      </c>
      <c r="S956" s="39"/>
      <c r="T956" s="39"/>
      <c r="U956" s="39"/>
      <c r="V956" s="39"/>
    </row>
    <row r="957" ht="22.5" customHeight="1">
      <c r="A957" s="18">
        <v>23.0</v>
      </c>
      <c r="B957" s="36">
        <v>9.0</v>
      </c>
      <c r="C957" s="59" t="s">
        <v>7721</v>
      </c>
      <c r="D957" s="47">
        <v>2.32410178E8</v>
      </c>
      <c r="E957" s="36" t="s">
        <v>7722</v>
      </c>
      <c r="F957" s="36" t="s">
        <v>227</v>
      </c>
      <c r="G957" s="12">
        <v>31.0</v>
      </c>
      <c r="H957" s="57" t="str">
        <f t="shared" si="5"/>
        <v/>
      </c>
      <c r="I957" s="29" t="s">
        <v>7705</v>
      </c>
      <c r="J957" s="20" t="str">
        <f>VLOOKUP(I957,'Database Grup SCC'!$B$2:$C1382,2,false)</f>
        <v>-</v>
      </c>
      <c r="K957" s="50"/>
      <c r="L957" s="50"/>
      <c r="M957" s="50"/>
      <c r="N957" s="35"/>
      <c r="O957" s="34"/>
      <c r="P957" s="34"/>
      <c r="Q957" s="12" t="str">
        <f t="shared" si="6"/>
        <v>#REF!</v>
      </c>
      <c r="R957" s="39" t="e">
        <v>#REF!</v>
      </c>
      <c r="S957" s="39"/>
      <c r="T957" s="39"/>
      <c r="U957" s="39"/>
      <c r="V957" s="39"/>
    </row>
    <row r="958" ht="22.5" customHeight="1">
      <c r="A958" s="18">
        <v>24.0</v>
      </c>
      <c r="B958" s="36">
        <v>10.0</v>
      </c>
      <c r="C958" s="59" t="s">
        <v>7723</v>
      </c>
      <c r="D958" s="47">
        <v>2.32410182E8</v>
      </c>
      <c r="E958" s="36" t="s">
        <v>7724</v>
      </c>
      <c r="F958" s="36" t="s">
        <v>227</v>
      </c>
      <c r="G958" s="12">
        <v>31.0</v>
      </c>
      <c r="H958" s="57" t="str">
        <f t="shared" si="5"/>
        <v/>
      </c>
      <c r="I958" s="29" t="s">
        <v>7705</v>
      </c>
      <c r="J958" s="20" t="str">
        <f>VLOOKUP(I958,'Database Grup SCC'!$B$2:$C1382,2,false)</f>
        <v>-</v>
      </c>
      <c r="K958" s="50"/>
      <c r="L958" s="50"/>
      <c r="M958" s="50"/>
      <c r="N958" s="35"/>
      <c r="O958" s="34"/>
      <c r="P958" s="34"/>
      <c r="Q958" s="12" t="str">
        <f t="shared" si="6"/>
        <v>#REF!</v>
      </c>
      <c r="R958" s="39" t="e">
        <v>#REF!</v>
      </c>
      <c r="S958" s="39"/>
      <c r="T958" s="39"/>
      <c r="U958" s="39"/>
      <c r="V958" s="39"/>
    </row>
    <row r="959" ht="22.5" customHeight="1">
      <c r="A959" s="18">
        <v>25.0</v>
      </c>
      <c r="B959" s="36">
        <v>11.0</v>
      </c>
      <c r="C959" s="59" t="s">
        <v>7725</v>
      </c>
      <c r="D959" s="47">
        <v>2.32410209E8</v>
      </c>
      <c r="E959" s="36" t="s">
        <v>7726</v>
      </c>
      <c r="F959" s="36" t="s">
        <v>227</v>
      </c>
      <c r="G959" s="12">
        <v>31.0</v>
      </c>
      <c r="H959" s="57" t="str">
        <f t="shared" si="5"/>
        <v/>
      </c>
      <c r="I959" s="29" t="s">
        <v>7705</v>
      </c>
      <c r="J959" s="20" t="str">
        <f>VLOOKUP(I959,'Database Grup SCC'!$B$2:$C1382,2,false)</f>
        <v>-</v>
      </c>
      <c r="K959" s="50"/>
      <c r="L959" s="50"/>
      <c r="M959" s="50"/>
      <c r="N959" s="35"/>
      <c r="O959" s="34"/>
      <c r="P959" s="34"/>
      <c r="Q959" s="12" t="str">
        <f t="shared" si="6"/>
        <v>#REF!</v>
      </c>
      <c r="R959" s="39" t="e">
        <v>#REF!</v>
      </c>
      <c r="S959" s="39"/>
      <c r="T959" s="39"/>
      <c r="U959" s="39"/>
      <c r="V959" s="39"/>
    </row>
    <row r="960" ht="22.5" customHeight="1">
      <c r="A960" s="18">
        <v>26.0</v>
      </c>
      <c r="B960" s="36">
        <v>12.0</v>
      </c>
      <c r="C960" s="59" t="s">
        <v>7727</v>
      </c>
      <c r="D960" s="47">
        <v>2.32410226E8</v>
      </c>
      <c r="E960" s="36" t="s">
        <v>7728</v>
      </c>
      <c r="F960" s="36" t="s">
        <v>227</v>
      </c>
      <c r="G960" s="12">
        <v>31.0</v>
      </c>
      <c r="H960" s="57" t="str">
        <f t="shared" si="5"/>
        <v/>
      </c>
      <c r="I960" s="29" t="s">
        <v>7705</v>
      </c>
      <c r="J960" s="20" t="str">
        <f>VLOOKUP(I960,'Database Grup SCC'!$B$2:$C1382,2,false)</f>
        <v>-</v>
      </c>
      <c r="K960" s="50"/>
      <c r="L960" s="50"/>
      <c r="M960" s="50"/>
      <c r="N960" s="35"/>
      <c r="O960" s="34"/>
      <c r="P960" s="34"/>
      <c r="Q960" s="12" t="str">
        <f t="shared" si="6"/>
        <v>#REF!</v>
      </c>
      <c r="R960" s="39" t="e">
        <v>#REF!</v>
      </c>
      <c r="S960" s="39"/>
      <c r="T960" s="39"/>
      <c r="U960" s="39"/>
      <c r="V960" s="39"/>
    </row>
    <row r="961" ht="22.5" customHeight="1">
      <c r="A961" s="18">
        <v>27.0</v>
      </c>
      <c r="B961" s="36">
        <v>13.0</v>
      </c>
      <c r="C961" s="59" t="s">
        <v>7729</v>
      </c>
      <c r="D961" s="47">
        <v>2.32410227E8</v>
      </c>
      <c r="E961" s="36" t="s">
        <v>7730</v>
      </c>
      <c r="F961" s="36" t="s">
        <v>227</v>
      </c>
      <c r="G961" s="12">
        <v>31.0</v>
      </c>
      <c r="H961" s="57" t="str">
        <f t="shared" si="5"/>
        <v/>
      </c>
      <c r="I961" s="29" t="s">
        <v>7705</v>
      </c>
      <c r="J961" s="20" t="str">
        <f>VLOOKUP(I961,'Database Grup SCC'!$B$2:$C1382,2,false)</f>
        <v>-</v>
      </c>
      <c r="K961" s="50"/>
      <c r="L961" s="50"/>
      <c r="M961" s="50"/>
      <c r="N961" s="35"/>
      <c r="O961" s="34"/>
      <c r="P961" s="34"/>
      <c r="Q961" s="12" t="str">
        <f t="shared" si="6"/>
        <v>#REF!</v>
      </c>
      <c r="R961" s="39" t="e">
        <v>#REF!</v>
      </c>
      <c r="S961" s="39"/>
      <c r="T961" s="39"/>
      <c r="U961" s="39"/>
      <c r="V961" s="39"/>
    </row>
    <row r="962" ht="22.5" customHeight="1">
      <c r="A962" s="18">
        <v>28.0</v>
      </c>
      <c r="B962" s="36">
        <v>14.0</v>
      </c>
      <c r="C962" s="59" t="s">
        <v>7731</v>
      </c>
      <c r="D962" s="47">
        <v>2.32410236E8</v>
      </c>
      <c r="E962" s="36" t="s">
        <v>7732</v>
      </c>
      <c r="F962" s="36" t="s">
        <v>220</v>
      </c>
      <c r="G962" s="12">
        <v>31.0</v>
      </c>
      <c r="H962" s="57" t="str">
        <f t="shared" si="5"/>
        <v/>
      </c>
      <c r="I962" s="29" t="s">
        <v>7705</v>
      </c>
      <c r="J962" s="20" t="str">
        <f>VLOOKUP(I962,'Database Grup SCC'!$B$2:$C1382,2,false)</f>
        <v>-</v>
      </c>
      <c r="K962" s="50"/>
      <c r="L962" s="50"/>
      <c r="M962" s="50"/>
      <c r="N962" s="35"/>
      <c r="O962" s="34"/>
      <c r="P962" s="34"/>
      <c r="Q962" s="12" t="str">
        <f t="shared" si="6"/>
        <v>#REF!</v>
      </c>
      <c r="R962" s="39" t="e">
        <v>#REF!</v>
      </c>
      <c r="S962" s="39"/>
      <c r="T962" s="39"/>
      <c r="U962" s="39"/>
      <c r="V962" s="39"/>
    </row>
    <row r="963" ht="22.5" customHeight="1">
      <c r="A963" s="18">
        <v>29.0</v>
      </c>
      <c r="B963" s="36">
        <v>15.0</v>
      </c>
      <c r="C963" s="59" t="s">
        <v>7733</v>
      </c>
      <c r="D963" s="47">
        <v>2.32410229E8</v>
      </c>
      <c r="E963" s="36" t="s">
        <v>7734</v>
      </c>
      <c r="F963" s="36" t="s">
        <v>220</v>
      </c>
      <c r="G963" s="12">
        <v>31.0</v>
      </c>
      <c r="H963" s="57" t="str">
        <f t="shared" si="5"/>
        <v/>
      </c>
      <c r="I963" s="29" t="s">
        <v>7705</v>
      </c>
      <c r="J963" s="20" t="str">
        <f>VLOOKUP(I963,'Database Grup SCC'!$B$2:$C1382,2,false)</f>
        <v>-</v>
      </c>
      <c r="K963" s="50"/>
      <c r="L963" s="50"/>
      <c r="M963" s="50"/>
      <c r="N963" s="35"/>
      <c r="O963" s="34"/>
      <c r="P963" s="34"/>
      <c r="Q963" s="12" t="str">
        <f t="shared" si="6"/>
        <v>#REF!</v>
      </c>
      <c r="R963" s="39" t="e">
        <v>#REF!</v>
      </c>
      <c r="S963" s="39"/>
      <c r="T963" s="39"/>
      <c r="U963" s="39"/>
      <c r="V963" s="39"/>
    </row>
    <row r="964" ht="22.5" customHeight="1">
      <c r="A964" s="18">
        <v>30.0</v>
      </c>
      <c r="B964" s="36">
        <v>16.0</v>
      </c>
      <c r="C964" s="59" t="s">
        <v>7735</v>
      </c>
      <c r="D964" s="47">
        <v>2.3241024E8</v>
      </c>
      <c r="E964" s="36" t="s">
        <v>7736</v>
      </c>
      <c r="F964" s="36" t="s">
        <v>220</v>
      </c>
      <c r="G964" s="12">
        <v>31.0</v>
      </c>
      <c r="H964" s="57" t="str">
        <f t="shared" si="5"/>
        <v/>
      </c>
      <c r="I964" s="29" t="s">
        <v>7705</v>
      </c>
      <c r="J964" s="20" t="str">
        <f>VLOOKUP(I964,'Database Grup SCC'!$B$2:$C1382,2,false)</f>
        <v>-</v>
      </c>
      <c r="K964" s="50"/>
      <c r="L964" s="50"/>
      <c r="M964" s="50"/>
      <c r="N964" s="35"/>
      <c r="O964" s="34"/>
      <c r="P964" s="34"/>
      <c r="Q964" s="12" t="str">
        <f t="shared" si="6"/>
        <v>#REF!</v>
      </c>
      <c r="R964" s="39" t="e">
        <v>#REF!</v>
      </c>
      <c r="S964" s="39"/>
      <c r="T964" s="39"/>
      <c r="U964" s="39"/>
      <c r="V964" s="39"/>
    </row>
    <row r="965" ht="22.5" customHeight="1">
      <c r="A965" s="18">
        <v>31.0</v>
      </c>
      <c r="B965" s="36">
        <v>17.0</v>
      </c>
      <c r="C965" s="36" t="s">
        <v>7737</v>
      </c>
      <c r="D965" s="47">
        <v>2.32410228E8</v>
      </c>
      <c r="E965" s="36" t="s">
        <v>7738</v>
      </c>
      <c r="F965" s="36" t="s">
        <v>220</v>
      </c>
      <c r="G965" s="12">
        <v>31.0</v>
      </c>
      <c r="H965" s="57" t="str">
        <f t="shared" si="5"/>
        <v/>
      </c>
      <c r="I965" s="29" t="s">
        <v>7705</v>
      </c>
      <c r="J965" s="20" t="str">
        <f>VLOOKUP(I965,'Database Grup SCC'!$B$2:$C1382,2,false)</f>
        <v>-</v>
      </c>
      <c r="K965" s="50"/>
      <c r="L965" s="50"/>
      <c r="M965" s="50"/>
      <c r="N965" s="35"/>
      <c r="O965" s="34"/>
      <c r="P965" s="34"/>
      <c r="Q965" s="12" t="str">
        <f t="shared" si="6"/>
        <v>#REF!</v>
      </c>
      <c r="R965" s="39" t="e">
        <v>#REF!</v>
      </c>
      <c r="S965" s="39"/>
      <c r="T965" s="39"/>
      <c r="U965" s="39"/>
      <c r="V965" s="39"/>
    </row>
    <row r="966" ht="22.5" customHeight="1">
      <c r="A966" s="18">
        <v>32.0</v>
      </c>
      <c r="B966" s="36">
        <v>18.0</v>
      </c>
      <c r="C966" s="36" t="s">
        <v>7739</v>
      </c>
      <c r="D966" s="47">
        <v>2.32410271E8</v>
      </c>
      <c r="E966" s="38" t="s">
        <v>7740</v>
      </c>
      <c r="F966" s="36" t="s">
        <v>227</v>
      </c>
      <c r="G966" s="12">
        <v>31.0</v>
      </c>
      <c r="H966" s="57" t="str">
        <f t="shared" si="5"/>
        <v/>
      </c>
      <c r="I966" s="29" t="s">
        <v>7705</v>
      </c>
      <c r="J966" s="20" t="str">
        <f>VLOOKUP(I966,'Database Grup SCC'!$B$2:$C1382,2,false)</f>
        <v>-</v>
      </c>
      <c r="K966" s="50"/>
      <c r="L966" s="50"/>
      <c r="M966" s="50"/>
      <c r="N966" s="35"/>
      <c r="O966" s="34"/>
      <c r="P966" s="34"/>
      <c r="Q966" s="12" t="str">
        <f t="shared" si="6"/>
        <v>#REF!</v>
      </c>
      <c r="R966" s="39" t="e">
        <v>#REF!</v>
      </c>
      <c r="S966" s="39"/>
      <c r="T966" s="39"/>
      <c r="U966" s="39"/>
      <c r="V966" s="39"/>
    </row>
    <row r="967" ht="22.5" customHeight="1">
      <c r="A967" s="18">
        <v>33.0</v>
      </c>
      <c r="B967" s="36">
        <v>19.0</v>
      </c>
      <c r="C967" s="36" t="s">
        <v>7741</v>
      </c>
      <c r="D967" s="47">
        <v>2.32410273E8</v>
      </c>
      <c r="E967" s="36" t="s">
        <v>7742</v>
      </c>
      <c r="F967" s="36" t="s">
        <v>227</v>
      </c>
      <c r="G967" s="12">
        <v>31.0</v>
      </c>
      <c r="H967" s="57" t="str">
        <f t="shared" si="5"/>
        <v/>
      </c>
      <c r="I967" s="29" t="s">
        <v>7705</v>
      </c>
      <c r="J967" s="20" t="str">
        <f>VLOOKUP(I967,'Database Grup SCC'!$B$2:$C1382,2,false)</f>
        <v>-</v>
      </c>
      <c r="K967" s="50"/>
      <c r="L967" s="50"/>
      <c r="M967" s="50"/>
      <c r="N967" s="35"/>
      <c r="O967" s="34"/>
      <c r="P967" s="34"/>
      <c r="Q967" s="12" t="str">
        <f t="shared" si="6"/>
        <v>#REF!</v>
      </c>
      <c r="R967" s="39" t="e">
        <v>#REF!</v>
      </c>
      <c r="S967" s="39"/>
      <c r="T967" s="39"/>
      <c r="U967" s="39"/>
      <c r="V967" s="39"/>
    </row>
    <row r="968" ht="22.5" customHeight="1">
      <c r="A968" s="18">
        <v>34.0</v>
      </c>
      <c r="B968" s="36">
        <v>20.0</v>
      </c>
      <c r="C968" s="36" t="s">
        <v>7743</v>
      </c>
      <c r="D968" s="47">
        <v>2.32410292E8</v>
      </c>
      <c r="E968" s="36" t="s">
        <v>7744</v>
      </c>
      <c r="F968" s="36" t="s">
        <v>227</v>
      </c>
      <c r="G968" s="12">
        <v>31.0</v>
      </c>
      <c r="H968" s="57" t="str">
        <f t="shared" si="5"/>
        <v/>
      </c>
      <c r="I968" s="29" t="s">
        <v>7705</v>
      </c>
      <c r="J968" s="20" t="str">
        <f>VLOOKUP(I968,'Database Grup SCC'!$B$2:$C1382,2,false)</f>
        <v>-</v>
      </c>
      <c r="K968" s="50"/>
      <c r="L968" s="50"/>
      <c r="M968" s="50"/>
      <c r="N968" s="35"/>
      <c r="O968" s="34"/>
      <c r="P968" s="34"/>
      <c r="Q968" s="12" t="str">
        <f t="shared" si="6"/>
        <v>#REF!</v>
      </c>
      <c r="R968" s="39" t="e">
        <v>#REF!</v>
      </c>
      <c r="S968" s="39"/>
      <c r="T968" s="39"/>
      <c r="U968" s="39"/>
      <c r="V968" s="39"/>
    </row>
    <row r="969" ht="22.5" customHeight="1">
      <c r="A969" s="18">
        <v>35.0</v>
      </c>
      <c r="B969" s="36">
        <v>21.0</v>
      </c>
      <c r="C969" s="36" t="s">
        <v>7745</v>
      </c>
      <c r="D969" s="47">
        <v>2.32410299E8</v>
      </c>
      <c r="E969" s="36" t="s">
        <v>7746</v>
      </c>
      <c r="F969" s="36" t="s">
        <v>227</v>
      </c>
      <c r="G969" s="12">
        <v>31.0</v>
      </c>
      <c r="H969" s="57" t="str">
        <f t="shared" si="5"/>
        <v/>
      </c>
      <c r="I969" s="29" t="s">
        <v>7705</v>
      </c>
      <c r="J969" s="20" t="str">
        <f>VLOOKUP(I969,'Database Grup SCC'!$B$2:$C1382,2,false)</f>
        <v>-</v>
      </c>
      <c r="K969" s="50"/>
      <c r="L969" s="50"/>
      <c r="M969" s="50"/>
      <c r="N969" s="35"/>
      <c r="O969" s="34"/>
      <c r="P969" s="34"/>
      <c r="Q969" s="12" t="str">
        <f t="shared" si="6"/>
        <v>#REF!</v>
      </c>
      <c r="R969" s="39" t="e">
        <v>#REF!</v>
      </c>
      <c r="S969" s="39"/>
      <c r="T969" s="39"/>
      <c r="U969" s="39"/>
      <c r="V969" s="39"/>
    </row>
    <row r="970" ht="22.5" customHeight="1">
      <c r="A970" s="18">
        <v>36.0</v>
      </c>
      <c r="B970" s="36">
        <v>22.0</v>
      </c>
      <c r="C970" s="36" t="s">
        <v>7747</v>
      </c>
      <c r="D970" s="47">
        <v>2.32410302E8</v>
      </c>
      <c r="E970" s="36" t="s">
        <v>7748</v>
      </c>
      <c r="F970" s="36" t="s">
        <v>227</v>
      </c>
      <c r="G970" s="12">
        <v>31.0</v>
      </c>
      <c r="H970" s="57" t="str">
        <f t="shared" si="5"/>
        <v/>
      </c>
      <c r="I970" s="29" t="s">
        <v>7705</v>
      </c>
      <c r="J970" s="20" t="str">
        <f>VLOOKUP(I970,'Database Grup SCC'!$B$2:$C1382,2,false)</f>
        <v>-</v>
      </c>
      <c r="K970" s="50"/>
      <c r="L970" s="50"/>
      <c r="M970" s="50"/>
      <c r="N970" s="35"/>
      <c r="O970" s="34"/>
      <c r="P970" s="34"/>
      <c r="Q970" s="12" t="str">
        <f t="shared" si="6"/>
        <v>#REF!</v>
      </c>
      <c r="R970" s="39" t="e">
        <v>#REF!</v>
      </c>
      <c r="S970" s="39"/>
      <c r="T970" s="39"/>
      <c r="U970" s="39"/>
      <c r="V970" s="39"/>
    </row>
    <row r="971" ht="22.5" customHeight="1">
      <c r="A971" s="18">
        <v>37.0</v>
      </c>
      <c r="B971" s="36">
        <v>23.0</v>
      </c>
      <c r="C971" s="36" t="s">
        <v>7749</v>
      </c>
      <c r="D971" s="47">
        <v>2.32410306E8</v>
      </c>
      <c r="E971" s="36" t="s">
        <v>7750</v>
      </c>
      <c r="F971" s="36" t="s">
        <v>227</v>
      </c>
      <c r="G971" s="12">
        <v>31.0</v>
      </c>
      <c r="H971" s="57" t="str">
        <f t="shared" si="5"/>
        <v/>
      </c>
      <c r="I971" s="29" t="s">
        <v>7705</v>
      </c>
      <c r="J971" s="20" t="str">
        <f>VLOOKUP(I971,'Database Grup SCC'!$B$2:$C1382,2,false)</f>
        <v>-</v>
      </c>
      <c r="K971" s="50"/>
      <c r="L971" s="50"/>
      <c r="M971" s="50"/>
      <c r="N971" s="35"/>
      <c r="O971" s="34"/>
      <c r="P971" s="34"/>
      <c r="Q971" s="12" t="str">
        <f t="shared" si="6"/>
        <v>#REF!</v>
      </c>
      <c r="R971" s="39" t="e">
        <v>#REF!</v>
      </c>
      <c r="S971" s="39"/>
      <c r="T971" s="39"/>
      <c r="U971" s="39"/>
      <c r="V971" s="39"/>
    </row>
    <row r="972" ht="22.5" customHeight="1">
      <c r="A972" s="18">
        <v>38.0</v>
      </c>
      <c r="B972" s="36">
        <v>24.0</v>
      </c>
      <c r="C972" s="36" t="s">
        <v>7751</v>
      </c>
      <c r="D972" s="47">
        <v>2.32410318E8</v>
      </c>
      <c r="E972" s="36" t="s">
        <v>7752</v>
      </c>
      <c r="F972" s="36" t="s">
        <v>227</v>
      </c>
      <c r="G972" s="12">
        <v>31.0</v>
      </c>
      <c r="H972" s="57" t="str">
        <f t="shared" si="5"/>
        <v/>
      </c>
      <c r="I972" s="29" t="s">
        <v>7705</v>
      </c>
      <c r="J972" s="20" t="str">
        <f>VLOOKUP(I972,'Database Grup SCC'!$B$2:$C1382,2,false)</f>
        <v>-</v>
      </c>
      <c r="K972" s="50"/>
      <c r="L972" s="50"/>
      <c r="M972" s="50"/>
      <c r="N972" s="35"/>
      <c r="O972" s="34"/>
      <c r="P972" s="34"/>
      <c r="Q972" s="12" t="str">
        <f t="shared" si="6"/>
        <v>#REF!</v>
      </c>
      <c r="R972" s="39" t="e">
        <v>#REF!</v>
      </c>
      <c r="S972" s="39"/>
      <c r="T972" s="39"/>
      <c r="U972" s="39"/>
      <c r="V972" s="39"/>
    </row>
    <row r="973" ht="22.5" customHeight="1">
      <c r="A973" s="18">
        <v>39.0</v>
      </c>
      <c r="B973" s="36">
        <v>25.0</v>
      </c>
      <c r="C973" s="36" t="s">
        <v>7753</v>
      </c>
      <c r="D973" s="47">
        <v>2.32410322E8</v>
      </c>
      <c r="E973" s="36" t="s">
        <v>7754</v>
      </c>
      <c r="F973" s="36" t="s">
        <v>220</v>
      </c>
      <c r="G973" s="12">
        <v>31.0</v>
      </c>
      <c r="H973" s="57" t="str">
        <f t="shared" si="5"/>
        <v/>
      </c>
      <c r="I973" s="29" t="s">
        <v>7705</v>
      </c>
      <c r="J973" s="20" t="str">
        <f>VLOOKUP(I973,'Database Grup SCC'!$B$2:$C1382,2,false)</f>
        <v>-</v>
      </c>
      <c r="K973" s="50"/>
      <c r="L973" s="50"/>
      <c r="M973" s="50"/>
      <c r="N973" s="35"/>
      <c r="O973" s="34"/>
      <c r="P973" s="34"/>
      <c r="Q973" s="12" t="str">
        <f t="shared" si="6"/>
        <v>#REF!</v>
      </c>
      <c r="R973" s="39" t="e">
        <v>#REF!</v>
      </c>
      <c r="S973" s="39"/>
      <c r="T973" s="39"/>
      <c r="U973" s="39"/>
      <c r="V973" s="39"/>
    </row>
    <row r="974" ht="22.5" customHeight="1">
      <c r="A974" s="18">
        <v>40.0</v>
      </c>
      <c r="B974" s="36">
        <v>26.0</v>
      </c>
      <c r="C974" s="36" t="s">
        <v>7755</v>
      </c>
      <c r="D974" s="47">
        <v>2.32410338E8</v>
      </c>
      <c r="E974" s="36" t="s">
        <v>7756</v>
      </c>
      <c r="F974" s="36" t="s">
        <v>227</v>
      </c>
      <c r="G974" s="12">
        <v>31.0</v>
      </c>
      <c r="H974" s="57" t="str">
        <f t="shared" si="5"/>
        <v/>
      </c>
      <c r="I974" s="29" t="s">
        <v>7705</v>
      </c>
      <c r="J974" s="20" t="str">
        <f>VLOOKUP(I974,'Database Grup SCC'!$B$2:$C1382,2,false)</f>
        <v>-</v>
      </c>
      <c r="K974" s="50"/>
      <c r="L974" s="50"/>
      <c r="M974" s="50"/>
      <c r="N974" s="35"/>
      <c r="O974" s="34"/>
      <c r="P974" s="34"/>
      <c r="Q974" s="12" t="str">
        <f t="shared" si="6"/>
        <v>#REF!</v>
      </c>
      <c r="R974" s="39" t="e">
        <v>#REF!</v>
      </c>
      <c r="S974" s="39"/>
      <c r="T974" s="39"/>
      <c r="U974" s="39"/>
      <c r="V974" s="39"/>
    </row>
    <row r="975" ht="22.5" customHeight="1">
      <c r="A975" s="18">
        <v>41.0</v>
      </c>
      <c r="B975" s="36">
        <v>27.0</v>
      </c>
      <c r="C975" s="36" t="s">
        <v>7757</v>
      </c>
      <c r="D975" s="47">
        <v>2.32410357E8</v>
      </c>
      <c r="E975" s="36" t="s">
        <v>7758</v>
      </c>
      <c r="F975" s="36" t="s">
        <v>227</v>
      </c>
      <c r="G975" s="12">
        <v>31.0</v>
      </c>
      <c r="H975" s="57" t="str">
        <f t="shared" si="5"/>
        <v/>
      </c>
      <c r="I975" s="29" t="s">
        <v>7705</v>
      </c>
      <c r="J975" s="20" t="str">
        <f>VLOOKUP(I975,'Database Grup SCC'!$B$2:$C1382,2,false)</f>
        <v>-</v>
      </c>
      <c r="K975" s="50"/>
      <c r="L975" s="50"/>
      <c r="M975" s="50"/>
      <c r="N975" s="35"/>
      <c r="O975" s="34"/>
      <c r="P975" s="34"/>
      <c r="Q975" s="12" t="str">
        <f t="shared" si="6"/>
        <v>#REF!</v>
      </c>
      <c r="R975" s="39" t="e">
        <v>#REF!</v>
      </c>
      <c r="S975" s="39"/>
      <c r="T975" s="39"/>
      <c r="U975" s="39"/>
      <c r="V975" s="39"/>
    </row>
    <row r="976" ht="22.5" customHeight="1">
      <c r="A976" s="18">
        <v>42.0</v>
      </c>
      <c r="B976" s="36">
        <v>28.0</v>
      </c>
      <c r="C976" s="36" t="s">
        <v>7759</v>
      </c>
      <c r="D976" s="47">
        <v>2.32410362E8</v>
      </c>
      <c r="E976" s="36" t="s">
        <v>7760</v>
      </c>
      <c r="F976" s="36" t="s">
        <v>227</v>
      </c>
      <c r="G976" s="12">
        <v>31.0</v>
      </c>
      <c r="H976" s="57" t="str">
        <f t="shared" si="5"/>
        <v/>
      </c>
      <c r="I976" s="29" t="s">
        <v>7705</v>
      </c>
      <c r="J976" s="20" t="str">
        <f>VLOOKUP(I976,'Database Grup SCC'!$B$2:$C1382,2,false)</f>
        <v>-</v>
      </c>
      <c r="K976" s="50"/>
      <c r="L976" s="50"/>
      <c r="M976" s="50"/>
      <c r="N976" s="35"/>
      <c r="O976" s="34"/>
      <c r="P976" s="34"/>
      <c r="Q976" s="12" t="str">
        <f t="shared" si="6"/>
        <v>#REF!</v>
      </c>
      <c r="R976" s="39" t="e">
        <v>#REF!</v>
      </c>
      <c r="S976" s="39"/>
      <c r="T976" s="39"/>
      <c r="U976" s="39"/>
      <c r="V976" s="39"/>
    </row>
    <row r="977" ht="22.5" customHeight="1">
      <c r="A977" s="18">
        <v>43.0</v>
      </c>
      <c r="B977" s="36">
        <v>29.0</v>
      </c>
      <c r="C977" s="36" t="s">
        <v>7761</v>
      </c>
      <c r="D977" s="47">
        <v>2.32410378E8</v>
      </c>
      <c r="E977" s="36" t="s">
        <v>7762</v>
      </c>
      <c r="F977" s="36" t="s">
        <v>227</v>
      </c>
      <c r="G977" s="12">
        <v>31.0</v>
      </c>
      <c r="H977" s="57" t="str">
        <f t="shared" si="5"/>
        <v/>
      </c>
      <c r="I977" s="29" t="s">
        <v>7705</v>
      </c>
      <c r="J977" s="20" t="str">
        <f>VLOOKUP(I977,'Database Grup SCC'!$B$2:$C1382,2,false)</f>
        <v>-</v>
      </c>
      <c r="K977" s="50"/>
      <c r="L977" s="50"/>
      <c r="M977" s="50"/>
      <c r="N977" s="35"/>
      <c r="O977" s="34"/>
      <c r="P977" s="34"/>
      <c r="Q977" s="12" t="str">
        <f t="shared" si="6"/>
        <v>#REF!</v>
      </c>
      <c r="R977" s="39" t="e">
        <v>#REF!</v>
      </c>
      <c r="S977" s="39"/>
      <c r="T977" s="39"/>
      <c r="U977" s="39"/>
      <c r="V977" s="39"/>
    </row>
    <row r="978" ht="22.5" customHeight="1">
      <c r="A978" s="18">
        <v>55.0</v>
      </c>
      <c r="B978" s="36">
        <v>30.0</v>
      </c>
      <c r="C978" s="36" t="s">
        <v>7763</v>
      </c>
      <c r="D978" s="47">
        <v>2.32410379E8</v>
      </c>
      <c r="E978" s="36" t="s">
        <v>7764</v>
      </c>
      <c r="F978" s="36" t="s">
        <v>227</v>
      </c>
      <c r="G978" s="12">
        <v>31.0</v>
      </c>
      <c r="H978" s="57" t="str">
        <f t="shared" si="5"/>
        <v/>
      </c>
      <c r="I978" s="29" t="s">
        <v>7705</v>
      </c>
      <c r="J978" s="20" t="str">
        <f>VLOOKUP(I978,'Database Grup SCC'!$B$2:$C1382,2,false)</f>
        <v>-</v>
      </c>
      <c r="K978" s="50"/>
      <c r="L978" s="50"/>
      <c r="M978" s="50"/>
      <c r="N978" s="35"/>
      <c r="O978" s="34"/>
      <c r="P978" s="34"/>
      <c r="Q978" s="12" t="str">
        <f t="shared" si="6"/>
        <v>#REF!</v>
      </c>
      <c r="R978" s="39" t="e">
        <v>#REF!</v>
      </c>
      <c r="S978" s="39"/>
      <c r="T978" s="39"/>
      <c r="U978" s="39"/>
      <c r="V978" s="39"/>
    </row>
    <row r="979" ht="22.5" customHeight="1">
      <c r="A979" s="18">
        <v>56.0</v>
      </c>
      <c r="B979" s="36">
        <v>31.0</v>
      </c>
      <c r="C979" s="36" t="s">
        <v>7765</v>
      </c>
      <c r="D979" s="47">
        <v>2.32410382E8</v>
      </c>
      <c r="E979" s="36" t="s">
        <v>7766</v>
      </c>
      <c r="F979" s="36" t="s">
        <v>227</v>
      </c>
      <c r="G979" s="12">
        <v>31.0</v>
      </c>
      <c r="H979" s="57" t="str">
        <f t="shared" si="5"/>
        <v/>
      </c>
      <c r="I979" s="29" t="s">
        <v>7705</v>
      </c>
      <c r="J979" s="20" t="str">
        <f>VLOOKUP(I979,'Database Grup SCC'!$B$2:$C1382,2,false)</f>
        <v>-</v>
      </c>
      <c r="K979" s="50"/>
      <c r="L979" s="50"/>
      <c r="M979" s="50"/>
      <c r="N979" s="35"/>
      <c r="O979" s="34"/>
      <c r="P979" s="34"/>
      <c r="Q979" s="12" t="str">
        <f t="shared" si="6"/>
        <v>#REF!</v>
      </c>
      <c r="R979" s="39" t="e">
        <v>#REF!</v>
      </c>
      <c r="S979" s="39"/>
      <c r="T979" s="39"/>
      <c r="U979" s="39"/>
      <c r="V979" s="39"/>
    </row>
    <row r="980" ht="22.5" customHeight="1">
      <c r="A980" s="18">
        <v>57.0</v>
      </c>
      <c r="B980" s="36">
        <v>32.0</v>
      </c>
      <c r="C980" s="59" t="s">
        <v>7767</v>
      </c>
      <c r="D980" s="47">
        <v>2.32410384E8</v>
      </c>
      <c r="E980" s="36" t="s">
        <v>7768</v>
      </c>
      <c r="F980" s="36" t="s">
        <v>227</v>
      </c>
      <c r="G980" s="12">
        <v>31.0</v>
      </c>
      <c r="H980" s="57" t="str">
        <f t="shared" si="5"/>
        <v/>
      </c>
      <c r="I980" s="29" t="s">
        <v>7705</v>
      </c>
      <c r="J980" s="20" t="str">
        <f>VLOOKUP(I980,'Database Grup SCC'!$B$2:$C1382,2,false)</f>
        <v>-</v>
      </c>
      <c r="K980" s="50"/>
      <c r="L980" s="50"/>
      <c r="M980" s="50"/>
      <c r="N980" s="35"/>
      <c r="O980" s="34"/>
      <c r="P980" s="34"/>
      <c r="Q980" s="12" t="str">
        <f t="shared" si="6"/>
        <v>#REF!</v>
      </c>
      <c r="R980" s="39" t="e">
        <v>#REF!</v>
      </c>
      <c r="S980" s="39"/>
      <c r="T980" s="39"/>
      <c r="U980" s="39"/>
      <c r="V980" s="39"/>
    </row>
    <row r="981" ht="22.5" customHeight="1">
      <c r="A981" s="18">
        <v>58.0</v>
      </c>
      <c r="B981" s="36">
        <v>33.0</v>
      </c>
      <c r="C981" s="59" t="s">
        <v>7769</v>
      </c>
      <c r="D981" s="47">
        <v>2.32410386E8</v>
      </c>
      <c r="E981" s="36" t="s">
        <v>7770</v>
      </c>
      <c r="F981" s="36" t="s">
        <v>220</v>
      </c>
      <c r="G981" s="12">
        <v>31.0</v>
      </c>
      <c r="H981" s="57" t="str">
        <f t="shared" si="5"/>
        <v/>
      </c>
      <c r="I981" s="29" t="s">
        <v>7705</v>
      </c>
      <c r="J981" s="20" t="str">
        <f>VLOOKUP(I981,'Database Grup SCC'!$B$2:$C1382,2,false)</f>
        <v>-</v>
      </c>
      <c r="K981" s="50"/>
      <c r="L981" s="50"/>
      <c r="M981" s="50"/>
      <c r="N981" s="35"/>
      <c r="O981" s="34"/>
      <c r="P981" s="34"/>
      <c r="Q981" s="12" t="str">
        <f t="shared" si="6"/>
        <v>#REF!</v>
      </c>
      <c r="R981" s="39" t="e">
        <v>#REF!</v>
      </c>
      <c r="S981" s="39"/>
      <c r="T981" s="39"/>
      <c r="U981" s="39"/>
      <c r="V981" s="39"/>
    </row>
    <row r="982" ht="22.5" customHeight="1">
      <c r="A982" s="18">
        <v>59.0</v>
      </c>
      <c r="B982" s="36">
        <v>34.0</v>
      </c>
      <c r="C982" s="36" t="s">
        <v>7771</v>
      </c>
      <c r="D982" s="47">
        <v>2.32410395E8</v>
      </c>
      <c r="E982" s="36" t="s">
        <v>7772</v>
      </c>
      <c r="F982" s="36" t="s">
        <v>227</v>
      </c>
      <c r="G982" s="12">
        <v>31.0</v>
      </c>
      <c r="H982" s="57" t="str">
        <f t="shared" si="5"/>
        <v/>
      </c>
      <c r="I982" s="29" t="s">
        <v>7705</v>
      </c>
      <c r="J982" s="20" t="str">
        <f>VLOOKUP(I982,'Database Grup SCC'!$B$2:$C1382,2,false)</f>
        <v>-</v>
      </c>
      <c r="K982" s="50"/>
      <c r="L982" s="50"/>
      <c r="M982" s="50"/>
      <c r="N982" s="35"/>
      <c r="O982" s="34"/>
      <c r="P982" s="34"/>
      <c r="Q982" s="12" t="str">
        <f t="shared" si="6"/>
        <v>#REF!</v>
      </c>
      <c r="R982" s="39" t="e">
        <v>#REF!</v>
      </c>
      <c r="S982" s="39"/>
      <c r="T982" s="39"/>
      <c r="U982" s="39"/>
      <c r="V982" s="39"/>
    </row>
    <row r="983" ht="22.5" customHeight="1">
      <c r="A983" s="18">
        <v>60.0</v>
      </c>
      <c r="B983" s="36">
        <v>35.0</v>
      </c>
      <c r="C983" s="36" t="s">
        <v>7773</v>
      </c>
      <c r="D983" s="47">
        <v>2.32410398E8</v>
      </c>
      <c r="E983" s="36" t="s">
        <v>7774</v>
      </c>
      <c r="F983" s="36" t="s">
        <v>220</v>
      </c>
      <c r="G983" s="12">
        <v>31.0</v>
      </c>
      <c r="H983" s="57" t="str">
        <f t="shared" si="5"/>
        <v/>
      </c>
      <c r="I983" s="29" t="s">
        <v>7705</v>
      </c>
      <c r="J983" s="20" t="str">
        <f>VLOOKUP(I983,'Database Grup SCC'!$B$2:$C1382,2,false)</f>
        <v>-</v>
      </c>
      <c r="K983" s="50"/>
      <c r="L983" s="50"/>
      <c r="M983" s="50"/>
      <c r="N983" s="35"/>
      <c r="O983" s="34"/>
      <c r="P983" s="34"/>
      <c r="Q983" s="12" t="str">
        <f t="shared" si="6"/>
        <v>#REF!</v>
      </c>
      <c r="R983" s="39" t="e">
        <v>#REF!</v>
      </c>
      <c r="S983" s="39"/>
      <c r="T983" s="39"/>
      <c r="U983" s="39"/>
      <c r="V983" s="39"/>
    </row>
    <row r="984" ht="22.5" customHeight="1">
      <c r="A984" s="18">
        <v>61.0</v>
      </c>
      <c r="B984" s="36">
        <v>36.0</v>
      </c>
      <c r="C984" s="36" t="s">
        <v>7775</v>
      </c>
      <c r="D984" s="60">
        <v>2.32410405E8</v>
      </c>
      <c r="E984" s="36" t="s">
        <v>7776</v>
      </c>
      <c r="F984" s="36" t="s">
        <v>220</v>
      </c>
      <c r="G984" s="12">
        <v>31.0</v>
      </c>
      <c r="H984" s="57" t="str">
        <f t="shared" si="5"/>
        <v/>
      </c>
      <c r="I984" s="29" t="s">
        <v>7705</v>
      </c>
      <c r="J984" s="20" t="str">
        <f>VLOOKUP(I984,'Database Grup SCC'!$B$2:$C1382,2,false)</f>
        <v>-</v>
      </c>
      <c r="K984" s="50"/>
      <c r="L984" s="50"/>
      <c r="M984" s="50"/>
      <c r="N984" s="35"/>
      <c r="O984" s="34"/>
      <c r="P984" s="34"/>
      <c r="Q984" s="12" t="str">
        <f t="shared" si="6"/>
        <v>#REF!</v>
      </c>
      <c r="R984" s="39" t="e">
        <v>#REF!</v>
      </c>
      <c r="S984" s="39"/>
      <c r="T984" s="39"/>
      <c r="U984" s="39"/>
      <c r="V984" s="39"/>
    </row>
    <row r="985" ht="22.5" customHeight="1">
      <c r="A985" s="18">
        <v>74.0</v>
      </c>
      <c r="B985" s="36">
        <v>1.0</v>
      </c>
      <c r="C985" s="59" t="s">
        <v>7777</v>
      </c>
      <c r="D985" s="47">
        <v>2.32410073E8</v>
      </c>
      <c r="E985" s="36" t="s">
        <v>7778</v>
      </c>
      <c r="F985" s="36" t="s">
        <v>227</v>
      </c>
      <c r="G985" s="12">
        <v>31.0</v>
      </c>
      <c r="H985" s="57" t="str">
        <f t="shared" si="5"/>
        <v/>
      </c>
      <c r="I985" s="29" t="s">
        <v>7705</v>
      </c>
      <c r="J985" s="20" t="str">
        <f>VLOOKUP(I985,'Database Grup SCC'!$B$2:$C1382,2,false)</f>
        <v>-</v>
      </c>
      <c r="K985" s="50"/>
      <c r="L985" s="50" t="s">
        <v>6898</v>
      </c>
      <c r="M985" s="50" t="s">
        <v>7779</v>
      </c>
      <c r="N985" s="35"/>
      <c r="O985" s="34"/>
      <c r="P985" s="34"/>
      <c r="Q985" s="12" t="str">
        <f t="shared" si="6"/>
        <v>#REF!</v>
      </c>
      <c r="R985" s="39" t="e">
        <v>#REF!</v>
      </c>
      <c r="S985" s="39"/>
      <c r="T985" s="39"/>
      <c r="U985" s="39"/>
      <c r="V985" s="39"/>
    </row>
    <row r="986" ht="22.5" customHeight="1">
      <c r="A986" s="18">
        <v>75.0</v>
      </c>
      <c r="B986" s="36">
        <v>2.0</v>
      </c>
      <c r="C986" s="36" t="s">
        <v>7780</v>
      </c>
      <c r="D986" s="47">
        <v>2.3241009E8</v>
      </c>
      <c r="E986" s="36" t="s">
        <v>7781</v>
      </c>
      <c r="F986" s="36" t="s">
        <v>227</v>
      </c>
      <c r="G986" s="12">
        <v>31.0</v>
      </c>
      <c r="H986" s="57" t="str">
        <f t="shared" si="5"/>
        <v/>
      </c>
      <c r="I986" s="29" t="s">
        <v>7705</v>
      </c>
      <c r="J986" s="20" t="str">
        <f>VLOOKUP(I986,'Database Grup SCC'!$B$2:$C1382,2,false)</f>
        <v>-</v>
      </c>
      <c r="K986" s="50"/>
      <c r="L986" s="50"/>
      <c r="M986" s="50"/>
      <c r="N986" s="35"/>
      <c r="O986" s="34"/>
      <c r="P986" s="34"/>
      <c r="Q986" s="12" t="str">
        <f t="shared" si="6"/>
        <v>#REF!</v>
      </c>
      <c r="R986" s="39" t="e">
        <v>#REF!</v>
      </c>
      <c r="S986" s="39"/>
      <c r="T986" s="39"/>
      <c r="U986" s="39"/>
      <c r="V986" s="39"/>
    </row>
    <row r="987" ht="22.5" customHeight="1">
      <c r="A987" s="18">
        <v>76.0</v>
      </c>
      <c r="B987" s="36">
        <v>3.0</v>
      </c>
      <c r="C987" s="59" t="s">
        <v>7782</v>
      </c>
      <c r="D987" s="47">
        <v>2.32410092E8</v>
      </c>
      <c r="E987" s="36" t="s">
        <v>7783</v>
      </c>
      <c r="F987" s="36" t="s">
        <v>227</v>
      </c>
      <c r="G987" s="12">
        <v>31.0</v>
      </c>
      <c r="H987" s="57" t="str">
        <f t="shared" si="5"/>
        <v/>
      </c>
      <c r="I987" s="29" t="s">
        <v>7705</v>
      </c>
      <c r="J987" s="20" t="str">
        <f>VLOOKUP(I987,'Database Grup SCC'!$B$2:$C1382,2,false)</f>
        <v>-</v>
      </c>
      <c r="K987" s="50"/>
      <c r="L987" s="50"/>
      <c r="M987" s="50"/>
      <c r="N987" s="35"/>
      <c r="O987" s="34"/>
      <c r="P987" s="34"/>
      <c r="Q987" s="12" t="str">
        <f t="shared" si="6"/>
        <v>#REF!</v>
      </c>
      <c r="R987" s="39" t="e">
        <v>#REF!</v>
      </c>
      <c r="S987" s="39"/>
      <c r="T987" s="39"/>
      <c r="U987" s="39"/>
      <c r="V987" s="39"/>
    </row>
    <row r="988" ht="22.5" customHeight="1">
      <c r="A988" s="18">
        <v>77.0</v>
      </c>
      <c r="B988" s="36">
        <v>4.0</v>
      </c>
      <c r="C988" s="59" t="s">
        <v>7784</v>
      </c>
      <c r="D988" s="47">
        <v>2.32410095E8</v>
      </c>
      <c r="E988" s="36" t="s">
        <v>7785</v>
      </c>
      <c r="F988" s="36" t="s">
        <v>220</v>
      </c>
      <c r="G988" s="12">
        <v>31.0</v>
      </c>
      <c r="H988" s="57" t="str">
        <f t="shared" si="5"/>
        <v/>
      </c>
      <c r="I988" s="29" t="s">
        <v>7705</v>
      </c>
      <c r="J988" s="20" t="str">
        <f>VLOOKUP(I988,'Database Grup SCC'!$B$2:$C1382,2,false)</f>
        <v>-</v>
      </c>
      <c r="K988" s="50"/>
      <c r="L988" s="50"/>
      <c r="M988" s="50"/>
      <c r="N988" s="35"/>
      <c r="O988" s="34"/>
      <c r="P988" s="34"/>
      <c r="Q988" s="12" t="str">
        <f t="shared" si="6"/>
        <v>#REF!</v>
      </c>
      <c r="R988" s="39" t="e">
        <v>#REF!</v>
      </c>
      <c r="S988" s="39"/>
      <c r="T988" s="39"/>
      <c r="U988" s="39"/>
      <c r="V988" s="39"/>
    </row>
    <row r="989" ht="22.5" customHeight="1">
      <c r="A989" s="18">
        <v>78.0</v>
      </c>
      <c r="B989" s="36">
        <v>5.0</v>
      </c>
      <c r="C989" s="59" t="s">
        <v>7786</v>
      </c>
      <c r="D989" s="47">
        <v>2.32410108E8</v>
      </c>
      <c r="E989" s="36" t="s">
        <v>7787</v>
      </c>
      <c r="F989" s="36" t="s">
        <v>220</v>
      </c>
      <c r="G989" s="12">
        <v>31.0</v>
      </c>
      <c r="H989" s="57" t="str">
        <f t="shared" si="5"/>
        <v/>
      </c>
      <c r="I989" s="29" t="s">
        <v>7705</v>
      </c>
      <c r="J989" s="20" t="str">
        <f>VLOOKUP(I989,'Database Grup SCC'!$B$2:$C1382,2,false)</f>
        <v>-</v>
      </c>
      <c r="K989" s="50"/>
      <c r="L989" s="50"/>
      <c r="M989" s="50"/>
      <c r="N989" s="35"/>
      <c r="O989" s="34"/>
      <c r="P989" s="34"/>
      <c r="Q989" s="12" t="str">
        <f t="shared" si="6"/>
        <v>#REF!</v>
      </c>
      <c r="R989" s="39" t="e">
        <v>#REF!</v>
      </c>
      <c r="S989" s="39"/>
      <c r="T989" s="39"/>
      <c r="U989" s="39"/>
      <c r="V989" s="39"/>
    </row>
    <row r="990" ht="22.5" customHeight="1">
      <c r="A990" s="18">
        <v>79.0</v>
      </c>
      <c r="B990" s="36">
        <v>6.0</v>
      </c>
      <c r="C990" s="59" t="s">
        <v>7788</v>
      </c>
      <c r="D990" s="47">
        <v>2.3241011E8</v>
      </c>
      <c r="E990" s="36" t="s">
        <v>7789</v>
      </c>
      <c r="F990" s="36" t="s">
        <v>227</v>
      </c>
      <c r="G990" s="12">
        <v>31.0</v>
      </c>
      <c r="H990" s="57" t="str">
        <f t="shared" si="5"/>
        <v/>
      </c>
      <c r="I990" s="29" t="s">
        <v>7705</v>
      </c>
      <c r="J990" s="20" t="str">
        <f>VLOOKUP(I990,'Database Grup SCC'!$B$2:$C1382,2,false)</f>
        <v>-</v>
      </c>
      <c r="K990" s="50"/>
      <c r="L990" s="50"/>
      <c r="M990" s="50"/>
      <c r="N990" s="35"/>
      <c r="O990" s="34"/>
      <c r="P990" s="34"/>
      <c r="Q990" s="12" t="str">
        <f t="shared" si="6"/>
        <v>#REF!</v>
      </c>
      <c r="R990" s="39" t="e">
        <v>#REF!</v>
      </c>
      <c r="S990" s="39"/>
      <c r="T990" s="39"/>
      <c r="U990" s="39"/>
      <c r="V990" s="39"/>
    </row>
    <row r="991" ht="22.5" customHeight="1">
      <c r="A991" s="18">
        <v>80.0</v>
      </c>
      <c r="B991" s="36">
        <v>7.0</v>
      </c>
      <c r="C991" s="36" t="s">
        <v>7790</v>
      </c>
      <c r="D991" s="47">
        <v>2.32410118E8</v>
      </c>
      <c r="E991" s="36" t="s">
        <v>7791</v>
      </c>
      <c r="F991" s="36" t="s">
        <v>227</v>
      </c>
      <c r="G991" s="12">
        <v>31.0</v>
      </c>
      <c r="H991" s="57" t="str">
        <f t="shared" si="5"/>
        <v/>
      </c>
      <c r="I991" s="29" t="s">
        <v>7705</v>
      </c>
      <c r="J991" s="20" t="str">
        <f>VLOOKUP(I991,'Database Grup SCC'!$B$2:$C1382,2,false)</f>
        <v>-</v>
      </c>
      <c r="K991" s="50"/>
      <c r="L991" s="50"/>
      <c r="M991" s="50"/>
      <c r="N991" s="35"/>
      <c r="O991" s="34"/>
      <c r="P991" s="34"/>
      <c r="Q991" s="12" t="str">
        <f t="shared" si="6"/>
        <v>#REF!</v>
      </c>
      <c r="R991" s="39" t="e">
        <v>#REF!</v>
      </c>
      <c r="S991" s="39"/>
      <c r="T991" s="39"/>
      <c r="U991" s="39"/>
      <c r="V991" s="39"/>
    </row>
    <row r="992" ht="22.5" customHeight="1">
      <c r="A992" s="18">
        <v>81.0</v>
      </c>
      <c r="B992" s="36">
        <v>8.0</v>
      </c>
      <c r="C992" s="36" t="s">
        <v>7792</v>
      </c>
      <c r="D992" s="47">
        <v>2.3241013E8</v>
      </c>
      <c r="E992" s="36" t="s">
        <v>7793</v>
      </c>
      <c r="F992" s="36" t="s">
        <v>220</v>
      </c>
      <c r="G992" s="12">
        <v>31.0</v>
      </c>
      <c r="H992" s="57" t="str">
        <f t="shared" si="5"/>
        <v/>
      </c>
      <c r="I992" s="29" t="s">
        <v>7705</v>
      </c>
      <c r="J992" s="20" t="str">
        <f>VLOOKUP(I992,'Database Grup SCC'!$B$2:$C1382,2,false)</f>
        <v>-</v>
      </c>
      <c r="K992" s="50"/>
      <c r="L992" s="50"/>
      <c r="M992" s="50"/>
      <c r="N992" s="35"/>
      <c r="O992" s="34"/>
      <c r="P992" s="34"/>
      <c r="Q992" s="12" t="str">
        <f t="shared" si="6"/>
        <v>#REF!</v>
      </c>
      <c r="R992" s="39" t="e">
        <v>#REF!</v>
      </c>
      <c r="S992" s="39"/>
      <c r="T992" s="39"/>
      <c r="U992" s="39"/>
      <c r="V992" s="39"/>
    </row>
    <row r="993" ht="22.5" customHeight="1">
      <c r="A993" s="18">
        <v>82.0</v>
      </c>
      <c r="B993" s="36">
        <v>9.0</v>
      </c>
      <c r="C993" s="36" t="s">
        <v>7794</v>
      </c>
      <c r="D993" s="47">
        <v>2.32410147E8</v>
      </c>
      <c r="E993" s="36" t="s">
        <v>7795</v>
      </c>
      <c r="F993" s="36" t="s">
        <v>227</v>
      </c>
      <c r="G993" s="12">
        <v>31.0</v>
      </c>
      <c r="H993" s="57" t="str">
        <f t="shared" si="5"/>
        <v/>
      </c>
      <c r="I993" s="29" t="s">
        <v>7705</v>
      </c>
      <c r="J993" s="20" t="str">
        <f>VLOOKUP(I993,'Database Grup SCC'!$B$2:$C1382,2,false)</f>
        <v>-</v>
      </c>
      <c r="K993" s="50"/>
      <c r="L993" s="50"/>
      <c r="M993" s="50"/>
      <c r="N993" s="35"/>
      <c r="O993" s="34"/>
      <c r="P993" s="34"/>
      <c r="Q993" s="12" t="str">
        <f t="shared" si="6"/>
        <v>#REF!</v>
      </c>
      <c r="R993" s="39" t="e">
        <v>#REF!</v>
      </c>
      <c r="S993" s="39"/>
      <c r="T993" s="39"/>
      <c r="U993" s="39"/>
      <c r="V993" s="39"/>
    </row>
    <row r="994" ht="22.5" customHeight="1">
      <c r="A994" s="18">
        <v>83.0</v>
      </c>
      <c r="B994" s="36">
        <v>10.0</v>
      </c>
      <c r="C994" s="36" t="s">
        <v>7796</v>
      </c>
      <c r="D994" s="47">
        <v>2.32410152E8</v>
      </c>
      <c r="E994" s="36" t="s">
        <v>7797</v>
      </c>
      <c r="F994" s="36" t="s">
        <v>220</v>
      </c>
      <c r="G994" s="12">
        <v>31.0</v>
      </c>
      <c r="H994" s="57" t="str">
        <f t="shared" si="5"/>
        <v/>
      </c>
      <c r="I994" s="29" t="s">
        <v>7705</v>
      </c>
      <c r="J994" s="20" t="str">
        <f>VLOOKUP(I994,'Database Grup SCC'!$B$2:$C1382,2,false)</f>
        <v>-</v>
      </c>
      <c r="K994" s="50"/>
      <c r="L994" s="50"/>
      <c r="M994" s="50"/>
      <c r="N994" s="35"/>
      <c r="O994" s="34"/>
      <c r="P994" s="34"/>
      <c r="Q994" s="12" t="str">
        <f t="shared" si="6"/>
        <v>#REF!</v>
      </c>
      <c r="R994" s="39" t="e">
        <v>#REF!</v>
      </c>
      <c r="S994" s="39"/>
      <c r="T994" s="39"/>
      <c r="U994" s="39"/>
      <c r="V994" s="39"/>
    </row>
    <row r="995" ht="22.5" customHeight="1">
      <c r="A995" s="18">
        <v>84.0</v>
      </c>
      <c r="B995" s="36">
        <v>11.0</v>
      </c>
      <c r="C995" s="59" t="s">
        <v>7798</v>
      </c>
      <c r="D995" s="47">
        <v>2.32410157E8</v>
      </c>
      <c r="E995" s="36" t="s">
        <v>7799</v>
      </c>
      <c r="F995" s="36" t="s">
        <v>227</v>
      </c>
      <c r="G995" s="12">
        <v>31.0</v>
      </c>
      <c r="H995" s="57" t="str">
        <f t="shared" si="5"/>
        <v/>
      </c>
      <c r="I995" s="29" t="s">
        <v>7705</v>
      </c>
      <c r="J995" s="20" t="str">
        <f>VLOOKUP(I995,'Database Grup SCC'!$B$2:$C1382,2,false)</f>
        <v>-</v>
      </c>
      <c r="K995" s="50"/>
      <c r="L995" s="50"/>
      <c r="M995" s="50"/>
      <c r="N995" s="35"/>
      <c r="O995" s="34"/>
      <c r="P995" s="34"/>
      <c r="Q995" s="12" t="str">
        <f t="shared" si="6"/>
        <v>#REF!</v>
      </c>
      <c r="R995" s="39" t="e">
        <v>#REF!</v>
      </c>
      <c r="S995" s="39"/>
      <c r="T995" s="39"/>
      <c r="U995" s="39"/>
      <c r="V995" s="39"/>
    </row>
    <row r="996" ht="22.5" customHeight="1">
      <c r="A996" s="18">
        <v>85.0</v>
      </c>
      <c r="B996" s="36">
        <v>12.0</v>
      </c>
      <c r="C996" s="59" t="s">
        <v>7800</v>
      </c>
      <c r="D996" s="47">
        <v>2.32410165E8</v>
      </c>
      <c r="E996" s="36" t="s">
        <v>7801</v>
      </c>
      <c r="F996" s="36" t="s">
        <v>220</v>
      </c>
      <c r="G996" s="12">
        <v>31.0</v>
      </c>
      <c r="H996" s="57" t="str">
        <f t="shared" si="5"/>
        <v/>
      </c>
      <c r="I996" s="29" t="s">
        <v>7705</v>
      </c>
      <c r="J996" s="20" t="str">
        <f>VLOOKUP(I996,'Database Grup SCC'!$B$2:$C1382,2,false)</f>
        <v>-</v>
      </c>
      <c r="K996" s="50"/>
      <c r="L996" s="50"/>
      <c r="M996" s="50"/>
      <c r="N996" s="35"/>
      <c r="O996" s="34"/>
      <c r="P996" s="34"/>
      <c r="Q996" s="12" t="str">
        <f t="shared" si="6"/>
        <v>#REF!</v>
      </c>
      <c r="R996" s="39" t="e">
        <v>#REF!</v>
      </c>
      <c r="S996" s="39"/>
      <c r="T996" s="39"/>
      <c r="U996" s="39"/>
      <c r="V996" s="39"/>
    </row>
    <row r="997" ht="22.5" customHeight="1">
      <c r="A997" s="18">
        <v>86.0</v>
      </c>
      <c r="B997" s="36">
        <v>13.0</v>
      </c>
      <c r="C997" s="59" t="s">
        <v>7802</v>
      </c>
      <c r="D997" s="47">
        <v>2.32410189E8</v>
      </c>
      <c r="E997" s="36" t="s">
        <v>7803</v>
      </c>
      <c r="F997" s="36" t="s">
        <v>220</v>
      </c>
      <c r="G997" s="12">
        <v>31.0</v>
      </c>
      <c r="H997" s="57" t="str">
        <f t="shared" si="5"/>
        <v/>
      </c>
      <c r="I997" s="29" t="s">
        <v>7705</v>
      </c>
      <c r="J997" s="20" t="str">
        <f>VLOOKUP(I997,'Database Grup SCC'!$B$2:$C1382,2,false)</f>
        <v>-</v>
      </c>
      <c r="K997" s="50"/>
      <c r="L997" s="50"/>
      <c r="M997" s="50"/>
      <c r="N997" s="35"/>
      <c r="O997" s="34"/>
      <c r="P997" s="34"/>
      <c r="Q997" s="12" t="str">
        <f t="shared" si="6"/>
        <v>#REF!</v>
      </c>
      <c r="R997" s="39" t="e">
        <v>#REF!</v>
      </c>
      <c r="S997" s="39"/>
      <c r="T997" s="39"/>
      <c r="U997" s="39"/>
      <c r="V997" s="39"/>
    </row>
    <row r="998" ht="22.5" customHeight="1">
      <c r="A998" s="18">
        <v>87.0</v>
      </c>
      <c r="B998" s="36">
        <v>14.0</v>
      </c>
      <c r="C998" s="59" t="s">
        <v>7804</v>
      </c>
      <c r="D998" s="47">
        <v>2.32410194E8</v>
      </c>
      <c r="E998" s="36" t="s">
        <v>7805</v>
      </c>
      <c r="F998" s="36" t="s">
        <v>227</v>
      </c>
      <c r="G998" s="12">
        <v>31.0</v>
      </c>
      <c r="H998" s="57" t="str">
        <f t="shared" si="5"/>
        <v/>
      </c>
      <c r="I998" s="29" t="s">
        <v>7705</v>
      </c>
      <c r="J998" s="20" t="str">
        <f>VLOOKUP(I998,'Database Grup SCC'!$B$2:$C1382,2,false)</f>
        <v>-</v>
      </c>
      <c r="K998" s="50"/>
      <c r="L998" s="50"/>
      <c r="M998" s="50"/>
      <c r="N998" s="35"/>
      <c r="O998" s="34"/>
      <c r="P998" s="34"/>
      <c r="Q998" s="12" t="str">
        <f t="shared" si="6"/>
        <v>#REF!</v>
      </c>
      <c r="R998" s="39" t="e">
        <v>#REF!</v>
      </c>
      <c r="S998" s="39"/>
      <c r="T998" s="39"/>
      <c r="U998" s="39"/>
      <c r="V998" s="39"/>
    </row>
    <row r="999" ht="22.5" customHeight="1">
      <c r="A999" s="18">
        <v>88.0</v>
      </c>
      <c r="B999" s="36">
        <v>15.0</v>
      </c>
      <c r="C999" s="59" t="s">
        <v>7806</v>
      </c>
      <c r="D999" s="47">
        <v>2.32410246E8</v>
      </c>
      <c r="E999" s="36" t="s">
        <v>7807</v>
      </c>
      <c r="F999" s="36" t="s">
        <v>220</v>
      </c>
      <c r="G999" s="12">
        <v>31.0</v>
      </c>
      <c r="H999" s="57" t="str">
        <f t="shared" si="5"/>
        <v/>
      </c>
      <c r="I999" s="29" t="s">
        <v>7705</v>
      </c>
      <c r="J999" s="20" t="str">
        <f>VLOOKUP(I999,'Database Grup SCC'!$B$2:$C1382,2,false)</f>
        <v>-</v>
      </c>
      <c r="K999" s="50"/>
      <c r="L999" s="50"/>
      <c r="M999" s="50"/>
      <c r="N999" s="35"/>
      <c r="O999" s="34"/>
      <c r="P999" s="34"/>
      <c r="Q999" s="12" t="str">
        <f t="shared" si="6"/>
        <v>#REF!</v>
      </c>
      <c r="R999" s="39" t="e">
        <v>#REF!</v>
      </c>
      <c r="S999" s="39"/>
      <c r="T999" s="39"/>
      <c r="U999" s="39"/>
      <c r="V999" s="39"/>
    </row>
    <row r="1000" ht="22.5" customHeight="1">
      <c r="A1000" s="18">
        <v>89.0</v>
      </c>
      <c r="B1000" s="36">
        <v>16.0</v>
      </c>
      <c r="C1000" s="59" t="s">
        <v>7808</v>
      </c>
      <c r="D1000" s="47">
        <v>2.02107217E8</v>
      </c>
      <c r="E1000" s="36" t="s">
        <v>7809</v>
      </c>
      <c r="F1000" s="36" t="s">
        <v>227</v>
      </c>
      <c r="G1000" s="12">
        <v>31.0</v>
      </c>
      <c r="H1000" s="57" t="str">
        <f t="shared" si="5"/>
        <v/>
      </c>
      <c r="I1000" s="29" t="s">
        <v>7705</v>
      </c>
      <c r="J1000" s="20" t="str">
        <f>VLOOKUP(I1000,'Database Grup SCC'!$B$2:$C1382,2,false)</f>
        <v>-</v>
      </c>
      <c r="K1000" s="50"/>
      <c r="L1000" s="50"/>
      <c r="M1000" s="50"/>
      <c r="N1000" s="35"/>
      <c r="O1000" s="34"/>
      <c r="P1000" s="34"/>
      <c r="Q1000" s="12" t="str">
        <f t="shared" si="6"/>
        <v>#REF!</v>
      </c>
      <c r="R1000" s="39" t="e">
        <v>#REF!</v>
      </c>
      <c r="S1000" s="39"/>
      <c r="T1000" s="39"/>
      <c r="U1000" s="39"/>
      <c r="V1000" s="39"/>
    </row>
    <row r="1001" ht="22.5" customHeight="1">
      <c r="A1001" s="18">
        <v>90.0</v>
      </c>
      <c r="B1001" s="36">
        <v>17.0</v>
      </c>
      <c r="C1001" s="59" t="s">
        <v>7810</v>
      </c>
      <c r="D1001" s="47">
        <v>2.32410021E8</v>
      </c>
      <c r="E1001" s="36" t="s">
        <v>7811</v>
      </c>
      <c r="F1001" s="36" t="s">
        <v>227</v>
      </c>
      <c r="G1001" s="12">
        <v>31.0</v>
      </c>
      <c r="H1001" s="57" t="str">
        <f t="shared" si="5"/>
        <v/>
      </c>
      <c r="I1001" s="29" t="s">
        <v>7705</v>
      </c>
      <c r="J1001" s="20" t="str">
        <f>VLOOKUP(I1001,'Database Grup SCC'!$B$2:$C1382,2,false)</f>
        <v>-</v>
      </c>
      <c r="K1001" s="50"/>
      <c r="L1001" s="50"/>
      <c r="M1001" s="50"/>
      <c r="N1001" s="35"/>
      <c r="O1001" s="34"/>
      <c r="P1001" s="34"/>
      <c r="Q1001" s="12" t="str">
        <f t="shared" si="6"/>
        <v>#REF!</v>
      </c>
      <c r="R1001" s="39" t="e">
        <v>#REF!</v>
      </c>
      <c r="S1001" s="39"/>
      <c r="T1001" s="39"/>
      <c r="U1001" s="39"/>
      <c r="V1001" s="39"/>
    </row>
    <row r="1002" ht="22.5" customHeight="1">
      <c r="A1002" s="18">
        <v>102.0</v>
      </c>
      <c r="B1002" s="36">
        <v>18.0</v>
      </c>
      <c r="C1002" s="59" t="s">
        <v>7812</v>
      </c>
      <c r="D1002" s="47">
        <v>2.32410282E8</v>
      </c>
      <c r="E1002" s="36" t="s">
        <v>7813</v>
      </c>
      <c r="F1002" s="36" t="s">
        <v>227</v>
      </c>
      <c r="G1002" s="12">
        <v>31.0</v>
      </c>
      <c r="H1002" s="57" t="str">
        <f t="shared" si="5"/>
        <v/>
      </c>
      <c r="I1002" s="29" t="s">
        <v>7705</v>
      </c>
      <c r="J1002" s="20" t="str">
        <f>VLOOKUP(I1002,'Database Grup SCC'!$B$2:$C1382,2,false)</f>
        <v>-</v>
      </c>
      <c r="K1002" s="50"/>
      <c r="L1002" s="50"/>
      <c r="M1002" s="50"/>
      <c r="N1002" s="35"/>
      <c r="O1002" s="34"/>
      <c r="P1002" s="34"/>
      <c r="Q1002" s="12" t="str">
        <f t="shared" si="6"/>
        <v>#REF!</v>
      </c>
      <c r="R1002" s="39" t="e">
        <v>#REF!</v>
      </c>
      <c r="S1002" s="39"/>
      <c r="T1002" s="39"/>
      <c r="U1002" s="39"/>
      <c r="V1002" s="39"/>
    </row>
    <row r="1003" ht="22.5" customHeight="1">
      <c r="A1003" s="18">
        <v>103.0</v>
      </c>
      <c r="B1003" s="36">
        <v>19.0</v>
      </c>
      <c r="C1003" s="59" t="s">
        <v>7814</v>
      </c>
      <c r="D1003" s="47">
        <v>2.32410283E8</v>
      </c>
      <c r="E1003" s="36" t="s">
        <v>7815</v>
      </c>
      <c r="F1003" s="36" t="s">
        <v>227</v>
      </c>
      <c r="G1003" s="12">
        <v>31.0</v>
      </c>
      <c r="H1003" s="57" t="str">
        <f t="shared" si="5"/>
        <v/>
      </c>
      <c r="I1003" s="29" t="s">
        <v>7705</v>
      </c>
      <c r="J1003" s="20" t="str">
        <f>VLOOKUP(I1003,'Database Grup SCC'!$B$2:$C1382,2,false)</f>
        <v>-</v>
      </c>
      <c r="K1003" s="50"/>
      <c r="L1003" s="50"/>
      <c r="M1003" s="50"/>
      <c r="N1003" s="35"/>
      <c r="O1003" s="34"/>
      <c r="P1003" s="34"/>
      <c r="Q1003" s="12" t="str">
        <f t="shared" si="6"/>
        <v>#REF!</v>
      </c>
      <c r="R1003" s="39" t="e">
        <v>#REF!</v>
      </c>
      <c r="S1003" s="39"/>
      <c r="T1003" s="39"/>
      <c r="U1003" s="39"/>
      <c r="V1003" s="39"/>
    </row>
    <row r="1004" ht="22.5" customHeight="1">
      <c r="A1004" s="18">
        <v>104.0</v>
      </c>
      <c r="B1004" s="36">
        <v>20.0</v>
      </c>
      <c r="C1004" s="59" t="s">
        <v>7816</v>
      </c>
      <c r="D1004" s="47">
        <v>2.32410284E8</v>
      </c>
      <c r="E1004" s="36" t="s">
        <v>7817</v>
      </c>
      <c r="F1004" s="36" t="s">
        <v>220</v>
      </c>
      <c r="G1004" s="12">
        <v>31.0</v>
      </c>
      <c r="H1004" s="57" t="str">
        <f t="shared" si="5"/>
        <v/>
      </c>
      <c r="I1004" s="29" t="s">
        <v>7705</v>
      </c>
      <c r="J1004" s="20" t="str">
        <f>VLOOKUP(I1004,'Database Grup SCC'!$B$2:$C1382,2,false)</f>
        <v>-</v>
      </c>
      <c r="K1004" s="50"/>
      <c r="L1004" s="50"/>
      <c r="M1004" s="50"/>
      <c r="N1004" s="35"/>
      <c r="O1004" s="34"/>
      <c r="P1004" s="34"/>
      <c r="Q1004" s="12" t="str">
        <f t="shared" si="6"/>
        <v>#REF!</v>
      </c>
      <c r="R1004" s="39" t="e">
        <v>#REF!</v>
      </c>
      <c r="S1004" s="39"/>
      <c r="T1004" s="39"/>
      <c r="U1004" s="39"/>
      <c r="V1004" s="39"/>
    </row>
    <row r="1005" ht="22.5" customHeight="1">
      <c r="A1005" s="18">
        <v>105.0</v>
      </c>
      <c r="B1005" s="36">
        <v>21.0</v>
      </c>
      <c r="C1005" s="59" t="s">
        <v>7818</v>
      </c>
      <c r="D1005" s="47">
        <v>2.32410287E8</v>
      </c>
      <c r="E1005" s="36" t="s">
        <v>7819</v>
      </c>
      <c r="F1005" s="36" t="s">
        <v>227</v>
      </c>
      <c r="G1005" s="12">
        <v>31.0</v>
      </c>
      <c r="H1005" s="57" t="str">
        <f t="shared" si="5"/>
        <v/>
      </c>
      <c r="I1005" s="29" t="s">
        <v>7705</v>
      </c>
      <c r="J1005" s="20" t="str">
        <f>VLOOKUP(I1005,'Database Grup SCC'!$B$2:$C1382,2,false)</f>
        <v>-</v>
      </c>
      <c r="K1005" s="50"/>
      <c r="L1005" s="50"/>
      <c r="M1005" s="50"/>
      <c r="N1005" s="35"/>
      <c r="O1005" s="34"/>
      <c r="P1005" s="34"/>
      <c r="Q1005" s="12" t="str">
        <f t="shared" si="6"/>
        <v>#REF!</v>
      </c>
      <c r="R1005" s="39" t="e">
        <v>#REF!</v>
      </c>
      <c r="S1005" s="39"/>
      <c r="T1005" s="39"/>
      <c r="U1005" s="39"/>
      <c r="V1005" s="39"/>
    </row>
    <row r="1006" ht="22.5" customHeight="1">
      <c r="A1006" s="18">
        <v>106.0</v>
      </c>
      <c r="B1006" s="36">
        <v>22.0</v>
      </c>
      <c r="C1006" s="59" t="s">
        <v>7820</v>
      </c>
      <c r="D1006" s="61">
        <v>2.32410293E8</v>
      </c>
      <c r="E1006" s="36" t="s">
        <v>7821</v>
      </c>
      <c r="F1006" s="36" t="s">
        <v>227</v>
      </c>
      <c r="G1006" s="12">
        <v>31.0</v>
      </c>
      <c r="H1006" s="57" t="str">
        <f t="shared" si="5"/>
        <v/>
      </c>
      <c r="I1006" s="29" t="s">
        <v>7705</v>
      </c>
      <c r="J1006" s="20" t="str">
        <f>VLOOKUP(I1006,'Database Grup SCC'!$B$2:$C1382,2,false)</f>
        <v>-</v>
      </c>
      <c r="K1006" s="50"/>
      <c r="L1006" s="50"/>
      <c r="M1006" s="50"/>
      <c r="N1006" s="35"/>
      <c r="O1006" s="34"/>
      <c r="P1006" s="34"/>
      <c r="Q1006" s="12" t="str">
        <f t="shared" si="6"/>
        <v>#REF!</v>
      </c>
      <c r="R1006" s="39" t="e">
        <v>#REF!</v>
      </c>
      <c r="S1006" s="39"/>
      <c r="T1006" s="39"/>
      <c r="U1006" s="39"/>
      <c r="V1006" s="39"/>
    </row>
    <row r="1007" ht="22.5" customHeight="1">
      <c r="A1007" s="18">
        <v>107.0</v>
      </c>
      <c r="B1007" s="36">
        <v>23.0</v>
      </c>
      <c r="C1007" s="59" t="s">
        <v>7822</v>
      </c>
      <c r="D1007" s="61">
        <v>2.32410296E8</v>
      </c>
      <c r="E1007" s="36" t="s">
        <v>7823</v>
      </c>
      <c r="F1007" s="36" t="s">
        <v>227</v>
      </c>
      <c r="G1007" s="12">
        <v>31.0</v>
      </c>
      <c r="H1007" s="57" t="str">
        <f t="shared" si="5"/>
        <v/>
      </c>
      <c r="I1007" s="29" t="s">
        <v>7705</v>
      </c>
      <c r="J1007" s="20" t="str">
        <f>VLOOKUP(I1007,'Database Grup SCC'!$B$2:$C1382,2,false)</f>
        <v>-</v>
      </c>
      <c r="K1007" s="50"/>
      <c r="L1007" s="50"/>
      <c r="M1007" s="50"/>
      <c r="N1007" s="35"/>
      <c r="O1007" s="34"/>
      <c r="P1007" s="34"/>
      <c r="Q1007" s="12" t="str">
        <f t="shared" si="6"/>
        <v>#REF!</v>
      </c>
      <c r="R1007" s="39" t="e">
        <v>#REF!</v>
      </c>
      <c r="S1007" s="39"/>
      <c r="T1007" s="39"/>
      <c r="U1007" s="39"/>
      <c r="V1007" s="39"/>
    </row>
    <row r="1008" ht="22.5" customHeight="1">
      <c r="A1008" s="18">
        <v>108.0</v>
      </c>
      <c r="B1008" s="36">
        <v>24.0</v>
      </c>
      <c r="C1008" s="59" t="s">
        <v>7824</v>
      </c>
      <c r="D1008" s="60">
        <v>2.32410298E8</v>
      </c>
      <c r="E1008" s="36" t="s">
        <v>7825</v>
      </c>
      <c r="F1008" s="36" t="s">
        <v>227</v>
      </c>
      <c r="G1008" s="12">
        <v>31.0</v>
      </c>
      <c r="H1008" s="57" t="str">
        <f t="shared" si="5"/>
        <v/>
      </c>
      <c r="I1008" s="29" t="s">
        <v>7705</v>
      </c>
      <c r="J1008" s="20" t="str">
        <f>VLOOKUP(I1008,'Database Grup SCC'!$B$2:$C1382,2,false)</f>
        <v>-</v>
      </c>
      <c r="K1008" s="50"/>
      <c r="L1008" s="50"/>
      <c r="M1008" s="50"/>
      <c r="N1008" s="35"/>
      <c r="O1008" s="34"/>
      <c r="P1008" s="34"/>
      <c r="Q1008" s="12" t="str">
        <f t="shared" si="6"/>
        <v>#REF!</v>
      </c>
      <c r="R1008" s="39" t="e">
        <v>#REF!</v>
      </c>
      <c r="S1008" s="39"/>
      <c r="T1008" s="39"/>
      <c r="U1008" s="39"/>
      <c r="V1008" s="39"/>
    </row>
    <row r="1009" ht="22.5" customHeight="1">
      <c r="A1009" s="18">
        <v>109.0</v>
      </c>
      <c r="B1009" s="36">
        <v>25.0</v>
      </c>
      <c r="C1009" s="59" t="s">
        <v>7826</v>
      </c>
      <c r="D1009" s="47">
        <v>2.32410308E8</v>
      </c>
      <c r="E1009" s="36" t="s">
        <v>7827</v>
      </c>
      <c r="F1009" s="36" t="s">
        <v>227</v>
      </c>
      <c r="G1009" s="12">
        <v>31.0</v>
      </c>
      <c r="H1009" s="57" t="str">
        <f t="shared" si="5"/>
        <v/>
      </c>
      <c r="I1009" s="29" t="s">
        <v>7705</v>
      </c>
      <c r="J1009" s="20" t="str">
        <f>VLOOKUP(I1009,'Database Grup SCC'!$B$2:$C1382,2,false)</f>
        <v>-</v>
      </c>
      <c r="K1009" s="50"/>
      <c r="L1009" s="50"/>
      <c r="M1009" s="50"/>
      <c r="N1009" s="35"/>
      <c r="O1009" s="34"/>
      <c r="P1009" s="34"/>
      <c r="Q1009" s="12" t="str">
        <f t="shared" si="6"/>
        <v>#REF!</v>
      </c>
      <c r="R1009" s="39" t="e">
        <v>#REF!</v>
      </c>
      <c r="S1009" s="39"/>
      <c r="T1009" s="39"/>
      <c r="U1009" s="39"/>
      <c r="V1009" s="39"/>
    </row>
    <row r="1010" ht="22.5" customHeight="1">
      <c r="A1010" s="18">
        <v>110.0</v>
      </c>
      <c r="B1010" s="36">
        <v>26.0</v>
      </c>
      <c r="C1010" s="59" t="s">
        <v>7828</v>
      </c>
      <c r="D1010" s="47">
        <v>2.32410315E8</v>
      </c>
      <c r="E1010" s="36" t="s">
        <v>7829</v>
      </c>
      <c r="F1010" s="36" t="s">
        <v>227</v>
      </c>
      <c r="G1010" s="12">
        <v>31.0</v>
      </c>
      <c r="H1010" s="57" t="str">
        <f t="shared" si="5"/>
        <v/>
      </c>
      <c r="I1010" s="29" t="s">
        <v>7705</v>
      </c>
      <c r="J1010" s="20" t="str">
        <f>VLOOKUP(I1010,'Database Grup SCC'!$B$2:$C1382,2,false)</f>
        <v>-</v>
      </c>
      <c r="K1010" s="50"/>
      <c r="L1010" s="50"/>
      <c r="M1010" s="50"/>
      <c r="N1010" s="35"/>
      <c r="O1010" s="34"/>
      <c r="P1010" s="34"/>
      <c r="Q1010" s="12" t="str">
        <f t="shared" si="6"/>
        <v>#REF!</v>
      </c>
      <c r="R1010" s="39" t="e">
        <v>#REF!</v>
      </c>
      <c r="S1010" s="39"/>
      <c r="T1010" s="39"/>
      <c r="U1010" s="39"/>
      <c r="V1010" s="39"/>
    </row>
    <row r="1011" ht="22.5" customHeight="1">
      <c r="A1011" s="18">
        <v>111.0</v>
      </c>
      <c r="B1011" s="36">
        <v>27.0</v>
      </c>
      <c r="C1011" s="59" t="s">
        <v>7830</v>
      </c>
      <c r="D1011" s="47">
        <v>2.32410325E8</v>
      </c>
      <c r="E1011" s="36" t="s">
        <v>7831</v>
      </c>
      <c r="F1011" s="36" t="s">
        <v>227</v>
      </c>
      <c r="G1011" s="12">
        <v>31.0</v>
      </c>
      <c r="H1011" s="57" t="str">
        <f t="shared" si="5"/>
        <v/>
      </c>
      <c r="I1011" s="29" t="s">
        <v>7705</v>
      </c>
      <c r="J1011" s="20" t="str">
        <f>VLOOKUP(I1011,'Database Grup SCC'!$B$2:$C1382,2,false)</f>
        <v>-</v>
      </c>
      <c r="K1011" s="50"/>
      <c r="L1011" s="50"/>
      <c r="M1011" s="50"/>
      <c r="N1011" s="35"/>
      <c r="O1011" s="34"/>
      <c r="P1011" s="34"/>
      <c r="Q1011" s="12" t="str">
        <f t="shared" si="6"/>
        <v>#REF!</v>
      </c>
      <c r="R1011" s="39" t="e">
        <v>#REF!</v>
      </c>
      <c r="S1011" s="39"/>
      <c r="T1011" s="39"/>
      <c r="U1011" s="39"/>
      <c r="V1011" s="39"/>
    </row>
    <row r="1012" ht="22.5" customHeight="1">
      <c r="A1012" s="18">
        <v>112.0</v>
      </c>
      <c r="B1012" s="36">
        <v>28.0</v>
      </c>
      <c r="C1012" s="59" t="s">
        <v>7832</v>
      </c>
      <c r="D1012" s="47">
        <v>2.32410345E8</v>
      </c>
      <c r="E1012" s="36" t="s">
        <v>7833</v>
      </c>
      <c r="F1012" s="36" t="s">
        <v>227</v>
      </c>
      <c r="G1012" s="12">
        <v>31.0</v>
      </c>
      <c r="H1012" s="57" t="str">
        <f t="shared" si="5"/>
        <v/>
      </c>
      <c r="I1012" s="29" t="s">
        <v>7705</v>
      </c>
      <c r="J1012" s="20" t="str">
        <f>VLOOKUP(I1012,'Database Grup SCC'!$B$2:$C1382,2,false)</f>
        <v>-</v>
      </c>
      <c r="K1012" s="50"/>
      <c r="L1012" s="50"/>
      <c r="M1012" s="50"/>
      <c r="N1012" s="35"/>
      <c r="O1012" s="34"/>
      <c r="P1012" s="34"/>
      <c r="Q1012" s="12" t="str">
        <f t="shared" si="6"/>
        <v>#REF!</v>
      </c>
      <c r="R1012" s="39" t="e">
        <v>#REF!</v>
      </c>
      <c r="S1012" s="39"/>
      <c r="T1012" s="39"/>
      <c r="U1012" s="39"/>
      <c r="V1012" s="39"/>
    </row>
    <row r="1013" ht="22.5" customHeight="1">
      <c r="A1013" s="18">
        <v>113.0</v>
      </c>
      <c r="B1013" s="36">
        <v>29.0</v>
      </c>
      <c r="C1013" s="59" t="s">
        <v>7834</v>
      </c>
      <c r="D1013" s="47">
        <v>2.32410353E8</v>
      </c>
      <c r="E1013" s="36" t="s">
        <v>7835</v>
      </c>
      <c r="F1013" s="36" t="s">
        <v>227</v>
      </c>
      <c r="G1013" s="12">
        <v>31.0</v>
      </c>
      <c r="H1013" s="57" t="str">
        <f t="shared" si="5"/>
        <v/>
      </c>
      <c r="I1013" s="29" t="s">
        <v>7705</v>
      </c>
      <c r="J1013" s="20" t="str">
        <f>VLOOKUP(I1013,'Database Grup SCC'!$B$2:$C1382,2,false)</f>
        <v>-</v>
      </c>
      <c r="K1013" s="50"/>
      <c r="L1013" s="50"/>
      <c r="M1013" s="50"/>
      <c r="N1013" s="35"/>
      <c r="O1013" s="34"/>
      <c r="P1013" s="34"/>
      <c r="Q1013" s="12" t="str">
        <f t="shared" si="6"/>
        <v>#REF!</v>
      </c>
      <c r="R1013" s="39" t="e">
        <v>#REF!</v>
      </c>
      <c r="S1013" s="39"/>
      <c r="T1013" s="39"/>
      <c r="U1013" s="39"/>
      <c r="V1013" s="39"/>
    </row>
    <row r="1014" ht="22.5" customHeight="1">
      <c r="A1014" s="18">
        <v>114.0</v>
      </c>
      <c r="B1014" s="36">
        <v>30.0</v>
      </c>
      <c r="C1014" s="36" t="s">
        <v>7836</v>
      </c>
      <c r="D1014" s="47">
        <v>2.32410361E8</v>
      </c>
      <c r="E1014" s="36" t="s">
        <v>7837</v>
      </c>
      <c r="F1014" s="36" t="s">
        <v>227</v>
      </c>
      <c r="G1014" s="12">
        <v>31.0</v>
      </c>
      <c r="H1014" s="57" t="str">
        <f t="shared" si="5"/>
        <v/>
      </c>
      <c r="I1014" s="29" t="s">
        <v>7705</v>
      </c>
      <c r="J1014" s="20" t="str">
        <f>VLOOKUP(I1014,'Database Grup SCC'!$B$2:$C1382,2,false)</f>
        <v>-</v>
      </c>
      <c r="K1014" s="50"/>
      <c r="L1014" s="50"/>
      <c r="M1014" s="50"/>
      <c r="N1014" s="35"/>
      <c r="O1014" s="34"/>
      <c r="P1014" s="34"/>
      <c r="Q1014" s="12" t="str">
        <f t="shared" si="6"/>
        <v>#REF!</v>
      </c>
      <c r="R1014" s="39" t="e">
        <v>#REF!</v>
      </c>
      <c r="S1014" s="39"/>
      <c r="T1014" s="39"/>
      <c r="U1014" s="39"/>
      <c r="V1014" s="39"/>
    </row>
    <row r="1015" ht="22.5" customHeight="1">
      <c r="A1015" s="18">
        <v>115.0</v>
      </c>
      <c r="B1015" s="36">
        <v>31.0</v>
      </c>
      <c r="C1015" s="59" t="s">
        <v>7838</v>
      </c>
      <c r="D1015" s="47">
        <v>2.32410388E8</v>
      </c>
      <c r="E1015" s="36" t="s">
        <v>7839</v>
      </c>
      <c r="F1015" s="36" t="s">
        <v>227</v>
      </c>
      <c r="G1015" s="12">
        <v>31.0</v>
      </c>
      <c r="H1015" s="57" t="str">
        <f t="shared" si="5"/>
        <v/>
      </c>
      <c r="I1015" s="29" t="s">
        <v>7705</v>
      </c>
      <c r="J1015" s="20" t="str">
        <f>VLOOKUP(I1015,'Database Grup SCC'!$B$2:$C1382,2,false)</f>
        <v>-</v>
      </c>
      <c r="K1015" s="50"/>
      <c r="L1015" s="50"/>
      <c r="M1015" s="50"/>
      <c r="N1015" s="35"/>
      <c r="O1015" s="34"/>
      <c r="P1015" s="34"/>
      <c r="Q1015" s="12" t="str">
        <f t="shared" si="6"/>
        <v>#REF!</v>
      </c>
      <c r="R1015" s="39" t="e">
        <v>#REF!</v>
      </c>
      <c r="S1015" s="39"/>
      <c r="T1015" s="39"/>
      <c r="U1015" s="39"/>
      <c r="V1015" s="39"/>
    </row>
    <row r="1016" ht="22.5" customHeight="1">
      <c r="A1016" s="18">
        <v>116.0</v>
      </c>
      <c r="B1016" s="36">
        <v>32.0</v>
      </c>
      <c r="C1016" s="59" t="s">
        <v>7840</v>
      </c>
      <c r="D1016" s="47">
        <v>2.32410394E8</v>
      </c>
      <c r="E1016" s="36" t="s">
        <v>7841</v>
      </c>
      <c r="F1016" s="36" t="s">
        <v>227</v>
      </c>
      <c r="G1016" s="12">
        <v>31.0</v>
      </c>
      <c r="H1016" s="57" t="str">
        <f t="shared" si="5"/>
        <v/>
      </c>
      <c r="I1016" s="29" t="s">
        <v>7705</v>
      </c>
      <c r="J1016" s="20" t="str">
        <f>VLOOKUP(I1016,'Database Grup SCC'!$B$2:$C1382,2,false)</f>
        <v>-</v>
      </c>
      <c r="K1016" s="50"/>
      <c r="L1016" s="50"/>
      <c r="M1016" s="50"/>
      <c r="N1016" s="35"/>
      <c r="O1016" s="34"/>
      <c r="P1016" s="34"/>
      <c r="Q1016" s="12" t="str">
        <f t="shared" si="6"/>
        <v>#REF!</v>
      </c>
      <c r="R1016" s="39" t="e">
        <v>#REF!</v>
      </c>
      <c r="S1016" s="39"/>
      <c r="T1016" s="39"/>
      <c r="U1016" s="39"/>
      <c r="V1016" s="39"/>
    </row>
    <row r="1017" ht="22.5" customHeight="1">
      <c r="A1017" s="18">
        <v>117.0</v>
      </c>
      <c r="B1017" s="36">
        <v>33.0</v>
      </c>
      <c r="C1017" s="59" t="s">
        <v>7842</v>
      </c>
      <c r="D1017" s="47">
        <v>2.02107907E8</v>
      </c>
      <c r="E1017" s="36" t="s">
        <v>7843</v>
      </c>
      <c r="F1017" s="36" t="s">
        <v>227</v>
      </c>
      <c r="G1017" s="12">
        <v>31.0</v>
      </c>
      <c r="H1017" s="57" t="str">
        <f t="shared" si="5"/>
        <v/>
      </c>
      <c r="I1017" s="29" t="s">
        <v>7705</v>
      </c>
      <c r="J1017" s="20" t="str">
        <f>VLOOKUP(I1017,'Database Grup SCC'!$B$2:$C1382,2,false)</f>
        <v>-</v>
      </c>
      <c r="K1017" s="50"/>
      <c r="L1017" s="50"/>
      <c r="M1017" s="50"/>
      <c r="N1017" s="35"/>
      <c r="O1017" s="34"/>
      <c r="P1017" s="34"/>
      <c r="Q1017" s="12" t="str">
        <f t="shared" si="6"/>
        <v>#REF!</v>
      </c>
      <c r="R1017" s="39" t="e">
        <v>#REF!</v>
      </c>
      <c r="S1017" s="39"/>
      <c r="T1017" s="39"/>
      <c r="U1017" s="39"/>
      <c r="V1017" s="39"/>
    </row>
    <row r="1018" ht="22.5" customHeight="1">
      <c r="A1018" s="18">
        <v>118.0</v>
      </c>
      <c r="B1018" s="36">
        <v>34.0</v>
      </c>
      <c r="C1018" s="59" t="s">
        <v>7844</v>
      </c>
      <c r="D1018" s="47">
        <v>2.32410422E8</v>
      </c>
      <c r="E1018" s="36" t="s">
        <v>7845</v>
      </c>
      <c r="F1018" s="36" t="s">
        <v>227</v>
      </c>
      <c r="G1018" s="12">
        <v>31.0</v>
      </c>
      <c r="H1018" s="57" t="str">
        <f t="shared" si="5"/>
        <v/>
      </c>
      <c r="I1018" s="29" t="s">
        <v>7705</v>
      </c>
      <c r="J1018" s="20" t="str">
        <f>VLOOKUP(I1018,'Database Grup SCC'!$B$2:$C1382,2,false)</f>
        <v>-</v>
      </c>
      <c r="K1018" s="50"/>
      <c r="L1018" s="50"/>
      <c r="M1018" s="50"/>
      <c r="N1018" s="35"/>
      <c r="O1018" s="34"/>
      <c r="P1018" s="34"/>
      <c r="Q1018" s="12" t="str">
        <f t="shared" si="6"/>
        <v>#REF!</v>
      </c>
      <c r="R1018" s="39" t="e">
        <v>#REF!</v>
      </c>
      <c r="S1018" s="39"/>
      <c r="T1018" s="39"/>
      <c r="U1018" s="39"/>
      <c r="V1018" s="39"/>
    </row>
    <row r="1019" ht="22.5" customHeight="1">
      <c r="A1019" s="18">
        <v>119.0</v>
      </c>
      <c r="B1019" s="36">
        <v>35.0</v>
      </c>
      <c r="C1019" s="59" t="s">
        <v>7846</v>
      </c>
      <c r="D1019" s="47">
        <v>2.32410423E8</v>
      </c>
      <c r="E1019" s="36" t="s">
        <v>7847</v>
      </c>
      <c r="F1019" s="36" t="s">
        <v>227</v>
      </c>
      <c r="G1019" s="12">
        <v>31.0</v>
      </c>
      <c r="H1019" s="57" t="str">
        <f t="shared" si="5"/>
        <v/>
      </c>
      <c r="I1019" s="29" t="s">
        <v>7705</v>
      </c>
      <c r="J1019" s="20" t="str">
        <f>VLOOKUP(I1019,'Database Grup SCC'!$B$2:$C1382,2,false)</f>
        <v>-</v>
      </c>
      <c r="K1019" s="50"/>
      <c r="L1019" s="50"/>
      <c r="M1019" s="50"/>
      <c r="N1019" s="35"/>
      <c r="O1019" s="34"/>
      <c r="P1019" s="34"/>
      <c r="Q1019" s="12" t="str">
        <f t="shared" si="6"/>
        <v>#REF!</v>
      </c>
      <c r="R1019" s="39" t="e">
        <v>#REF!</v>
      </c>
      <c r="S1019" s="39"/>
      <c r="T1019" s="39"/>
      <c r="U1019" s="39"/>
      <c r="V1019" s="39"/>
    </row>
    <row r="1020" ht="22.5" customHeight="1">
      <c r="A1020" s="18">
        <v>133.0</v>
      </c>
      <c r="B1020" s="36">
        <v>1.0</v>
      </c>
      <c r="C1020" s="59" t="s">
        <v>7848</v>
      </c>
      <c r="D1020" s="47">
        <v>2.32410004E8</v>
      </c>
      <c r="E1020" s="36" t="s">
        <v>7849</v>
      </c>
      <c r="F1020" s="36" t="s">
        <v>220</v>
      </c>
      <c r="G1020" s="12">
        <v>31.0</v>
      </c>
      <c r="H1020" s="57" t="str">
        <f t="shared" si="5"/>
        <v/>
      </c>
      <c r="I1020" s="29" t="s">
        <v>7705</v>
      </c>
      <c r="J1020" s="20" t="str">
        <f>VLOOKUP(I1020,'Database Grup SCC'!$B$2:$C1382,2,false)</f>
        <v>-</v>
      </c>
      <c r="K1020" s="50"/>
      <c r="L1020" s="50" t="s">
        <v>6974</v>
      </c>
      <c r="M1020" s="50" t="s">
        <v>7850</v>
      </c>
      <c r="N1020" s="35"/>
      <c r="O1020" s="34"/>
      <c r="P1020" s="34"/>
      <c r="Q1020" s="12" t="str">
        <f t="shared" si="6"/>
        <v>#REF!</v>
      </c>
      <c r="R1020" s="39" t="e">
        <v>#REF!</v>
      </c>
      <c r="S1020" s="39"/>
      <c r="T1020" s="39"/>
      <c r="U1020" s="39"/>
      <c r="V1020" s="39"/>
    </row>
    <row r="1021" ht="22.5" customHeight="1">
      <c r="A1021" s="18">
        <v>134.0</v>
      </c>
      <c r="B1021" s="36">
        <v>2.0</v>
      </c>
      <c r="C1021" s="59" t="s">
        <v>7851</v>
      </c>
      <c r="D1021" s="47">
        <v>2.32410007E8</v>
      </c>
      <c r="E1021" s="36" t="s">
        <v>7852</v>
      </c>
      <c r="F1021" s="36" t="s">
        <v>220</v>
      </c>
      <c r="G1021" s="12">
        <v>31.0</v>
      </c>
      <c r="H1021" s="57" t="str">
        <f t="shared" si="5"/>
        <v/>
      </c>
      <c r="I1021" s="29" t="s">
        <v>7705</v>
      </c>
      <c r="J1021" s="20" t="str">
        <f>VLOOKUP(I1021,'Database Grup SCC'!$B$2:$C1382,2,false)</f>
        <v>-</v>
      </c>
      <c r="K1021" s="50"/>
      <c r="L1021" s="50"/>
      <c r="M1021" s="50"/>
      <c r="N1021" s="35"/>
      <c r="O1021" s="34"/>
      <c r="P1021" s="34"/>
      <c r="Q1021" s="12" t="str">
        <f t="shared" si="6"/>
        <v>#REF!</v>
      </c>
      <c r="R1021" s="39" t="e">
        <v>#REF!</v>
      </c>
      <c r="S1021" s="39"/>
      <c r="T1021" s="39"/>
      <c r="U1021" s="39"/>
      <c r="V1021" s="39"/>
    </row>
    <row r="1022" ht="22.5" customHeight="1">
      <c r="A1022" s="18">
        <v>135.0</v>
      </c>
      <c r="B1022" s="36">
        <v>3.0</v>
      </c>
      <c r="C1022" s="59" t="s">
        <v>7853</v>
      </c>
      <c r="D1022" s="47">
        <v>2.32410022E8</v>
      </c>
      <c r="E1022" s="36" t="s">
        <v>7854</v>
      </c>
      <c r="F1022" s="36" t="s">
        <v>227</v>
      </c>
      <c r="G1022" s="12">
        <v>31.0</v>
      </c>
      <c r="H1022" s="57" t="str">
        <f t="shared" si="5"/>
        <v/>
      </c>
      <c r="I1022" s="29" t="s">
        <v>7705</v>
      </c>
      <c r="J1022" s="20" t="str">
        <f>VLOOKUP(I1022,'Database Grup SCC'!$B$2:$C1382,2,false)</f>
        <v>-</v>
      </c>
      <c r="K1022" s="50"/>
      <c r="L1022" s="50"/>
      <c r="M1022" s="50"/>
      <c r="N1022" s="35"/>
      <c r="O1022" s="34"/>
      <c r="P1022" s="34"/>
      <c r="Q1022" s="12" t="str">
        <f t="shared" si="6"/>
        <v>#REF!</v>
      </c>
      <c r="R1022" s="39" t="e">
        <v>#REF!</v>
      </c>
      <c r="S1022" s="39"/>
      <c r="T1022" s="39"/>
      <c r="U1022" s="39"/>
      <c r="V1022" s="39"/>
    </row>
    <row r="1023" ht="22.5" customHeight="1">
      <c r="A1023" s="18">
        <v>136.0</v>
      </c>
      <c r="B1023" s="36">
        <v>4.0</v>
      </c>
      <c r="C1023" s="59" t="s">
        <v>7855</v>
      </c>
      <c r="D1023" s="60">
        <v>2.32410069E8</v>
      </c>
      <c r="E1023" s="36" t="s">
        <v>7856</v>
      </c>
      <c r="F1023" s="36" t="s">
        <v>220</v>
      </c>
      <c r="G1023" s="12">
        <v>31.0</v>
      </c>
      <c r="H1023" s="57" t="str">
        <f t="shared" si="5"/>
        <v/>
      </c>
      <c r="I1023" s="29" t="s">
        <v>7705</v>
      </c>
      <c r="J1023" s="20" t="str">
        <f>VLOOKUP(I1023,'Database Grup SCC'!$B$2:$C1382,2,false)</f>
        <v>-</v>
      </c>
      <c r="K1023" s="50"/>
      <c r="L1023" s="50"/>
      <c r="M1023" s="50"/>
      <c r="N1023" s="35"/>
      <c r="O1023" s="34"/>
      <c r="P1023" s="34"/>
      <c r="Q1023" s="12" t="str">
        <f t="shared" si="6"/>
        <v>#REF!</v>
      </c>
      <c r="R1023" s="39" t="e">
        <v>#REF!</v>
      </c>
      <c r="S1023" s="39"/>
      <c r="T1023" s="39"/>
      <c r="U1023" s="39"/>
      <c r="V1023" s="39"/>
    </row>
    <row r="1024" ht="22.5" customHeight="1">
      <c r="A1024" s="18">
        <v>137.0</v>
      </c>
      <c r="B1024" s="36">
        <v>5.0</v>
      </c>
      <c r="C1024" s="59" t="s">
        <v>7857</v>
      </c>
      <c r="D1024" s="47">
        <v>2.32410089E8</v>
      </c>
      <c r="E1024" s="36" t="s">
        <v>7858</v>
      </c>
      <c r="F1024" s="36" t="s">
        <v>227</v>
      </c>
      <c r="G1024" s="12">
        <v>31.0</v>
      </c>
      <c r="H1024" s="57" t="str">
        <f t="shared" si="5"/>
        <v/>
      </c>
      <c r="I1024" s="29" t="s">
        <v>7705</v>
      </c>
      <c r="J1024" s="20" t="str">
        <f>VLOOKUP(I1024,'Database Grup SCC'!$B$2:$C1382,2,false)</f>
        <v>-</v>
      </c>
      <c r="K1024" s="50"/>
      <c r="L1024" s="50"/>
      <c r="M1024" s="50"/>
      <c r="N1024" s="35"/>
      <c r="O1024" s="34"/>
      <c r="P1024" s="34"/>
      <c r="Q1024" s="12" t="str">
        <f t="shared" si="6"/>
        <v>#REF!</v>
      </c>
      <c r="R1024" s="39" t="e">
        <v>#REF!</v>
      </c>
      <c r="S1024" s="39"/>
      <c r="T1024" s="39"/>
      <c r="U1024" s="39"/>
      <c r="V1024" s="39"/>
    </row>
    <row r="1025" ht="22.5" customHeight="1">
      <c r="A1025" s="18">
        <v>149.0</v>
      </c>
      <c r="B1025" s="36">
        <v>6.0</v>
      </c>
      <c r="C1025" s="59" t="s">
        <v>7786</v>
      </c>
      <c r="D1025" s="47">
        <v>2.32410109E8</v>
      </c>
      <c r="E1025" s="36" t="s">
        <v>7859</v>
      </c>
      <c r="F1025" s="36" t="s">
        <v>220</v>
      </c>
      <c r="G1025" s="12">
        <v>31.0</v>
      </c>
      <c r="H1025" s="57" t="str">
        <f t="shared" si="5"/>
        <v/>
      </c>
      <c r="I1025" s="29" t="s">
        <v>7705</v>
      </c>
      <c r="J1025" s="20" t="str">
        <f>VLOOKUP(I1025,'Database Grup SCC'!$B$2:$C1382,2,false)</f>
        <v>-</v>
      </c>
      <c r="K1025" s="50"/>
      <c r="L1025" s="50"/>
      <c r="M1025" s="50"/>
      <c r="N1025" s="35"/>
      <c r="O1025" s="34"/>
      <c r="P1025" s="34"/>
      <c r="Q1025" s="12" t="str">
        <f t="shared" si="6"/>
        <v>#REF!</v>
      </c>
      <c r="R1025" s="39" t="e">
        <v>#REF!</v>
      </c>
      <c r="S1025" s="39"/>
      <c r="T1025" s="39"/>
      <c r="U1025" s="39"/>
      <c r="V1025" s="39"/>
    </row>
    <row r="1026" ht="22.5" customHeight="1">
      <c r="A1026" s="18">
        <v>150.0</v>
      </c>
      <c r="B1026" s="36">
        <v>7.0</v>
      </c>
      <c r="C1026" s="36" t="s">
        <v>7860</v>
      </c>
      <c r="D1026" s="47">
        <v>2.32410138E8</v>
      </c>
      <c r="E1026" s="36" t="s">
        <v>7861</v>
      </c>
      <c r="F1026" s="36" t="s">
        <v>220</v>
      </c>
      <c r="G1026" s="12">
        <v>31.0</v>
      </c>
      <c r="H1026" s="57" t="str">
        <f t="shared" si="5"/>
        <v/>
      </c>
      <c r="I1026" s="29" t="s">
        <v>7705</v>
      </c>
      <c r="J1026" s="20" t="str">
        <f>VLOOKUP(I1026,'Database Grup SCC'!$B$2:$C1382,2,false)</f>
        <v>-</v>
      </c>
      <c r="K1026" s="50"/>
      <c r="L1026" s="50"/>
      <c r="M1026" s="50"/>
      <c r="N1026" s="35"/>
      <c r="O1026" s="34"/>
      <c r="P1026" s="34"/>
      <c r="Q1026" s="12" t="str">
        <f t="shared" si="6"/>
        <v>#REF!</v>
      </c>
      <c r="R1026" s="39" t="e">
        <v>#REF!</v>
      </c>
      <c r="S1026" s="39"/>
      <c r="T1026" s="39"/>
      <c r="U1026" s="39"/>
      <c r="V1026" s="39"/>
    </row>
    <row r="1027" ht="22.5" customHeight="1">
      <c r="A1027" s="18">
        <v>151.0</v>
      </c>
      <c r="B1027" s="36">
        <v>8.0</v>
      </c>
      <c r="C1027" s="59" t="s">
        <v>7862</v>
      </c>
      <c r="D1027" s="47">
        <v>2.3241016E8</v>
      </c>
      <c r="E1027" s="36" t="s">
        <v>7863</v>
      </c>
      <c r="F1027" s="36" t="s">
        <v>220</v>
      </c>
      <c r="G1027" s="12">
        <v>31.0</v>
      </c>
      <c r="H1027" s="57" t="str">
        <f t="shared" si="5"/>
        <v/>
      </c>
      <c r="I1027" s="29" t="s">
        <v>7705</v>
      </c>
      <c r="J1027" s="20" t="str">
        <f>VLOOKUP(I1027,'Database Grup SCC'!$B$2:$C1382,2,false)</f>
        <v>-</v>
      </c>
      <c r="K1027" s="50"/>
      <c r="L1027" s="50"/>
      <c r="M1027" s="50"/>
      <c r="N1027" s="35"/>
      <c r="O1027" s="34"/>
      <c r="P1027" s="34"/>
      <c r="Q1027" s="12" t="str">
        <f t="shared" si="6"/>
        <v>#REF!</v>
      </c>
      <c r="R1027" s="39" t="e">
        <v>#REF!</v>
      </c>
      <c r="S1027" s="39"/>
      <c r="T1027" s="39"/>
      <c r="U1027" s="39"/>
      <c r="V1027" s="39"/>
    </row>
    <row r="1028" ht="22.5" customHeight="1">
      <c r="A1028" s="18">
        <v>152.0</v>
      </c>
      <c r="B1028" s="36">
        <v>9.0</v>
      </c>
      <c r="C1028" s="59" t="s">
        <v>7864</v>
      </c>
      <c r="D1028" s="47">
        <v>2.32410166E8</v>
      </c>
      <c r="E1028" s="36" t="s">
        <v>7865</v>
      </c>
      <c r="F1028" s="36" t="s">
        <v>220</v>
      </c>
      <c r="G1028" s="12">
        <v>31.0</v>
      </c>
      <c r="H1028" s="57" t="str">
        <f t="shared" si="5"/>
        <v/>
      </c>
      <c r="I1028" s="29" t="s">
        <v>7705</v>
      </c>
      <c r="J1028" s="20" t="str">
        <f>VLOOKUP(I1028,'Database Grup SCC'!$B$2:$C1382,2,false)</f>
        <v>-</v>
      </c>
      <c r="K1028" s="50"/>
      <c r="L1028" s="50"/>
      <c r="M1028" s="50"/>
      <c r="N1028" s="35"/>
      <c r="O1028" s="34"/>
      <c r="P1028" s="34"/>
      <c r="Q1028" s="12" t="str">
        <f t="shared" si="6"/>
        <v>#REF!</v>
      </c>
      <c r="R1028" s="39" t="e">
        <v>#REF!</v>
      </c>
      <c r="S1028" s="39"/>
      <c r="T1028" s="39"/>
      <c r="U1028" s="39"/>
      <c r="V1028" s="39"/>
    </row>
    <row r="1029" ht="22.5" customHeight="1">
      <c r="A1029" s="18">
        <v>153.0</v>
      </c>
      <c r="B1029" s="36">
        <v>10.0</v>
      </c>
      <c r="C1029" s="59" t="s">
        <v>7866</v>
      </c>
      <c r="D1029" s="47">
        <v>2.32410173E8</v>
      </c>
      <c r="E1029" s="36" t="s">
        <v>7867</v>
      </c>
      <c r="F1029" s="36" t="s">
        <v>227</v>
      </c>
      <c r="G1029" s="12">
        <v>31.0</v>
      </c>
      <c r="H1029" s="57" t="str">
        <f t="shared" si="5"/>
        <v/>
      </c>
      <c r="I1029" s="29" t="s">
        <v>7705</v>
      </c>
      <c r="J1029" s="20" t="str">
        <f>VLOOKUP(I1029,'Database Grup SCC'!$B$2:$C1382,2,false)</f>
        <v>-</v>
      </c>
      <c r="K1029" s="50"/>
      <c r="L1029" s="50"/>
      <c r="M1029" s="50"/>
      <c r="N1029" s="35"/>
      <c r="O1029" s="34"/>
      <c r="P1029" s="34"/>
      <c r="Q1029" s="12" t="str">
        <f t="shared" si="6"/>
        <v>#REF!</v>
      </c>
      <c r="R1029" s="39" t="e">
        <v>#REF!</v>
      </c>
      <c r="S1029" s="39"/>
      <c r="T1029" s="39"/>
      <c r="U1029" s="39"/>
      <c r="V1029" s="39"/>
    </row>
    <row r="1030" ht="22.5" customHeight="1">
      <c r="A1030" s="18">
        <v>154.0</v>
      </c>
      <c r="B1030" s="36">
        <v>11.0</v>
      </c>
      <c r="C1030" s="36" t="s">
        <v>7868</v>
      </c>
      <c r="D1030" s="47">
        <v>2.32410177E8</v>
      </c>
      <c r="E1030" s="36" t="s">
        <v>7869</v>
      </c>
      <c r="F1030" s="36" t="s">
        <v>220</v>
      </c>
      <c r="G1030" s="12">
        <v>31.0</v>
      </c>
      <c r="H1030" s="57" t="str">
        <f t="shared" si="5"/>
        <v/>
      </c>
      <c r="I1030" s="29" t="s">
        <v>7705</v>
      </c>
      <c r="J1030" s="20" t="str">
        <f>VLOOKUP(I1030,'Database Grup SCC'!$B$2:$C1382,2,false)</f>
        <v>-</v>
      </c>
      <c r="K1030" s="50"/>
      <c r="L1030" s="50"/>
      <c r="M1030" s="50"/>
      <c r="N1030" s="35"/>
      <c r="O1030" s="34"/>
      <c r="P1030" s="34"/>
      <c r="Q1030" s="12" t="str">
        <f t="shared" si="6"/>
        <v>#REF!</v>
      </c>
      <c r="R1030" s="39" t="e">
        <v>#REF!</v>
      </c>
      <c r="S1030" s="39"/>
      <c r="T1030" s="39"/>
      <c r="U1030" s="39"/>
      <c r="V1030" s="39"/>
    </row>
    <row r="1031" ht="22.5" customHeight="1">
      <c r="A1031" s="18">
        <v>155.0</v>
      </c>
      <c r="B1031" s="36">
        <v>12.0</v>
      </c>
      <c r="C1031" s="59" t="s">
        <v>7870</v>
      </c>
      <c r="D1031" s="47">
        <v>2.3241019E8</v>
      </c>
      <c r="E1031" s="36" t="s">
        <v>7871</v>
      </c>
      <c r="F1031" s="36" t="s">
        <v>227</v>
      </c>
      <c r="G1031" s="12">
        <v>31.0</v>
      </c>
      <c r="H1031" s="57" t="str">
        <f t="shared" si="5"/>
        <v/>
      </c>
      <c r="I1031" s="29" t="s">
        <v>7705</v>
      </c>
      <c r="J1031" s="20" t="str">
        <f>VLOOKUP(I1031,'Database Grup SCC'!$B$2:$C1382,2,false)</f>
        <v>-</v>
      </c>
      <c r="K1031" s="50"/>
      <c r="L1031" s="50"/>
      <c r="M1031" s="50"/>
      <c r="N1031" s="35"/>
      <c r="O1031" s="34"/>
      <c r="P1031" s="34"/>
      <c r="Q1031" s="12" t="str">
        <f t="shared" si="6"/>
        <v>#REF!</v>
      </c>
      <c r="R1031" s="39" t="e">
        <v>#REF!</v>
      </c>
      <c r="S1031" s="39"/>
      <c r="T1031" s="39"/>
      <c r="U1031" s="39"/>
      <c r="V1031" s="39"/>
    </row>
    <row r="1032" ht="22.5" customHeight="1">
      <c r="A1032" s="18">
        <v>156.0</v>
      </c>
      <c r="B1032" s="36">
        <v>13.0</v>
      </c>
      <c r="C1032" s="59" t="s">
        <v>7872</v>
      </c>
      <c r="D1032" s="47">
        <v>2.32410191E8</v>
      </c>
      <c r="E1032" s="36" t="s">
        <v>7873</v>
      </c>
      <c r="F1032" s="36" t="s">
        <v>227</v>
      </c>
      <c r="G1032" s="12">
        <v>31.0</v>
      </c>
      <c r="H1032" s="57" t="str">
        <f t="shared" si="5"/>
        <v/>
      </c>
      <c r="I1032" s="29" t="s">
        <v>7705</v>
      </c>
      <c r="J1032" s="20" t="str">
        <f>VLOOKUP(I1032,'Database Grup SCC'!$B$2:$C1382,2,false)</f>
        <v>-</v>
      </c>
      <c r="K1032" s="50"/>
      <c r="L1032" s="50"/>
      <c r="M1032" s="50"/>
      <c r="N1032" s="35"/>
      <c r="O1032" s="34"/>
      <c r="P1032" s="34"/>
      <c r="Q1032" s="12" t="str">
        <f t="shared" si="6"/>
        <v>#REF!</v>
      </c>
      <c r="R1032" s="39" t="e">
        <v>#REF!</v>
      </c>
      <c r="S1032" s="39"/>
      <c r="T1032" s="39"/>
      <c r="U1032" s="39"/>
      <c r="V1032" s="39"/>
    </row>
    <row r="1033" ht="22.5" customHeight="1">
      <c r="A1033" s="18">
        <v>157.0</v>
      </c>
      <c r="B1033" s="36">
        <v>14.0</v>
      </c>
      <c r="C1033" s="59" t="s">
        <v>7874</v>
      </c>
      <c r="D1033" s="47">
        <v>2.32410214E8</v>
      </c>
      <c r="E1033" s="36" t="s">
        <v>7875</v>
      </c>
      <c r="F1033" s="36" t="s">
        <v>227</v>
      </c>
      <c r="G1033" s="12">
        <v>31.0</v>
      </c>
      <c r="H1033" s="57" t="str">
        <f t="shared" si="5"/>
        <v/>
      </c>
      <c r="I1033" s="29" t="s">
        <v>7705</v>
      </c>
      <c r="J1033" s="20" t="str">
        <f>VLOOKUP(I1033,'Database Grup SCC'!$B$2:$C1382,2,false)</f>
        <v>-</v>
      </c>
      <c r="K1033" s="50"/>
      <c r="L1033" s="50"/>
      <c r="M1033" s="50"/>
      <c r="N1033" s="35"/>
      <c r="O1033" s="34"/>
      <c r="P1033" s="34"/>
      <c r="Q1033" s="12" t="str">
        <f t="shared" si="6"/>
        <v>#REF!</v>
      </c>
      <c r="R1033" s="39" t="e">
        <v>#REF!</v>
      </c>
      <c r="S1033" s="39"/>
      <c r="T1033" s="39"/>
      <c r="U1033" s="39"/>
      <c r="V1033" s="39"/>
    </row>
    <row r="1034" ht="22.5" customHeight="1">
      <c r="A1034" s="18">
        <v>158.0</v>
      </c>
      <c r="B1034" s="36">
        <v>15.0</v>
      </c>
      <c r="C1034" s="36" t="s">
        <v>7876</v>
      </c>
      <c r="D1034" s="47">
        <v>2.3241022E8</v>
      </c>
      <c r="E1034" s="36" t="s">
        <v>7877</v>
      </c>
      <c r="F1034" s="36" t="s">
        <v>220</v>
      </c>
      <c r="G1034" s="12">
        <v>31.0</v>
      </c>
      <c r="H1034" s="57" t="str">
        <f t="shared" si="5"/>
        <v/>
      </c>
      <c r="I1034" s="29" t="s">
        <v>7705</v>
      </c>
      <c r="J1034" s="20" t="str">
        <f>VLOOKUP(I1034,'Database Grup SCC'!$B$2:$C1382,2,false)</f>
        <v>-</v>
      </c>
      <c r="K1034" s="50"/>
      <c r="L1034" s="50"/>
      <c r="M1034" s="50"/>
      <c r="N1034" s="35"/>
      <c r="O1034" s="34"/>
      <c r="P1034" s="34"/>
      <c r="Q1034" s="12" t="str">
        <f t="shared" si="6"/>
        <v>#REF!</v>
      </c>
      <c r="R1034" s="39" t="e">
        <v>#REF!</v>
      </c>
      <c r="S1034" s="39"/>
      <c r="T1034" s="39"/>
      <c r="U1034" s="39"/>
      <c r="V1034" s="39"/>
    </row>
    <row r="1035" ht="22.5" customHeight="1">
      <c r="A1035" s="18">
        <v>159.0</v>
      </c>
      <c r="B1035" s="36">
        <v>16.0</v>
      </c>
      <c r="C1035" s="59" t="s">
        <v>7878</v>
      </c>
      <c r="D1035" s="47">
        <v>2.32410222E8</v>
      </c>
      <c r="E1035" s="36" t="s">
        <v>7879</v>
      </c>
      <c r="F1035" s="36" t="s">
        <v>227</v>
      </c>
      <c r="G1035" s="12">
        <v>31.0</v>
      </c>
      <c r="H1035" s="57" t="str">
        <f t="shared" si="5"/>
        <v/>
      </c>
      <c r="I1035" s="29" t="s">
        <v>7705</v>
      </c>
      <c r="J1035" s="20" t="str">
        <f>VLOOKUP(I1035,'Database Grup SCC'!$B$2:$C1382,2,false)</f>
        <v>-</v>
      </c>
      <c r="K1035" s="50"/>
      <c r="L1035" s="50"/>
      <c r="M1035" s="50"/>
      <c r="N1035" s="35"/>
      <c r="O1035" s="34"/>
      <c r="P1035" s="34"/>
      <c r="Q1035" s="12" t="str">
        <f t="shared" si="6"/>
        <v>#REF!</v>
      </c>
      <c r="R1035" s="39" t="e">
        <v>#REF!</v>
      </c>
      <c r="S1035" s="39"/>
      <c r="T1035" s="39"/>
      <c r="U1035" s="39"/>
      <c r="V1035" s="39"/>
    </row>
    <row r="1036" ht="22.5" customHeight="1">
      <c r="A1036" s="18">
        <v>160.0</v>
      </c>
      <c r="B1036" s="36">
        <v>17.0</v>
      </c>
      <c r="C1036" s="62" t="s">
        <v>7880</v>
      </c>
      <c r="D1036" s="63">
        <v>2.4251244E8</v>
      </c>
      <c r="E1036" s="40" t="s">
        <v>7881</v>
      </c>
      <c r="F1036" s="40" t="s">
        <v>220</v>
      </c>
      <c r="G1036" s="12">
        <v>31.0</v>
      </c>
      <c r="H1036" s="57" t="str">
        <f t="shared" si="5"/>
        <v/>
      </c>
      <c r="I1036" s="29" t="s">
        <v>7705</v>
      </c>
      <c r="J1036" s="20" t="str">
        <f>VLOOKUP(I1036,'Database Grup SCC'!$B$2:$C1382,2,false)</f>
        <v>-</v>
      </c>
      <c r="K1036" s="50"/>
      <c r="L1036" s="50"/>
      <c r="M1036" s="50"/>
      <c r="N1036" s="35"/>
      <c r="O1036" s="34"/>
      <c r="P1036" s="34"/>
      <c r="Q1036" s="12" t="str">
        <f t="shared" si="6"/>
        <v>#REF!</v>
      </c>
      <c r="R1036" s="39" t="e">
        <v>#REF!</v>
      </c>
      <c r="S1036" s="39"/>
      <c r="T1036" s="39"/>
      <c r="U1036" s="39"/>
      <c r="V1036" s="39"/>
    </row>
    <row r="1037" ht="22.5" customHeight="1">
      <c r="A1037" s="18">
        <v>161.0</v>
      </c>
      <c r="B1037" s="36">
        <v>18.0</v>
      </c>
      <c r="C1037" s="59" t="s">
        <v>7882</v>
      </c>
      <c r="D1037" s="47">
        <v>2.32410241E8</v>
      </c>
      <c r="E1037" s="36" t="s">
        <v>7883</v>
      </c>
      <c r="F1037" s="36" t="s">
        <v>220</v>
      </c>
      <c r="G1037" s="12">
        <v>31.0</v>
      </c>
      <c r="H1037" s="57" t="str">
        <f t="shared" si="5"/>
        <v/>
      </c>
      <c r="I1037" s="29" t="s">
        <v>7705</v>
      </c>
      <c r="J1037" s="20" t="str">
        <f>VLOOKUP(I1037,'Database Grup SCC'!$B$2:$C1382,2,false)</f>
        <v>-</v>
      </c>
      <c r="K1037" s="50"/>
      <c r="L1037" s="50"/>
      <c r="M1037" s="50"/>
      <c r="N1037" s="35"/>
      <c r="O1037" s="34"/>
      <c r="P1037" s="34"/>
      <c r="Q1037" s="12" t="str">
        <f t="shared" si="6"/>
        <v>#REF!</v>
      </c>
      <c r="R1037" s="39" t="e">
        <v>#REF!</v>
      </c>
      <c r="S1037" s="39"/>
      <c r="T1037" s="39"/>
      <c r="U1037" s="39"/>
      <c r="V1037" s="39"/>
    </row>
    <row r="1038" ht="22.5" customHeight="1">
      <c r="A1038" s="18">
        <v>162.0</v>
      </c>
      <c r="B1038" s="36">
        <v>19.0</v>
      </c>
      <c r="C1038" s="36" t="s">
        <v>7884</v>
      </c>
      <c r="D1038" s="47">
        <v>2.32410257E8</v>
      </c>
      <c r="E1038" s="36" t="s">
        <v>7885</v>
      </c>
      <c r="F1038" s="36" t="s">
        <v>227</v>
      </c>
      <c r="G1038" s="12">
        <v>31.0</v>
      </c>
      <c r="H1038" s="57" t="str">
        <f t="shared" si="5"/>
        <v/>
      </c>
      <c r="I1038" s="29" t="s">
        <v>7705</v>
      </c>
      <c r="J1038" s="20" t="str">
        <f>VLOOKUP(I1038,'Database Grup SCC'!$B$2:$C1382,2,false)</f>
        <v>-</v>
      </c>
      <c r="K1038" s="50"/>
      <c r="L1038" s="50"/>
      <c r="M1038" s="50"/>
      <c r="N1038" s="35"/>
      <c r="O1038" s="34"/>
      <c r="P1038" s="34"/>
      <c r="Q1038" s="12" t="str">
        <f t="shared" si="6"/>
        <v>#REF!</v>
      </c>
      <c r="R1038" s="39" t="e">
        <v>#REF!</v>
      </c>
      <c r="S1038" s="39"/>
      <c r="T1038" s="39"/>
      <c r="U1038" s="39"/>
      <c r="V1038" s="39"/>
    </row>
    <row r="1039" ht="22.5" customHeight="1">
      <c r="A1039" s="18">
        <v>163.0</v>
      </c>
      <c r="B1039" s="36">
        <v>20.0</v>
      </c>
      <c r="C1039" s="59" t="s">
        <v>7886</v>
      </c>
      <c r="D1039" s="47">
        <v>2.32410266E8</v>
      </c>
      <c r="E1039" s="36" t="s">
        <v>7887</v>
      </c>
      <c r="F1039" s="36" t="s">
        <v>227</v>
      </c>
      <c r="G1039" s="12">
        <v>31.0</v>
      </c>
      <c r="H1039" s="57" t="str">
        <f t="shared" si="5"/>
        <v/>
      </c>
      <c r="I1039" s="29" t="s">
        <v>7705</v>
      </c>
      <c r="J1039" s="20" t="str">
        <f>VLOOKUP(I1039,'Database Grup SCC'!$B$2:$C1382,2,false)</f>
        <v>-</v>
      </c>
      <c r="K1039" s="50"/>
      <c r="L1039" s="50"/>
      <c r="M1039" s="50"/>
      <c r="N1039" s="35"/>
      <c r="O1039" s="34"/>
      <c r="P1039" s="34"/>
      <c r="Q1039" s="12" t="str">
        <f t="shared" si="6"/>
        <v>#REF!</v>
      </c>
      <c r="R1039" s="39" t="e">
        <v>#REF!</v>
      </c>
      <c r="S1039" s="39"/>
      <c r="T1039" s="39"/>
      <c r="U1039" s="39"/>
      <c r="V1039" s="39"/>
    </row>
    <row r="1040" ht="22.5" customHeight="1">
      <c r="A1040" s="18">
        <v>164.0</v>
      </c>
      <c r="B1040" s="36">
        <v>21.0</v>
      </c>
      <c r="C1040" s="36" t="s">
        <v>7888</v>
      </c>
      <c r="D1040" s="47">
        <v>2.32410268E8</v>
      </c>
      <c r="E1040" s="36" t="s">
        <v>7889</v>
      </c>
      <c r="F1040" s="36" t="s">
        <v>227</v>
      </c>
      <c r="G1040" s="12">
        <v>31.0</v>
      </c>
      <c r="H1040" s="57" t="str">
        <f t="shared" si="5"/>
        <v/>
      </c>
      <c r="I1040" s="29" t="s">
        <v>7705</v>
      </c>
      <c r="J1040" s="20" t="str">
        <f>VLOOKUP(I1040,'Database Grup SCC'!$B$2:$C1382,2,false)</f>
        <v>-</v>
      </c>
      <c r="K1040" s="50"/>
      <c r="L1040" s="50"/>
      <c r="M1040" s="50"/>
      <c r="N1040" s="35"/>
      <c r="O1040" s="34"/>
      <c r="P1040" s="34"/>
      <c r="Q1040" s="12" t="str">
        <f t="shared" si="6"/>
        <v>#REF!</v>
      </c>
      <c r="R1040" s="39" t="e">
        <v>#REF!</v>
      </c>
      <c r="S1040" s="39"/>
      <c r="T1040" s="39"/>
      <c r="U1040" s="39"/>
      <c r="V1040" s="39"/>
    </row>
    <row r="1041" ht="22.5" customHeight="1">
      <c r="A1041" s="18">
        <v>165.0</v>
      </c>
      <c r="B1041" s="36">
        <v>22.0</v>
      </c>
      <c r="C1041" s="59" t="s">
        <v>7890</v>
      </c>
      <c r="D1041" s="47">
        <v>2.32410274E8</v>
      </c>
      <c r="E1041" s="36" t="s">
        <v>7891</v>
      </c>
      <c r="F1041" s="36" t="s">
        <v>227</v>
      </c>
      <c r="G1041" s="12">
        <v>31.0</v>
      </c>
      <c r="H1041" s="57" t="str">
        <f t="shared" si="5"/>
        <v/>
      </c>
      <c r="I1041" s="29" t="s">
        <v>7705</v>
      </c>
      <c r="J1041" s="20" t="str">
        <f>VLOOKUP(I1041,'Database Grup SCC'!$B$2:$C1382,2,false)</f>
        <v>-</v>
      </c>
      <c r="K1041" s="50"/>
      <c r="L1041" s="50"/>
      <c r="M1041" s="50"/>
      <c r="N1041" s="35"/>
      <c r="O1041" s="34"/>
      <c r="P1041" s="34"/>
      <c r="Q1041" s="12" t="str">
        <f t="shared" si="6"/>
        <v>#REF!</v>
      </c>
      <c r="R1041" s="39" t="e">
        <v>#REF!</v>
      </c>
      <c r="S1041" s="39"/>
      <c r="T1041" s="39"/>
      <c r="U1041" s="39"/>
      <c r="V1041" s="39"/>
    </row>
    <row r="1042" ht="22.5" customHeight="1">
      <c r="A1042" s="18">
        <v>166.0</v>
      </c>
      <c r="B1042" s="36">
        <v>23.0</v>
      </c>
      <c r="C1042" s="59" t="s">
        <v>7892</v>
      </c>
      <c r="D1042" s="47">
        <v>2.32410278E8</v>
      </c>
      <c r="E1042" s="36" t="s">
        <v>7893</v>
      </c>
      <c r="F1042" s="36" t="s">
        <v>227</v>
      </c>
      <c r="G1042" s="12">
        <v>31.0</v>
      </c>
      <c r="H1042" s="57" t="str">
        <f t="shared" si="5"/>
        <v/>
      </c>
      <c r="I1042" s="29" t="s">
        <v>7705</v>
      </c>
      <c r="J1042" s="20" t="str">
        <f>VLOOKUP(I1042,'Database Grup SCC'!$B$2:$C1382,2,false)</f>
        <v>-</v>
      </c>
      <c r="K1042" s="50"/>
      <c r="L1042" s="50"/>
      <c r="M1042" s="50"/>
      <c r="N1042" s="35"/>
      <c r="O1042" s="34"/>
      <c r="P1042" s="34"/>
      <c r="Q1042" s="12" t="str">
        <f t="shared" si="6"/>
        <v>#REF!</v>
      </c>
      <c r="R1042" s="39" t="e">
        <v>#REF!</v>
      </c>
      <c r="S1042" s="39"/>
      <c r="T1042" s="39"/>
      <c r="U1042" s="39"/>
      <c r="V1042" s="39"/>
    </row>
    <row r="1043" ht="22.5" customHeight="1">
      <c r="A1043" s="18">
        <v>167.0</v>
      </c>
      <c r="B1043" s="36">
        <v>24.0</v>
      </c>
      <c r="C1043" s="59" t="s">
        <v>7894</v>
      </c>
      <c r="D1043" s="47">
        <v>2.32410303E8</v>
      </c>
      <c r="E1043" s="36" t="s">
        <v>7895</v>
      </c>
      <c r="F1043" s="36" t="s">
        <v>220</v>
      </c>
      <c r="G1043" s="12">
        <v>31.0</v>
      </c>
      <c r="H1043" s="57" t="str">
        <f t="shared" si="5"/>
        <v/>
      </c>
      <c r="I1043" s="29" t="s">
        <v>7705</v>
      </c>
      <c r="J1043" s="20" t="str">
        <f>VLOOKUP(I1043,'Database Grup SCC'!$B$2:$C1382,2,false)</f>
        <v>-</v>
      </c>
      <c r="K1043" s="50"/>
      <c r="L1043" s="50"/>
      <c r="M1043" s="50"/>
      <c r="N1043" s="35"/>
      <c r="O1043" s="34"/>
      <c r="P1043" s="34"/>
      <c r="Q1043" s="12" t="str">
        <f t="shared" si="6"/>
        <v>#REF!</v>
      </c>
      <c r="R1043" s="39" t="e">
        <v>#REF!</v>
      </c>
      <c r="S1043" s="39"/>
      <c r="T1043" s="39"/>
      <c r="U1043" s="39"/>
      <c r="V1043" s="39"/>
    </row>
    <row r="1044" ht="22.5" customHeight="1">
      <c r="A1044" s="18">
        <v>168.0</v>
      </c>
      <c r="B1044" s="36">
        <v>25.0</v>
      </c>
      <c r="C1044" s="59" t="s">
        <v>7896</v>
      </c>
      <c r="D1044" s="47">
        <v>2.32410305E8</v>
      </c>
      <c r="E1044" s="36" t="s">
        <v>7897</v>
      </c>
      <c r="F1044" s="36" t="s">
        <v>220</v>
      </c>
      <c r="G1044" s="12">
        <v>31.0</v>
      </c>
      <c r="H1044" s="57" t="str">
        <f t="shared" si="5"/>
        <v/>
      </c>
      <c r="I1044" s="29" t="s">
        <v>7705</v>
      </c>
      <c r="J1044" s="20" t="str">
        <f>VLOOKUP(I1044,'Database Grup SCC'!$B$2:$C1382,2,false)</f>
        <v>-</v>
      </c>
      <c r="K1044" s="50"/>
      <c r="L1044" s="50"/>
      <c r="M1044" s="50"/>
      <c r="N1044" s="35"/>
      <c r="O1044" s="34"/>
      <c r="P1044" s="34"/>
      <c r="Q1044" s="12" t="str">
        <f t="shared" si="6"/>
        <v>#REF!</v>
      </c>
      <c r="R1044" s="39" t="e">
        <v>#REF!</v>
      </c>
      <c r="S1044" s="39"/>
      <c r="T1044" s="39"/>
      <c r="U1044" s="39"/>
      <c r="V1044" s="39"/>
    </row>
    <row r="1045" ht="22.5" customHeight="1">
      <c r="A1045" s="18">
        <v>169.0</v>
      </c>
      <c r="B1045" s="36">
        <v>26.0</v>
      </c>
      <c r="C1045" s="59" t="s">
        <v>7898</v>
      </c>
      <c r="D1045" s="47">
        <v>2.32410323E8</v>
      </c>
      <c r="E1045" s="36" t="s">
        <v>7899</v>
      </c>
      <c r="F1045" s="36" t="s">
        <v>227</v>
      </c>
      <c r="G1045" s="12">
        <v>31.0</v>
      </c>
      <c r="H1045" s="57" t="str">
        <f t="shared" si="5"/>
        <v/>
      </c>
      <c r="I1045" s="29" t="s">
        <v>7705</v>
      </c>
      <c r="J1045" s="20" t="str">
        <f>VLOOKUP(I1045,'Database Grup SCC'!$B$2:$C1382,2,false)</f>
        <v>-</v>
      </c>
      <c r="K1045" s="50"/>
      <c r="L1045" s="50"/>
      <c r="M1045" s="50"/>
      <c r="N1045" s="35"/>
      <c r="O1045" s="34"/>
      <c r="P1045" s="34"/>
      <c r="Q1045" s="12" t="str">
        <f t="shared" si="6"/>
        <v>#REF!</v>
      </c>
      <c r="R1045" s="39" t="e">
        <v>#REF!</v>
      </c>
      <c r="S1045" s="39"/>
      <c r="T1045" s="39"/>
      <c r="U1045" s="39"/>
      <c r="V1045" s="39"/>
    </row>
    <row r="1046" ht="22.5" customHeight="1">
      <c r="A1046" s="18">
        <v>170.0</v>
      </c>
      <c r="B1046" s="36">
        <v>27.0</v>
      </c>
      <c r="C1046" s="59" t="s">
        <v>7900</v>
      </c>
      <c r="D1046" s="47">
        <v>2.32410328E8</v>
      </c>
      <c r="E1046" s="36" t="s">
        <v>7901</v>
      </c>
      <c r="F1046" s="36" t="s">
        <v>220</v>
      </c>
      <c r="G1046" s="12">
        <v>31.0</v>
      </c>
      <c r="H1046" s="57" t="str">
        <f t="shared" si="5"/>
        <v/>
      </c>
      <c r="I1046" s="29" t="s">
        <v>7705</v>
      </c>
      <c r="J1046" s="20" t="str">
        <f>VLOOKUP(I1046,'Database Grup SCC'!$B$2:$C1382,2,false)</f>
        <v>-</v>
      </c>
      <c r="K1046" s="50"/>
      <c r="L1046" s="50"/>
      <c r="M1046" s="50"/>
      <c r="N1046" s="35"/>
      <c r="O1046" s="34"/>
      <c r="P1046" s="34"/>
      <c r="Q1046" s="12" t="str">
        <f t="shared" si="6"/>
        <v>#REF!</v>
      </c>
      <c r="R1046" s="39" t="e">
        <v>#REF!</v>
      </c>
      <c r="S1046" s="39"/>
      <c r="T1046" s="39"/>
      <c r="U1046" s="39"/>
      <c r="V1046" s="39"/>
    </row>
    <row r="1047" ht="22.5" customHeight="1">
      <c r="A1047" s="18">
        <v>171.0</v>
      </c>
      <c r="B1047" s="36">
        <v>28.0</v>
      </c>
      <c r="C1047" s="59" t="s">
        <v>7902</v>
      </c>
      <c r="D1047" s="47">
        <v>2.32410346E8</v>
      </c>
      <c r="E1047" s="36" t="s">
        <v>7903</v>
      </c>
      <c r="F1047" s="36" t="s">
        <v>220</v>
      </c>
      <c r="G1047" s="12">
        <v>31.0</v>
      </c>
      <c r="H1047" s="57" t="str">
        <f t="shared" si="5"/>
        <v/>
      </c>
      <c r="I1047" s="29" t="s">
        <v>7705</v>
      </c>
      <c r="J1047" s="20" t="str">
        <f>VLOOKUP(I1047,'Database Grup SCC'!$B$2:$C1382,2,false)</f>
        <v>-</v>
      </c>
      <c r="K1047" s="50"/>
      <c r="L1047" s="50"/>
      <c r="M1047" s="50"/>
      <c r="N1047" s="35"/>
      <c r="O1047" s="34"/>
      <c r="P1047" s="34"/>
      <c r="Q1047" s="12" t="str">
        <f t="shared" si="6"/>
        <v>#REF!</v>
      </c>
      <c r="R1047" s="39" t="e">
        <v>#REF!</v>
      </c>
      <c r="S1047" s="39"/>
      <c r="T1047" s="39"/>
      <c r="U1047" s="39"/>
      <c r="V1047" s="39"/>
    </row>
    <row r="1048" ht="22.5" customHeight="1">
      <c r="A1048" s="18">
        <v>172.0</v>
      </c>
      <c r="B1048" s="36">
        <v>29.0</v>
      </c>
      <c r="C1048" s="59" t="s">
        <v>7904</v>
      </c>
      <c r="D1048" s="47">
        <v>2.32410356E8</v>
      </c>
      <c r="E1048" s="36" t="s">
        <v>7905</v>
      </c>
      <c r="F1048" s="36" t="s">
        <v>220</v>
      </c>
      <c r="G1048" s="12">
        <v>31.0</v>
      </c>
      <c r="H1048" s="57" t="str">
        <f t="shared" si="5"/>
        <v/>
      </c>
      <c r="I1048" s="29" t="s">
        <v>7705</v>
      </c>
      <c r="J1048" s="20" t="str">
        <f>VLOOKUP(I1048,'Database Grup SCC'!$B$2:$C1382,2,false)</f>
        <v>-</v>
      </c>
      <c r="K1048" s="50"/>
      <c r="L1048" s="50"/>
      <c r="M1048" s="50"/>
      <c r="N1048" s="35"/>
      <c r="O1048" s="34"/>
      <c r="P1048" s="34"/>
      <c r="Q1048" s="12" t="str">
        <f t="shared" si="6"/>
        <v>#REF!</v>
      </c>
      <c r="R1048" s="39" t="e">
        <v>#REF!</v>
      </c>
      <c r="S1048" s="39"/>
      <c r="T1048" s="39"/>
      <c r="U1048" s="39"/>
      <c r="V1048" s="39"/>
    </row>
    <row r="1049" ht="22.5" customHeight="1">
      <c r="A1049" s="18">
        <v>173.0</v>
      </c>
      <c r="B1049" s="36">
        <v>30.0</v>
      </c>
      <c r="C1049" s="36" t="s">
        <v>7906</v>
      </c>
      <c r="D1049" s="47">
        <v>2.32410359E8</v>
      </c>
      <c r="E1049" s="36" t="s">
        <v>7907</v>
      </c>
      <c r="F1049" s="36" t="s">
        <v>227</v>
      </c>
      <c r="G1049" s="12">
        <v>31.0</v>
      </c>
      <c r="H1049" s="57" t="str">
        <f t="shared" si="5"/>
        <v/>
      </c>
      <c r="I1049" s="29" t="s">
        <v>7705</v>
      </c>
      <c r="J1049" s="20" t="str">
        <f>VLOOKUP(I1049,'Database Grup SCC'!$B$2:$C1382,2,false)</f>
        <v>-</v>
      </c>
      <c r="K1049" s="50"/>
      <c r="L1049" s="50"/>
      <c r="M1049" s="50"/>
      <c r="N1049" s="35"/>
      <c r="O1049" s="34"/>
      <c r="P1049" s="34"/>
      <c r="Q1049" s="12" t="str">
        <f t="shared" si="6"/>
        <v>#REF!</v>
      </c>
      <c r="R1049" s="39" t="e">
        <v>#REF!</v>
      </c>
      <c r="S1049" s="39"/>
      <c r="T1049" s="39"/>
      <c r="U1049" s="39"/>
      <c r="V1049" s="39"/>
    </row>
    <row r="1050" ht="22.5" customHeight="1">
      <c r="A1050" s="18">
        <v>174.0</v>
      </c>
      <c r="B1050" s="36">
        <v>31.0</v>
      </c>
      <c r="C1050" s="59" t="s">
        <v>7908</v>
      </c>
      <c r="D1050" s="47">
        <v>2.32410372E8</v>
      </c>
      <c r="E1050" s="36" t="s">
        <v>7909</v>
      </c>
      <c r="F1050" s="36" t="s">
        <v>227</v>
      </c>
      <c r="G1050" s="12">
        <v>31.0</v>
      </c>
      <c r="H1050" s="57" t="str">
        <f t="shared" si="5"/>
        <v/>
      </c>
      <c r="I1050" s="29" t="s">
        <v>7705</v>
      </c>
      <c r="J1050" s="20" t="str">
        <f>VLOOKUP(I1050,'Database Grup SCC'!$B$2:$C1382,2,false)</f>
        <v>-</v>
      </c>
      <c r="K1050" s="50"/>
      <c r="L1050" s="50"/>
      <c r="M1050" s="50"/>
      <c r="N1050" s="35"/>
      <c r="O1050" s="34"/>
      <c r="P1050" s="34"/>
      <c r="Q1050" s="12" t="str">
        <f t="shared" si="6"/>
        <v>#REF!</v>
      </c>
      <c r="R1050" s="39" t="e">
        <v>#REF!</v>
      </c>
      <c r="S1050" s="39"/>
      <c r="T1050" s="39"/>
      <c r="U1050" s="39"/>
      <c r="V1050" s="39"/>
    </row>
    <row r="1051" ht="22.5" customHeight="1">
      <c r="A1051" s="18">
        <v>175.0</v>
      </c>
      <c r="B1051" s="36">
        <v>32.0</v>
      </c>
      <c r="C1051" s="36" t="s">
        <v>7910</v>
      </c>
      <c r="D1051" s="47">
        <v>2.32410376E8</v>
      </c>
      <c r="E1051" s="36" t="s">
        <v>7911</v>
      </c>
      <c r="F1051" s="36" t="s">
        <v>227</v>
      </c>
      <c r="G1051" s="12">
        <v>31.0</v>
      </c>
      <c r="H1051" s="57" t="str">
        <f t="shared" si="5"/>
        <v/>
      </c>
      <c r="I1051" s="29" t="s">
        <v>7705</v>
      </c>
      <c r="J1051" s="20" t="str">
        <f>VLOOKUP(I1051,'Database Grup SCC'!$B$2:$C1382,2,false)</f>
        <v>-</v>
      </c>
      <c r="K1051" s="50"/>
      <c r="L1051" s="50"/>
      <c r="M1051" s="50"/>
      <c r="N1051" s="35"/>
      <c r="O1051" s="34"/>
      <c r="P1051" s="34"/>
      <c r="Q1051" s="12" t="str">
        <f t="shared" si="6"/>
        <v>#REF!</v>
      </c>
      <c r="R1051" s="39" t="e">
        <v>#REF!</v>
      </c>
      <c r="S1051" s="39"/>
      <c r="T1051" s="39"/>
      <c r="U1051" s="39"/>
      <c r="V1051" s="39"/>
    </row>
    <row r="1052" ht="22.5" customHeight="1">
      <c r="A1052" s="18">
        <v>176.0</v>
      </c>
      <c r="B1052" s="36">
        <v>33.0</v>
      </c>
      <c r="C1052" s="36" t="s">
        <v>7912</v>
      </c>
      <c r="D1052" s="47">
        <v>2.32410401E8</v>
      </c>
      <c r="E1052" s="36" t="s">
        <v>7913</v>
      </c>
      <c r="F1052" s="36" t="s">
        <v>220</v>
      </c>
      <c r="G1052" s="12">
        <v>31.0</v>
      </c>
      <c r="H1052" s="57" t="str">
        <f t="shared" si="5"/>
        <v/>
      </c>
      <c r="I1052" s="29" t="s">
        <v>7705</v>
      </c>
      <c r="J1052" s="20" t="str">
        <f>VLOOKUP(I1052,'Database Grup SCC'!$B$2:$C1382,2,false)</f>
        <v>-</v>
      </c>
      <c r="K1052" s="50"/>
      <c r="L1052" s="50"/>
      <c r="M1052" s="50"/>
      <c r="N1052" s="35"/>
      <c r="O1052" s="34"/>
      <c r="P1052" s="34"/>
      <c r="Q1052" s="12" t="str">
        <f t="shared" si="6"/>
        <v>#REF!</v>
      </c>
      <c r="R1052" s="39" t="e">
        <v>#REF!</v>
      </c>
      <c r="S1052" s="39"/>
      <c r="T1052" s="39"/>
      <c r="U1052" s="39"/>
      <c r="V1052" s="39"/>
    </row>
    <row r="1053" ht="22.5" customHeight="1">
      <c r="A1053" s="18">
        <v>177.0</v>
      </c>
      <c r="B1053" s="36">
        <v>34.0</v>
      </c>
      <c r="C1053" s="59" t="s">
        <v>7914</v>
      </c>
      <c r="D1053" s="60">
        <v>2.32410402E8</v>
      </c>
      <c r="E1053" s="36" t="s">
        <v>7915</v>
      </c>
      <c r="F1053" s="36" t="s">
        <v>227</v>
      </c>
      <c r="G1053" s="12">
        <v>31.0</v>
      </c>
      <c r="H1053" s="57" t="str">
        <f t="shared" si="5"/>
        <v/>
      </c>
      <c r="I1053" s="29" t="s">
        <v>7705</v>
      </c>
      <c r="J1053" s="20" t="str">
        <f>VLOOKUP(I1053,'Database Grup SCC'!$B$2:$C1382,2,false)</f>
        <v>-</v>
      </c>
      <c r="K1053" s="50"/>
      <c r="L1053" s="50"/>
      <c r="M1053" s="50"/>
      <c r="N1053" s="35"/>
      <c r="O1053" s="34"/>
      <c r="P1053" s="34"/>
      <c r="Q1053" s="12" t="str">
        <f t="shared" si="6"/>
        <v>#REF!</v>
      </c>
      <c r="R1053" s="39" t="e">
        <v>#REF!</v>
      </c>
      <c r="S1053" s="39"/>
      <c r="T1053" s="39"/>
      <c r="U1053" s="39"/>
      <c r="V1053" s="39"/>
    </row>
    <row r="1054" ht="22.5" customHeight="1">
      <c r="A1054" s="18">
        <v>178.0</v>
      </c>
      <c r="B1054" s="36">
        <v>35.0</v>
      </c>
      <c r="C1054" s="59" t="s">
        <v>7916</v>
      </c>
      <c r="D1054" s="60">
        <v>2.32410413E8</v>
      </c>
      <c r="E1054" s="36" t="s">
        <v>7917</v>
      </c>
      <c r="F1054" s="36" t="s">
        <v>227</v>
      </c>
      <c r="G1054" s="12">
        <v>31.0</v>
      </c>
      <c r="H1054" s="57" t="str">
        <f t="shared" si="5"/>
        <v/>
      </c>
      <c r="I1054" s="29" t="s">
        <v>7705</v>
      </c>
      <c r="J1054" s="20" t="str">
        <f>VLOOKUP(I1054,'Database Grup SCC'!$B$2:$C1382,2,false)</f>
        <v>-</v>
      </c>
      <c r="K1054" s="50"/>
      <c r="L1054" s="50"/>
      <c r="M1054" s="50"/>
      <c r="N1054" s="35"/>
      <c r="O1054" s="34"/>
      <c r="P1054" s="34"/>
      <c r="Q1054" s="12" t="str">
        <f t="shared" si="6"/>
        <v>#REF!</v>
      </c>
      <c r="R1054" s="39" t="e">
        <v>#REF!</v>
      </c>
      <c r="S1054" s="39"/>
      <c r="T1054" s="39"/>
      <c r="U1054" s="39"/>
      <c r="V1054" s="39"/>
    </row>
    <row r="1055" ht="22.5" customHeight="1">
      <c r="A1055" s="18">
        <v>179.0</v>
      </c>
      <c r="B1055" s="36">
        <v>36.0</v>
      </c>
      <c r="C1055" s="59" t="s">
        <v>7918</v>
      </c>
      <c r="D1055" s="60">
        <v>2.32410414E8</v>
      </c>
      <c r="E1055" s="36" t="s">
        <v>7919</v>
      </c>
      <c r="F1055" s="36" t="s">
        <v>227</v>
      </c>
      <c r="G1055" s="12">
        <v>31.0</v>
      </c>
      <c r="H1055" s="57" t="str">
        <f t="shared" si="5"/>
        <v/>
      </c>
      <c r="I1055" s="29" t="s">
        <v>7705</v>
      </c>
      <c r="J1055" s="20" t="str">
        <f>VLOOKUP(I1055,'Database Grup SCC'!$B$2:$C1382,2,false)</f>
        <v>-</v>
      </c>
      <c r="K1055" s="50"/>
      <c r="L1055" s="50"/>
      <c r="M1055" s="50"/>
      <c r="N1055" s="35"/>
      <c r="O1055" s="34"/>
      <c r="P1055" s="34"/>
      <c r="Q1055" s="12" t="str">
        <f t="shared" si="6"/>
        <v>#REF!</v>
      </c>
      <c r="R1055" s="39" t="e">
        <v>#REF!</v>
      </c>
      <c r="S1055" s="39"/>
      <c r="T1055" s="39"/>
      <c r="U1055" s="39"/>
      <c r="V1055" s="39"/>
    </row>
    <row r="1056" ht="22.5" customHeight="1">
      <c r="A1056" s="18">
        <v>203.0</v>
      </c>
      <c r="B1056" s="36">
        <v>1.0</v>
      </c>
      <c r="C1056" s="36" t="s">
        <v>7920</v>
      </c>
      <c r="D1056" s="47">
        <v>2.32410002E8</v>
      </c>
      <c r="E1056" s="36" t="s">
        <v>7921</v>
      </c>
      <c r="F1056" s="36" t="s">
        <v>220</v>
      </c>
      <c r="G1056" s="12">
        <v>31.0</v>
      </c>
      <c r="H1056" s="57" t="str">
        <f t="shared" si="5"/>
        <v/>
      </c>
      <c r="I1056" s="29" t="s">
        <v>7705</v>
      </c>
      <c r="J1056" s="20" t="str">
        <f>VLOOKUP(I1056,'Database Grup SCC'!$B$2:$C1382,2,false)</f>
        <v>-</v>
      </c>
      <c r="K1056" s="50"/>
      <c r="L1056" s="50" t="s">
        <v>7047</v>
      </c>
      <c r="M1056" s="50" t="s">
        <v>7922</v>
      </c>
      <c r="N1056" s="35"/>
      <c r="O1056" s="34"/>
      <c r="P1056" s="34"/>
      <c r="Q1056" s="12" t="str">
        <f t="shared" si="6"/>
        <v>#REF!</v>
      </c>
      <c r="R1056" s="39" t="e">
        <v>#REF!</v>
      </c>
      <c r="S1056" s="39"/>
      <c r="T1056" s="39"/>
      <c r="U1056" s="39"/>
      <c r="V1056" s="39"/>
    </row>
    <row r="1057" ht="22.5" customHeight="1">
      <c r="A1057" s="18">
        <v>204.0</v>
      </c>
      <c r="B1057" s="36">
        <v>2.0</v>
      </c>
      <c r="C1057" s="59" t="s">
        <v>7923</v>
      </c>
      <c r="D1057" s="47">
        <v>2.32410011E8</v>
      </c>
      <c r="E1057" s="36" t="s">
        <v>7924</v>
      </c>
      <c r="F1057" s="36" t="s">
        <v>220</v>
      </c>
      <c r="G1057" s="12">
        <v>31.0</v>
      </c>
      <c r="H1057" s="57" t="str">
        <f t="shared" si="5"/>
        <v/>
      </c>
      <c r="I1057" s="29" t="s">
        <v>7705</v>
      </c>
      <c r="J1057" s="20" t="str">
        <f>VLOOKUP(I1057,'Database Grup SCC'!$B$2:$C1382,2,false)</f>
        <v>-</v>
      </c>
      <c r="K1057" s="50"/>
      <c r="L1057" s="50"/>
      <c r="M1057" s="50"/>
      <c r="N1057" s="35"/>
      <c r="O1057" s="34"/>
      <c r="P1057" s="34"/>
      <c r="Q1057" s="12" t="str">
        <f t="shared" si="6"/>
        <v>#REF!</v>
      </c>
      <c r="R1057" s="39" t="e">
        <v>#REF!</v>
      </c>
      <c r="S1057" s="39"/>
      <c r="T1057" s="39"/>
      <c r="U1057" s="39"/>
      <c r="V1057" s="39"/>
    </row>
    <row r="1058" ht="22.5" customHeight="1">
      <c r="A1058" s="18">
        <v>205.0</v>
      </c>
      <c r="B1058" s="36">
        <v>3.0</v>
      </c>
      <c r="C1058" s="59" t="s">
        <v>7925</v>
      </c>
      <c r="D1058" s="47">
        <v>2.32410032E8</v>
      </c>
      <c r="E1058" s="36" t="s">
        <v>7926</v>
      </c>
      <c r="F1058" s="36" t="s">
        <v>227</v>
      </c>
      <c r="G1058" s="12">
        <v>31.0</v>
      </c>
      <c r="H1058" s="57" t="str">
        <f t="shared" si="5"/>
        <v/>
      </c>
      <c r="I1058" s="29" t="s">
        <v>7705</v>
      </c>
      <c r="J1058" s="20" t="str">
        <f>VLOOKUP(I1058,'Database Grup SCC'!$B$2:$C1382,2,false)</f>
        <v>-</v>
      </c>
      <c r="K1058" s="50"/>
      <c r="L1058" s="50"/>
      <c r="M1058" s="50"/>
      <c r="N1058" s="35"/>
      <c r="O1058" s="34"/>
      <c r="P1058" s="34"/>
      <c r="Q1058" s="12" t="str">
        <f t="shared" si="6"/>
        <v>#REF!</v>
      </c>
      <c r="R1058" s="39" t="e">
        <v>#REF!</v>
      </c>
      <c r="S1058" s="39"/>
      <c r="T1058" s="39"/>
      <c r="U1058" s="39"/>
      <c r="V1058" s="39"/>
    </row>
    <row r="1059" ht="22.5" customHeight="1">
      <c r="A1059" s="18">
        <v>206.0</v>
      </c>
      <c r="B1059" s="36">
        <v>4.0</v>
      </c>
      <c r="C1059" s="36" t="s">
        <v>7927</v>
      </c>
      <c r="D1059" s="47">
        <v>2.32410043E8</v>
      </c>
      <c r="E1059" s="36" t="s">
        <v>7928</v>
      </c>
      <c r="F1059" s="36" t="s">
        <v>227</v>
      </c>
      <c r="G1059" s="12">
        <v>31.0</v>
      </c>
      <c r="H1059" s="57" t="str">
        <f t="shared" si="5"/>
        <v/>
      </c>
      <c r="I1059" s="29" t="s">
        <v>7705</v>
      </c>
      <c r="J1059" s="20" t="str">
        <f>VLOOKUP(I1059,'Database Grup SCC'!$B$2:$C1382,2,false)</f>
        <v>-</v>
      </c>
      <c r="K1059" s="50"/>
      <c r="L1059" s="50"/>
      <c r="M1059" s="50"/>
      <c r="N1059" s="35"/>
      <c r="O1059" s="34"/>
      <c r="P1059" s="34"/>
      <c r="Q1059" s="12" t="str">
        <f t="shared" si="6"/>
        <v>#REF!</v>
      </c>
      <c r="R1059" s="39" t="e">
        <v>#REF!</v>
      </c>
      <c r="S1059" s="39"/>
      <c r="T1059" s="39"/>
      <c r="U1059" s="39"/>
      <c r="V1059" s="39"/>
    </row>
    <row r="1060" ht="22.5" customHeight="1">
      <c r="A1060" s="18">
        <v>207.0</v>
      </c>
      <c r="B1060" s="36">
        <v>5.0</v>
      </c>
      <c r="C1060" s="36" t="s">
        <v>7929</v>
      </c>
      <c r="D1060" s="47">
        <v>2.32410045E8</v>
      </c>
      <c r="E1060" s="36" t="s">
        <v>7930</v>
      </c>
      <c r="F1060" s="36" t="s">
        <v>227</v>
      </c>
      <c r="G1060" s="12">
        <v>31.0</v>
      </c>
      <c r="H1060" s="57" t="str">
        <f t="shared" si="5"/>
        <v/>
      </c>
      <c r="I1060" s="29" t="s">
        <v>7705</v>
      </c>
      <c r="J1060" s="20" t="str">
        <f>VLOOKUP(I1060,'Database Grup SCC'!$B$2:$C1382,2,false)</f>
        <v>-</v>
      </c>
      <c r="K1060" s="50"/>
      <c r="L1060" s="50"/>
      <c r="M1060" s="50"/>
      <c r="N1060" s="35"/>
      <c r="O1060" s="34"/>
      <c r="P1060" s="34"/>
      <c r="Q1060" s="12" t="str">
        <f t="shared" si="6"/>
        <v>#REF!</v>
      </c>
      <c r="R1060" s="39" t="e">
        <v>#REF!</v>
      </c>
      <c r="S1060" s="39"/>
      <c r="T1060" s="39"/>
      <c r="U1060" s="39"/>
      <c r="V1060" s="39"/>
    </row>
    <row r="1061" ht="22.5" customHeight="1">
      <c r="A1061" s="18">
        <v>208.0</v>
      </c>
      <c r="B1061" s="36">
        <v>6.0</v>
      </c>
      <c r="C1061" s="36" t="s">
        <v>7931</v>
      </c>
      <c r="D1061" s="47">
        <v>2.32410052E8</v>
      </c>
      <c r="E1061" s="36" t="s">
        <v>7932</v>
      </c>
      <c r="F1061" s="36" t="s">
        <v>220</v>
      </c>
      <c r="G1061" s="12">
        <v>31.0</v>
      </c>
      <c r="H1061" s="57" t="str">
        <f t="shared" si="5"/>
        <v/>
      </c>
      <c r="I1061" s="29" t="s">
        <v>7705</v>
      </c>
      <c r="J1061" s="20" t="str">
        <f>VLOOKUP(I1061,'Database Grup SCC'!$B$2:$C1382,2,false)</f>
        <v>-</v>
      </c>
      <c r="K1061" s="50"/>
      <c r="L1061" s="50"/>
      <c r="M1061" s="50"/>
      <c r="N1061" s="35"/>
      <c r="O1061" s="34"/>
      <c r="P1061" s="34"/>
      <c r="Q1061" s="12" t="str">
        <f t="shared" si="6"/>
        <v>#REF!</v>
      </c>
      <c r="R1061" s="39" t="e">
        <v>#REF!</v>
      </c>
      <c r="S1061" s="39"/>
      <c r="T1061" s="39"/>
      <c r="U1061" s="39"/>
      <c r="V1061" s="39"/>
    </row>
    <row r="1062" ht="22.5" customHeight="1">
      <c r="A1062" s="18">
        <v>209.0</v>
      </c>
      <c r="B1062" s="36">
        <v>7.0</v>
      </c>
      <c r="C1062" s="36" t="s">
        <v>7933</v>
      </c>
      <c r="D1062" s="47">
        <v>2.32410062E8</v>
      </c>
      <c r="E1062" s="36" t="s">
        <v>7934</v>
      </c>
      <c r="F1062" s="36" t="s">
        <v>227</v>
      </c>
      <c r="G1062" s="12">
        <v>31.0</v>
      </c>
      <c r="H1062" s="57" t="str">
        <f t="shared" si="5"/>
        <v/>
      </c>
      <c r="I1062" s="29" t="s">
        <v>7705</v>
      </c>
      <c r="J1062" s="20" t="str">
        <f>VLOOKUP(I1062,'Database Grup SCC'!$B$2:$C1382,2,false)</f>
        <v>-</v>
      </c>
      <c r="K1062" s="50"/>
      <c r="L1062" s="50"/>
      <c r="M1062" s="50"/>
      <c r="N1062" s="35"/>
      <c r="O1062" s="34"/>
      <c r="P1062" s="34"/>
      <c r="Q1062" s="12" t="str">
        <f t="shared" si="6"/>
        <v>#REF!</v>
      </c>
      <c r="R1062" s="39" t="e">
        <v>#REF!</v>
      </c>
      <c r="S1062" s="39"/>
      <c r="T1062" s="39"/>
      <c r="U1062" s="39"/>
      <c r="V1062" s="39"/>
    </row>
    <row r="1063" ht="22.5" customHeight="1">
      <c r="A1063" s="18">
        <v>210.0</v>
      </c>
      <c r="B1063" s="36">
        <v>8.0</v>
      </c>
      <c r="C1063" s="59" t="s">
        <v>7935</v>
      </c>
      <c r="D1063" s="60">
        <v>2.32410099E8</v>
      </c>
      <c r="E1063" s="36" t="s">
        <v>7936</v>
      </c>
      <c r="F1063" s="36" t="s">
        <v>220</v>
      </c>
      <c r="G1063" s="12">
        <v>31.0</v>
      </c>
      <c r="H1063" s="57" t="str">
        <f t="shared" si="5"/>
        <v/>
      </c>
      <c r="I1063" s="29" t="s">
        <v>7705</v>
      </c>
      <c r="J1063" s="20" t="str">
        <f>VLOOKUP(I1063,'Database Grup SCC'!$B$2:$C1382,2,false)</f>
        <v>-</v>
      </c>
      <c r="K1063" s="50"/>
      <c r="L1063" s="50"/>
      <c r="M1063" s="50"/>
      <c r="N1063" s="35"/>
      <c r="O1063" s="34"/>
      <c r="P1063" s="34"/>
      <c r="Q1063" s="12" t="str">
        <f t="shared" si="6"/>
        <v>#REF!</v>
      </c>
      <c r="R1063" s="39" t="e">
        <v>#REF!</v>
      </c>
      <c r="S1063" s="39"/>
      <c r="T1063" s="39"/>
      <c r="U1063" s="39"/>
      <c r="V1063" s="39"/>
    </row>
    <row r="1064" ht="22.5" customHeight="1">
      <c r="A1064" s="18">
        <v>211.0</v>
      </c>
      <c r="B1064" s="36">
        <v>9.0</v>
      </c>
      <c r="C1064" s="36" t="s">
        <v>7935</v>
      </c>
      <c r="D1064" s="47">
        <v>2.324101E8</v>
      </c>
      <c r="E1064" s="36" t="s">
        <v>7937</v>
      </c>
      <c r="F1064" s="36" t="s">
        <v>220</v>
      </c>
      <c r="G1064" s="12">
        <v>31.0</v>
      </c>
      <c r="H1064" s="57" t="str">
        <f t="shared" si="5"/>
        <v/>
      </c>
      <c r="I1064" s="29" t="s">
        <v>7705</v>
      </c>
      <c r="J1064" s="20" t="str">
        <f>VLOOKUP(I1064,'Database Grup SCC'!$B$2:$C1382,2,false)</f>
        <v>-</v>
      </c>
      <c r="K1064" s="50"/>
      <c r="L1064" s="50"/>
      <c r="M1064" s="50"/>
      <c r="N1064" s="35"/>
      <c r="O1064" s="34"/>
      <c r="P1064" s="34"/>
      <c r="Q1064" s="12" t="str">
        <f t="shared" si="6"/>
        <v>#REF!</v>
      </c>
      <c r="R1064" s="39" t="e">
        <v>#REF!</v>
      </c>
      <c r="S1064" s="39"/>
      <c r="T1064" s="39"/>
      <c r="U1064" s="39"/>
      <c r="V1064" s="39"/>
    </row>
    <row r="1065" ht="22.5" customHeight="1">
      <c r="A1065" s="18">
        <v>212.0</v>
      </c>
      <c r="B1065" s="36">
        <v>10.0</v>
      </c>
      <c r="C1065" s="59" t="s">
        <v>7938</v>
      </c>
      <c r="D1065" s="47">
        <v>2.32410111E8</v>
      </c>
      <c r="E1065" s="36" t="s">
        <v>7939</v>
      </c>
      <c r="F1065" s="36" t="s">
        <v>227</v>
      </c>
      <c r="G1065" s="12">
        <v>31.0</v>
      </c>
      <c r="H1065" s="57" t="str">
        <f t="shared" si="5"/>
        <v/>
      </c>
      <c r="I1065" s="29" t="s">
        <v>7705</v>
      </c>
      <c r="J1065" s="20" t="str">
        <f>VLOOKUP(I1065,'Database Grup SCC'!$B$2:$C1382,2,false)</f>
        <v>-</v>
      </c>
      <c r="K1065" s="50"/>
      <c r="L1065" s="50"/>
      <c r="M1065" s="50"/>
      <c r="N1065" s="35"/>
      <c r="O1065" s="34"/>
      <c r="P1065" s="34"/>
      <c r="Q1065" s="12" t="str">
        <f t="shared" si="6"/>
        <v>#REF!</v>
      </c>
      <c r="R1065" s="39" t="e">
        <v>#REF!</v>
      </c>
      <c r="S1065" s="39"/>
      <c r="T1065" s="39"/>
      <c r="U1065" s="39"/>
      <c r="V1065" s="39"/>
    </row>
    <row r="1066" ht="22.5" customHeight="1">
      <c r="A1066" s="18">
        <v>213.0</v>
      </c>
      <c r="B1066" s="36">
        <v>11.0</v>
      </c>
      <c r="C1066" s="59" t="s">
        <v>7940</v>
      </c>
      <c r="D1066" s="47">
        <v>2.32410436E8</v>
      </c>
      <c r="E1066" s="36" t="s">
        <v>7941</v>
      </c>
      <c r="F1066" s="36" t="s">
        <v>220</v>
      </c>
      <c r="G1066" s="12">
        <v>31.0</v>
      </c>
      <c r="H1066" s="57" t="str">
        <f t="shared" si="5"/>
        <v/>
      </c>
      <c r="I1066" s="29" t="s">
        <v>7705</v>
      </c>
      <c r="J1066" s="20" t="str">
        <f>VLOOKUP(I1066,'Database Grup SCC'!$B$2:$C1382,2,false)</f>
        <v>-</v>
      </c>
      <c r="K1066" s="50"/>
      <c r="L1066" s="50"/>
      <c r="M1066" s="50"/>
      <c r="N1066" s="35"/>
      <c r="O1066" s="34"/>
      <c r="P1066" s="34"/>
      <c r="Q1066" s="12" t="str">
        <f t="shared" si="6"/>
        <v>#REF!</v>
      </c>
      <c r="R1066" s="39" t="e">
        <v>#REF!</v>
      </c>
      <c r="S1066" s="39"/>
      <c r="T1066" s="39"/>
      <c r="U1066" s="39"/>
      <c r="V1066" s="39"/>
    </row>
    <row r="1067" ht="22.5" customHeight="1">
      <c r="A1067" s="18">
        <v>214.0</v>
      </c>
      <c r="B1067" s="36">
        <v>12.0</v>
      </c>
      <c r="C1067" s="36" t="s">
        <v>7942</v>
      </c>
      <c r="D1067" s="60">
        <v>2.32410128E8</v>
      </c>
      <c r="E1067" s="36" t="s">
        <v>7943</v>
      </c>
      <c r="F1067" s="36" t="s">
        <v>220</v>
      </c>
      <c r="G1067" s="12">
        <v>31.0</v>
      </c>
      <c r="H1067" s="57" t="str">
        <f t="shared" si="5"/>
        <v/>
      </c>
      <c r="I1067" s="29" t="s">
        <v>7705</v>
      </c>
      <c r="J1067" s="20" t="str">
        <f>VLOOKUP(I1067,'Database Grup SCC'!$B$2:$C1382,2,false)</f>
        <v>-</v>
      </c>
      <c r="K1067" s="50"/>
      <c r="L1067" s="50"/>
      <c r="M1067" s="50"/>
      <c r="N1067" s="35"/>
      <c r="O1067" s="34"/>
      <c r="P1067" s="34"/>
      <c r="Q1067" s="12" t="str">
        <f t="shared" si="6"/>
        <v>#REF!</v>
      </c>
      <c r="R1067" s="39" t="e">
        <v>#REF!</v>
      </c>
      <c r="S1067" s="39"/>
      <c r="T1067" s="39"/>
      <c r="U1067" s="39"/>
      <c r="V1067" s="39"/>
    </row>
    <row r="1068" ht="22.5" customHeight="1">
      <c r="A1068" s="18">
        <v>215.0</v>
      </c>
      <c r="B1068" s="36">
        <v>13.0</v>
      </c>
      <c r="C1068" s="36" t="s">
        <v>7944</v>
      </c>
      <c r="D1068" s="60">
        <v>2.32410135E8</v>
      </c>
      <c r="E1068" s="36" t="s">
        <v>7945</v>
      </c>
      <c r="F1068" s="36" t="s">
        <v>227</v>
      </c>
      <c r="G1068" s="12">
        <v>31.0</v>
      </c>
      <c r="H1068" s="57" t="str">
        <f t="shared" si="5"/>
        <v/>
      </c>
      <c r="I1068" s="29" t="s">
        <v>7705</v>
      </c>
      <c r="J1068" s="20" t="str">
        <f>VLOOKUP(I1068,'Database Grup SCC'!$B$2:$C1382,2,false)</f>
        <v>-</v>
      </c>
      <c r="K1068" s="50"/>
      <c r="L1068" s="50"/>
      <c r="M1068" s="50"/>
      <c r="N1068" s="35"/>
      <c r="O1068" s="34"/>
      <c r="P1068" s="34"/>
      <c r="Q1068" s="12" t="str">
        <f t="shared" si="6"/>
        <v>#REF!</v>
      </c>
      <c r="R1068" s="39" t="e">
        <v>#REF!</v>
      </c>
      <c r="S1068" s="39"/>
      <c r="T1068" s="39"/>
      <c r="U1068" s="39"/>
      <c r="V1068" s="39"/>
    </row>
    <row r="1069" ht="22.5" customHeight="1">
      <c r="A1069" s="18">
        <v>216.0</v>
      </c>
      <c r="B1069" s="36">
        <v>14.0</v>
      </c>
      <c r="C1069" s="36" t="s">
        <v>7946</v>
      </c>
      <c r="D1069" s="60">
        <v>2.32410136E8</v>
      </c>
      <c r="E1069" s="36" t="s">
        <v>7947</v>
      </c>
      <c r="F1069" s="36" t="s">
        <v>220</v>
      </c>
      <c r="G1069" s="12">
        <v>31.0</v>
      </c>
      <c r="H1069" s="57" t="str">
        <f t="shared" si="5"/>
        <v/>
      </c>
      <c r="I1069" s="29" t="s">
        <v>7705</v>
      </c>
      <c r="J1069" s="20" t="str">
        <f>VLOOKUP(I1069,'Database Grup SCC'!$B$2:$C1382,2,false)</f>
        <v>-</v>
      </c>
      <c r="K1069" s="50"/>
      <c r="L1069" s="50"/>
      <c r="M1069" s="50"/>
      <c r="N1069" s="35"/>
      <c r="O1069" s="34"/>
      <c r="P1069" s="34"/>
      <c r="Q1069" s="12" t="str">
        <f t="shared" si="6"/>
        <v>#REF!</v>
      </c>
      <c r="R1069" s="39" t="e">
        <v>#REF!</v>
      </c>
      <c r="S1069" s="39"/>
      <c r="T1069" s="39"/>
      <c r="U1069" s="39"/>
      <c r="V1069" s="39"/>
    </row>
    <row r="1070" ht="22.5" customHeight="1">
      <c r="A1070" s="18">
        <v>217.0</v>
      </c>
      <c r="B1070" s="36">
        <v>15.0</v>
      </c>
      <c r="C1070" s="36" t="s">
        <v>7948</v>
      </c>
      <c r="D1070" s="60">
        <v>2.32410143E8</v>
      </c>
      <c r="E1070" s="36" t="s">
        <v>7949</v>
      </c>
      <c r="F1070" s="36" t="s">
        <v>227</v>
      </c>
      <c r="G1070" s="12">
        <v>31.0</v>
      </c>
      <c r="H1070" s="57" t="str">
        <f t="shared" si="5"/>
        <v/>
      </c>
      <c r="I1070" s="29" t="s">
        <v>7705</v>
      </c>
      <c r="J1070" s="20" t="str">
        <f>VLOOKUP(I1070,'Database Grup SCC'!$B$2:$C1382,2,false)</f>
        <v>-</v>
      </c>
      <c r="K1070" s="50"/>
      <c r="L1070" s="50"/>
      <c r="M1070" s="50"/>
      <c r="N1070" s="35"/>
      <c r="O1070" s="34"/>
      <c r="P1070" s="34"/>
      <c r="Q1070" s="12" t="str">
        <f t="shared" si="6"/>
        <v>#REF!</v>
      </c>
      <c r="R1070" s="39" t="e">
        <v>#REF!</v>
      </c>
      <c r="S1070" s="39"/>
      <c r="T1070" s="39"/>
      <c r="U1070" s="39"/>
      <c r="V1070" s="39"/>
    </row>
    <row r="1071" ht="22.5" customHeight="1">
      <c r="A1071" s="18">
        <v>218.0</v>
      </c>
      <c r="B1071" s="36">
        <v>16.0</v>
      </c>
      <c r="C1071" s="36" t="s">
        <v>7950</v>
      </c>
      <c r="D1071" s="60">
        <v>2.32410151E8</v>
      </c>
      <c r="E1071" s="36" t="s">
        <v>7951</v>
      </c>
      <c r="F1071" s="36" t="s">
        <v>220</v>
      </c>
      <c r="G1071" s="12">
        <v>31.0</v>
      </c>
      <c r="H1071" s="57" t="str">
        <f t="shared" si="5"/>
        <v/>
      </c>
      <c r="I1071" s="29" t="s">
        <v>7705</v>
      </c>
      <c r="J1071" s="20" t="str">
        <f>VLOOKUP(I1071,'Database Grup SCC'!$B$2:$C1382,2,false)</f>
        <v>-</v>
      </c>
      <c r="K1071" s="50"/>
      <c r="L1071" s="50"/>
      <c r="M1071" s="50"/>
      <c r="N1071" s="35"/>
      <c r="O1071" s="34"/>
      <c r="P1071" s="34"/>
      <c r="Q1071" s="12" t="str">
        <f t="shared" si="6"/>
        <v>#REF!</v>
      </c>
      <c r="R1071" s="39" t="e">
        <v>#REF!</v>
      </c>
      <c r="S1071" s="39"/>
      <c r="T1071" s="39"/>
      <c r="U1071" s="39"/>
      <c r="V1071" s="39"/>
    </row>
    <row r="1072" ht="22.5" customHeight="1">
      <c r="A1072" s="18">
        <v>219.0</v>
      </c>
      <c r="B1072" s="36">
        <v>17.0</v>
      </c>
      <c r="C1072" s="59" t="s">
        <v>7952</v>
      </c>
      <c r="D1072" s="60">
        <v>2.32410175E8</v>
      </c>
      <c r="E1072" s="36" t="s">
        <v>7953</v>
      </c>
      <c r="F1072" s="36" t="s">
        <v>227</v>
      </c>
      <c r="G1072" s="12">
        <v>31.0</v>
      </c>
      <c r="H1072" s="57" t="str">
        <f t="shared" si="5"/>
        <v/>
      </c>
      <c r="I1072" s="29" t="s">
        <v>7705</v>
      </c>
      <c r="J1072" s="20" t="str">
        <f>VLOOKUP(I1072,'Database Grup SCC'!$B$2:$C1382,2,false)</f>
        <v>-</v>
      </c>
      <c r="K1072" s="50"/>
      <c r="L1072" s="50"/>
      <c r="M1072" s="50"/>
      <c r="N1072" s="35"/>
      <c r="O1072" s="34"/>
      <c r="P1072" s="34"/>
      <c r="Q1072" s="12" t="str">
        <f t="shared" si="6"/>
        <v>#REF!</v>
      </c>
      <c r="R1072" s="39" t="e">
        <v>#REF!</v>
      </c>
      <c r="S1072" s="39"/>
      <c r="T1072" s="39"/>
      <c r="U1072" s="39"/>
      <c r="V1072" s="39"/>
    </row>
    <row r="1073" ht="22.5" customHeight="1">
      <c r="A1073" s="18">
        <v>220.0</v>
      </c>
      <c r="B1073" s="36">
        <v>18.0</v>
      </c>
      <c r="C1073" s="59" t="s">
        <v>7954</v>
      </c>
      <c r="D1073" s="60">
        <v>2.32410197E8</v>
      </c>
      <c r="E1073" s="36" t="s">
        <v>7955</v>
      </c>
      <c r="F1073" s="36" t="s">
        <v>227</v>
      </c>
      <c r="G1073" s="12">
        <v>31.0</v>
      </c>
      <c r="H1073" s="57" t="str">
        <f t="shared" si="5"/>
        <v/>
      </c>
      <c r="I1073" s="29" t="s">
        <v>7705</v>
      </c>
      <c r="J1073" s="20" t="str">
        <f>VLOOKUP(I1073,'Database Grup SCC'!$B$2:$C1382,2,false)</f>
        <v>-</v>
      </c>
      <c r="K1073" s="50"/>
      <c r="L1073" s="50"/>
      <c r="M1073" s="50"/>
      <c r="N1073" s="35"/>
      <c r="O1073" s="34"/>
      <c r="P1073" s="34"/>
      <c r="Q1073" s="12" t="str">
        <f t="shared" si="6"/>
        <v>#REF!</v>
      </c>
      <c r="R1073" s="39" t="e">
        <v>#REF!</v>
      </c>
      <c r="S1073" s="39"/>
      <c r="T1073" s="39"/>
      <c r="U1073" s="39"/>
      <c r="V1073" s="39"/>
    </row>
    <row r="1074" ht="22.5" customHeight="1">
      <c r="A1074" s="18">
        <v>221.0</v>
      </c>
      <c r="B1074" s="36">
        <v>19.0</v>
      </c>
      <c r="C1074" s="59" t="s">
        <v>7956</v>
      </c>
      <c r="D1074" s="60">
        <v>2.324102E8</v>
      </c>
      <c r="E1074" s="36" t="s">
        <v>7957</v>
      </c>
      <c r="F1074" s="36" t="s">
        <v>227</v>
      </c>
      <c r="G1074" s="12">
        <v>31.0</v>
      </c>
      <c r="H1074" s="57" t="str">
        <f t="shared" si="5"/>
        <v/>
      </c>
      <c r="I1074" s="29" t="s">
        <v>7705</v>
      </c>
      <c r="J1074" s="20" t="str">
        <f>VLOOKUP(I1074,'Database Grup SCC'!$B$2:$C1382,2,false)</f>
        <v>-</v>
      </c>
      <c r="K1074" s="50"/>
      <c r="L1074" s="50"/>
      <c r="M1074" s="50"/>
      <c r="N1074" s="35"/>
      <c r="O1074" s="34"/>
      <c r="P1074" s="34"/>
      <c r="Q1074" s="12" t="str">
        <f t="shared" si="6"/>
        <v>#REF!</v>
      </c>
      <c r="R1074" s="39" t="e">
        <v>#REF!</v>
      </c>
      <c r="S1074" s="39"/>
      <c r="T1074" s="39"/>
      <c r="U1074" s="39"/>
      <c r="V1074" s="39"/>
    </row>
    <row r="1075" ht="22.5" customHeight="1">
      <c r="A1075" s="18">
        <v>222.0</v>
      </c>
      <c r="B1075" s="36">
        <v>20.0</v>
      </c>
      <c r="C1075" s="36" t="s">
        <v>7958</v>
      </c>
      <c r="D1075" s="60">
        <v>2.32410213E8</v>
      </c>
      <c r="E1075" s="36" t="s">
        <v>7959</v>
      </c>
      <c r="F1075" s="36" t="s">
        <v>220</v>
      </c>
      <c r="G1075" s="12">
        <v>31.0</v>
      </c>
      <c r="H1075" s="57" t="str">
        <f t="shared" si="5"/>
        <v/>
      </c>
      <c r="I1075" s="29" t="s">
        <v>7705</v>
      </c>
      <c r="J1075" s="20" t="str">
        <f>VLOOKUP(I1075,'Database Grup SCC'!$B$2:$C1382,2,false)</f>
        <v>-</v>
      </c>
      <c r="K1075" s="50"/>
      <c r="L1075" s="50"/>
      <c r="M1075" s="50"/>
      <c r="N1075" s="35"/>
      <c r="O1075" s="34"/>
      <c r="P1075" s="34"/>
      <c r="Q1075" s="12" t="str">
        <f t="shared" si="6"/>
        <v>#REF!</v>
      </c>
      <c r="R1075" s="39" t="e">
        <v>#REF!</v>
      </c>
      <c r="S1075" s="39"/>
      <c r="T1075" s="39"/>
      <c r="U1075" s="39"/>
      <c r="V1075" s="39"/>
    </row>
    <row r="1076" ht="22.5" customHeight="1">
      <c r="A1076" s="18">
        <v>223.0</v>
      </c>
      <c r="B1076" s="36">
        <v>21.0</v>
      </c>
      <c r="C1076" s="36" t="s">
        <v>7960</v>
      </c>
      <c r="D1076" s="60">
        <v>2.32410216E8</v>
      </c>
      <c r="E1076" s="36" t="s">
        <v>7961</v>
      </c>
      <c r="F1076" s="36" t="s">
        <v>227</v>
      </c>
      <c r="G1076" s="12">
        <v>31.0</v>
      </c>
      <c r="H1076" s="57" t="str">
        <f t="shared" si="5"/>
        <v/>
      </c>
      <c r="I1076" s="29" t="s">
        <v>7705</v>
      </c>
      <c r="J1076" s="20" t="str">
        <f>VLOOKUP(I1076,'Database Grup SCC'!$B$2:$C1382,2,false)</f>
        <v>-</v>
      </c>
      <c r="K1076" s="50"/>
      <c r="L1076" s="50"/>
      <c r="M1076" s="50"/>
      <c r="N1076" s="35"/>
      <c r="O1076" s="34"/>
      <c r="P1076" s="34"/>
      <c r="Q1076" s="12" t="str">
        <f t="shared" si="6"/>
        <v>#REF!</v>
      </c>
      <c r="R1076" s="39" t="e">
        <v>#REF!</v>
      </c>
      <c r="S1076" s="39"/>
      <c r="T1076" s="39"/>
      <c r="U1076" s="39"/>
      <c r="V1076" s="39"/>
    </row>
    <row r="1077" ht="22.5" customHeight="1">
      <c r="A1077" s="18">
        <v>224.0</v>
      </c>
      <c r="B1077" s="36">
        <v>22.0</v>
      </c>
      <c r="C1077" s="36" t="s">
        <v>7962</v>
      </c>
      <c r="D1077" s="60">
        <v>2.32410233E8</v>
      </c>
      <c r="E1077" s="36" t="s">
        <v>7963</v>
      </c>
      <c r="F1077" s="36" t="s">
        <v>220</v>
      </c>
      <c r="G1077" s="12">
        <v>31.0</v>
      </c>
      <c r="H1077" s="57" t="str">
        <f t="shared" si="5"/>
        <v/>
      </c>
      <c r="I1077" s="29" t="s">
        <v>7705</v>
      </c>
      <c r="J1077" s="20" t="str">
        <f>VLOOKUP(I1077,'Database Grup SCC'!$B$2:$C1382,2,false)</f>
        <v>-</v>
      </c>
      <c r="K1077" s="50"/>
      <c r="L1077" s="50"/>
      <c r="M1077" s="50"/>
      <c r="N1077" s="35"/>
      <c r="O1077" s="34"/>
      <c r="P1077" s="34"/>
      <c r="Q1077" s="12" t="str">
        <f t="shared" si="6"/>
        <v>#REF!</v>
      </c>
      <c r="R1077" s="39" t="e">
        <v>#REF!</v>
      </c>
      <c r="S1077" s="39"/>
      <c r="T1077" s="39"/>
      <c r="U1077" s="39"/>
      <c r="V1077" s="39"/>
    </row>
    <row r="1078" ht="22.5" customHeight="1">
      <c r="A1078" s="18">
        <v>225.0</v>
      </c>
      <c r="B1078" s="36">
        <v>23.0</v>
      </c>
      <c r="C1078" s="40" t="s">
        <v>7964</v>
      </c>
      <c r="D1078" s="64">
        <v>2.32410259E8</v>
      </c>
      <c r="E1078" s="36" t="s">
        <v>7965</v>
      </c>
      <c r="F1078" s="36" t="s">
        <v>227</v>
      </c>
      <c r="G1078" s="12">
        <v>31.0</v>
      </c>
      <c r="H1078" s="57" t="str">
        <f t="shared" si="5"/>
        <v/>
      </c>
      <c r="I1078" s="29" t="s">
        <v>7705</v>
      </c>
      <c r="J1078" s="20" t="str">
        <f>VLOOKUP(I1078,'Database Grup SCC'!$B$2:$C1382,2,false)</f>
        <v>-</v>
      </c>
      <c r="K1078" s="50"/>
      <c r="L1078" s="50"/>
      <c r="M1078" s="50"/>
      <c r="N1078" s="35"/>
      <c r="O1078" s="34"/>
      <c r="P1078" s="34"/>
      <c r="Q1078" s="12" t="str">
        <f t="shared" si="6"/>
        <v>#REF!</v>
      </c>
      <c r="R1078" s="39" t="e">
        <v>#REF!</v>
      </c>
      <c r="S1078" s="39"/>
      <c r="T1078" s="39"/>
      <c r="U1078" s="39"/>
      <c r="V1078" s="39"/>
    </row>
    <row r="1079" ht="22.5" customHeight="1">
      <c r="A1079" s="18">
        <v>226.0</v>
      </c>
      <c r="B1079" s="36">
        <v>24.0</v>
      </c>
      <c r="C1079" s="36" t="s">
        <v>7966</v>
      </c>
      <c r="D1079" s="60">
        <v>2.3241026E8</v>
      </c>
      <c r="E1079" s="36" t="s">
        <v>7967</v>
      </c>
      <c r="F1079" s="36" t="s">
        <v>220</v>
      </c>
      <c r="G1079" s="12">
        <v>31.0</v>
      </c>
      <c r="H1079" s="57" t="str">
        <f t="shared" si="5"/>
        <v/>
      </c>
      <c r="I1079" s="29" t="s">
        <v>7705</v>
      </c>
      <c r="J1079" s="20" t="str">
        <f>VLOOKUP(I1079,'Database Grup SCC'!$B$2:$C1382,2,false)</f>
        <v>-</v>
      </c>
      <c r="K1079" s="50"/>
      <c r="L1079" s="50"/>
      <c r="M1079" s="50"/>
      <c r="N1079" s="35"/>
      <c r="O1079" s="34"/>
      <c r="P1079" s="34"/>
      <c r="Q1079" s="12" t="str">
        <f t="shared" si="6"/>
        <v>#REF!</v>
      </c>
      <c r="R1079" s="39" t="e">
        <v>#REF!</v>
      </c>
      <c r="S1079" s="39"/>
      <c r="T1079" s="39"/>
      <c r="U1079" s="39"/>
      <c r="V1079" s="39"/>
    </row>
    <row r="1080" ht="22.5" customHeight="1">
      <c r="A1080" s="18">
        <v>227.0</v>
      </c>
      <c r="B1080" s="36">
        <v>25.0</v>
      </c>
      <c r="C1080" s="36" t="s">
        <v>7968</v>
      </c>
      <c r="D1080" s="60">
        <v>2.32410262E8</v>
      </c>
      <c r="E1080" s="36" t="s">
        <v>7969</v>
      </c>
      <c r="F1080" s="36" t="s">
        <v>227</v>
      </c>
      <c r="G1080" s="12">
        <v>31.0</v>
      </c>
      <c r="H1080" s="57" t="str">
        <f t="shared" si="5"/>
        <v/>
      </c>
      <c r="I1080" s="29" t="s">
        <v>7705</v>
      </c>
      <c r="J1080" s="20" t="str">
        <f>VLOOKUP(I1080,'Database Grup SCC'!$B$2:$C1382,2,false)</f>
        <v>-</v>
      </c>
      <c r="K1080" s="50"/>
      <c r="L1080" s="50"/>
      <c r="M1080" s="50"/>
      <c r="N1080" s="35"/>
      <c r="O1080" s="34"/>
      <c r="P1080" s="34"/>
      <c r="Q1080" s="12" t="str">
        <f t="shared" si="6"/>
        <v>#REF!</v>
      </c>
      <c r="R1080" s="39" t="e">
        <v>#REF!</v>
      </c>
      <c r="S1080" s="39"/>
      <c r="T1080" s="39"/>
      <c r="U1080" s="39"/>
      <c r="V1080" s="39"/>
    </row>
    <row r="1081" ht="22.5" customHeight="1">
      <c r="A1081" s="18">
        <v>228.0</v>
      </c>
      <c r="B1081" s="36">
        <v>26.0</v>
      </c>
      <c r="C1081" s="36" t="s">
        <v>7970</v>
      </c>
      <c r="D1081" s="60">
        <v>2.32410265E8</v>
      </c>
      <c r="E1081" s="36" t="s">
        <v>7971</v>
      </c>
      <c r="F1081" s="36" t="s">
        <v>227</v>
      </c>
      <c r="G1081" s="12">
        <v>31.0</v>
      </c>
      <c r="H1081" s="57" t="str">
        <f t="shared" si="5"/>
        <v/>
      </c>
      <c r="I1081" s="29" t="s">
        <v>7705</v>
      </c>
      <c r="J1081" s="20" t="str">
        <f>VLOOKUP(I1081,'Database Grup SCC'!$B$2:$C1382,2,false)</f>
        <v>-</v>
      </c>
      <c r="K1081" s="50"/>
      <c r="L1081" s="50"/>
      <c r="M1081" s="50"/>
      <c r="N1081" s="35"/>
      <c r="O1081" s="34"/>
      <c r="P1081" s="34"/>
      <c r="Q1081" s="12" t="str">
        <f t="shared" si="6"/>
        <v>#REF!</v>
      </c>
      <c r="R1081" s="39" t="e">
        <v>#REF!</v>
      </c>
      <c r="S1081" s="39"/>
      <c r="T1081" s="39"/>
      <c r="U1081" s="39"/>
      <c r="V1081" s="39"/>
    </row>
    <row r="1082" ht="22.5" customHeight="1">
      <c r="A1082" s="18">
        <v>229.0</v>
      </c>
      <c r="B1082" s="36">
        <v>27.0</v>
      </c>
      <c r="C1082" s="36" t="s">
        <v>7972</v>
      </c>
      <c r="D1082" s="60">
        <v>2.32410267E8</v>
      </c>
      <c r="E1082" s="36" t="s">
        <v>7973</v>
      </c>
      <c r="F1082" s="36" t="s">
        <v>227</v>
      </c>
      <c r="G1082" s="12">
        <v>31.0</v>
      </c>
      <c r="H1082" s="57" t="str">
        <f t="shared" si="5"/>
        <v/>
      </c>
      <c r="I1082" s="29" t="s">
        <v>7705</v>
      </c>
      <c r="J1082" s="20" t="str">
        <f>VLOOKUP(I1082,'Database Grup SCC'!$B$2:$C1382,2,false)</f>
        <v>-</v>
      </c>
      <c r="K1082" s="50"/>
      <c r="L1082" s="50"/>
      <c r="M1082" s="50"/>
      <c r="N1082" s="35"/>
      <c r="O1082" s="34"/>
      <c r="P1082" s="34"/>
      <c r="Q1082" s="12" t="str">
        <f t="shared" si="6"/>
        <v>#REF!</v>
      </c>
      <c r="R1082" s="39" t="e">
        <v>#REF!</v>
      </c>
      <c r="S1082" s="39"/>
      <c r="T1082" s="39"/>
      <c r="U1082" s="39"/>
      <c r="V1082" s="39"/>
    </row>
    <row r="1083" ht="22.5" customHeight="1">
      <c r="A1083" s="18">
        <v>230.0</v>
      </c>
      <c r="B1083" s="36">
        <v>28.0</v>
      </c>
      <c r="C1083" s="36" t="s">
        <v>7974</v>
      </c>
      <c r="D1083" s="60">
        <v>2.32410279E8</v>
      </c>
      <c r="E1083" s="36" t="s">
        <v>7975</v>
      </c>
      <c r="F1083" s="36" t="s">
        <v>220</v>
      </c>
      <c r="G1083" s="12">
        <v>31.0</v>
      </c>
      <c r="H1083" s="57" t="str">
        <f t="shared" si="5"/>
        <v/>
      </c>
      <c r="I1083" s="29" t="s">
        <v>7705</v>
      </c>
      <c r="J1083" s="20" t="str">
        <f>VLOOKUP(I1083,'Database Grup SCC'!$B$2:$C1382,2,false)</f>
        <v>-</v>
      </c>
      <c r="K1083" s="50"/>
      <c r="L1083" s="50"/>
      <c r="M1083" s="50"/>
      <c r="N1083" s="35"/>
      <c r="O1083" s="34"/>
      <c r="P1083" s="34"/>
      <c r="Q1083" s="12" t="str">
        <f t="shared" si="6"/>
        <v>#REF!</v>
      </c>
      <c r="R1083" s="39" t="e">
        <v>#REF!</v>
      </c>
      <c r="S1083" s="39"/>
      <c r="T1083" s="39"/>
      <c r="U1083" s="39"/>
      <c r="V1083" s="39"/>
    </row>
    <row r="1084" ht="22.5" customHeight="1">
      <c r="A1084" s="18">
        <v>231.0</v>
      </c>
      <c r="B1084" s="36">
        <v>29.0</v>
      </c>
      <c r="C1084" s="36" t="s">
        <v>7976</v>
      </c>
      <c r="D1084" s="60">
        <v>2.32410316E8</v>
      </c>
      <c r="E1084" s="36" t="s">
        <v>7977</v>
      </c>
      <c r="F1084" s="36" t="s">
        <v>220</v>
      </c>
      <c r="G1084" s="12">
        <v>31.0</v>
      </c>
      <c r="H1084" s="57" t="str">
        <f t="shared" si="5"/>
        <v/>
      </c>
      <c r="I1084" s="29" t="s">
        <v>7705</v>
      </c>
      <c r="J1084" s="20" t="str">
        <f>VLOOKUP(I1084,'Database Grup SCC'!$B$2:$C1382,2,false)</f>
        <v>-</v>
      </c>
      <c r="K1084" s="50"/>
      <c r="L1084" s="50"/>
      <c r="M1084" s="50"/>
      <c r="N1084" s="35"/>
      <c r="O1084" s="34"/>
      <c r="P1084" s="34"/>
      <c r="Q1084" s="12" t="str">
        <f t="shared" si="6"/>
        <v>#REF!</v>
      </c>
      <c r="R1084" s="39" t="e">
        <v>#REF!</v>
      </c>
      <c r="S1084" s="39"/>
      <c r="T1084" s="39"/>
      <c r="U1084" s="39"/>
      <c r="V1084" s="39"/>
    </row>
    <row r="1085" ht="22.5" customHeight="1">
      <c r="A1085" s="18">
        <v>243.0</v>
      </c>
      <c r="B1085" s="36">
        <v>30.0</v>
      </c>
      <c r="C1085" s="36" t="s">
        <v>7978</v>
      </c>
      <c r="D1085" s="60">
        <v>2.32410334E8</v>
      </c>
      <c r="E1085" s="36" t="s">
        <v>7979</v>
      </c>
      <c r="F1085" s="36" t="s">
        <v>227</v>
      </c>
      <c r="G1085" s="12">
        <v>31.0</v>
      </c>
      <c r="H1085" s="57" t="str">
        <f t="shared" si="5"/>
        <v/>
      </c>
      <c r="I1085" s="29" t="s">
        <v>7705</v>
      </c>
      <c r="J1085" s="20" t="str">
        <f>VLOOKUP(I1085,'Database Grup SCC'!$B$2:$C1382,2,false)</f>
        <v>-</v>
      </c>
      <c r="K1085" s="50"/>
      <c r="L1085" s="50"/>
      <c r="M1085" s="50"/>
      <c r="N1085" s="35"/>
      <c r="O1085" s="34"/>
      <c r="P1085" s="34"/>
      <c r="Q1085" s="12" t="str">
        <f t="shared" si="6"/>
        <v>#REF!</v>
      </c>
      <c r="R1085" s="39" t="e">
        <v>#REF!</v>
      </c>
      <c r="S1085" s="39"/>
      <c r="T1085" s="39"/>
      <c r="U1085" s="39"/>
      <c r="V1085" s="39"/>
    </row>
    <row r="1086" ht="22.5" customHeight="1">
      <c r="A1086" s="18">
        <v>244.0</v>
      </c>
      <c r="B1086" s="36">
        <v>31.0</v>
      </c>
      <c r="C1086" s="36" t="s">
        <v>7980</v>
      </c>
      <c r="D1086" s="60">
        <v>2.32410365E8</v>
      </c>
      <c r="E1086" s="36" t="s">
        <v>7981</v>
      </c>
      <c r="F1086" s="36" t="s">
        <v>227</v>
      </c>
      <c r="G1086" s="12">
        <v>31.0</v>
      </c>
      <c r="H1086" s="57" t="str">
        <f t="shared" si="5"/>
        <v/>
      </c>
      <c r="I1086" s="29" t="s">
        <v>7705</v>
      </c>
      <c r="J1086" s="20" t="str">
        <f>VLOOKUP(I1086,'Database Grup SCC'!$B$2:$C1382,2,false)</f>
        <v>-</v>
      </c>
      <c r="K1086" s="50"/>
      <c r="L1086" s="50"/>
      <c r="M1086" s="50"/>
      <c r="N1086" s="35"/>
      <c r="O1086" s="34"/>
      <c r="P1086" s="34"/>
      <c r="Q1086" s="12" t="str">
        <f t="shared" si="6"/>
        <v>#REF!</v>
      </c>
      <c r="R1086" s="39" t="e">
        <v>#REF!</v>
      </c>
      <c r="S1086" s="39"/>
      <c r="T1086" s="39"/>
      <c r="U1086" s="39"/>
      <c r="V1086" s="39"/>
    </row>
    <row r="1087" ht="22.5" customHeight="1">
      <c r="A1087" s="18">
        <v>245.0</v>
      </c>
      <c r="B1087" s="36">
        <v>32.0</v>
      </c>
      <c r="C1087" s="36" t="s">
        <v>7982</v>
      </c>
      <c r="D1087" s="60">
        <v>2.32410373E8</v>
      </c>
      <c r="E1087" s="36" t="s">
        <v>7983</v>
      </c>
      <c r="F1087" s="36" t="s">
        <v>227</v>
      </c>
      <c r="G1087" s="12">
        <v>31.0</v>
      </c>
      <c r="H1087" s="57" t="str">
        <f t="shared" si="5"/>
        <v/>
      </c>
      <c r="I1087" s="29" t="s">
        <v>7705</v>
      </c>
      <c r="J1087" s="20" t="str">
        <f>VLOOKUP(I1087,'Database Grup SCC'!$B$2:$C1382,2,false)</f>
        <v>-</v>
      </c>
      <c r="K1087" s="50"/>
      <c r="L1087" s="50"/>
      <c r="M1087" s="50"/>
      <c r="N1087" s="35"/>
      <c r="O1087" s="34"/>
      <c r="P1087" s="34"/>
      <c r="Q1087" s="12" t="str">
        <f t="shared" si="6"/>
        <v>#REF!</v>
      </c>
      <c r="R1087" s="39" t="e">
        <v>#REF!</v>
      </c>
      <c r="S1087" s="39"/>
      <c r="T1087" s="39"/>
      <c r="U1087" s="39"/>
      <c r="V1087" s="39"/>
    </row>
    <row r="1088" ht="22.5" customHeight="1">
      <c r="A1088" s="18">
        <v>246.0</v>
      </c>
      <c r="B1088" s="36">
        <v>33.0</v>
      </c>
      <c r="C1088" s="36" t="s">
        <v>7984</v>
      </c>
      <c r="D1088" s="60">
        <v>2.32410391E8</v>
      </c>
      <c r="E1088" s="36" t="s">
        <v>7985</v>
      </c>
      <c r="F1088" s="36" t="s">
        <v>227</v>
      </c>
      <c r="G1088" s="12">
        <v>31.0</v>
      </c>
      <c r="H1088" s="57" t="str">
        <f t="shared" si="5"/>
        <v/>
      </c>
      <c r="I1088" s="29" t="s">
        <v>7705</v>
      </c>
      <c r="J1088" s="20" t="str">
        <f>VLOOKUP(I1088,'Database Grup SCC'!$B$2:$C1382,2,false)</f>
        <v>-</v>
      </c>
      <c r="K1088" s="50"/>
      <c r="L1088" s="50"/>
      <c r="M1088" s="50"/>
      <c r="N1088" s="35"/>
      <c r="O1088" s="34"/>
      <c r="P1088" s="34"/>
      <c r="Q1088" s="12" t="str">
        <f t="shared" si="6"/>
        <v>#REF!</v>
      </c>
      <c r="R1088" s="39" t="e">
        <v>#REF!</v>
      </c>
      <c r="S1088" s="39"/>
      <c r="T1088" s="39"/>
      <c r="U1088" s="39"/>
      <c r="V1088" s="39"/>
    </row>
    <row r="1089" ht="22.5" customHeight="1">
      <c r="A1089" s="18">
        <v>247.0</v>
      </c>
      <c r="B1089" s="36">
        <v>34.0</v>
      </c>
      <c r="C1089" s="59" t="s">
        <v>7986</v>
      </c>
      <c r="D1089" s="60">
        <v>2.32410407E8</v>
      </c>
      <c r="E1089" s="36" t="s">
        <v>7987</v>
      </c>
      <c r="F1089" s="36" t="s">
        <v>227</v>
      </c>
      <c r="G1089" s="12">
        <v>31.0</v>
      </c>
      <c r="H1089" s="57" t="str">
        <f t="shared" si="5"/>
        <v/>
      </c>
      <c r="I1089" s="29" t="s">
        <v>7705</v>
      </c>
      <c r="J1089" s="20" t="str">
        <f>VLOOKUP(I1089,'Database Grup SCC'!$B$2:$C1382,2,false)</f>
        <v>-</v>
      </c>
      <c r="K1089" s="50"/>
      <c r="L1089" s="50"/>
      <c r="M1089" s="50"/>
      <c r="N1089" s="35"/>
      <c r="O1089" s="34"/>
      <c r="P1089" s="34"/>
      <c r="Q1089" s="12" t="str">
        <f t="shared" si="6"/>
        <v>#REF!</v>
      </c>
      <c r="R1089" s="39" t="e">
        <v>#REF!</v>
      </c>
      <c r="S1089" s="39"/>
      <c r="T1089" s="39"/>
      <c r="U1089" s="39"/>
      <c r="V1089" s="39"/>
    </row>
    <row r="1090" ht="22.5" customHeight="1">
      <c r="A1090" s="18">
        <v>248.0</v>
      </c>
      <c r="B1090" s="36">
        <v>35.0</v>
      </c>
      <c r="C1090" s="59" t="s">
        <v>7988</v>
      </c>
      <c r="D1090" s="60">
        <v>2.32410425E8</v>
      </c>
      <c r="E1090" s="36" t="s">
        <v>7989</v>
      </c>
      <c r="F1090" s="36" t="s">
        <v>220</v>
      </c>
      <c r="G1090" s="12">
        <v>31.0</v>
      </c>
      <c r="H1090" s="57" t="str">
        <f t="shared" si="5"/>
        <v/>
      </c>
      <c r="I1090" s="29" t="s">
        <v>7705</v>
      </c>
      <c r="J1090" s="20" t="str">
        <f>VLOOKUP(I1090,'Database Grup SCC'!$B$2:$C1382,2,false)</f>
        <v>-</v>
      </c>
      <c r="K1090" s="50"/>
      <c r="L1090" s="50"/>
      <c r="M1090" s="50"/>
      <c r="N1090" s="35"/>
      <c r="O1090" s="34"/>
      <c r="P1090" s="34"/>
      <c r="Q1090" s="12" t="str">
        <f t="shared" si="6"/>
        <v>#REF!</v>
      </c>
      <c r="R1090" s="39" t="e">
        <v>#REF!</v>
      </c>
      <c r="S1090" s="39"/>
      <c r="T1090" s="39"/>
      <c r="U1090" s="39"/>
      <c r="V1090" s="39"/>
    </row>
    <row r="1091" ht="22.5" customHeight="1">
      <c r="A1091" s="18">
        <v>249.0</v>
      </c>
      <c r="B1091" s="36">
        <v>36.0</v>
      </c>
      <c r="C1091" s="59" t="s">
        <v>7990</v>
      </c>
      <c r="D1091" s="60">
        <v>2.32410426E8</v>
      </c>
      <c r="E1091" s="36" t="s">
        <v>7991</v>
      </c>
      <c r="F1091" s="36" t="s">
        <v>227</v>
      </c>
      <c r="G1091" s="12">
        <v>31.0</v>
      </c>
      <c r="H1091" s="57" t="str">
        <f t="shared" si="5"/>
        <v/>
      </c>
      <c r="I1091" s="29" t="s">
        <v>7705</v>
      </c>
      <c r="J1091" s="20" t="str">
        <f>VLOOKUP(I1091,'Database Grup SCC'!$B$2:$C1382,2,false)</f>
        <v>-</v>
      </c>
      <c r="K1091" s="50"/>
      <c r="L1091" s="50"/>
      <c r="M1091" s="50"/>
      <c r="N1091" s="35"/>
      <c r="O1091" s="34"/>
      <c r="P1091" s="34"/>
      <c r="Q1091" s="12" t="str">
        <f t="shared" si="6"/>
        <v>#REF!</v>
      </c>
      <c r="R1091" s="39" t="e">
        <v>#REF!</v>
      </c>
      <c r="S1091" s="39"/>
      <c r="T1091" s="39"/>
      <c r="U1091" s="39"/>
      <c r="V1091" s="39"/>
    </row>
    <row r="1092" ht="22.5" customHeight="1">
      <c r="A1092" s="18">
        <v>262.0</v>
      </c>
      <c r="B1092" s="36">
        <v>1.0</v>
      </c>
      <c r="C1092" s="36" t="s">
        <v>7992</v>
      </c>
      <c r="D1092" s="47">
        <v>2.32410001E8</v>
      </c>
      <c r="E1092" s="36" t="s">
        <v>7993</v>
      </c>
      <c r="F1092" s="36" t="s">
        <v>220</v>
      </c>
      <c r="G1092" s="12">
        <v>31.0</v>
      </c>
      <c r="H1092" s="57" t="str">
        <f t="shared" si="5"/>
        <v/>
      </c>
      <c r="I1092" s="29" t="s">
        <v>7705</v>
      </c>
      <c r="J1092" s="20" t="str">
        <f>VLOOKUP(I1092,'Database Grup SCC'!$B$2:$C1382,2,false)</f>
        <v>-</v>
      </c>
      <c r="K1092" s="50"/>
      <c r="L1092" s="50" t="s">
        <v>7994</v>
      </c>
      <c r="M1092" s="50" t="s">
        <v>7995</v>
      </c>
      <c r="N1092" s="35"/>
      <c r="O1092" s="34"/>
      <c r="P1092" s="34"/>
      <c r="Q1092" s="12" t="str">
        <f t="shared" si="6"/>
        <v>#REF!</v>
      </c>
      <c r="R1092" s="39" t="e">
        <v>#REF!</v>
      </c>
      <c r="S1092" s="39"/>
      <c r="T1092" s="39"/>
      <c r="U1092" s="39"/>
      <c r="V1092" s="39"/>
    </row>
    <row r="1093" ht="22.5" customHeight="1">
      <c r="A1093" s="18">
        <v>263.0</v>
      </c>
      <c r="B1093" s="36">
        <v>2.0</v>
      </c>
      <c r="C1093" s="36" t="s">
        <v>7996</v>
      </c>
      <c r="D1093" s="60">
        <v>2.32410016E8</v>
      </c>
      <c r="E1093" s="36" t="s">
        <v>7997</v>
      </c>
      <c r="F1093" s="36" t="s">
        <v>227</v>
      </c>
      <c r="G1093" s="12">
        <v>31.0</v>
      </c>
      <c r="H1093" s="57" t="str">
        <f t="shared" si="5"/>
        <v/>
      </c>
      <c r="I1093" s="29" t="s">
        <v>7705</v>
      </c>
      <c r="J1093" s="20" t="str">
        <f>VLOOKUP(I1093,'Database Grup SCC'!$B$2:$C1382,2,false)</f>
        <v>-</v>
      </c>
      <c r="K1093" s="50"/>
      <c r="L1093" s="50"/>
      <c r="M1093" s="50"/>
      <c r="N1093" s="35"/>
      <c r="O1093" s="34"/>
      <c r="P1093" s="34"/>
      <c r="Q1093" s="12" t="str">
        <f t="shared" si="6"/>
        <v>#REF!</v>
      </c>
      <c r="R1093" s="39" t="e">
        <v>#REF!</v>
      </c>
      <c r="S1093" s="39"/>
      <c r="T1093" s="39"/>
      <c r="U1093" s="39"/>
      <c r="V1093" s="39"/>
    </row>
    <row r="1094" ht="22.5" customHeight="1">
      <c r="A1094" s="18">
        <v>264.0</v>
      </c>
      <c r="B1094" s="36">
        <v>3.0</v>
      </c>
      <c r="C1094" s="59" t="s">
        <v>7998</v>
      </c>
      <c r="D1094" s="60">
        <v>2.32410021E8</v>
      </c>
      <c r="E1094" s="36" t="s">
        <v>7999</v>
      </c>
      <c r="F1094" s="36" t="s">
        <v>227</v>
      </c>
      <c r="G1094" s="12">
        <v>31.0</v>
      </c>
      <c r="H1094" s="57" t="str">
        <f t="shared" si="5"/>
        <v/>
      </c>
      <c r="I1094" s="29" t="s">
        <v>7705</v>
      </c>
      <c r="J1094" s="20" t="str">
        <f>VLOOKUP(I1094,'Database Grup SCC'!$B$2:$C1382,2,false)</f>
        <v>-</v>
      </c>
      <c r="K1094" s="50"/>
      <c r="L1094" s="50"/>
      <c r="M1094" s="50"/>
      <c r="N1094" s="35"/>
      <c r="O1094" s="34"/>
      <c r="P1094" s="34"/>
      <c r="Q1094" s="12" t="str">
        <f t="shared" si="6"/>
        <v>#REF!</v>
      </c>
      <c r="R1094" s="39" t="e">
        <v>#REF!</v>
      </c>
      <c r="S1094" s="39"/>
      <c r="T1094" s="39"/>
      <c r="U1094" s="39"/>
      <c r="V1094" s="39"/>
    </row>
    <row r="1095" ht="22.5" customHeight="1">
      <c r="A1095" s="18">
        <v>265.0</v>
      </c>
      <c r="B1095" s="36">
        <v>4.0</v>
      </c>
      <c r="C1095" s="36" t="s">
        <v>8000</v>
      </c>
      <c r="D1095" s="60">
        <v>2.32410051E8</v>
      </c>
      <c r="E1095" s="36" t="s">
        <v>8001</v>
      </c>
      <c r="F1095" s="36" t="s">
        <v>220</v>
      </c>
      <c r="G1095" s="12">
        <v>31.0</v>
      </c>
      <c r="H1095" s="57" t="str">
        <f t="shared" si="5"/>
        <v/>
      </c>
      <c r="I1095" s="29" t="s">
        <v>7705</v>
      </c>
      <c r="J1095" s="20" t="str">
        <f>VLOOKUP(I1095,'Database Grup SCC'!$B$2:$C1382,2,false)</f>
        <v>-</v>
      </c>
      <c r="K1095" s="50"/>
      <c r="L1095" s="50"/>
      <c r="M1095" s="50"/>
      <c r="N1095" s="35"/>
      <c r="O1095" s="34"/>
      <c r="P1095" s="34"/>
      <c r="Q1095" s="12" t="str">
        <f t="shared" si="6"/>
        <v>#REF!</v>
      </c>
      <c r="R1095" s="39" t="e">
        <v>#REF!</v>
      </c>
      <c r="S1095" s="39"/>
      <c r="T1095" s="39"/>
      <c r="U1095" s="39"/>
      <c r="V1095" s="39"/>
    </row>
    <row r="1096" ht="22.5" customHeight="1">
      <c r="A1096" s="18">
        <v>266.0</v>
      </c>
      <c r="B1096" s="36">
        <v>5.0</v>
      </c>
      <c r="C1096" s="59" t="s">
        <v>8002</v>
      </c>
      <c r="D1096" s="60">
        <v>2.32410059E8</v>
      </c>
      <c r="E1096" s="36" t="s">
        <v>8003</v>
      </c>
      <c r="F1096" s="36" t="s">
        <v>227</v>
      </c>
      <c r="G1096" s="12">
        <v>31.0</v>
      </c>
      <c r="H1096" s="57" t="str">
        <f t="shared" si="5"/>
        <v/>
      </c>
      <c r="I1096" s="29" t="s">
        <v>7705</v>
      </c>
      <c r="J1096" s="20" t="str">
        <f>VLOOKUP(I1096,'Database Grup SCC'!$B$2:$C1382,2,false)</f>
        <v>-</v>
      </c>
      <c r="K1096" s="50"/>
      <c r="L1096" s="50"/>
      <c r="M1096" s="50"/>
      <c r="N1096" s="35"/>
      <c r="O1096" s="34"/>
      <c r="P1096" s="34"/>
      <c r="Q1096" s="12" t="str">
        <f t="shared" si="6"/>
        <v>#REF!</v>
      </c>
      <c r="R1096" s="39" t="e">
        <v>#REF!</v>
      </c>
      <c r="S1096" s="39"/>
      <c r="T1096" s="39"/>
      <c r="U1096" s="39"/>
      <c r="V1096" s="39"/>
    </row>
    <row r="1097" ht="22.5" customHeight="1">
      <c r="A1097" s="18">
        <v>267.0</v>
      </c>
      <c r="B1097" s="36">
        <v>6.0</v>
      </c>
      <c r="C1097" s="36" t="s">
        <v>8004</v>
      </c>
      <c r="D1097" s="60">
        <v>2.32410063E8</v>
      </c>
      <c r="E1097" s="36" t="s">
        <v>8005</v>
      </c>
      <c r="F1097" s="36" t="s">
        <v>220</v>
      </c>
      <c r="G1097" s="12">
        <v>31.0</v>
      </c>
      <c r="H1097" s="57" t="str">
        <f t="shared" si="5"/>
        <v/>
      </c>
      <c r="I1097" s="29" t="s">
        <v>7705</v>
      </c>
      <c r="J1097" s="20" t="str">
        <f>VLOOKUP(I1097,'Database Grup SCC'!$B$2:$C1382,2,false)</f>
        <v>-</v>
      </c>
      <c r="K1097" s="50"/>
      <c r="L1097" s="50"/>
      <c r="M1097" s="50"/>
      <c r="N1097" s="35"/>
      <c r="O1097" s="34"/>
      <c r="P1097" s="34"/>
      <c r="Q1097" s="12" t="str">
        <f t="shared" si="6"/>
        <v>#REF!</v>
      </c>
      <c r="R1097" s="39" t="e">
        <v>#REF!</v>
      </c>
      <c r="S1097" s="39"/>
      <c r="T1097" s="39"/>
      <c r="U1097" s="39"/>
      <c r="V1097" s="39"/>
    </row>
    <row r="1098" ht="22.5" customHeight="1">
      <c r="A1098" s="18">
        <v>268.0</v>
      </c>
      <c r="B1098" s="36">
        <v>7.0</v>
      </c>
      <c r="C1098" s="36" t="s">
        <v>8006</v>
      </c>
      <c r="D1098" s="60">
        <v>2.32410065E8</v>
      </c>
      <c r="E1098" s="36" t="s">
        <v>8007</v>
      </c>
      <c r="F1098" s="36" t="s">
        <v>227</v>
      </c>
      <c r="G1098" s="12">
        <v>31.0</v>
      </c>
      <c r="H1098" s="57" t="str">
        <f t="shared" si="5"/>
        <v/>
      </c>
      <c r="I1098" s="29" t="s">
        <v>7705</v>
      </c>
      <c r="J1098" s="20" t="str">
        <f>VLOOKUP(I1098,'Database Grup SCC'!$B$2:$C1382,2,false)</f>
        <v>-</v>
      </c>
      <c r="K1098" s="50"/>
      <c r="L1098" s="50"/>
      <c r="M1098" s="50"/>
      <c r="N1098" s="35"/>
      <c r="O1098" s="34"/>
      <c r="P1098" s="34"/>
      <c r="Q1098" s="12" t="str">
        <f t="shared" si="6"/>
        <v>#REF!</v>
      </c>
      <c r="R1098" s="39" t="e">
        <v>#REF!</v>
      </c>
      <c r="S1098" s="39"/>
      <c r="T1098" s="39"/>
      <c r="U1098" s="39"/>
      <c r="V1098" s="39"/>
    </row>
    <row r="1099" ht="22.5" customHeight="1">
      <c r="A1099" s="18">
        <v>269.0</v>
      </c>
      <c r="B1099" s="36">
        <v>8.0</v>
      </c>
      <c r="C1099" s="36" t="s">
        <v>8008</v>
      </c>
      <c r="D1099" s="60">
        <v>2.32410068E8</v>
      </c>
      <c r="E1099" s="36" t="s">
        <v>8009</v>
      </c>
      <c r="F1099" s="36" t="s">
        <v>220</v>
      </c>
      <c r="G1099" s="12">
        <v>31.0</v>
      </c>
      <c r="H1099" s="57" t="str">
        <f t="shared" si="5"/>
        <v/>
      </c>
      <c r="I1099" s="29" t="s">
        <v>7705</v>
      </c>
      <c r="J1099" s="20" t="str">
        <f>VLOOKUP(I1099,'Database Grup SCC'!$B$2:$C1382,2,false)</f>
        <v>-</v>
      </c>
      <c r="K1099" s="50"/>
      <c r="L1099" s="50"/>
      <c r="M1099" s="50"/>
      <c r="N1099" s="35"/>
      <c r="O1099" s="34"/>
      <c r="P1099" s="34"/>
      <c r="Q1099" s="12" t="str">
        <f t="shared" si="6"/>
        <v>#REF!</v>
      </c>
      <c r="R1099" s="39" t="e">
        <v>#REF!</v>
      </c>
      <c r="S1099" s="39"/>
      <c r="T1099" s="39"/>
      <c r="U1099" s="39"/>
      <c r="V1099" s="39"/>
    </row>
    <row r="1100" ht="22.5" customHeight="1">
      <c r="A1100" s="18">
        <v>270.0</v>
      </c>
      <c r="B1100" s="36">
        <v>9.0</v>
      </c>
      <c r="C1100" s="36" t="s">
        <v>8010</v>
      </c>
      <c r="D1100" s="60">
        <v>2.32410071E8</v>
      </c>
      <c r="E1100" s="36" t="s">
        <v>8011</v>
      </c>
      <c r="F1100" s="36" t="s">
        <v>220</v>
      </c>
      <c r="G1100" s="12">
        <v>31.0</v>
      </c>
      <c r="H1100" s="57" t="str">
        <f t="shared" si="5"/>
        <v/>
      </c>
      <c r="I1100" s="29" t="s">
        <v>7705</v>
      </c>
      <c r="J1100" s="20" t="str">
        <f>VLOOKUP(I1100,'Database Grup SCC'!$B$2:$C1382,2,false)</f>
        <v>-</v>
      </c>
      <c r="K1100" s="50"/>
      <c r="L1100" s="50"/>
      <c r="M1100" s="50"/>
      <c r="N1100" s="35"/>
      <c r="O1100" s="34"/>
      <c r="P1100" s="34"/>
      <c r="Q1100" s="12" t="str">
        <f t="shared" si="6"/>
        <v>#REF!</v>
      </c>
      <c r="R1100" s="39" t="e">
        <v>#REF!</v>
      </c>
      <c r="S1100" s="39"/>
      <c r="T1100" s="39"/>
      <c r="U1100" s="39"/>
      <c r="V1100" s="39"/>
    </row>
    <row r="1101" ht="22.5" customHeight="1">
      <c r="A1101" s="18">
        <v>271.0</v>
      </c>
      <c r="B1101" s="36">
        <v>10.0</v>
      </c>
      <c r="C1101" s="36" t="s">
        <v>8012</v>
      </c>
      <c r="D1101" s="60">
        <v>2.32410075E8</v>
      </c>
      <c r="E1101" s="36" t="s">
        <v>8013</v>
      </c>
      <c r="F1101" s="36" t="s">
        <v>220</v>
      </c>
      <c r="G1101" s="12">
        <v>31.0</v>
      </c>
      <c r="H1101" s="57" t="str">
        <f t="shared" si="5"/>
        <v/>
      </c>
      <c r="I1101" s="29" t="s">
        <v>7705</v>
      </c>
      <c r="J1101" s="20" t="str">
        <f>VLOOKUP(I1101,'Database Grup SCC'!$B$2:$C1382,2,false)</f>
        <v>-</v>
      </c>
      <c r="K1101" s="50"/>
      <c r="L1101" s="50"/>
      <c r="M1101" s="50"/>
      <c r="N1101" s="35"/>
      <c r="O1101" s="34"/>
      <c r="P1101" s="34"/>
      <c r="Q1101" s="12" t="str">
        <f t="shared" si="6"/>
        <v>#REF!</v>
      </c>
      <c r="R1101" s="39" t="e">
        <v>#REF!</v>
      </c>
      <c r="S1101" s="39"/>
      <c r="T1101" s="39"/>
      <c r="U1101" s="39"/>
      <c r="V1101" s="39"/>
    </row>
    <row r="1102" ht="22.5" customHeight="1">
      <c r="A1102" s="18">
        <v>272.0</v>
      </c>
      <c r="B1102" s="36">
        <v>11.0</v>
      </c>
      <c r="C1102" s="36" t="s">
        <v>8014</v>
      </c>
      <c r="D1102" s="60">
        <v>2.3241008E8</v>
      </c>
      <c r="E1102" s="36" t="s">
        <v>8015</v>
      </c>
      <c r="F1102" s="36" t="s">
        <v>220</v>
      </c>
      <c r="G1102" s="12">
        <v>31.0</v>
      </c>
      <c r="H1102" s="57" t="str">
        <f t="shared" si="5"/>
        <v/>
      </c>
      <c r="I1102" s="29" t="s">
        <v>7705</v>
      </c>
      <c r="J1102" s="20" t="str">
        <f>VLOOKUP(I1102,'Database Grup SCC'!$B$2:$C1382,2,false)</f>
        <v>-</v>
      </c>
      <c r="K1102" s="50"/>
      <c r="L1102" s="50"/>
      <c r="M1102" s="50"/>
      <c r="N1102" s="35"/>
      <c r="O1102" s="34"/>
      <c r="P1102" s="34"/>
      <c r="Q1102" s="12" t="str">
        <f t="shared" si="6"/>
        <v>#REF!</v>
      </c>
      <c r="R1102" s="39" t="e">
        <v>#REF!</v>
      </c>
      <c r="S1102" s="39"/>
      <c r="T1102" s="39"/>
      <c r="U1102" s="39"/>
      <c r="V1102" s="39"/>
    </row>
    <row r="1103" ht="22.5" customHeight="1">
      <c r="A1103" s="18">
        <v>273.0</v>
      </c>
      <c r="B1103" s="36">
        <v>12.0</v>
      </c>
      <c r="C1103" s="59" t="s">
        <v>8016</v>
      </c>
      <c r="D1103" s="60">
        <v>2.32410086E8</v>
      </c>
      <c r="E1103" s="36" t="s">
        <v>8017</v>
      </c>
      <c r="F1103" s="36" t="s">
        <v>220</v>
      </c>
      <c r="G1103" s="12">
        <v>31.0</v>
      </c>
      <c r="H1103" s="57" t="str">
        <f t="shared" si="5"/>
        <v/>
      </c>
      <c r="I1103" s="29" t="s">
        <v>7705</v>
      </c>
      <c r="J1103" s="20" t="str">
        <f>VLOOKUP(I1103,'Database Grup SCC'!$B$2:$C1382,2,false)</f>
        <v>-</v>
      </c>
      <c r="K1103" s="50"/>
      <c r="L1103" s="50"/>
      <c r="M1103" s="50"/>
      <c r="N1103" s="35"/>
      <c r="O1103" s="34"/>
      <c r="P1103" s="34"/>
      <c r="Q1103" s="12" t="str">
        <f t="shared" si="6"/>
        <v>#REF!</v>
      </c>
      <c r="R1103" s="39" t="e">
        <v>#REF!</v>
      </c>
      <c r="S1103" s="39"/>
      <c r="T1103" s="39"/>
      <c r="U1103" s="39"/>
      <c r="V1103" s="39"/>
    </row>
    <row r="1104" ht="22.5" customHeight="1">
      <c r="A1104" s="18">
        <v>274.0</v>
      </c>
      <c r="B1104" s="36">
        <v>13.0</v>
      </c>
      <c r="C1104" s="36" t="s">
        <v>8018</v>
      </c>
      <c r="D1104" s="60">
        <v>2.32410091E8</v>
      </c>
      <c r="E1104" s="36" t="s">
        <v>8019</v>
      </c>
      <c r="F1104" s="36" t="s">
        <v>227</v>
      </c>
      <c r="G1104" s="12">
        <v>31.0</v>
      </c>
      <c r="H1104" s="57" t="str">
        <f t="shared" si="5"/>
        <v/>
      </c>
      <c r="I1104" s="29" t="s">
        <v>7705</v>
      </c>
      <c r="J1104" s="20" t="str">
        <f>VLOOKUP(I1104,'Database Grup SCC'!$B$2:$C1382,2,false)</f>
        <v>-</v>
      </c>
      <c r="K1104" s="50"/>
      <c r="L1104" s="50"/>
      <c r="M1104" s="50"/>
      <c r="N1104" s="35"/>
      <c r="O1104" s="34"/>
      <c r="P1104" s="34"/>
      <c r="Q1104" s="12" t="str">
        <f t="shared" si="6"/>
        <v>#REF!</v>
      </c>
      <c r="R1104" s="39" t="e">
        <v>#REF!</v>
      </c>
      <c r="S1104" s="39"/>
      <c r="T1104" s="39"/>
      <c r="U1104" s="39"/>
      <c r="V1104" s="39"/>
    </row>
    <row r="1105" ht="22.5" customHeight="1">
      <c r="A1105" s="18">
        <v>275.0</v>
      </c>
      <c r="B1105" s="36">
        <v>14.0</v>
      </c>
      <c r="C1105" s="36" t="s">
        <v>8020</v>
      </c>
      <c r="D1105" s="60">
        <v>2.32410131E8</v>
      </c>
      <c r="E1105" s="36" t="s">
        <v>8021</v>
      </c>
      <c r="F1105" s="36" t="s">
        <v>220</v>
      </c>
      <c r="G1105" s="12">
        <v>31.0</v>
      </c>
      <c r="H1105" s="57" t="str">
        <f t="shared" si="5"/>
        <v/>
      </c>
      <c r="I1105" s="29" t="s">
        <v>7705</v>
      </c>
      <c r="J1105" s="20" t="str">
        <f>VLOOKUP(I1105,'Database Grup SCC'!$B$2:$C1382,2,false)</f>
        <v>-</v>
      </c>
      <c r="K1105" s="50"/>
      <c r="L1105" s="50"/>
      <c r="M1105" s="50"/>
      <c r="N1105" s="35"/>
      <c r="O1105" s="34"/>
      <c r="P1105" s="34"/>
      <c r="Q1105" s="12" t="str">
        <f t="shared" si="6"/>
        <v>#REF!</v>
      </c>
      <c r="R1105" s="39" t="e">
        <v>#REF!</v>
      </c>
      <c r="S1105" s="39"/>
      <c r="T1105" s="39"/>
      <c r="U1105" s="39"/>
      <c r="V1105" s="39"/>
    </row>
    <row r="1106" ht="22.5" customHeight="1">
      <c r="A1106" s="18">
        <v>276.0</v>
      </c>
      <c r="B1106" s="36">
        <v>15.0</v>
      </c>
      <c r="C1106" s="36" t="s">
        <v>8022</v>
      </c>
      <c r="D1106" s="60">
        <v>2.3241014E8</v>
      </c>
      <c r="E1106" s="36" t="s">
        <v>8023</v>
      </c>
      <c r="F1106" s="36" t="s">
        <v>220</v>
      </c>
      <c r="G1106" s="12">
        <v>31.0</v>
      </c>
      <c r="H1106" s="57" t="str">
        <f t="shared" si="5"/>
        <v/>
      </c>
      <c r="I1106" s="29" t="s">
        <v>7705</v>
      </c>
      <c r="J1106" s="20" t="str">
        <f>VLOOKUP(I1106,'Database Grup SCC'!$B$2:$C1382,2,false)</f>
        <v>-</v>
      </c>
      <c r="K1106" s="50"/>
      <c r="L1106" s="50"/>
      <c r="M1106" s="50"/>
      <c r="N1106" s="35"/>
      <c r="O1106" s="34"/>
      <c r="P1106" s="34"/>
      <c r="Q1106" s="12" t="str">
        <f t="shared" si="6"/>
        <v>#REF!</v>
      </c>
      <c r="R1106" s="39" t="e">
        <v>#REF!</v>
      </c>
      <c r="S1106" s="39"/>
      <c r="T1106" s="39"/>
      <c r="U1106" s="39"/>
      <c r="V1106" s="39"/>
    </row>
    <row r="1107" ht="22.5" customHeight="1">
      <c r="A1107" s="18">
        <v>277.0</v>
      </c>
      <c r="B1107" s="36">
        <v>16.0</v>
      </c>
      <c r="C1107" s="59" t="s">
        <v>8024</v>
      </c>
      <c r="D1107" s="60">
        <v>2.32410159E8</v>
      </c>
      <c r="E1107" s="36" t="s">
        <v>8025</v>
      </c>
      <c r="F1107" s="36" t="s">
        <v>220</v>
      </c>
      <c r="G1107" s="12">
        <v>31.0</v>
      </c>
      <c r="H1107" s="57" t="str">
        <f t="shared" si="5"/>
        <v/>
      </c>
      <c r="I1107" s="29" t="s">
        <v>7705</v>
      </c>
      <c r="J1107" s="20" t="str">
        <f>VLOOKUP(I1107,'Database Grup SCC'!$B$2:$C1382,2,false)</f>
        <v>-</v>
      </c>
      <c r="K1107" s="50"/>
      <c r="L1107" s="50"/>
      <c r="M1107" s="50"/>
      <c r="N1107" s="35"/>
      <c r="O1107" s="34"/>
      <c r="P1107" s="34"/>
      <c r="Q1107" s="12" t="str">
        <f t="shared" si="6"/>
        <v>#REF!</v>
      </c>
      <c r="R1107" s="39" t="e">
        <v>#REF!</v>
      </c>
      <c r="S1107" s="39"/>
      <c r="T1107" s="39"/>
      <c r="U1107" s="39"/>
      <c r="V1107" s="39"/>
    </row>
    <row r="1108" ht="22.5" customHeight="1">
      <c r="A1108" s="18">
        <v>278.0</v>
      </c>
      <c r="B1108" s="36">
        <v>17.0</v>
      </c>
      <c r="C1108" s="36" t="s">
        <v>8026</v>
      </c>
      <c r="D1108" s="60">
        <v>2.32410169E8</v>
      </c>
      <c r="E1108" s="36" t="s">
        <v>8027</v>
      </c>
      <c r="F1108" s="36" t="s">
        <v>227</v>
      </c>
      <c r="G1108" s="12">
        <v>31.0</v>
      </c>
      <c r="H1108" s="57" t="str">
        <f t="shared" si="5"/>
        <v/>
      </c>
      <c r="I1108" s="29" t="s">
        <v>7705</v>
      </c>
      <c r="J1108" s="20" t="str">
        <f>VLOOKUP(I1108,'Database Grup SCC'!$B$2:$C1382,2,false)</f>
        <v>-</v>
      </c>
      <c r="K1108" s="50"/>
      <c r="L1108" s="50"/>
      <c r="M1108" s="50"/>
      <c r="N1108" s="35"/>
      <c r="O1108" s="34"/>
      <c r="P1108" s="34"/>
      <c r="Q1108" s="12" t="str">
        <f t="shared" si="6"/>
        <v>#REF!</v>
      </c>
      <c r="R1108" s="39" t="e">
        <v>#REF!</v>
      </c>
      <c r="S1108" s="39"/>
      <c r="T1108" s="39"/>
      <c r="U1108" s="39"/>
      <c r="V1108" s="39"/>
    </row>
    <row r="1109" ht="22.5" customHeight="1">
      <c r="A1109" s="18">
        <v>290.0</v>
      </c>
      <c r="B1109" s="36">
        <v>18.0</v>
      </c>
      <c r="C1109" s="59" t="s">
        <v>8028</v>
      </c>
      <c r="D1109" s="60">
        <v>2.32410193E8</v>
      </c>
      <c r="E1109" s="36" t="s">
        <v>8029</v>
      </c>
      <c r="F1109" s="36" t="s">
        <v>227</v>
      </c>
      <c r="G1109" s="12">
        <v>31.0</v>
      </c>
      <c r="H1109" s="57" t="str">
        <f t="shared" si="5"/>
        <v/>
      </c>
      <c r="I1109" s="29" t="s">
        <v>7705</v>
      </c>
      <c r="J1109" s="20" t="str">
        <f>VLOOKUP(I1109,'Database Grup SCC'!$B$2:$C1382,2,false)</f>
        <v>-</v>
      </c>
      <c r="K1109" s="50"/>
      <c r="L1109" s="50"/>
      <c r="M1109" s="50"/>
      <c r="N1109" s="35"/>
      <c r="O1109" s="34"/>
      <c r="P1109" s="34"/>
      <c r="Q1109" s="12" t="str">
        <f t="shared" si="6"/>
        <v>#REF!</v>
      </c>
      <c r="R1109" s="39" t="e">
        <v>#REF!</v>
      </c>
      <c r="S1109" s="39"/>
      <c r="T1109" s="39"/>
      <c r="U1109" s="39"/>
      <c r="V1109" s="39"/>
    </row>
    <row r="1110" ht="22.5" customHeight="1">
      <c r="A1110" s="18">
        <v>291.0</v>
      </c>
      <c r="B1110" s="36">
        <v>19.0</v>
      </c>
      <c r="C1110" s="59" t="s">
        <v>8030</v>
      </c>
      <c r="D1110" s="60">
        <v>2.32410203E8</v>
      </c>
      <c r="E1110" s="36" t="s">
        <v>8031</v>
      </c>
      <c r="F1110" s="36" t="s">
        <v>227</v>
      </c>
      <c r="G1110" s="12">
        <v>31.0</v>
      </c>
      <c r="H1110" s="57" t="str">
        <f t="shared" si="5"/>
        <v/>
      </c>
      <c r="I1110" s="29" t="s">
        <v>7705</v>
      </c>
      <c r="J1110" s="20" t="str">
        <f>VLOOKUP(I1110,'Database Grup SCC'!$B$2:$C1382,2,false)</f>
        <v>-</v>
      </c>
      <c r="K1110" s="50"/>
      <c r="L1110" s="50"/>
      <c r="M1110" s="50"/>
      <c r="N1110" s="35"/>
      <c r="O1110" s="34"/>
      <c r="P1110" s="34"/>
      <c r="Q1110" s="12" t="str">
        <f t="shared" si="6"/>
        <v>#REF!</v>
      </c>
      <c r="R1110" s="39" t="e">
        <v>#REF!</v>
      </c>
      <c r="S1110" s="39"/>
      <c r="T1110" s="39"/>
      <c r="U1110" s="39"/>
      <c r="V1110" s="39"/>
    </row>
    <row r="1111" ht="22.5" customHeight="1">
      <c r="A1111" s="18">
        <v>292.0</v>
      </c>
      <c r="B1111" s="36">
        <v>20.0</v>
      </c>
      <c r="C1111" s="36" t="s">
        <v>8032</v>
      </c>
      <c r="D1111" s="60">
        <v>2.32410204E8</v>
      </c>
      <c r="E1111" s="36" t="s">
        <v>8033</v>
      </c>
      <c r="F1111" s="36" t="s">
        <v>227</v>
      </c>
      <c r="G1111" s="12">
        <v>31.0</v>
      </c>
      <c r="H1111" s="57" t="str">
        <f t="shared" si="5"/>
        <v/>
      </c>
      <c r="I1111" s="29" t="s">
        <v>7705</v>
      </c>
      <c r="J1111" s="20" t="str">
        <f>VLOOKUP(I1111,'Database Grup SCC'!$B$2:$C1382,2,false)</f>
        <v>-</v>
      </c>
      <c r="K1111" s="50"/>
      <c r="L1111" s="50"/>
      <c r="M1111" s="50"/>
      <c r="N1111" s="35"/>
      <c r="O1111" s="34"/>
      <c r="P1111" s="34"/>
      <c r="Q1111" s="12" t="str">
        <f t="shared" si="6"/>
        <v>#REF!</v>
      </c>
      <c r="R1111" s="39" t="e">
        <v>#REF!</v>
      </c>
      <c r="S1111" s="39"/>
      <c r="T1111" s="39"/>
      <c r="U1111" s="39"/>
      <c r="V1111" s="39"/>
    </row>
    <row r="1112" ht="22.5" customHeight="1">
      <c r="A1112" s="18">
        <v>293.0</v>
      </c>
      <c r="B1112" s="36">
        <v>21.0</v>
      </c>
      <c r="C1112" s="59" t="s">
        <v>8034</v>
      </c>
      <c r="D1112" s="60">
        <v>2.32410207E8</v>
      </c>
      <c r="E1112" s="36" t="s">
        <v>8035</v>
      </c>
      <c r="F1112" s="36" t="s">
        <v>220</v>
      </c>
      <c r="G1112" s="12">
        <v>31.0</v>
      </c>
      <c r="H1112" s="57" t="str">
        <f t="shared" si="5"/>
        <v/>
      </c>
      <c r="I1112" s="29" t="s">
        <v>7705</v>
      </c>
      <c r="J1112" s="20" t="str">
        <f>VLOOKUP(I1112,'Database Grup SCC'!$B$2:$C1382,2,false)</f>
        <v>-</v>
      </c>
      <c r="K1112" s="50"/>
      <c r="L1112" s="50"/>
      <c r="M1112" s="50"/>
      <c r="N1112" s="35"/>
      <c r="O1112" s="34"/>
      <c r="P1112" s="34"/>
      <c r="Q1112" s="12" t="str">
        <f t="shared" si="6"/>
        <v>#REF!</v>
      </c>
      <c r="R1112" s="39" t="e">
        <v>#REF!</v>
      </c>
      <c r="S1112" s="39"/>
      <c r="T1112" s="39"/>
      <c r="U1112" s="39"/>
      <c r="V1112" s="39"/>
    </row>
    <row r="1113" ht="22.5" customHeight="1">
      <c r="A1113" s="18">
        <v>294.0</v>
      </c>
      <c r="B1113" s="36">
        <v>22.0</v>
      </c>
      <c r="C1113" s="59" t="s">
        <v>8036</v>
      </c>
      <c r="D1113" s="47">
        <v>2.32410212E8</v>
      </c>
      <c r="E1113" s="36" t="s">
        <v>8037</v>
      </c>
      <c r="F1113" s="36" t="s">
        <v>220</v>
      </c>
      <c r="G1113" s="12">
        <v>31.0</v>
      </c>
      <c r="H1113" s="57" t="str">
        <f t="shared" si="5"/>
        <v/>
      </c>
      <c r="I1113" s="29" t="s">
        <v>7705</v>
      </c>
      <c r="J1113" s="20" t="str">
        <f>VLOOKUP(I1113,'Database Grup SCC'!$B$2:$C1382,2,false)</f>
        <v>-</v>
      </c>
      <c r="K1113" s="50"/>
      <c r="L1113" s="50"/>
      <c r="M1113" s="50"/>
      <c r="N1113" s="35"/>
      <c r="O1113" s="34"/>
      <c r="P1113" s="34"/>
      <c r="Q1113" s="12" t="str">
        <f t="shared" si="6"/>
        <v>#REF!</v>
      </c>
      <c r="R1113" s="39" t="e">
        <v>#REF!</v>
      </c>
      <c r="S1113" s="39"/>
      <c r="T1113" s="39"/>
      <c r="U1113" s="39"/>
      <c r="V1113" s="39"/>
    </row>
    <row r="1114" ht="22.5" customHeight="1">
      <c r="A1114" s="18">
        <v>295.0</v>
      </c>
      <c r="B1114" s="36">
        <v>23.0</v>
      </c>
      <c r="C1114" s="59" t="s">
        <v>8038</v>
      </c>
      <c r="D1114" s="47">
        <v>2.32410231E8</v>
      </c>
      <c r="E1114" s="36" t="s">
        <v>8039</v>
      </c>
      <c r="F1114" s="36" t="s">
        <v>220</v>
      </c>
      <c r="G1114" s="12">
        <v>31.0</v>
      </c>
      <c r="H1114" s="57" t="str">
        <f t="shared" si="5"/>
        <v/>
      </c>
      <c r="I1114" s="29" t="s">
        <v>7705</v>
      </c>
      <c r="J1114" s="20" t="str">
        <f>VLOOKUP(I1114,'Database Grup SCC'!$B$2:$C1382,2,false)</f>
        <v>-</v>
      </c>
      <c r="K1114" s="50"/>
      <c r="L1114" s="50"/>
      <c r="M1114" s="50"/>
      <c r="N1114" s="35"/>
      <c r="O1114" s="34"/>
      <c r="P1114" s="34"/>
      <c r="Q1114" s="12" t="str">
        <f t="shared" si="6"/>
        <v>#REF!</v>
      </c>
      <c r="R1114" s="39" t="e">
        <v>#REF!</v>
      </c>
      <c r="S1114" s="39"/>
      <c r="T1114" s="39"/>
      <c r="U1114" s="39"/>
      <c r="V1114" s="39"/>
    </row>
    <row r="1115" ht="22.5" customHeight="1">
      <c r="A1115" s="18">
        <v>296.0</v>
      </c>
      <c r="B1115" s="36">
        <v>24.0</v>
      </c>
      <c r="C1115" s="36" t="s">
        <v>8040</v>
      </c>
      <c r="D1115" s="60">
        <v>2.32410232E8</v>
      </c>
      <c r="E1115" s="36" t="s">
        <v>8041</v>
      </c>
      <c r="F1115" s="36" t="s">
        <v>220</v>
      </c>
      <c r="G1115" s="12">
        <v>31.0</v>
      </c>
      <c r="H1115" s="57" t="str">
        <f t="shared" si="5"/>
        <v/>
      </c>
      <c r="I1115" s="29" t="s">
        <v>7705</v>
      </c>
      <c r="J1115" s="20" t="str">
        <f>VLOOKUP(I1115,'Database Grup SCC'!$B$2:$C1382,2,false)</f>
        <v>-</v>
      </c>
      <c r="K1115" s="50"/>
      <c r="L1115" s="50"/>
      <c r="M1115" s="50"/>
      <c r="N1115" s="35"/>
      <c r="O1115" s="34"/>
      <c r="P1115" s="34"/>
      <c r="Q1115" s="12" t="str">
        <f t="shared" si="6"/>
        <v>#REF!</v>
      </c>
      <c r="R1115" s="39" t="e">
        <v>#REF!</v>
      </c>
      <c r="S1115" s="39"/>
      <c r="T1115" s="39"/>
      <c r="U1115" s="39"/>
      <c r="V1115" s="39"/>
    </row>
    <row r="1116" ht="22.5" customHeight="1">
      <c r="A1116" s="18">
        <v>297.0</v>
      </c>
      <c r="B1116" s="36">
        <v>25.0</v>
      </c>
      <c r="C1116" s="36" t="s">
        <v>8042</v>
      </c>
      <c r="D1116" s="60">
        <v>2.32410238E8</v>
      </c>
      <c r="E1116" s="36" t="s">
        <v>8043</v>
      </c>
      <c r="F1116" s="36" t="s">
        <v>220</v>
      </c>
      <c r="G1116" s="12">
        <v>31.0</v>
      </c>
      <c r="H1116" s="57" t="str">
        <f t="shared" si="5"/>
        <v/>
      </c>
      <c r="I1116" s="29" t="s">
        <v>7705</v>
      </c>
      <c r="J1116" s="20" t="str">
        <f>VLOOKUP(I1116,'Database Grup SCC'!$B$2:$C1382,2,false)</f>
        <v>-</v>
      </c>
      <c r="K1116" s="50"/>
      <c r="L1116" s="50"/>
      <c r="M1116" s="50"/>
      <c r="N1116" s="35"/>
      <c r="O1116" s="34"/>
      <c r="P1116" s="34"/>
      <c r="Q1116" s="12" t="str">
        <f t="shared" si="6"/>
        <v>#REF!</v>
      </c>
      <c r="R1116" s="39" t="e">
        <v>#REF!</v>
      </c>
      <c r="S1116" s="39"/>
      <c r="T1116" s="39"/>
      <c r="U1116" s="39"/>
      <c r="V1116" s="39"/>
    </row>
    <row r="1117" ht="22.5" customHeight="1">
      <c r="A1117" s="18">
        <v>298.0</v>
      </c>
      <c r="B1117" s="36">
        <v>26.0</v>
      </c>
      <c r="C1117" s="36" t="s">
        <v>8044</v>
      </c>
      <c r="D1117" s="60">
        <v>2.32410247E8</v>
      </c>
      <c r="E1117" s="36" t="s">
        <v>8045</v>
      </c>
      <c r="F1117" s="36" t="s">
        <v>220</v>
      </c>
      <c r="G1117" s="12">
        <v>31.0</v>
      </c>
      <c r="H1117" s="57" t="str">
        <f t="shared" si="5"/>
        <v/>
      </c>
      <c r="I1117" s="29" t="s">
        <v>7705</v>
      </c>
      <c r="J1117" s="20" t="str">
        <f>VLOOKUP(I1117,'Database Grup SCC'!$B$2:$C1382,2,false)</f>
        <v>-</v>
      </c>
      <c r="K1117" s="50"/>
      <c r="L1117" s="50"/>
      <c r="M1117" s="50"/>
      <c r="N1117" s="35"/>
      <c r="O1117" s="34"/>
      <c r="P1117" s="34"/>
      <c r="Q1117" s="12" t="str">
        <f t="shared" si="6"/>
        <v>#REF!</v>
      </c>
      <c r="R1117" s="39" t="e">
        <v>#REF!</v>
      </c>
      <c r="S1117" s="39"/>
      <c r="T1117" s="39"/>
      <c r="U1117" s="39"/>
      <c r="V1117" s="39"/>
    </row>
    <row r="1118" ht="22.5" customHeight="1">
      <c r="A1118" s="18">
        <v>299.0</v>
      </c>
      <c r="B1118" s="36">
        <v>27.0</v>
      </c>
      <c r="C1118" s="59" t="s">
        <v>8046</v>
      </c>
      <c r="D1118" s="47">
        <v>2.32410441E8</v>
      </c>
      <c r="E1118" s="36" t="s">
        <v>8047</v>
      </c>
      <c r="F1118" s="36" t="s">
        <v>220</v>
      </c>
      <c r="G1118" s="12">
        <v>31.0</v>
      </c>
      <c r="H1118" s="57" t="str">
        <f t="shared" si="5"/>
        <v/>
      </c>
      <c r="I1118" s="29" t="s">
        <v>7705</v>
      </c>
      <c r="J1118" s="20" t="str">
        <f>VLOOKUP(I1118,'Database Grup SCC'!$B$2:$C1382,2,false)</f>
        <v>-</v>
      </c>
      <c r="K1118" s="50"/>
      <c r="L1118" s="50"/>
      <c r="M1118" s="50"/>
      <c r="N1118" s="35"/>
      <c r="O1118" s="34"/>
      <c r="P1118" s="34"/>
      <c r="Q1118" s="12" t="str">
        <f t="shared" si="6"/>
        <v>#REF!</v>
      </c>
      <c r="R1118" s="39" t="e">
        <v>#REF!</v>
      </c>
      <c r="S1118" s="39"/>
      <c r="T1118" s="39"/>
      <c r="U1118" s="39"/>
      <c r="V1118" s="39"/>
    </row>
    <row r="1119" ht="22.5" customHeight="1">
      <c r="A1119" s="18">
        <v>300.0</v>
      </c>
      <c r="B1119" s="36">
        <v>28.0</v>
      </c>
      <c r="C1119" s="36" t="s">
        <v>8048</v>
      </c>
      <c r="D1119" s="60">
        <v>2.32410281E8</v>
      </c>
      <c r="E1119" s="36" t="s">
        <v>8049</v>
      </c>
      <c r="F1119" s="36" t="s">
        <v>227</v>
      </c>
      <c r="G1119" s="12">
        <v>31.0</v>
      </c>
      <c r="H1119" s="57" t="str">
        <f t="shared" si="5"/>
        <v/>
      </c>
      <c r="I1119" s="29" t="s">
        <v>7705</v>
      </c>
      <c r="J1119" s="20" t="str">
        <f>VLOOKUP(I1119,'Database Grup SCC'!$B$2:$C1382,2,false)</f>
        <v>-</v>
      </c>
      <c r="K1119" s="50"/>
      <c r="L1119" s="50"/>
      <c r="M1119" s="50"/>
      <c r="N1119" s="35"/>
      <c r="O1119" s="34"/>
      <c r="P1119" s="34"/>
      <c r="Q1119" s="12" t="str">
        <f t="shared" si="6"/>
        <v>#REF!</v>
      </c>
      <c r="R1119" s="39" t="e">
        <v>#REF!</v>
      </c>
      <c r="S1119" s="39"/>
      <c r="T1119" s="39"/>
      <c r="U1119" s="39"/>
      <c r="V1119" s="39"/>
    </row>
    <row r="1120" ht="22.5" customHeight="1">
      <c r="A1120" s="18">
        <v>301.0</v>
      </c>
      <c r="B1120" s="36">
        <v>29.0</v>
      </c>
      <c r="C1120" s="59" t="s">
        <v>8050</v>
      </c>
      <c r="D1120" s="60">
        <v>2.3241031E8</v>
      </c>
      <c r="E1120" s="36" t="s">
        <v>8051</v>
      </c>
      <c r="F1120" s="36" t="s">
        <v>220</v>
      </c>
      <c r="G1120" s="12">
        <v>31.0</v>
      </c>
      <c r="H1120" s="57" t="str">
        <f t="shared" si="5"/>
        <v/>
      </c>
      <c r="I1120" s="29" t="s">
        <v>7705</v>
      </c>
      <c r="J1120" s="20" t="str">
        <f>VLOOKUP(I1120,'Database Grup SCC'!$B$2:$C1382,2,false)</f>
        <v>-</v>
      </c>
      <c r="K1120" s="50"/>
      <c r="L1120" s="50"/>
      <c r="M1120" s="50"/>
      <c r="N1120" s="35"/>
      <c r="O1120" s="34"/>
      <c r="P1120" s="34"/>
      <c r="Q1120" s="12" t="str">
        <f t="shared" si="6"/>
        <v>#REF!</v>
      </c>
      <c r="R1120" s="39" t="e">
        <v>#REF!</v>
      </c>
      <c r="S1120" s="39"/>
      <c r="T1120" s="39"/>
      <c r="U1120" s="39"/>
      <c r="V1120" s="39"/>
    </row>
    <row r="1121" ht="22.5" customHeight="1">
      <c r="A1121" s="18">
        <v>302.0</v>
      </c>
      <c r="B1121" s="36">
        <v>30.0</v>
      </c>
      <c r="C1121" s="36" t="s">
        <v>8052</v>
      </c>
      <c r="D1121" s="60">
        <v>2.32410313E8</v>
      </c>
      <c r="E1121" s="36" t="s">
        <v>8053</v>
      </c>
      <c r="F1121" s="36" t="s">
        <v>220</v>
      </c>
      <c r="G1121" s="12">
        <v>31.0</v>
      </c>
      <c r="H1121" s="57" t="str">
        <f t="shared" si="5"/>
        <v/>
      </c>
      <c r="I1121" s="29" t="s">
        <v>7705</v>
      </c>
      <c r="J1121" s="20" t="str">
        <f>VLOOKUP(I1121,'Database Grup SCC'!$B$2:$C1382,2,false)</f>
        <v>-</v>
      </c>
      <c r="K1121" s="50"/>
      <c r="L1121" s="50"/>
      <c r="M1121" s="50"/>
      <c r="N1121" s="35"/>
      <c r="O1121" s="34"/>
      <c r="P1121" s="34"/>
      <c r="Q1121" s="12" t="str">
        <f t="shared" si="6"/>
        <v>#REF!</v>
      </c>
      <c r="R1121" s="39" t="e">
        <v>#REF!</v>
      </c>
      <c r="S1121" s="39"/>
      <c r="T1121" s="39"/>
      <c r="U1121" s="39"/>
      <c r="V1121" s="39"/>
    </row>
    <row r="1122" ht="22.5" customHeight="1">
      <c r="A1122" s="18">
        <v>303.0</v>
      </c>
      <c r="B1122" s="36">
        <v>31.0</v>
      </c>
      <c r="C1122" s="59" t="s">
        <v>8054</v>
      </c>
      <c r="D1122" s="60">
        <v>2.32410324E8</v>
      </c>
      <c r="E1122" s="36" t="s">
        <v>8055</v>
      </c>
      <c r="F1122" s="36" t="s">
        <v>227</v>
      </c>
      <c r="G1122" s="12">
        <v>31.0</v>
      </c>
      <c r="H1122" s="57" t="str">
        <f t="shared" si="5"/>
        <v/>
      </c>
      <c r="I1122" s="29" t="s">
        <v>7705</v>
      </c>
      <c r="J1122" s="20" t="str">
        <f>VLOOKUP(I1122,'Database Grup SCC'!$B$2:$C1382,2,false)</f>
        <v>-</v>
      </c>
      <c r="K1122" s="50"/>
      <c r="L1122" s="50"/>
      <c r="M1122" s="50"/>
      <c r="N1122" s="35"/>
      <c r="O1122" s="34"/>
      <c r="P1122" s="34"/>
      <c r="Q1122" s="12" t="str">
        <f t="shared" si="6"/>
        <v>#REF!</v>
      </c>
      <c r="R1122" s="39" t="e">
        <v>#REF!</v>
      </c>
      <c r="S1122" s="39"/>
      <c r="T1122" s="39"/>
      <c r="U1122" s="39"/>
      <c r="V1122" s="39"/>
    </row>
    <row r="1123" ht="22.5" customHeight="1">
      <c r="A1123" s="18">
        <v>304.0</v>
      </c>
      <c r="B1123" s="36">
        <v>32.0</v>
      </c>
      <c r="C1123" s="36" t="s">
        <v>8056</v>
      </c>
      <c r="D1123" s="60">
        <v>2.32410342E8</v>
      </c>
      <c r="E1123" s="36" t="s">
        <v>8057</v>
      </c>
      <c r="F1123" s="36" t="s">
        <v>227</v>
      </c>
      <c r="G1123" s="12">
        <v>31.0</v>
      </c>
      <c r="H1123" s="57" t="str">
        <f t="shared" si="5"/>
        <v/>
      </c>
      <c r="I1123" s="29" t="s">
        <v>7705</v>
      </c>
      <c r="J1123" s="20" t="str">
        <f>VLOOKUP(I1123,'Database Grup SCC'!$B$2:$C1382,2,false)</f>
        <v>-</v>
      </c>
      <c r="K1123" s="50"/>
      <c r="L1123" s="50"/>
      <c r="M1123" s="50"/>
      <c r="N1123" s="35"/>
      <c r="O1123" s="34"/>
      <c r="P1123" s="34"/>
      <c r="Q1123" s="12" t="str">
        <f t="shared" si="6"/>
        <v>#REF!</v>
      </c>
      <c r="R1123" s="39" t="e">
        <v>#REF!</v>
      </c>
      <c r="S1123" s="39"/>
      <c r="T1123" s="39"/>
      <c r="U1123" s="39"/>
      <c r="V1123" s="39"/>
    </row>
    <row r="1124" ht="22.5" customHeight="1">
      <c r="A1124" s="18">
        <v>305.0</v>
      </c>
      <c r="B1124" s="36">
        <v>33.0</v>
      </c>
      <c r="C1124" s="59" t="s">
        <v>8058</v>
      </c>
      <c r="D1124" s="60">
        <v>2.32410351E8</v>
      </c>
      <c r="E1124" s="36" t="s">
        <v>8059</v>
      </c>
      <c r="F1124" s="36" t="s">
        <v>220</v>
      </c>
      <c r="G1124" s="12">
        <v>31.0</v>
      </c>
      <c r="H1124" s="57" t="str">
        <f t="shared" si="5"/>
        <v/>
      </c>
      <c r="I1124" s="29" t="s">
        <v>7705</v>
      </c>
      <c r="J1124" s="20" t="str">
        <f>VLOOKUP(I1124,'Database Grup SCC'!$B$2:$C1382,2,false)</f>
        <v>-</v>
      </c>
      <c r="K1124" s="50"/>
      <c r="L1124" s="50"/>
      <c r="M1124" s="50"/>
      <c r="N1124" s="35"/>
      <c r="O1124" s="34"/>
      <c r="P1124" s="34"/>
      <c r="Q1124" s="12" t="str">
        <f t="shared" si="6"/>
        <v>#REF!</v>
      </c>
      <c r="R1124" s="39" t="e">
        <v>#REF!</v>
      </c>
      <c r="S1124" s="39"/>
      <c r="T1124" s="39"/>
      <c r="U1124" s="39"/>
      <c r="V1124" s="39"/>
    </row>
    <row r="1125" ht="22.5" customHeight="1">
      <c r="A1125" s="18">
        <v>306.0</v>
      </c>
      <c r="B1125" s="36">
        <v>34.0</v>
      </c>
      <c r="C1125" s="59" t="s">
        <v>8060</v>
      </c>
      <c r="D1125" s="60">
        <v>2.32410403E8</v>
      </c>
      <c r="E1125" s="36" t="s">
        <v>8061</v>
      </c>
      <c r="F1125" s="36" t="s">
        <v>227</v>
      </c>
      <c r="G1125" s="12">
        <v>31.0</v>
      </c>
      <c r="H1125" s="57" t="str">
        <f t="shared" si="5"/>
        <v/>
      </c>
      <c r="I1125" s="29" t="s">
        <v>7705</v>
      </c>
      <c r="J1125" s="20" t="str">
        <f>VLOOKUP(I1125,'Database Grup SCC'!$B$2:$C1382,2,false)</f>
        <v>-</v>
      </c>
      <c r="K1125" s="50"/>
      <c r="L1125" s="50"/>
      <c r="M1125" s="50"/>
      <c r="N1125" s="35"/>
      <c r="O1125" s="34"/>
      <c r="P1125" s="34"/>
      <c r="Q1125" s="12" t="str">
        <f t="shared" si="6"/>
        <v>#REF!</v>
      </c>
      <c r="R1125" s="39" t="e">
        <v>#REF!</v>
      </c>
      <c r="S1125" s="39"/>
      <c r="T1125" s="39"/>
      <c r="U1125" s="39"/>
      <c r="V1125" s="39"/>
    </row>
    <row r="1126" ht="22.5" customHeight="1">
      <c r="A1126" s="18">
        <v>307.0</v>
      </c>
      <c r="B1126" s="36">
        <v>35.0</v>
      </c>
      <c r="C1126" s="41" t="s">
        <v>8062</v>
      </c>
      <c r="D1126" s="60">
        <v>2.32410416E8</v>
      </c>
      <c r="E1126" s="36" t="s">
        <v>8063</v>
      </c>
      <c r="F1126" s="36" t="s">
        <v>227</v>
      </c>
      <c r="G1126" s="12">
        <v>31.0</v>
      </c>
      <c r="H1126" s="57" t="str">
        <f t="shared" si="5"/>
        <v/>
      </c>
      <c r="I1126" s="29" t="s">
        <v>7705</v>
      </c>
      <c r="J1126" s="20" t="str">
        <f>VLOOKUP(I1126,'Database Grup SCC'!$B$2:$C1382,2,false)</f>
        <v>-</v>
      </c>
      <c r="K1126" s="50"/>
      <c r="L1126" s="50"/>
      <c r="M1126" s="50"/>
      <c r="N1126" s="35"/>
      <c r="O1126" s="34"/>
      <c r="P1126" s="34"/>
      <c r="Q1126" s="12" t="str">
        <f t="shared" si="6"/>
        <v>#REF!</v>
      </c>
      <c r="R1126" s="39" t="e">
        <v>#REF!</v>
      </c>
      <c r="S1126" s="39"/>
      <c r="T1126" s="39"/>
      <c r="U1126" s="39"/>
      <c r="V1126" s="39"/>
    </row>
    <row r="1127" ht="22.5" customHeight="1">
      <c r="A1127" s="18">
        <v>308.0</v>
      </c>
      <c r="B1127" s="36">
        <v>36.0</v>
      </c>
      <c r="C1127" s="59" t="s">
        <v>8064</v>
      </c>
      <c r="D1127" s="60">
        <v>2.32410438E8</v>
      </c>
      <c r="E1127" s="36" t="s">
        <v>8065</v>
      </c>
      <c r="F1127" s="36" t="s">
        <v>220</v>
      </c>
      <c r="G1127" s="12">
        <v>31.0</v>
      </c>
      <c r="H1127" s="57" t="str">
        <f t="shared" si="5"/>
        <v/>
      </c>
      <c r="I1127" s="29" t="s">
        <v>7705</v>
      </c>
      <c r="J1127" s="20" t="str">
        <f>VLOOKUP(I1127,'Database Grup SCC'!$B$2:$C1382,2,false)</f>
        <v>-</v>
      </c>
      <c r="K1127" s="50"/>
      <c r="L1127" s="50"/>
      <c r="M1127" s="50"/>
      <c r="N1127" s="35"/>
      <c r="O1127" s="34"/>
      <c r="P1127" s="34"/>
      <c r="Q1127" s="12" t="str">
        <f t="shared" si="6"/>
        <v>#REF!</v>
      </c>
      <c r="R1127" s="39" t="e">
        <v>#REF!</v>
      </c>
      <c r="S1127" s="39"/>
      <c r="T1127" s="39"/>
      <c r="U1127" s="39"/>
      <c r="V1127" s="39"/>
    </row>
    <row r="1128" ht="22.5" customHeight="1">
      <c r="A1128" s="18">
        <v>322.0</v>
      </c>
      <c r="B1128" s="36">
        <v>1.0</v>
      </c>
      <c r="C1128" s="36" t="s">
        <v>8066</v>
      </c>
      <c r="D1128" s="60">
        <v>2.32410008E8</v>
      </c>
      <c r="E1128" s="36" t="s">
        <v>8067</v>
      </c>
      <c r="F1128" s="36" t="s">
        <v>220</v>
      </c>
      <c r="G1128" s="12">
        <v>31.0</v>
      </c>
      <c r="H1128" s="57" t="str">
        <f t="shared" si="5"/>
        <v/>
      </c>
      <c r="I1128" s="29" t="s">
        <v>7705</v>
      </c>
      <c r="J1128" s="20" t="str">
        <f>VLOOKUP(I1128,'Database Grup SCC'!$B$2:$C1382,2,false)</f>
        <v>-</v>
      </c>
      <c r="K1128" s="50"/>
      <c r="L1128" s="50" t="s">
        <v>8068</v>
      </c>
      <c r="M1128" s="50" t="s">
        <v>8069</v>
      </c>
      <c r="N1128" s="35"/>
      <c r="O1128" s="34"/>
      <c r="P1128" s="34"/>
      <c r="Q1128" s="12" t="str">
        <f t="shared" si="6"/>
        <v>#REF!</v>
      </c>
      <c r="R1128" s="39" t="e">
        <v>#REF!</v>
      </c>
      <c r="S1128" s="39"/>
      <c r="T1128" s="39"/>
      <c r="U1128" s="39"/>
      <c r="V1128" s="39"/>
    </row>
    <row r="1129" ht="22.5" customHeight="1">
      <c r="A1129" s="18">
        <v>323.0</v>
      </c>
      <c r="B1129" s="36">
        <v>2.0</v>
      </c>
      <c r="C1129" s="59" t="s">
        <v>8070</v>
      </c>
      <c r="D1129" s="60">
        <v>2.32410025E8</v>
      </c>
      <c r="E1129" s="36" t="s">
        <v>8071</v>
      </c>
      <c r="F1129" s="36" t="s">
        <v>227</v>
      </c>
      <c r="G1129" s="12">
        <v>31.0</v>
      </c>
      <c r="H1129" s="57" t="str">
        <f t="shared" si="5"/>
        <v/>
      </c>
      <c r="I1129" s="29" t="s">
        <v>7705</v>
      </c>
      <c r="J1129" s="20" t="str">
        <f>VLOOKUP(I1129,'Database Grup SCC'!$B$2:$C1382,2,false)</f>
        <v>-</v>
      </c>
      <c r="K1129" s="50"/>
      <c r="L1129" s="50"/>
      <c r="M1129" s="50"/>
      <c r="N1129" s="35"/>
      <c r="O1129" s="34"/>
      <c r="P1129" s="34"/>
      <c r="Q1129" s="12" t="str">
        <f t="shared" si="6"/>
        <v>#REF!</v>
      </c>
      <c r="R1129" s="39" t="e">
        <v>#REF!</v>
      </c>
      <c r="S1129" s="39"/>
      <c r="T1129" s="39"/>
      <c r="U1129" s="39"/>
      <c r="V1129" s="39"/>
    </row>
    <row r="1130" ht="22.5" customHeight="1">
      <c r="A1130" s="18">
        <v>324.0</v>
      </c>
      <c r="B1130" s="36">
        <v>3.0</v>
      </c>
      <c r="C1130" s="59" t="s">
        <v>8072</v>
      </c>
      <c r="D1130" s="60">
        <v>2.32410039E8</v>
      </c>
      <c r="E1130" s="36" t="s">
        <v>8073</v>
      </c>
      <c r="F1130" s="36" t="s">
        <v>227</v>
      </c>
      <c r="G1130" s="12">
        <v>31.0</v>
      </c>
      <c r="H1130" s="57" t="str">
        <f t="shared" si="5"/>
        <v/>
      </c>
      <c r="I1130" s="29" t="s">
        <v>7705</v>
      </c>
      <c r="J1130" s="20" t="str">
        <f>VLOOKUP(I1130,'Database Grup SCC'!$B$2:$C1382,2,false)</f>
        <v>-</v>
      </c>
      <c r="K1130" s="50"/>
      <c r="L1130" s="50"/>
      <c r="M1130" s="50"/>
      <c r="N1130" s="35"/>
      <c r="O1130" s="34"/>
      <c r="P1130" s="34"/>
      <c r="Q1130" s="12" t="str">
        <f t="shared" si="6"/>
        <v>#REF!</v>
      </c>
      <c r="R1130" s="39" t="e">
        <v>#REF!</v>
      </c>
      <c r="S1130" s="39"/>
      <c r="T1130" s="39"/>
      <c r="U1130" s="39"/>
      <c r="V1130" s="39"/>
    </row>
    <row r="1131" ht="22.5" customHeight="1">
      <c r="A1131" s="18">
        <v>325.0</v>
      </c>
      <c r="B1131" s="36">
        <v>4.0</v>
      </c>
      <c r="C1131" s="36" t="s">
        <v>8074</v>
      </c>
      <c r="D1131" s="60">
        <v>2.32410044E8</v>
      </c>
      <c r="E1131" s="36" t="s">
        <v>8075</v>
      </c>
      <c r="F1131" s="36" t="s">
        <v>220</v>
      </c>
      <c r="G1131" s="12">
        <v>31.0</v>
      </c>
      <c r="H1131" s="57" t="str">
        <f t="shared" si="5"/>
        <v/>
      </c>
      <c r="I1131" s="29" t="s">
        <v>7705</v>
      </c>
      <c r="J1131" s="20" t="str">
        <f>VLOOKUP(I1131,'Database Grup SCC'!$B$2:$C1382,2,false)</f>
        <v>-</v>
      </c>
      <c r="K1131" s="50"/>
      <c r="L1131" s="50"/>
      <c r="M1131" s="50"/>
      <c r="N1131" s="35"/>
      <c r="O1131" s="34"/>
      <c r="P1131" s="34"/>
      <c r="Q1131" s="12" t="str">
        <f t="shared" si="6"/>
        <v>#REF!</v>
      </c>
      <c r="R1131" s="39" t="e">
        <v>#REF!</v>
      </c>
      <c r="S1131" s="39"/>
      <c r="T1131" s="39"/>
      <c r="U1131" s="39"/>
      <c r="V1131" s="39"/>
    </row>
    <row r="1132" ht="22.5" customHeight="1">
      <c r="A1132" s="18">
        <v>337.0</v>
      </c>
      <c r="B1132" s="36">
        <v>5.0</v>
      </c>
      <c r="C1132" s="36" t="s">
        <v>8076</v>
      </c>
      <c r="D1132" s="60">
        <v>2.32410046E8</v>
      </c>
      <c r="E1132" s="36" t="s">
        <v>8077</v>
      </c>
      <c r="F1132" s="36" t="s">
        <v>220</v>
      </c>
      <c r="G1132" s="12">
        <v>31.0</v>
      </c>
      <c r="H1132" s="57" t="str">
        <f t="shared" si="5"/>
        <v/>
      </c>
      <c r="I1132" s="29" t="s">
        <v>7705</v>
      </c>
      <c r="J1132" s="20" t="str">
        <f>VLOOKUP(I1132,'Database Grup SCC'!$B$2:$C1382,2,false)</f>
        <v>-</v>
      </c>
      <c r="K1132" s="50"/>
      <c r="L1132" s="50"/>
      <c r="M1132" s="50"/>
      <c r="N1132" s="35"/>
      <c r="O1132" s="34"/>
      <c r="P1132" s="34"/>
      <c r="Q1132" s="12" t="str">
        <f t="shared" si="6"/>
        <v>#REF!</v>
      </c>
      <c r="R1132" s="39" t="e">
        <v>#REF!</v>
      </c>
      <c r="S1132" s="39"/>
      <c r="T1132" s="39"/>
      <c r="U1132" s="39"/>
      <c r="V1132" s="39"/>
    </row>
    <row r="1133" ht="22.5" customHeight="1">
      <c r="A1133" s="18">
        <v>338.0</v>
      </c>
      <c r="B1133" s="36">
        <v>6.0</v>
      </c>
      <c r="C1133" s="36" t="s">
        <v>8078</v>
      </c>
      <c r="D1133" s="60">
        <v>2.32410083E8</v>
      </c>
      <c r="E1133" s="36" t="s">
        <v>8079</v>
      </c>
      <c r="F1133" s="36" t="s">
        <v>227</v>
      </c>
      <c r="G1133" s="12">
        <v>31.0</v>
      </c>
      <c r="H1133" s="57" t="str">
        <f t="shared" si="5"/>
        <v/>
      </c>
      <c r="I1133" s="29" t="s">
        <v>7705</v>
      </c>
      <c r="J1133" s="20" t="str">
        <f>VLOOKUP(I1133,'Database Grup SCC'!$B$2:$C1382,2,false)</f>
        <v>-</v>
      </c>
      <c r="K1133" s="50"/>
      <c r="L1133" s="50"/>
      <c r="M1133" s="50"/>
      <c r="N1133" s="35"/>
      <c r="O1133" s="34"/>
      <c r="P1133" s="34"/>
      <c r="Q1133" s="12" t="str">
        <f t="shared" si="6"/>
        <v>#REF!</v>
      </c>
      <c r="R1133" s="39" t="e">
        <v>#REF!</v>
      </c>
      <c r="S1133" s="39"/>
      <c r="T1133" s="39"/>
      <c r="U1133" s="39"/>
      <c r="V1133" s="39"/>
    </row>
    <row r="1134" ht="22.5" customHeight="1">
      <c r="A1134" s="18">
        <v>339.0</v>
      </c>
      <c r="B1134" s="36">
        <v>7.0</v>
      </c>
      <c r="C1134" s="36" t="s">
        <v>8080</v>
      </c>
      <c r="D1134" s="60">
        <v>2.32410085E8</v>
      </c>
      <c r="E1134" s="36" t="s">
        <v>8081</v>
      </c>
      <c r="F1134" s="36" t="s">
        <v>227</v>
      </c>
      <c r="G1134" s="12">
        <v>31.0</v>
      </c>
      <c r="H1134" s="57" t="str">
        <f t="shared" si="5"/>
        <v/>
      </c>
      <c r="I1134" s="29" t="s">
        <v>7705</v>
      </c>
      <c r="J1134" s="20" t="str">
        <f>VLOOKUP(I1134,'Database Grup SCC'!$B$2:$C1382,2,false)</f>
        <v>-</v>
      </c>
      <c r="K1134" s="50"/>
      <c r="L1134" s="50"/>
      <c r="M1134" s="50"/>
      <c r="N1134" s="35"/>
      <c r="O1134" s="34"/>
      <c r="P1134" s="34"/>
      <c r="Q1134" s="12" t="str">
        <f t="shared" si="6"/>
        <v>#REF!</v>
      </c>
      <c r="R1134" s="39" t="e">
        <v>#REF!</v>
      </c>
      <c r="S1134" s="39"/>
      <c r="T1134" s="39"/>
      <c r="U1134" s="39"/>
      <c r="V1134" s="39"/>
    </row>
    <row r="1135" ht="22.5" customHeight="1">
      <c r="A1135" s="18">
        <v>340.0</v>
      </c>
      <c r="B1135" s="36">
        <v>8.0</v>
      </c>
      <c r="C1135" s="36" t="s">
        <v>8082</v>
      </c>
      <c r="D1135" s="60">
        <v>2.32410087E8</v>
      </c>
      <c r="E1135" s="36" t="s">
        <v>8083</v>
      </c>
      <c r="F1135" s="36" t="s">
        <v>227</v>
      </c>
      <c r="G1135" s="12">
        <v>31.0</v>
      </c>
      <c r="H1135" s="57" t="str">
        <f t="shared" si="5"/>
        <v/>
      </c>
      <c r="I1135" s="29" t="s">
        <v>7705</v>
      </c>
      <c r="J1135" s="20" t="str">
        <f>VLOOKUP(I1135,'Database Grup SCC'!$B$2:$C1382,2,false)</f>
        <v>-</v>
      </c>
      <c r="K1135" s="50"/>
      <c r="L1135" s="50"/>
      <c r="M1135" s="50"/>
      <c r="N1135" s="35"/>
      <c r="O1135" s="34"/>
      <c r="P1135" s="34"/>
      <c r="Q1135" s="12" t="str">
        <f t="shared" si="6"/>
        <v>#REF!</v>
      </c>
      <c r="R1135" s="39" t="e">
        <v>#REF!</v>
      </c>
      <c r="S1135" s="39"/>
      <c r="T1135" s="39"/>
      <c r="U1135" s="39"/>
      <c r="V1135" s="39"/>
    </row>
    <row r="1136" ht="22.5" customHeight="1">
      <c r="A1136" s="18">
        <v>341.0</v>
      </c>
      <c r="B1136" s="36">
        <v>9.0</v>
      </c>
      <c r="C1136" s="36" t="s">
        <v>8084</v>
      </c>
      <c r="D1136" s="60">
        <v>2.32410102E8</v>
      </c>
      <c r="E1136" s="36" t="s">
        <v>8085</v>
      </c>
      <c r="F1136" s="36" t="s">
        <v>227</v>
      </c>
      <c r="G1136" s="12">
        <v>31.0</v>
      </c>
      <c r="H1136" s="57" t="str">
        <f t="shared" si="5"/>
        <v/>
      </c>
      <c r="I1136" s="29" t="s">
        <v>7705</v>
      </c>
      <c r="J1136" s="20" t="str">
        <f>VLOOKUP(I1136,'Database Grup SCC'!$B$2:$C1382,2,false)</f>
        <v>-</v>
      </c>
      <c r="K1136" s="50"/>
      <c r="L1136" s="50"/>
      <c r="M1136" s="50"/>
      <c r="N1136" s="35"/>
      <c r="O1136" s="34"/>
      <c r="P1136" s="34"/>
      <c r="Q1136" s="12" t="str">
        <f t="shared" si="6"/>
        <v>#REF!</v>
      </c>
      <c r="R1136" s="39" t="e">
        <v>#REF!</v>
      </c>
      <c r="S1136" s="39"/>
      <c r="T1136" s="39"/>
      <c r="U1136" s="39"/>
      <c r="V1136" s="39"/>
    </row>
    <row r="1137" ht="22.5" customHeight="1">
      <c r="A1137" s="18">
        <v>342.0</v>
      </c>
      <c r="B1137" s="36">
        <v>10.0</v>
      </c>
      <c r="C1137" s="36" t="s">
        <v>8086</v>
      </c>
      <c r="D1137" s="60">
        <v>2.32410115E8</v>
      </c>
      <c r="E1137" s="36" t="s">
        <v>8087</v>
      </c>
      <c r="F1137" s="36" t="s">
        <v>227</v>
      </c>
      <c r="G1137" s="12">
        <v>31.0</v>
      </c>
      <c r="H1137" s="57" t="str">
        <f t="shared" si="5"/>
        <v/>
      </c>
      <c r="I1137" s="29" t="s">
        <v>7705</v>
      </c>
      <c r="J1137" s="20" t="str">
        <f>VLOOKUP(I1137,'Database Grup SCC'!$B$2:$C1382,2,false)</f>
        <v>-</v>
      </c>
      <c r="K1137" s="50"/>
      <c r="L1137" s="50"/>
      <c r="M1137" s="50"/>
      <c r="N1137" s="35"/>
      <c r="O1137" s="34"/>
      <c r="P1137" s="34"/>
      <c r="Q1137" s="12" t="str">
        <f t="shared" si="6"/>
        <v>#REF!</v>
      </c>
      <c r="R1137" s="39" t="e">
        <v>#REF!</v>
      </c>
      <c r="S1137" s="39"/>
      <c r="T1137" s="39"/>
      <c r="U1137" s="39"/>
      <c r="V1137" s="39"/>
    </row>
    <row r="1138" ht="22.5" customHeight="1">
      <c r="A1138" s="18">
        <v>343.0</v>
      </c>
      <c r="B1138" s="36">
        <v>11.0</v>
      </c>
      <c r="C1138" s="59" t="s">
        <v>8088</v>
      </c>
      <c r="D1138" s="60">
        <v>2.3241012E8</v>
      </c>
      <c r="E1138" s="36" t="s">
        <v>8089</v>
      </c>
      <c r="F1138" s="36" t="s">
        <v>220</v>
      </c>
      <c r="G1138" s="12">
        <v>31.0</v>
      </c>
      <c r="H1138" s="57" t="str">
        <f t="shared" si="5"/>
        <v/>
      </c>
      <c r="I1138" s="29" t="s">
        <v>7705</v>
      </c>
      <c r="J1138" s="20" t="str">
        <f>VLOOKUP(I1138,'Database Grup SCC'!$B$2:$C1382,2,false)</f>
        <v>-</v>
      </c>
      <c r="K1138" s="50"/>
      <c r="L1138" s="50"/>
      <c r="M1138" s="50"/>
      <c r="N1138" s="35"/>
      <c r="O1138" s="34"/>
      <c r="P1138" s="34"/>
      <c r="Q1138" s="12" t="str">
        <f t="shared" si="6"/>
        <v>#REF!</v>
      </c>
      <c r="R1138" s="39" t="e">
        <v>#REF!</v>
      </c>
      <c r="S1138" s="39"/>
      <c r="T1138" s="39"/>
      <c r="U1138" s="39"/>
      <c r="V1138" s="39"/>
    </row>
    <row r="1139" ht="22.5" customHeight="1">
      <c r="A1139" s="18">
        <v>344.0</v>
      </c>
      <c r="B1139" s="36">
        <v>12.0</v>
      </c>
      <c r="C1139" s="36" t="s">
        <v>8088</v>
      </c>
      <c r="D1139" s="60">
        <v>2.32410121E8</v>
      </c>
      <c r="E1139" s="36" t="s">
        <v>8090</v>
      </c>
      <c r="F1139" s="36" t="s">
        <v>220</v>
      </c>
      <c r="G1139" s="12">
        <v>31.0</v>
      </c>
      <c r="H1139" s="57" t="str">
        <f t="shared" si="5"/>
        <v/>
      </c>
      <c r="I1139" s="29" t="s">
        <v>7705</v>
      </c>
      <c r="J1139" s="20" t="str">
        <f>VLOOKUP(I1139,'Database Grup SCC'!$B$2:$C1382,2,false)</f>
        <v>-</v>
      </c>
      <c r="K1139" s="50"/>
      <c r="L1139" s="50"/>
      <c r="M1139" s="50"/>
      <c r="N1139" s="35"/>
      <c r="O1139" s="34"/>
      <c r="P1139" s="34"/>
      <c r="Q1139" s="12" t="str">
        <f t="shared" si="6"/>
        <v>#REF!</v>
      </c>
      <c r="R1139" s="39" t="e">
        <v>#REF!</v>
      </c>
      <c r="S1139" s="39"/>
      <c r="T1139" s="39"/>
      <c r="U1139" s="39"/>
      <c r="V1139" s="39"/>
    </row>
    <row r="1140" ht="22.5" customHeight="1">
      <c r="A1140" s="18">
        <v>345.0</v>
      </c>
      <c r="B1140" s="36">
        <v>13.0</v>
      </c>
      <c r="C1140" s="36" t="s">
        <v>8091</v>
      </c>
      <c r="D1140" s="60">
        <v>2.32410155E8</v>
      </c>
      <c r="E1140" s="36" t="s">
        <v>8092</v>
      </c>
      <c r="F1140" s="36" t="s">
        <v>227</v>
      </c>
      <c r="G1140" s="12">
        <v>31.0</v>
      </c>
      <c r="H1140" s="57" t="str">
        <f t="shared" si="5"/>
        <v/>
      </c>
      <c r="I1140" s="29" t="s">
        <v>7705</v>
      </c>
      <c r="J1140" s="20" t="str">
        <f>VLOOKUP(I1140,'Database Grup SCC'!$B$2:$C1382,2,false)</f>
        <v>-</v>
      </c>
      <c r="K1140" s="50"/>
      <c r="L1140" s="50"/>
      <c r="M1140" s="50"/>
      <c r="N1140" s="35"/>
      <c r="O1140" s="34"/>
      <c r="P1140" s="34"/>
      <c r="Q1140" s="12" t="str">
        <f t="shared" si="6"/>
        <v>#REF!</v>
      </c>
      <c r="R1140" s="39" t="e">
        <v>#REF!</v>
      </c>
      <c r="S1140" s="39"/>
      <c r="T1140" s="39"/>
      <c r="U1140" s="39"/>
      <c r="V1140" s="39"/>
    </row>
    <row r="1141" ht="22.5" customHeight="1">
      <c r="A1141" s="18">
        <v>346.0</v>
      </c>
      <c r="B1141" s="36">
        <v>14.0</v>
      </c>
      <c r="C1141" s="36" t="s">
        <v>8093</v>
      </c>
      <c r="D1141" s="60">
        <v>2.32410167E8</v>
      </c>
      <c r="E1141" s="36" t="s">
        <v>8094</v>
      </c>
      <c r="F1141" s="36" t="s">
        <v>220</v>
      </c>
      <c r="G1141" s="12">
        <v>31.0</v>
      </c>
      <c r="H1141" s="57" t="str">
        <f t="shared" si="5"/>
        <v/>
      </c>
      <c r="I1141" s="29" t="s">
        <v>7705</v>
      </c>
      <c r="J1141" s="20" t="str">
        <f>VLOOKUP(I1141,'Database Grup SCC'!$B$2:$C1382,2,false)</f>
        <v>-</v>
      </c>
      <c r="K1141" s="50"/>
      <c r="L1141" s="50"/>
      <c r="M1141" s="50"/>
      <c r="N1141" s="35"/>
      <c r="O1141" s="34"/>
      <c r="P1141" s="34"/>
      <c r="Q1141" s="12" t="str">
        <f t="shared" si="6"/>
        <v>#REF!</v>
      </c>
      <c r="R1141" s="39" t="e">
        <v>#REF!</v>
      </c>
      <c r="S1141" s="39"/>
      <c r="T1141" s="39"/>
      <c r="U1141" s="39"/>
      <c r="V1141" s="39"/>
    </row>
    <row r="1142" ht="22.5" customHeight="1">
      <c r="A1142" s="18">
        <v>347.0</v>
      </c>
      <c r="B1142" s="36">
        <v>15.0</v>
      </c>
      <c r="C1142" s="36" t="s">
        <v>8095</v>
      </c>
      <c r="D1142" s="60">
        <v>2.32410176E8</v>
      </c>
      <c r="E1142" s="36" t="s">
        <v>8096</v>
      </c>
      <c r="F1142" s="36" t="s">
        <v>220</v>
      </c>
      <c r="G1142" s="12">
        <v>31.0</v>
      </c>
      <c r="H1142" s="57" t="str">
        <f t="shared" si="5"/>
        <v/>
      </c>
      <c r="I1142" s="29" t="s">
        <v>7705</v>
      </c>
      <c r="J1142" s="20" t="str">
        <f>VLOOKUP(I1142,'Database Grup SCC'!$B$2:$C1382,2,false)</f>
        <v>-</v>
      </c>
      <c r="K1142" s="50"/>
      <c r="L1142" s="50"/>
      <c r="M1142" s="50"/>
      <c r="N1142" s="35"/>
      <c r="O1142" s="34"/>
      <c r="P1142" s="34"/>
      <c r="Q1142" s="12" t="str">
        <f t="shared" si="6"/>
        <v>#REF!</v>
      </c>
      <c r="R1142" s="39" t="e">
        <v>#REF!</v>
      </c>
      <c r="S1142" s="39"/>
      <c r="T1142" s="39"/>
      <c r="U1142" s="39"/>
      <c r="V1142" s="39"/>
    </row>
    <row r="1143" ht="22.5" customHeight="1">
      <c r="A1143" s="18">
        <v>348.0</v>
      </c>
      <c r="B1143" s="36">
        <v>16.0</v>
      </c>
      <c r="C1143" s="59" t="s">
        <v>8097</v>
      </c>
      <c r="D1143" s="60">
        <v>2.32410192E8</v>
      </c>
      <c r="E1143" s="36" t="s">
        <v>8098</v>
      </c>
      <c r="F1143" s="36" t="s">
        <v>227</v>
      </c>
      <c r="G1143" s="12">
        <v>31.0</v>
      </c>
      <c r="H1143" s="57" t="str">
        <f t="shared" si="5"/>
        <v/>
      </c>
      <c r="I1143" s="29" t="s">
        <v>7705</v>
      </c>
      <c r="J1143" s="20" t="str">
        <f>VLOOKUP(I1143,'Database Grup SCC'!$B$2:$C1382,2,false)</f>
        <v>-</v>
      </c>
      <c r="K1143" s="50"/>
      <c r="L1143" s="50"/>
      <c r="M1143" s="50"/>
      <c r="N1143" s="35"/>
      <c r="O1143" s="34"/>
      <c r="P1143" s="34"/>
      <c r="Q1143" s="12" t="str">
        <f t="shared" si="6"/>
        <v>#REF!</v>
      </c>
      <c r="R1143" s="39" t="e">
        <v>#REF!</v>
      </c>
      <c r="S1143" s="39"/>
      <c r="T1143" s="39"/>
      <c r="U1143" s="39"/>
      <c r="V1143" s="39"/>
    </row>
    <row r="1144" ht="22.5" customHeight="1">
      <c r="A1144" s="18">
        <v>349.0</v>
      </c>
      <c r="B1144" s="36">
        <v>17.0</v>
      </c>
      <c r="C1144" s="36" t="s">
        <v>8099</v>
      </c>
      <c r="D1144" s="60">
        <v>2.32410196E8</v>
      </c>
      <c r="E1144" s="36" t="s">
        <v>8100</v>
      </c>
      <c r="F1144" s="36" t="s">
        <v>227</v>
      </c>
      <c r="G1144" s="12">
        <v>31.0</v>
      </c>
      <c r="H1144" s="57" t="str">
        <f t="shared" si="5"/>
        <v/>
      </c>
      <c r="I1144" s="29" t="s">
        <v>7705</v>
      </c>
      <c r="J1144" s="20" t="str">
        <f>VLOOKUP(I1144,'Database Grup SCC'!$B$2:$C1382,2,false)</f>
        <v>-</v>
      </c>
      <c r="K1144" s="50"/>
      <c r="L1144" s="50"/>
      <c r="M1144" s="50"/>
      <c r="N1144" s="35"/>
      <c r="O1144" s="34"/>
      <c r="P1144" s="34"/>
      <c r="Q1144" s="12" t="str">
        <f t="shared" si="6"/>
        <v>#REF!</v>
      </c>
      <c r="R1144" s="39" t="e">
        <v>#REF!</v>
      </c>
      <c r="S1144" s="39"/>
      <c r="T1144" s="39"/>
      <c r="U1144" s="39"/>
      <c r="V1144" s="39"/>
    </row>
    <row r="1145" ht="22.5" customHeight="1">
      <c r="A1145" s="18">
        <v>350.0</v>
      </c>
      <c r="B1145" s="36">
        <v>18.0</v>
      </c>
      <c r="C1145" s="59" t="s">
        <v>8101</v>
      </c>
      <c r="D1145" s="60">
        <v>2.32410437E8</v>
      </c>
      <c r="E1145" s="36" t="s">
        <v>8102</v>
      </c>
      <c r="F1145" s="36" t="s">
        <v>227</v>
      </c>
      <c r="G1145" s="12">
        <v>31.0</v>
      </c>
      <c r="H1145" s="57" t="str">
        <f t="shared" si="5"/>
        <v/>
      </c>
      <c r="I1145" s="29" t="s">
        <v>7705</v>
      </c>
      <c r="J1145" s="20" t="str">
        <f>VLOOKUP(I1145,'Database Grup SCC'!$B$2:$C1382,2,false)</f>
        <v>-</v>
      </c>
      <c r="K1145" s="50"/>
      <c r="L1145" s="50"/>
      <c r="M1145" s="50"/>
      <c r="N1145" s="35"/>
      <c r="O1145" s="34"/>
      <c r="P1145" s="34"/>
      <c r="Q1145" s="12" t="str">
        <f t="shared" si="6"/>
        <v>#REF!</v>
      </c>
      <c r="R1145" s="39" t="e">
        <v>#REF!</v>
      </c>
      <c r="S1145" s="39"/>
      <c r="T1145" s="39"/>
      <c r="U1145" s="39"/>
      <c r="V1145" s="39"/>
    </row>
    <row r="1146" ht="22.5" customHeight="1">
      <c r="A1146" s="18">
        <v>351.0</v>
      </c>
      <c r="B1146" s="36">
        <v>19.0</v>
      </c>
      <c r="C1146" s="36" t="s">
        <v>8103</v>
      </c>
      <c r="D1146" s="60">
        <v>2.32410208E8</v>
      </c>
      <c r="E1146" s="36" t="s">
        <v>8104</v>
      </c>
      <c r="F1146" s="36" t="s">
        <v>220</v>
      </c>
      <c r="G1146" s="12">
        <v>31.0</v>
      </c>
      <c r="H1146" s="57" t="str">
        <f t="shared" si="5"/>
        <v/>
      </c>
      <c r="I1146" s="29" t="s">
        <v>7705</v>
      </c>
      <c r="J1146" s="20" t="str">
        <f>VLOOKUP(I1146,'Database Grup SCC'!$B$2:$C1382,2,false)</f>
        <v>-</v>
      </c>
      <c r="K1146" s="50"/>
      <c r="L1146" s="50"/>
      <c r="M1146" s="50"/>
      <c r="N1146" s="35"/>
      <c r="O1146" s="34"/>
      <c r="P1146" s="34"/>
      <c r="Q1146" s="12" t="str">
        <f t="shared" si="6"/>
        <v>#REF!</v>
      </c>
      <c r="R1146" s="39" t="e">
        <v>#REF!</v>
      </c>
      <c r="S1146" s="39"/>
      <c r="T1146" s="39"/>
      <c r="U1146" s="39"/>
      <c r="V1146" s="39"/>
    </row>
    <row r="1147" ht="22.5" customHeight="1">
      <c r="A1147" s="18">
        <v>352.0</v>
      </c>
      <c r="B1147" s="36">
        <v>20.0</v>
      </c>
      <c r="C1147" s="36" t="s">
        <v>8105</v>
      </c>
      <c r="D1147" s="60">
        <v>2.32410221E8</v>
      </c>
      <c r="E1147" s="36" t="s">
        <v>8106</v>
      </c>
      <c r="F1147" s="36" t="s">
        <v>227</v>
      </c>
      <c r="G1147" s="12">
        <v>31.0</v>
      </c>
      <c r="H1147" s="57" t="str">
        <f t="shared" si="5"/>
        <v/>
      </c>
      <c r="I1147" s="29" t="s">
        <v>7705</v>
      </c>
      <c r="J1147" s="20" t="str">
        <f>VLOOKUP(I1147,'Database Grup SCC'!$B$2:$C1382,2,false)</f>
        <v>-</v>
      </c>
      <c r="K1147" s="50"/>
      <c r="L1147" s="50"/>
      <c r="M1147" s="50"/>
      <c r="N1147" s="35"/>
      <c r="O1147" s="34"/>
      <c r="P1147" s="34"/>
      <c r="Q1147" s="12" t="str">
        <f t="shared" si="6"/>
        <v>#REF!</v>
      </c>
      <c r="R1147" s="39" t="e">
        <v>#REF!</v>
      </c>
      <c r="S1147" s="39"/>
      <c r="T1147" s="39"/>
      <c r="U1147" s="39"/>
      <c r="V1147" s="39"/>
    </row>
    <row r="1148" ht="22.5" customHeight="1">
      <c r="A1148" s="18">
        <v>353.0</v>
      </c>
      <c r="B1148" s="36">
        <v>21.0</v>
      </c>
      <c r="C1148" s="36" t="s">
        <v>8107</v>
      </c>
      <c r="D1148" s="60">
        <v>2.32410224E8</v>
      </c>
      <c r="E1148" s="36" t="s">
        <v>8108</v>
      </c>
      <c r="F1148" s="36" t="s">
        <v>220</v>
      </c>
      <c r="G1148" s="12">
        <v>31.0</v>
      </c>
      <c r="H1148" s="57" t="str">
        <f t="shared" si="5"/>
        <v/>
      </c>
      <c r="I1148" s="29" t="s">
        <v>7705</v>
      </c>
      <c r="J1148" s="20" t="str">
        <f>VLOOKUP(I1148,'Database Grup SCC'!$B$2:$C1382,2,false)</f>
        <v>-</v>
      </c>
      <c r="K1148" s="50"/>
      <c r="L1148" s="50"/>
      <c r="M1148" s="50"/>
      <c r="N1148" s="35"/>
      <c r="O1148" s="34"/>
      <c r="P1148" s="34"/>
      <c r="Q1148" s="12" t="str">
        <f t="shared" si="6"/>
        <v>#REF!</v>
      </c>
      <c r="R1148" s="39" t="e">
        <v>#REF!</v>
      </c>
      <c r="S1148" s="39"/>
      <c r="T1148" s="39"/>
      <c r="U1148" s="39"/>
      <c r="V1148" s="39"/>
    </row>
    <row r="1149" ht="22.5" customHeight="1">
      <c r="A1149" s="18">
        <v>354.0</v>
      </c>
      <c r="B1149" s="36">
        <v>22.0</v>
      </c>
      <c r="C1149" s="36" t="s">
        <v>8109</v>
      </c>
      <c r="D1149" s="60">
        <v>2.3241023E8</v>
      </c>
      <c r="E1149" s="36" t="s">
        <v>8110</v>
      </c>
      <c r="F1149" s="36" t="s">
        <v>220</v>
      </c>
      <c r="G1149" s="12">
        <v>31.0</v>
      </c>
      <c r="H1149" s="57" t="str">
        <f t="shared" si="5"/>
        <v/>
      </c>
      <c r="I1149" s="29" t="s">
        <v>7705</v>
      </c>
      <c r="J1149" s="20" t="str">
        <f>VLOOKUP(I1149,'Database Grup SCC'!$B$2:$C1382,2,false)</f>
        <v>-</v>
      </c>
      <c r="K1149" s="50"/>
      <c r="L1149" s="50"/>
      <c r="M1149" s="50"/>
      <c r="N1149" s="35"/>
      <c r="O1149" s="34"/>
      <c r="P1149" s="34"/>
      <c r="Q1149" s="12" t="str">
        <f t="shared" si="6"/>
        <v>#REF!</v>
      </c>
      <c r="R1149" s="39" t="e">
        <v>#REF!</v>
      </c>
      <c r="S1149" s="39"/>
      <c r="T1149" s="39"/>
      <c r="U1149" s="39"/>
      <c r="V1149" s="39"/>
    </row>
    <row r="1150" ht="22.5" customHeight="1">
      <c r="A1150" s="18">
        <v>355.0</v>
      </c>
      <c r="B1150" s="36">
        <v>23.0</v>
      </c>
      <c r="C1150" s="59" t="s">
        <v>8111</v>
      </c>
      <c r="D1150" s="60">
        <v>2.32410235E8</v>
      </c>
      <c r="E1150" s="36" t="s">
        <v>8112</v>
      </c>
      <c r="F1150" s="36" t="s">
        <v>220</v>
      </c>
      <c r="G1150" s="12">
        <v>31.0</v>
      </c>
      <c r="H1150" s="57" t="str">
        <f t="shared" si="5"/>
        <v/>
      </c>
      <c r="I1150" s="29" t="s">
        <v>7705</v>
      </c>
      <c r="J1150" s="20" t="str">
        <f>VLOOKUP(I1150,'Database Grup SCC'!$B$2:$C1382,2,false)</f>
        <v>-</v>
      </c>
      <c r="K1150" s="50"/>
      <c r="L1150" s="50"/>
      <c r="M1150" s="50"/>
      <c r="N1150" s="35"/>
      <c r="O1150" s="34"/>
      <c r="P1150" s="34"/>
      <c r="Q1150" s="12" t="str">
        <f t="shared" si="6"/>
        <v>#REF!</v>
      </c>
      <c r="R1150" s="39" t="e">
        <v>#REF!</v>
      </c>
      <c r="S1150" s="39"/>
      <c r="T1150" s="39"/>
      <c r="U1150" s="39"/>
      <c r="V1150" s="39"/>
    </row>
    <row r="1151" ht="22.5" customHeight="1">
      <c r="A1151" s="18">
        <v>356.0</v>
      </c>
      <c r="B1151" s="36">
        <v>24.0</v>
      </c>
      <c r="C1151" s="36" t="s">
        <v>8113</v>
      </c>
      <c r="D1151" s="60">
        <v>2.32410248E8</v>
      </c>
      <c r="E1151" s="36" t="s">
        <v>8114</v>
      </c>
      <c r="F1151" s="36" t="s">
        <v>220</v>
      </c>
      <c r="G1151" s="12">
        <v>31.0</v>
      </c>
      <c r="H1151" s="57" t="str">
        <f t="shared" si="5"/>
        <v/>
      </c>
      <c r="I1151" s="29" t="s">
        <v>7705</v>
      </c>
      <c r="J1151" s="20" t="str">
        <f>VLOOKUP(I1151,'Database Grup SCC'!$B$2:$C1382,2,false)</f>
        <v>-</v>
      </c>
      <c r="K1151" s="50"/>
      <c r="L1151" s="50"/>
      <c r="M1151" s="50"/>
      <c r="N1151" s="35"/>
      <c r="O1151" s="34"/>
      <c r="P1151" s="34"/>
      <c r="Q1151" s="12" t="str">
        <f t="shared" si="6"/>
        <v>#REF!</v>
      </c>
      <c r="R1151" s="39" t="e">
        <v>#REF!</v>
      </c>
      <c r="S1151" s="39"/>
      <c r="T1151" s="39"/>
      <c r="U1151" s="39"/>
      <c r="V1151" s="39"/>
    </row>
    <row r="1152" ht="22.5" customHeight="1">
      <c r="A1152" s="18">
        <v>357.0</v>
      </c>
      <c r="B1152" s="36">
        <v>25.0</v>
      </c>
      <c r="C1152" s="59" t="s">
        <v>8115</v>
      </c>
      <c r="D1152" s="60">
        <v>2.32410252E8</v>
      </c>
      <c r="E1152" s="36" t="s">
        <v>8116</v>
      </c>
      <c r="F1152" s="36" t="s">
        <v>220</v>
      </c>
      <c r="G1152" s="12">
        <v>31.0</v>
      </c>
      <c r="H1152" s="57" t="str">
        <f t="shared" si="5"/>
        <v/>
      </c>
      <c r="I1152" s="29" t="s">
        <v>7705</v>
      </c>
      <c r="J1152" s="20" t="str">
        <f>VLOOKUP(I1152,'Database Grup SCC'!$B$2:$C1382,2,false)</f>
        <v>-</v>
      </c>
      <c r="K1152" s="50"/>
      <c r="L1152" s="50"/>
      <c r="M1152" s="50"/>
      <c r="N1152" s="35"/>
      <c r="O1152" s="34"/>
      <c r="P1152" s="34"/>
      <c r="Q1152" s="12" t="str">
        <f t="shared" si="6"/>
        <v>#REF!</v>
      </c>
      <c r="R1152" s="39" t="e">
        <v>#REF!</v>
      </c>
      <c r="S1152" s="39"/>
      <c r="T1152" s="39"/>
      <c r="U1152" s="39"/>
      <c r="V1152" s="39"/>
    </row>
    <row r="1153" ht="22.5" customHeight="1">
      <c r="A1153" s="18">
        <v>358.0</v>
      </c>
      <c r="B1153" s="36">
        <v>26.0</v>
      </c>
      <c r="C1153" s="36" t="s">
        <v>8117</v>
      </c>
      <c r="D1153" s="60">
        <v>2.32410253E8</v>
      </c>
      <c r="E1153" s="36" t="s">
        <v>8118</v>
      </c>
      <c r="F1153" s="36" t="s">
        <v>220</v>
      </c>
      <c r="G1153" s="12">
        <v>31.0</v>
      </c>
      <c r="H1153" s="57" t="str">
        <f t="shared" si="5"/>
        <v/>
      </c>
      <c r="I1153" s="29" t="s">
        <v>7705</v>
      </c>
      <c r="J1153" s="20" t="str">
        <f>VLOOKUP(I1153,'Database Grup SCC'!$B$2:$C1382,2,false)</f>
        <v>-</v>
      </c>
      <c r="K1153" s="50"/>
      <c r="L1153" s="50"/>
      <c r="M1153" s="50"/>
      <c r="N1153" s="35"/>
      <c r="O1153" s="34"/>
      <c r="P1153" s="34"/>
      <c r="Q1153" s="12" t="str">
        <f t="shared" si="6"/>
        <v>#REF!</v>
      </c>
      <c r="R1153" s="39" t="e">
        <v>#REF!</v>
      </c>
      <c r="S1153" s="39"/>
      <c r="T1153" s="39"/>
      <c r="U1153" s="39"/>
      <c r="V1153" s="39"/>
    </row>
    <row r="1154" ht="22.5" customHeight="1">
      <c r="A1154" s="18">
        <v>359.0</v>
      </c>
      <c r="B1154" s="36">
        <v>27.0</v>
      </c>
      <c r="C1154" s="36" t="s">
        <v>8119</v>
      </c>
      <c r="D1154" s="60">
        <v>2.32410255E8</v>
      </c>
      <c r="E1154" s="36" t="s">
        <v>8120</v>
      </c>
      <c r="F1154" s="36" t="s">
        <v>220</v>
      </c>
      <c r="G1154" s="12">
        <v>31.0</v>
      </c>
      <c r="H1154" s="57" t="str">
        <f t="shared" si="5"/>
        <v/>
      </c>
      <c r="I1154" s="29" t="s">
        <v>7705</v>
      </c>
      <c r="J1154" s="20" t="str">
        <f>VLOOKUP(I1154,'Database Grup SCC'!$B$2:$C1382,2,false)</f>
        <v>-</v>
      </c>
      <c r="K1154" s="50"/>
      <c r="L1154" s="50"/>
      <c r="M1154" s="50"/>
      <c r="N1154" s="35"/>
      <c r="O1154" s="34"/>
      <c r="P1154" s="34"/>
      <c r="Q1154" s="12" t="str">
        <f t="shared" si="6"/>
        <v>#REF!</v>
      </c>
      <c r="R1154" s="39" t="e">
        <v>#REF!</v>
      </c>
      <c r="S1154" s="39"/>
      <c r="T1154" s="39"/>
      <c r="U1154" s="39"/>
      <c r="V1154" s="39"/>
    </row>
    <row r="1155" ht="22.5" customHeight="1">
      <c r="A1155" s="18">
        <v>360.0</v>
      </c>
      <c r="B1155" s="36">
        <v>28.0</v>
      </c>
      <c r="C1155" s="59" t="s">
        <v>8121</v>
      </c>
      <c r="D1155" s="60">
        <v>2.32410261E8</v>
      </c>
      <c r="E1155" s="36" t="s">
        <v>8122</v>
      </c>
      <c r="F1155" s="36" t="s">
        <v>227</v>
      </c>
      <c r="G1155" s="12">
        <v>31.0</v>
      </c>
      <c r="H1155" s="57" t="str">
        <f t="shared" si="5"/>
        <v/>
      </c>
      <c r="I1155" s="29" t="s">
        <v>7705</v>
      </c>
      <c r="J1155" s="20" t="str">
        <f>VLOOKUP(I1155,'Database Grup SCC'!$B$2:$C1382,2,false)</f>
        <v>-</v>
      </c>
      <c r="K1155" s="50"/>
      <c r="L1155" s="50"/>
      <c r="M1155" s="50"/>
      <c r="N1155" s="35"/>
      <c r="O1155" s="34"/>
      <c r="P1155" s="34"/>
      <c r="Q1155" s="12" t="str">
        <f t="shared" si="6"/>
        <v>#REF!</v>
      </c>
      <c r="R1155" s="39" t="e">
        <v>#REF!</v>
      </c>
      <c r="S1155" s="39"/>
      <c r="T1155" s="39"/>
      <c r="U1155" s="39"/>
      <c r="V1155" s="39"/>
    </row>
    <row r="1156" ht="22.5" customHeight="1">
      <c r="A1156" s="18">
        <v>361.0</v>
      </c>
      <c r="B1156" s="36">
        <v>29.0</v>
      </c>
      <c r="C1156" s="59" t="s">
        <v>8123</v>
      </c>
      <c r="D1156" s="60">
        <v>2.3241032E8</v>
      </c>
      <c r="E1156" s="36" t="s">
        <v>8124</v>
      </c>
      <c r="F1156" s="36" t="s">
        <v>220</v>
      </c>
      <c r="G1156" s="12">
        <v>31.0</v>
      </c>
      <c r="H1156" s="57" t="str">
        <f t="shared" si="5"/>
        <v/>
      </c>
      <c r="I1156" s="29" t="s">
        <v>7705</v>
      </c>
      <c r="J1156" s="20" t="str">
        <f>VLOOKUP(I1156,'Database Grup SCC'!$B$2:$C1382,2,false)</f>
        <v>-</v>
      </c>
      <c r="K1156" s="50"/>
      <c r="L1156" s="50"/>
      <c r="M1156" s="50"/>
      <c r="N1156" s="35"/>
      <c r="O1156" s="34"/>
      <c r="P1156" s="34"/>
      <c r="Q1156" s="12" t="str">
        <f t="shared" si="6"/>
        <v>#REF!</v>
      </c>
      <c r="R1156" s="39" t="e">
        <v>#REF!</v>
      </c>
      <c r="S1156" s="39"/>
      <c r="T1156" s="39"/>
      <c r="U1156" s="39"/>
      <c r="V1156" s="39"/>
    </row>
    <row r="1157" ht="22.5" customHeight="1">
      <c r="A1157" s="18">
        <v>362.0</v>
      </c>
      <c r="B1157" s="36">
        <v>30.0</v>
      </c>
      <c r="C1157" s="36" t="s">
        <v>8125</v>
      </c>
      <c r="D1157" s="60">
        <v>2.32410332E8</v>
      </c>
      <c r="E1157" s="36" t="s">
        <v>8126</v>
      </c>
      <c r="F1157" s="36" t="s">
        <v>227</v>
      </c>
      <c r="G1157" s="12">
        <v>31.0</v>
      </c>
      <c r="H1157" s="57" t="str">
        <f t="shared" si="5"/>
        <v/>
      </c>
      <c r="I1157" s="29" t="s">
        <v>7705</v>
      </c>
      <c r="J1157" s="20" t="str">
        <f>VLOOKUP(I1157,'Database Grup SCC'!$B$2:$C1382,2,false)</f>
        <v>-</v>
      </c>
      <c r="K1157" s="50"/>
      <c r="L1157" s="50"/>
      <c r="M1157" s="50"/>
      <c r="N1157" s="35"/>
      <c r="O1157" s="34"/>
      <c r="P1157" s="34"/>
      <c r="Q1157" s="12" t="str">
        <f t="shared" si="6"/>
        <v>#REF!</v>
      </c>
      <c r="R1157" s="39" t="e">
        <v>#REF!</v>
      </c>
      <c r="S1157" s="39"/>
      <c r="T1157" s="39"/>
      <c r="U1157" s="39"/>
      <c r="V1157" s="39"/>
    </row>
    <row r="1158" ht="22.5" customHeight="1">
      <c r="A1158" s="18">
        <v>363.0</v>
      </c>
      <c r="B1158" s="36">
        <v>31.0</v>
      </c>
      <c r="C1158" s="59" t="s">
        <v>8127</v>
      </c>
      <c r="D1158" s="60">
        <v>2.32410341E8</v>
      </c>
      <c r="E1158" s="36" t="s">
        <v>8128</v>
      </c>
      <c r="F1158" s="36" t="s">
        <v>220</v>
      </c>
      <c r="G1158" s="12">
        <v>31.0</v>
      </c>
      <c r="H1158" s="57" t="str">
        <f t="shared" si="5"/>
        <v/>
      </c>
      <c r="I1158" s="29" t="s">
        <v>7705</v>
      </c>
      <c r="J1158" s="20" t="str">
        <f>VLOOKUP(I1158,'Database Grup SCC'!$B$2:$C1382,2,false)</f>
        <v>-</v>
      </c>
      <c r="K1158" s="50"/>
      <c r="L1158" s="50"/>
      <c r="M1158" s="50"/>
      <c r="N1158" s="35"/>
      <c r="O1158" s="34"/>
      <c r="P1158" s="34"/>
      <c r="Q1158" s="12" t="str">
        <f t="shared" si="6"/>
        <v>#REF!</v>
      </c>
      <c r="R1158" s="39" t="e">
        <v>#REF!</v>
      </c>
      <c r="S1158" s="39"/>
      <c r="T1158" s="39"/>
      <c r="U1158" s="39"/>
      <c r="V1158" s="39"/>
    </row>
    <row r="1159" ht="22.5" customHeight="1">
      <c r="A1159" s="18">
        <v>364.0</v>
      </c>
      <c r="B1159" s="36">
        <v>32.0</v>
      </c>
      <c r="C1159" s="36" t="s">
        <v>8129</v>
      </c>
      <c r="D1159" s="60">
        <v>2.32410348E8</v>
      </c>
      <c r="E1159" s="36" t="s">
        <v>8130</v>
      </c>
      <c r="F1159" s="36" t="s">
        <v>220</v>
      </c>
      <c r="G1159" s="12">
        <v>31.0</v>
      </c>
      <c r="H1159" s="57" t="str">
        <f t="shared" si="5"/>
        <v/>
      </c>
      <c r="I1159" s="29" t="s">
        <v>7705</v>
      </c>
      <c r="J1159" s="20" t="str">
        <f>VLOOKUP(I1159,'Database Grup SCC'!$B$2:$C1382,2,false)</f>
        <v>-</v>
      </c>
      <c r="K1159" s="50"/>
      <c r="L1159" s="50"/>
      <c r="M1159" s="50"/>
      <c r="N1159" s="35"/>
      <c r="O1159" s="34"/>
      <c r="P1159" s="34"/>
      <c r="Q1159" s="12" t="str">
        <f t="shared" si="6"/>
        <v>#REF!</v>
      </c>
      <c r="R1159" s="39" t="e">
        <v>#REF!</v>
      </c>
      <c r="S1159" s="39"/>
      <c r="T1159" s="39"/>
      <c r="U1159" s="39"/>
      <c r="V1159" s="39"/>
    </row>
    <row r="1160" ht="22.5" customHeight="1">
      <c r="A1160" s="18">
        <v>365.0</v>
      </c>
      <c r="B1160" s="36">
        <v>33.0</v>
      </c>
      <c r="C1160" s="36" t="s">
        <v>8131</v>
      </c>
      <c r="D1160" s="60">
        <v>2.32410352E8</v>
      </c>
      <c r="E1160" s="36" t="s">
        <v>8132</v>
      </c>
      <c r="F1160" s="36" t="s">
        <v>227</v>
      </c>
      <c r="G1160" s="12">
        <v>31.0</v>
      </c>
      <c r="H1160" s="57" t="str">
        <f t="shared" si="5"/>
        <v/>
      </c>
      <c r="I1160" s="29" t="s">
        <v>7705</v>
      </c>
      <c r="J1160" s="20" t="str">
        <f>VLOOKUP(I1160,'Database Grup SCC'!$B$2:$C1382,2,false)</f>
        <v>-</v>
      </c>
      <c r="K1160" s="50"/>
      <c r="L1160" s="50"/>
      <c r="M1160" s="50"/>
      <c r="N1160" s="35"/>
      <c r="O1160" s="34"/>
      <c r="P1160" s="34"/>
      <c r="Q1160" s="12" t="str">
        <f t="shared" si="6"/>
        <v>#REF!</v>
      </c>
      <c r="R1160" s="39" t="e">
        <v>#REF!</v>
      </c>
      <c r="S1160" s="39"/>
      <c r="T1160" s="39"/>
      <c r="U1160" s="39"/>
      <c r="V1160" s="39"/>
    </row>
    <row r="1161" ht="22.5" customHeight="1">
      <c r="A1161" s="18">
        <v>366.0</v>
      </c>
      <c r="B1161" s="36">
        <v>34.0</v>
      </c>
      <c r="C1161" s="36" t="s">
        <v>8133</v>
      </c>
      <c r="D1161" s="60">
        <v>2.32410409E8</v>
      </c>
      <c r="E1161" s="36" t="s">
        <v>8134</v>
      </c>
      <c r="F1161" s="36" t="s">
        <v>227</v>
      </c>
      <c r="G1161" s="12">
        <v>31.0</v>
      </c>
      <c r="H1161" s="57" t="str">
        <f t="shared" si="5"/>
        <v/>
      </c>
      <c r="I1161" s="29" t="s">
        <v>7705</v>
      </c>
      <c r="J1161" s="20" t="str">
        <f>VLOOKUP(I1161,'Database Grup SCC'!$B$2:$C1382,2,false)</f>
        <v>-</v>
      </c>
      <c r="K1161" s="50"/>
      <c r="L1161" s="50"/>
      <c r="M1161" s="50"/>
      <c r="N1161" s="35"/>
      <c r="O1161" s="34"/>
      <c r="P1161" s="34"/>
      <c r="Q1161" s="12" t="str">
        <f t="shared" si="6"/>
        <v>#REF!</v>
      </c>
      <c r="R1161" s="39" t="e">
        <v>#REF!</v>
      </c>
      <c r="S1161" s="39"/>
      <c r="T1161" s="39"/>
      <c r="U1161" s="39"/>
      <c r="V1161" s="39"/>
    </row>
    <row r="1162" ht="22.5" customHeight="1">
      <c r="A1162" s="18">
        <v>367.0</v>
      </c>
      <c r="B1162" s="36">
        <v>35.0</v>
      </c>
      <c r="C1162" s="36" t="s">
        <v>8135</v>
      </c>
      <c r="D1162" s="60">
        <v>2.32410424E8</v>
      </c>
      <c r="E1162" s="36" t="s">
        <v>8136</v>
      </c>
      <c r="F1162" s="36" t="s">
        <v>220</v>
      </c>
      <c r="G1162" s="12">
        <v>31.0</v>
      </c>
      <c r="H1162" s="57" t="str">
        <f t="shared" si="5"/>
        <v/>
      </c>
      <c r="I1162" s="29" t="s">
        <v>7705</v>
      </c>
      <c r="J1162" s="20" t="str">
        <f>VLOOKUP(I1162,'Database Grup SCC'!$B$2:$C1382,2,false)</f>
        <v>-</v>
      </c>
      <c r="K1162" s="50"/>
      <c r="L1162" s="50"/>
      <c r="M1162" s="50"/>
      <c r="N1162" s="35"/>
      <c r="O1162" s="34"/>
      <c r="P1162" s="34"/>
      <c r="Q1162" s="12" t="str">
        <f t="shared" si="6"/>
        <v>#REF!</v>
      </c>
      <c r="R1162" s="39" t="e">
        <v>#REF!</v>
      </c>
      <c r="S1162" s="39"/>
      <c r="T1162" s="39"/>
      <c r="U1162" s="39"/>
      <c r="V1162" s="39"/>
    </row>
    <row r="1163" ht="22.5" customHeight="1">
      <c r="A1163" s="18">
        <v>368.0</v>
      </c>
      <c r="B1163" s="36">
        <v>36.0</v>
      </c>
      <c r="C1163" s="62" t="s">
        <v>8137</v>
      </c>
      <c r="D1163" s="64">
        <v>2.42511438E8</v>
      </c>
      <c r="E1163" s="40" t="s">
        <v>8138</v>
      </c>
      <c r="F1163" s="40" t="s">
        <v>220</v>
      </c>
      <c r="G1163" s="12">
        <v>31.0</v>
      </c>
      <c r="H1163" s="57" t="str">
        <f t="shared" si="5"/>
        <v/>
      </c>
      <c r="I1163" s="29" t="s">
        <v>7705</v>
      </c>
      <c r="J1163" s="20" t="str">
        <f>VLOOKUP(I1163,'Database Grup SCC'!$B$2:$C1382,2,false)</f>
        <v>-</v>
      </c>
      <c r="K1163" s="50"/>
      <c r="L1163" s="50"/>
      <c r="M1163" s="50"/>
      <c r="N1163" s="35"/>
      <c r="O1163" s="34"/>
      <c r="P1163" s="34"/>
      <c r="Q1163" s="12" t="str">
        <f t="shared" si="6"/>
        <v>#REF!</v>
      </c>
      <c r="R1163" s="39" t="e">
        <v>#REF!</v>
      </c>
      <c r="S1163" s="39"/>
      <c r="T1163" s="39"/>
      <c r="U1163" s="39"/>
      <c r="V1163" s="39"/>
    </row>
    <row r="1164" ht="22.5" customHeight="1">
      <c r="A1164" s="18">
        <v>392.0</v>
      </c>
      <c r="B1164" s="36">
        <v>1.0</v>
      </c>
      <c r="C1164" s="59" t="s">
        <v>8139</v>
      </c>
      <c r="D1164" s="60">
        <v>2.32410006E8</v>
      </c>
      <c r="E1164" s="36" t="s">
        <v>8140</v>
      </c>
      <c r="F1164" s="36" t="s">
        <v>220</v>
      </c>
      <c r="G1164" s="12">
        <v>31.0</v>
      </c>
      <c r="H1164" s="57" t="str">
        <f t="shared" si="5"/>
        <v/>
      </c>
      <c r="I1164" s="29" t="s">
        <v>7705</v>
      </c>
      <c r="J1164" s="20" t="str">
        <f>VLOOKUP(I1164,'Database Grup SCC'!$B$2:$C1382,2,false)</f>
        <v>-</v>
      </c>
      <c r="K1164" s="50"/>
      <c r="L1164" s="50" t="s">
        <v>7194</v>
      </c>
      <c r="M1164" s="50" t="s">
        <v>8141</v>
      </c>
      <c r="N1164" s="35"/>
      <c r="O1164" s="34"/>
      <c r="P1164" s="34"/>
      <c r="Q1164" s="12" t="str">
        <f t="shared" si="6"/>
        <v>#REF!</v>
      </c>
      <c r="R1164" s="39" t="e">
        <v>#REF!</v>
      </c>
      <c r="S1164" s="39"/>
      <c r="T1164" s="39"/>
      <c r="U1164" s="39"/>
      <c r="V1164" s="39"/>
    </row>
    <row r="1165" ht="22.5" customHeight="1">
      <c r="A1165" s="18">
        <v>393.0</v>
      </c>
      <c r="B1165" s="36">
        <v>2.0</v>
      </c>
      <c r="C1165" s="36" t="s">
        <v>8142</v>
      </c>
      <c r="D1165" s="60">
        <v>2.32410014E8</v>
      </c>
      <c r="E1165" s="36" t="s">
        <v>8143</v>
      </c>
      <c r="F1165" s="36" t="s">
        <v>227</v>
      </c>
      <c r="G1165" s="12">
        <v>31.0</v>
      </c>
      <c r="H1165" s="57" t="str">
        <f t="shared" si="5"/>
        <v/>
      </c>
      <c r="I1165" s="29" t="s">
        <v>7705</v>
      </c>
      <c r="J1165" s="20" t="str">
        <f>VLOOKUP(I1165,'Database Grup SCC'!$B$2:$C1382,2,false)</f>
        <v>-</v>
      </c>
      <c r="K1165" s="50"/>
      <c r="L1165" s="50"/>
      <c r="M1165" s="50"/>
      <c r="N1165" s="35"/>
      <c r="O1165" s="34"/>
      <c r="P1165" s="34"/>
      <c r="Q1165" s="12" t="str">
        <f t="shared" si="6"/>
        <v>#REF!</v>
      </c>
      <c r="R1165" s="39" t="e">
        <v>#REF!</v>
      </c>
      <c r="S1165" s="39"/>
      <c r="T1165" s="39"/>
      <c r="U1165" s="39"/>
      <c r="V1165" s="39"/>
    </row>
    <row r="1166" ht="22.5" customHeight="1">
      <c r="A1166" s="18">
        <v>394.0</v>
      </c>
      <c r="B1166" s="36">
        <v>3.0</v>
      </c>
      <c r="C1166" s="36" t="s">
        <v>8144</v>
      </c>
      <c r="D1166" s="60">
        <v>2.32410018E8</v>
      </c>
      <c r="E1166" s="36" t="s">
        <v>8145</v>
      </c>
      <c r="F1166" s="36" t="s">
        <v>227</v>
      </c>
      <c r="G1166" s="12">
        <v>31.0</v>
      </c>
      <c r="H1166" s="57" t="str">
        <f t="shared" si="5"/>
        <v/>
      </c>
      <c r="I1166" s="29" t="s">
        <v>7705</v>
      </c>
      <c r="J1166" s="20" t="str">
        <f>VLOOKUP(I1166,'Database Grup SCC'!$B$2:$C1382,2,false)</f>
        <v>-</v>
      </c>
      <c r="K1166" s="50"/>
      <c r="L1166" s="50"/>
      <c r="M1166" s="50"/>
      <c r="N1166" s="35"/>
      <c r="O1166" s="34"/>
      <c r="P1166" s="34"/>
      <c r="Q1166" s="12" t="str">
        <f t="shared" si="6"/>
        <v>#REF!</v>
      </c>
      <c r="R1166" s="39" t="e">
        <v>#REF!</v>
      </c>
      <c r="S1166" s="39"/>
      <c r="T1166" s="39"/>
      <c r="U1166" s="39"/>
      <c r="V1166" s="39"/>
    </row>
    <row r="1167" ht="22.5" customHeight="1">
      <c r="A1167" s="18">
        <v>395.0</v>
      </c>
      <c r="B1167" s="36">
        <v>4.0</v>
      </c>
      <c r="C1167" s="59" t="s">
        <v>8146</v>
      </c>
      <c r="D1167" s="60">
        <v>2.32410033E8</v>
      </c>
      <c r="E1167" s="36" t="s">
        <v>8147</v>
      </c>
      <c r="F1167" s="36" t="s">
        <v>227</v>
      </c>
      <c r="G1167" s="12">
        <v>31.0</v>
      </c>
      <c r="H1167" s="57" t="str">
        <f t="shared" si="5"/>
        <v/>
      </c>
      <c r="I1167" s="29" t="s">
        <v>7705</v>
      </c>
      <c r="J1167" s="20" t="str">
        <f>VLOOKUP(I1167,'Database Grup SCC'!$B$2:$C1382,2,false)</f>
        <v>-</v>
      </c>
      <c r="K1167" s="50"/>
      <c r="L1167" s="50"/>
      <c r="M1167" s="50"/>
      <c r="N1167" s="35"/>
      <c r="O1167" s="34"/>
      <c r="P1167" s="34"/>
      <c r="Q1167" s="12" t="str">
        <f t="shared" si="6"/>
        <v>#REF!</v>
      </c>
      <c r="R1167" s="39" t="e">
        <v>#REF!</v>
      </c>
      <c r="S1167" s="39"/>
      <c r="T1167" s="39"/>
      <c r="U1167" s="39"/>
      <c r="V1167" s="39"/>
    </row>
    <row r="1168" ht="22.5" customHeight="1">
      <c r="A1168" s="18">
        <v>396.0</v>
      </c>
      <c r="B1168" s="36">
        <v>5.0</v>
      </c>
      <c r="C1168" s="36" t="s">
        <v>8148</v>
      </c>
      <c r="D1168" s="60">
        <v>2.32410037E8</v>
      </c>
      <c r="E1168" s="36" t="s">
        <v>8149</v>
      </c>
      <c r="F1168" s="36" t="s">
        <v>227</v>
      </c>
      <c r="G1168" s="12">
        <v>31.0</v>
      </c>
      <c r="H1168" s="57" t="str">
        <f t="shared" si="5"/>
        <v/>
      </c>
      <c r="I1168" s="29" t="s">
        <v>7705</v>
      </c>
      <c r="J1168" s="20" t="str">
        <f>VLOOKUP(I1168,'Database Grup SCC'!$B$2:$C1382,2,false)</f>
        <v>-</v>
      </c>
      <c r="K1168" s="50"/>
      <c r="L1168" s="50"/>
      <c r="M1168" s="50"/>
      <c r="N1168" s="35"/>
      <c r="O1168" s="34"/>
      <c r="P1168" s="34"/>
      <c r="Q1168" s="12" t="str">
        <f t="shared" si="6"/>
        <v>#REF!</v>
      </c>
      <c r="R1168" s="39" t="e">
        <v>#REF!</v>
      </c>
      <c r="S1168" s="39"/>
      <c r="T1168" s="39"/>
      <c r="U1168" s="39"/>
      <c r="V1168" s="39"/>
    </row>
    <row r="1169" ht="22.5" customHeight="1">
      <c r="A1169" s="18">
        <v>397.0</v>
      </c>
      <c r="B1169" s="36">
        <v>6.0</v>
      </c>
      <c r="C1169" s="36" t="s">
        <v>8150</v>
      </c>
      <c r="D1169" s="60">
        <v>2.32410042E8</v>
      </c>
      <c r="E1169" s="36" t="s">
        <v>8151</v>
      </c>
      <c r="F1169" s="36" t="s">
        <v>227</v>
      </c>
      <c r="G1169" s="12">
        <v>31.0</v>
      </c>
      <c r="H1169" s="57" t="str">
        <f t="shared" si="5"/>
        <v/>
      </c>
      <c r="I1169" s="29" t="s">
        <v>7705</v>
      </c>
      <c r="J1169" s="20" t="str">
        <f>VLOOKUP(I1169,'Database Grup SCC'!$B$2:$C1382,2,false)</f>
        <v>-</v>
      </c>
      <c r="K1169" s="50"/>
      <c r="L1169" s="50"/>
      <c r="M1169" s="50"/>
      <c r="N1169" s="35"/>
      <c r="O1169" s="34"/>
      <c r="P1169" s="34"/>
      <c r="Q1169" s="12" t="str">
        <f t="shared" si="6"/>
        <v>#REF!</v>
      </c>
      <c r="R1169" s="39" t="e">
        <v>#REF!</v>
      </c>
      <c r="S1169" s="39"/>
      <c r="T1169" s="39"/>
      <c r="U1169" s="39"/>
      <c r="V1169" s="39"/>
    </row>
    <row r="1170" ht="22.5" customHeight="1">
      <c r="A1170" s="18">
        <v>398.0</v>
      </c>
      <c r="B1170" s="36">
        <v>7.0</v>
      </c>
      <c r="C1170" s="36" t="s">
        <v>8152</v>
      </c>
      <c r="D1170" s="60">
        <v>2.32410049E8</v>
      </c>
      <c r="E1170" s="36" t="s">
        <v>8153</v>
      </c>
      <c r="F1170" s="36" t="s">
        <v>227</v>
      </c>
      <c r="G1170" s="12">
        <v>31.0</v>
      </c>
      <c r="H1170" s="57" t="str">
        <f t="shared" si="5"/>
        <v/>
      </c>
      <c r="I1170" s="29" t="s">
        <v>7705</v>
      </c>
      <c r="J1170" s="20" t="str">
        <f>VLOOKUP(I1170,'Database Grup SCC'!$B$2:$C1382,2,false)</f>
        <v>-</v>
      </c>
      <c r="K1170" s="50"/>
      <c r="L1170" s="50"/>
      <c r="M1170" s="50"/>
      <c r="N1170" s="35"/>
      <c r="O1170" s="34"/>
      <c r="P1170" s="34"/>
      <c r="Q1170" s="12" t="str">
        <f t="shared" si="6"/>
        <v>#REF!</v>
      </c>
      <c r="R1170" s="39" t="e">
        <v>#REF!</v>
      </c>
      <c r="S1170" s="39"/>
      <c r="T1170" s="39"/>
      <c r="U1170" s="39"/>
      <c r="V1170" s="39"/>
    </row>
    <row r="1171" ht="22.5" customHeight="1">
      <c r="A1171" s="18">
        <v>399.0</v>
      </c>
      <c r="B1171" s="36">
        <v>8.0</v>
      </c>
      <c r="C1171" s="62" t="s">
        <v>8154</v>
      </c>
      <c r="D1171" s="64">
        <v>2.32410058E8</v>
      </c>
      <c r="E1171" s="40" t="s">
        <v>8155</v>
      </c>
      <c r="F1171" s="40" t="s">
        <v>227</v>
      </c>
      <c r="G1171" s="12">
        <v>31.0</v>
      </c>
      <c r="H1171" s="57" t="str">
        <f t="shared" si="5"/>
        <v/>
      </c>
      <c r="I1171" s="29" t="s">
        <v>7705</v>
      </c>
      <c r="J1171" s="20" t="str">
        <f>VLOOKUP(I1171,'Database Grup SCC'!$B$2:$C1382,2,false)</f>
        <v>-</v>
      </c>
      <c r="K1171" s="50"/>
      <c r="L1171" s="50"/>
      <c r="M1171" s="50"/>
      <c r="N1171" s="35"/>
      <c r="O1171" s="34"/>
      <c r="P1171" s="34"/>
      <c r="Q1171" s="12" t="str">
        <f t="shared" si="6"/>
        <v>#REF!</v>
      </c>
      <c r="R1171" s="39" t="e">
        <v>#REF!</v>
      </c>
      <c r="S1171" s="39"/>
      <c r="T1171" s="39"/>
      <c r="U1171" s="39"/>
      <c r="V1171" s="39"/>
    </row>
    <row r="1172" ht="22.5" customHeight="1">
      <c r="A1172" s="18">
        <v>400.0</v>
      </c>
      <c r="B1172" s="36">
        <v>9.0</v>
      </c>
      <c r="C1172" s="36" t="s">
        <v>8156</v>
      </c>
      <c r="D1172" s="60">
        <v>2.3241007E8</v>
      </c>
      <c r="E1172" s="36" t="s">
        <v>8157</v>
      </c>
      <c r="F1172" s="36" t="s">
        <v>220</v>
      </c>
      <c r="G1172" s="12">
        <v>31.0</v>
      </c>
      <c r="H1172" s="57" t="str">
        <f t="shared" si="5"/>
        <v/>
      </c>
      <c r="I1172" s="29" t="s">
        <v>7705</v>
      </c>
      <c r="J1172" s="20" t="str">
        <f>VLOOKUP(I1172,'Database Grup SCC'!$B$2:$C1382,2,false)</f>
        <v>-</v>
      </c>
      <c r="K1172" s="50"/>
      <c r="L1172" s="50"/>
      <c r="M1172" s="50"/>
      <c r="N1172" s="35"/>
      <c r="O1172" s="34"/>
      <c r="P1172" s="34"/>
      <c r="Q1172" s="12" t="str">
        <f t="shared" si="6"/>
        <v>#REF!</v>
      </c>
      <c r="R1172" s="39" t="e">
        <v>#REF!</v>
      </c>
      <c r="S1172" s="39"/>
      <c r="T1172" s="39"/>
      <c r="U1172" s="39"/>
      <c r="V1172" s="39"/>
    </row>
    <row r="1173" ht="22.5" customHeight="1">
      <c r="A1173" s="18">
        <v>401.0</v>
      </c>
      <c r="B1173" s="36">
        <v>10.0</v>
      </c>
      <c r="C1173" s="36" t="s">
        <v>8158</v>
      </c>
      <c r="D1173" s="60">
        <v>2.32410076E8</v>
      </c>
      <c r="E1173" s="36" t="s">
        <v>8159</v>
      </c>
      <c r="F1173" s="36" t="s">
        <v>227</v>
      </c>
      <c r="G1173" s="12">
        <v>31.0</v>
      </c>
      <c r="H1173" s="57" t="str">
        <f t="shared" si="5"/>
        <v/>
      </c>
      <c r="I1173" s="29" t="s">
        <v>7705</v>
      </c>
      <c r="J1173" s="20" t="str">
        <f>VLOOKUP(I1173,'Database Grup SCC'!$B$2:$C1382,2,false)</f>
        <v>-</v>
      </c>
      <c r="K1173" s="50"/>
      <c r="L1173" s="50"/>
      <c r="M1173" s="50"/>
      <c r="N1173" s="35"/>
      <c r="O1173" s="34"/>
      <c r="P1173" s="34"/>
      <c r="Q1173" s="12" t="str">
        <f t="shared" si="6"/>
        <v>#REF!</v>
      </c>
      <c r="R1173" s="39" t="e">
        <v>#REF!</v>
      </c>
      <c r="S1173" s="39"/>
      <c r="T1173" s="39"/>
      <c r="U1173" s="39"/>
      <c r="V1173" s="39"/>
    </row>
    <row r="1174" ht="22.5" customHeight="1">
      <c r="A1174" s="18">
        <v>402.0</v>
      </c>
      <c r="B1174" s="36">
        <v>11.0</v>
      </c>
      <c r="C1174" s="36" t="s">
        <v>8160</v>
      </c>
      <c r="D1174" s="60">
        <v>2.32410103E8</v>
      </c>
      <c r="E1174" s="36" t="s">
        <v>8161</v>
      </c>
      <c r="F1174" s="36" t="s">
        <v>227</v>
      </c>
      <c r="G1174" s="12">
        <v>31.0</v>
      </c>
      <c r="H1174" s="57" t="str">
        <f t="shared" si="5"/>
        <v/>
      </c>
      <c r="I1174" s="29" t="s">
        <v>7705</v>
      </c>
      <c r="J1174" s="20" t="str">
        <f>VLOOKUP(I1174,'Database Grup SCC'!$B$2:$C1382,2,false)</f>
        <v>-</v>
      </c>
      <c r="K1174" s="50"/>
      <c r="L1174" s="50"/>
      <c r="M1174" s="50"/>
      <c r="N1174" s="35"/>
      <c r="O1174" s="34"/>
      <c r="P1174" s="34"/>
      <c r="Q1174" s="12" t="str">
        <f t="shared" si="6"/>
        <v>#REF!</v>
      </c>
      <c r="R1174" s="39" t="e">
        <v>#REF!</v>
      </c>
      <c r="S1174" s="39"/>
      <c r="T1174" s="39"/>
      <c r="U1174" s="39"/>
      <c r="V1174" s="39"/>
    </row>
    <row r="1175" ht="22.5" customHeight="1">
      <c r="A1175" s="18">
        <v>403.0</v>
      </c>
      <c r="B1175" s="36">
        <v>12.0</v>
      </c>
      <c r="C1175" s="36" t="s">
        <v>8162</v>
      </c>
      <c r="D1175" s="60">
        <v>2.32410113E8</v>
      </c>
      <c r="E1175" s="36" t="s">
        <v>8163</v>
      </c>
      <c r="F1175" s="36" t="s">
        <v>220</v>
      </c>
      <c r="G1175" s="12">
        <v>31.0</v>
      </c>
      <c r="H1175" s="57" t="str">
        <f t="shared" si="5"/>
        <v/>
      </c>
      <c r="I1175" s="29" t="s">
        <v>7705</v>
      </c>
      <c r="J1175" s="20" t="str">
        <f>VLOOKUP(I1175,'Database Grup SCC'!$B$2:$C1382,2,false)</f>
        <v>-</v>
      </c>
      <c r="K1175" s="50"/>
      <c r="L1175" s="50"/>
      <c r="M1175" s="50"/>
      <c r="N1175" s="35"/>
      <c r="O1175" s="34"/>
      <c r="P1175" s="34"/>
      <c r="Q1175" s="12" t="str">
        <f t="shared" si="6"/>
        <v>#REF!</v>
      </c>
      <c r="R1175" s="39" t="e">
        <v>#REF!</v>
      </c>
      <c r="S1175" s="39"/>
      <c r="T1175" s="39"/>
      <c r="U1175" s="39"/>
      <c r="V1175" s="39"/>
    </row>
    <row r="1176" ht="22.5" customHeight="1">
      <c r="A1176" s="18">
        <v>404.0</v>
      </c>
      <c r="B1176" s="36">
        <v>13.0</v>
      </c>
      <c r="C1176" s="36" t="s">
        <v>8164</v>
      </c>
      <c r="D1176" s="60">
        <v>2.32410123E8</v>
      </c>
      <c r="E1176" s="36" t="s">
        <v>8165</v>
      </c>
      <c r="F1176" s="36" t="s">
        <v>220</v>
      </c>
      <c r="G1176" s="12">
        <v>31.0</v>
      </c>
      <c r="H1176" s="57" t="str">
        <f t="shared" si="5"/>
        <v/>
      </c>
      <c r="I1176" s="29" t="s">
        <v>7705</v>
      </c>
      <c r="J1176" s="20" t="str">
        <f>VLOOKUP(I1176,'Database Grup SCC'!$B$2:$C1382,2,false)</f>
        <v>-</v>
      </c>
      <c r="K1176" s="50"/>
      <c r="L1176" s="50"/>
      <c r="M1176" s="50"/>
      <c r="N1176" s="35"/>
      <c r="O1176" s="34"/>
      <c r="P1176" s="34"/>
      <c r="Q1176" s="12" t="str">
        <f t="shared" si="6"/>
        <v>#REF!</v>
      </c>
      <c r="R1176" s="39" t="e">
        <v>#REF!</v>
      </c>
      <c r="S1176" s="39"/>
      <c r="T1176" s="39"/>
      <c r="U1176" s="39"/>
      <c r="V1176" s="39"/>
    </row>
    <row r="1177" ht="22.5" customHeight="1">
      <c r="A1177" s="18">
        <v>405.0</v>
      </c>
      <c r="B1177" s="36">
        <v>14.0</v>
      </c>
      <c r="C1177" s="36" t="s">
        <v>8166</v>
      </c>
      <c r="D1177" s="60">
        <v>2.32410126E8</v>
      </c>
      <c r="E1177" s="36" t="s">
        <v>8167</v>
      </c>
      <c r="F1177" s="36" t="s">
        <v>220</v>
      </c>
      <c r="G1177" s="12">
        <v>31.0</v>
      </c>
      <c r="H1177" s="57" t="str">
        <f t="shared" si="5"/>
        <v/>
      </c>
      <c r="I1177" s="29" t="s">
        <v>7705</v>
      </c>
      <c r="J1177" s="20" t="str">
        <f>VLOOKUP(I1177,'Database Grup SCC'!$B$2:$C1382,2,false)</f>
        <v>-</v>
      </c>
      <c r="K1177" s="50"/>
      <c r="L1177" s="50"/>
      <c r="M1177" s="50"/>
      <c r="N1177" s="35"/>
      <c r="O1177" s="34"/>
      <c r="P1177" s="34"/>
      <c r="Q1177" s="12" t="str">
        <f t="shared" si="6"/>
        <v>#REF!</v>
      </c>
      <c r="R1177" s="39" t="e">
        <v>#REF!</v>
      </c>
      <c r="S1177" s="39"/>
      <c r="T1177" s="39"/>
      <c r="U1177" s="39"/>
      <c r="V1177" s="39"/>
    </row>
    <row r="1178" ht="22.5" customHeight="1">
      <c r="A1178" s="18">
        <v>406.0</v>
      </c>
      <c r="B1178" s="36">
        <v>15.0</v>
      </c>
      <c r="C1178" s="59" t="s">
        <v>8168</v>
      </c>
      <c r="D1178" s="60">
        <v>2.32410132E8</v>
      </c>
      <c r="E1178" s="36" t="s">
        <v>8169</v>
      </c>
      <c r="F1178" s="36" t="s">
        <v>227</v>
      </c>
      <c r="G1178" s="12">
        <v>31.0</v>
      </c>
      <c r="H1178" s="57" t="str">
        <f t="shared" si="5"/>
        <v/>
      </c>
      <c r="I1178" s="29" t="s">
        <v>7705</v>
      </c>
      <c r="J1178" s="20" t="str">
        <f>VLOOKUP(I1178,'Database Grup SCC'!$B$2:$C1382,2,false)</f>
        <v>-</v>
      </c>
      <c r="K1178" s="50"/>
      <c r="L1178" s="50"/>
      <c r="M1178" s="50"/>
      <c r="N1178" s="35"/>
      <c r="O1178" s="34"/>
      <c r="P1178" s="34"/>
      <c r="Q1178" s="12" t="str">
        <f t="shared" si="6"/>
        <v>#REF!</v>
      </c>
      <c r="R1178" s="39" t="e">
        <v>#REF!</v>
      </c>
      <c r="S1178" s="39"/>
      <c r="T1178" s="39"/>
      <c r="U1178" s="39"/>
      <c r="V1178" s="39"/>
    </row>
    <row r="1179" ht="22.5" customHeight="1">
      <c r="A1179" s="18">
        <v>407.0</v>
      </c>
      <c r="B1179" s="36">
        <v>16.0</v>
      </c>
      <c r="C1179" s="36" t="s">
        <v>8170</v>
      </c>
      <c r="D1179" s="60">
        <v>2.32410146E8</v>
      </c>
      <c r="E1179" s="36" t="s">
        <v>8171</v>
      </c>
      <c r="F1179" s="36" t="s">
        <v>220</v>
      </c>
      <c r="G1179" s="12">
        <v>31.0</v>
      </c>
      <c r="H1179" s="57" t="str">
        <f t="shared" si="5"/>
        <v/>
      </c>
      <c r="I1179" s="29" t="s">
        <v>7705</v>
      </c>
      <c r="J1179" s="20" t="str">
        <f>VLOOKUP(I1179,'Database Grup SCC'!$B$2:$C1382,2,false)</f>
        <v>-</v>
      </c>
      <c r="K1179" s="50"/>
      <c r="L1179" s="50"/>
      <c r="M1179" s="50"/>
      <c r="N1179" s="35"/>
      <c r="O1179" s="34"/>
      <c r="P1179" s="34"/>
      <c r="Q1179" s="12" t="str">
        <f t="shared" si="6"/>
        <v>#REF!</v>
      </c>
      <c r="R1179" s="39" t="e">
        <v>#REF!</v>
      </c>
      <c r="S1179" s="39"/>
      <c r="T1179" s="39"/>
      <c r="U1179" s="39"/>
      <c r="V1179" s="39"/>
    </row>
    <row r="1180" ht="22.5" customHeight="1">
      <c r="A1180" s="18">
        <v>408.0</v>
      </c>
      <c r="B1180" s="36">
        <v>17.0</v>
      </c>
      <c r="C1180" s="36" t="s">
        <v>8172</v>
      </c>
      <c r="D1180" s="60">
        <v>2.32410149E8</v>
      </c>
      <c r="E1180" s="36" t="s">
        <v>8173</v>
      </c>
      <c r="F1180" s="36" t="s">
        <v>227</v>
      </c>
      <c r="G1180" s="12">
        <v>31.0</v>
      </c>
      <c r="H1180" s="57" t="str">
        <f t="shared" si="5"/>
        <v/>
      </c>
      <c r="I1180" s="29" t="s">
        <v>7705</v>
      </c>
      <c r="J1180" s="20" t="str">
        <f>VLOOKUP(I1180,'Database Grup SCC'!$B$2:$C1382,2,false)</f>
        <v>-</v>
      </c>
      <c r="K1180" s="50"/>
      <c r="L1180" s="50"/>
      <c r="M1180" s="50"/>
      <c r="N1180" s="35"/>
      <c r="O1180" s="34"/>
      <c r="P1180" s="34"/>
      <c r="Q1180" s="12" t="str">
        <f t="shared" si="6"/>
        <v>#REF!</v>
      </c>
      <c r="R1180" s="39" t="e">
        <v>#REF!</v>
      </c>
      <c r="S1180" s="39"/>
      <c r="T1180" s="39"/>
      <c r="U1180" s="39"/>
      <c r="V1180" s="39"/>
    </row>
    <row r="1181" ht="22.5" customHeight="1">
      <c r="A1181" s="18">
        <v>409.0</v>
      </c>
      <c r="B1181" s="36">
        <v>18.0</v>
      </c>
      <c r="C1181" s="36" t="s">
        <v>8174</v>
      </c>
      <c r="D1181" s="60">
        <v>2.3241015E8</v>
      </c>
      <c r="E1181" s="36" t="s">
        <v>8175</v>
      </c>
      <c r="F1181" s="36" t="s">
        <v>220</v>
      </c>
      <c r="G1181" s="12">
        <v>31.0</v>
      </c>
      <c r="H1181" s="57" t="str">
        <f t="shared" si="5"/>
        <v/>
      </c>
      <c r="I1181" s="29" t="s">
        <v>7705</v>
      </c>
      <c r="J1181" s="20" t="str">
        <f>VLOOKUP(I1181,'Database Grup SCC'!$B$2:$C1382,2,false)</f>
        <v>-</v>
      </c>
      <c r="K1181" s="50"/>
      <c r="L1181" s="50"/>
      <c r="M1181" s="50"/>
      <c r="N1181" s="35"/>
      <c r="O1181" s="34"/>
      <c r="P1181" s="34"/>
      <c r="Q1181" s="12" t="str">
        <f t="shared" si="6"/>
        <v>#REF!</v>
      </c>
      <c r="R1181" s="39" t="e">
        <v>#REF!</v>
      </c>
      <c r="S1181" s="39"/>
      <c r="T1181" s="39"/>
      <c r="U1181" s="39"/>
      <c r="V1181" s="39"/>
    </row>
    <row r="1182" ht="22.5" customHeight="1">
      <c r="A1182" s="18">
        <v>410.0</v>
      </c>
      <c r="B1182" s="36">
        <v>19.0</v>
      </c>
      <c r="C1182" s="36" t="s">
        <v>8176</v>
      </c>
      <c r="D1182" s="60">
        <v>2.32410153E8</v>
      </c>
      <c r="E1182" s="36" t="s">
        <v>8177</v>
      </c>
      <c r="F1182" s="36" t="s">
        <v>227</v>
      </c>
      <c r="G1182" s="12">
        <v>31.0</v>
      </c>
      <c r="H1182" s="57" t="str">
        <f t="shared" si="5"/>
        <v/>
      </c>
      <c r="I1182" s="29" t="s">
        <v>7705</v>
      </c>
      <c r="J1182" s="20" t="str">
        <f>VLOOKUP(I1182,'Database Grup SCC'!$B$2:$C1382,2,false)</f>
        <v>-</v>
      </c>
      <c r="K1182" s="50"/>
      <c r="L1182" s="50"/>
      <c r="M1182" s="50"/>
      <c r="N1182" s="35"/>
      <c r="O1182" s="34"/>
      <c r="P1182" s="34"/>
      <c r="Q1182" s="12" t="str">
        <f t="shared" si="6"/>
        <v>#REF!</v>
      </c>
      <c r="R1182" s="39" t="e">
        <v>#REF!</v>
      </c>
      <c r="S1182" s="39"/>
      <c r="T1182" s="39"/>
      <c r="U1182" s="39"/>
      <c r="V1182" s="39"/>
    </row>
    <row r="1183" ht="22.5" customHeight="1">
      <c r="A1183" s="18">
        <v>411.0</v>
      </c>
      <c r="B1183" s="36">
        <v>20.0</v>
      </c>
      <c r="C1183" s="59" t="s">
        <v>8178</v>
      </c>
      <c r="D1183" s="60">
        <v>2.32410164E8</v>
      </c>
      <c r="E1183" s="36" t="s">
        <v>8179</v>
      </c>
      <c r="F1183" s="36" t="s">
        <v>227</v>
      </c>
      <c r="G1183" s="12">
        <v>31.0</v>
      </c>
      <c r="H1183" s="57" t="str">
        <f t="shared" si="5"/>
        <v/>
      </c>
      <c r="I1183" s="29" t="s">
        <v>7705</v>
      </c>
      <c r="J1183" s="20" t="str">
        <f>VLOOKUP(I1183,'Database Grup SCC'!$B$2:$C1382,2,false)</f>
        <v>-</v>
      </c>
      <c r="K1183" s="50"/>
      <c r="L1183" s="50"/>
      <c r="M1183" s="50"/>
      <c r="N1183" s="35"/>
      <c r="O1183" s="34"/>
      <c r="P1183" s="34"/>
      <c r="Q1183" s="12" t="str">
        <f t="shared" si="6"/>
        <v>#REF!</v>
      </c>
      <c r="R1183" s="39" t="e">
        <v>#REF!</v>
      </c>
      <c r="S1183" s="39"/>
      <c r="T1183" s="39"/>
      <c r="U1183" s="39"/>
      <c r="V1183" s="39"/>
    </row>
    <row r="1184" ht="22.5" customHeight="1">
      <c r="A1184" s="18">
        <v>412.0</v>
      </c>
      <c r="B1184" s="36">
        <v>21.0</v>
      </c>
      <c r="C1184" s="36" t="s">
        <v>8180</v>
      </c>
      <c r="D1184" s="60">
        <v>2.32410179E8</v>
      </c>
      <c r="E1184" s="36" t="s">
        <v>8181</v>
      </c>
      <c r="F1184" s="36" t="s">
        <v>227</v>
      </c>
      <c r="G1184" s="12">
        <v>31.0</v>
      </c>
      <c r="H1184" s="57" t="str">
        <f t="shared" si="5"/>
        <v/>
      </c>
      <c r="I1184" s="29" t="s">
        <v>7705</v>
      </c>
      <c r="J1184" s="20" t="str">
        <f>VLOOKUP(I1184,'Database Grup SCC'!$B$2:$C1382,2,false)</f>
        <v>-</v>
      </c>
      <c r="K1184" s="50"/>
      <c r="L1184" s="50"/>
      <c r="M1184" s="50"/>
      <c r="N1184" s="35"/>
      <c r="O1184" s="34"/>
      <c r="P1184" s="34"/>
      <c r="Q1184" s="12" t="str">
        <f t="shared" si="6"/>
        <v>#REF!</v>
      </c>
      <c r="R1184" s="39" t="e">
        <v>#REF!</v>
      </c>
      <c r="S1184" s="39"/>
      <c r="T1184" s="39"/>
      <c r="U1184" s="39"/>
      <c r="V1184" s="39"/>
    </row>
    <row r="1185" ht="22.5" customHeight="1">
      <c r="A1185" s="18">
        <v>413.0</v>
      </c>
      <c r="B1185" s="36">
        <v>22.0</v>
      </c>
      <c r="C1185" s="36" t="s">
        <v>8182</v>
      </c>
      <c r="D1185" s="60">
        <v>2.32410186E8</v>
      </c>
      <c r="E1185" s="36" t="s">
        <v>8183</v>
      </c>
      <c r="F1185" s="36" t="s">
        <v>227</v>
      </c>
      <c r="G1185" s="12">
        <v>31.0</v>
      </c>
      <c r="H1185" s="57" t="str">
        <f t="shared" si="5"/>
        <v/>
      </c>
      <c r="I1185" s="29" t="s">
        <v>7705</v>
      </c>
      <c r="J1185" s="20" t="str">
        <f>VLOOKUP(I1185,'Database Grup SCC'!$B$2:$C1382,2,false)</f>
        <v>-</v>
      </c>
      <c r="K1185" s="50"/>
      <c r="L1185" s="50"/>
      <c r="M1185" s="50"/>
      <c r="N1185" s="35"/>
      <c r="O1185" s="34"/>
      <c r="P1185" s="34"/>
      <c r="Q1185" s="12" t="str">
        <f t="shared" si="6"/>
        <v>#REF!</v>
      </c>
      <c r="R1185" s="39" t="e">
        <v>#REF!</v>
      </c>
      <c r="S1185" s="39"/>
      <c r="T1185" s="39"/>
      <c r="U1185" s="39"/>
      <c r="V1185" s="39"/>
    </row>
    <row r="1186" ht="22.5" customHeight="1">
      <c r="A1186" s="18">
        <v>414.0</v>
      </c>
      <c r="B1186" s="36">
        <v>23.0</v>
      </c>
      <c r="C1186" s="59" t="s">
        <v>8184</v>
      </c>
      <c r="D1186" s="60">
        <v>2.32410195E8</v>
      </c>
      <c r="E1186" s="36" t="s">
        <v>8185</v>
      </c>
      <c r="F1186" s="36" t="s">
        <v>227</v>
      </c>
      <c r="G1186" s="12">
        <v>31.0</v>
      </c>
      <c r="H1186" s="57" t="str">
        <f t="shared" si="5"/>
        <v/>
      </c>
      <c r="I1186" s="29" t="s">
        <v>7705</v>
      </c>
      <c r="J1186" s="20" t="str">
        <f>VLOOKUP(I1186,'Database Grup SCC'!$B$2:$C1382,2,false)</f>
        <v>-</v>
      </c>
      <c r="K1186" s="50"/>
      <c r="L1186" s="50"/>
      <c r="M1186" s="50"/>
      <c r="N1186" s="35"/>
      <c r="O1186" s="34"/>
      <c r="P1186" s="34"/>
      <c r="Q1186" s="12" t="str">
        <f t="shared" si="6"/>
        <v>#REF!</v>
      </c>
      <c r="R1186" s="39" t="e">
        <v>#REF!</v>
      </c>
      <c r="S1186" s="39"/>
      <c r="T1186" s="39"/>
      <c r="U1186" s="39"/>
      <c r="V1186" s="39"/>
    </row>
    <row r="1187" ht="22.5" customHeight="1">
      <c r="A1187" s="18">
        <v>415.0</v>
      </c>
      <c r="B1187" s="36">
        <v>24.0</v>
      </c>
      <c r="C1187" s="59" t="s">
        <v>8186</v>
      </c>
      <c r="D1187" s="60">
        <v>2.32410211E8</v>
      </c>
      <c r="E1187" s="36" t="s">
        <v>8187</v>
      </c>
      <c r="F1187" s="36" t="s">
        <v>227</v>
      </c>
      <c r="G1187" s="12">
        <v>31.0</v>
      </c>
      <c r="H1187" s="57" t="str">
        <f t="shared" si="5"/>
        <v/>
      </c>
      <c r="I1187" s="29" t="s">
        <v>7705</v>
      </c>
      <c r="J1187" s="20" t="str">
        <f>VLOOKUP(I1187,'Database Grup SCC'!$B$2:$C1382,2,false)</f>
        <v>-</v>
      </c>
      <c r="K1187" s="50"/>
      <c r="L1187" s="50"/>
      <c r="M1187" s="50"/>
      <c r="N1187" s="35"/>
      <c r="O1187" s="34"/>
      <c r="P1187" s="34"/>
      <c r="Q1187" s="12" t="str">
        <f t="shared" si="6"/>
        <v>#REF!</v>
      </c>
      <c r="R1187" s="39" t="e">
        <v>#REF!</v>
      </c>
      <c r="S1187" s="39"/>
      <c r="T1187" s="39"/>
      <c r="U1187" s="39"/>
      <c r="V1187" s="39"/>
    </row>
    <row r="1188" ht="22.5" customHeight="1">
      <c r="A1188" s="18">
        <v>416.0</v>
      </c>
      <c r="B1188" s="36">
        <v>25.0</v>
      </c>
      <c r="C1188" s="59" t="s">
        <v>8188</v>
      </c>
      <c r="D1188" s="60">
        <v>2.32410234E8</v>
      </c>
      <c r="E1188" s="36" t="s">
        <v>8189</v>
      </c>
      <c r="F1188" s="36" t="s">
        <v>220</v>
      </c>
      <c r="G1188" s="12">
        <v>31.0</v>
      </c>
      <c r="H1188" s="57" t="str">
        <f t="shared" si="5"/>
        <v/>
      </c>
      <c r="I1188" s="29" t="s">
        <v>7705</v>
      </c>
      <c r="J1188" s="20" t="str">
        <f>VLOOKUP(I1188,'Database Grup SCC'!$B$2:$C1382,2,false)</f>
        <v>-</v>
      </c>
      <c r="K1188" s="50"/>
      <c r="L1188" s="50"/>
      <c r="M1188" s="50"/>
      <c r="N1188" s="35"/>
      <c r="O1188" s="34"/>
      <c r="P1188" s="34"/>
      <c r="Q1188" s="12" t="str">
        <f t="shared" si="6"/>
        <v>#REF!</v>
      </c>
      <c r="R1188" s="39" t="e">
        <v>#REF!</v>
      </c>
      <c r="S1188" s="39"/>
      <c r="T1188" s="39"/>
      <c r="U1188" s="39"/>
      <c r="V1188" s="39"/>
    </row>
    <row r="1189" ht="22.5" customHeight="1">
      <c r="A1189" s="18">
        <v>417.0</v>
      </c>
      <c r="B1189" s="36">
        <v>26.0</v>
      </c>
      <c r="C1189" s="59" t="s">
        <v>8190</v>
      </c>
      <c r="D1189" s="60">
        <v>2.32410258E8</v>
      </c>
      <c r="E1189" s="36" t="s">
        <v>8191</v>
      </c>
      <c r="F1189" s="36" t="s">
        <v>220</v>
      </c>
      <c r="G1189" s="12">
        <v>31.0</v>
      </c>
      <c r="H1189" s="57" t="str">
        <f t="shared" si="5"/>
        <v/>
      </c>
      <c r="I1189" s="29" t="s">
        <v>7705</v>
      </c>
      <c r="J1189" s="20" t="str">
        <f>VLOOKUP(I1189,'Database Grup SCC'!$B$2:$C1382,2,false)</f>
        <v>-</v>
      </c>
      <c r="K1189" s="50"/>
      <c r="L1189" s="50"/>
      <c r="M1189" s="50"/>
      <c r="N1189" s="35"/>
      <c r="O1189" s="34"/>
      <c r="P1189" s="34"/>
      <c r="Q1189" s="12" t="str">
        <f t="shared" si="6"/>
        <v>#REF!</v>
      </c>
      <c r="R1189" s="39" t="e">
        <v>#REF!</v>
      </c>
      <c r="S1189" s="39"/>
      <c r="T1189" s="39"/>
      <c r="U1189" s="39"/>
      <c r="V1189" s="39"/>
    </row>
    <row r="1190" ht="22.5" customHeight="1">
      <c r="A1190" s="18">
        <v>418.0</v>
      </c>
      <c r="B1190" s="36">
        <v>27.0</v>
      </c>
      <c r="C1190" s="62" t="s">
        <v>8192</v>
      </c>
      <c r="D1190" s="63" t="s">
        <v>8193</v>
      </c>
      <c r="E1190" s="40" t="s">
        <v>8194</v>
      </c>
      <c r="F1190" s="40" t="s">
        <v>220</v>
      </c>
      <c r="G1190" s="12">
        <v>31.0</v>
      </c>
      <c r="H1190" s="57" t="str">
        <f t="shared" si="5"/>
        <v/>
      </c>
      <c r="I1190" s="29" t="s">
        <v>7705</v>
      </c>
      <c r="J1190" s="20" t="str">
        <f>VLOOKUP(I1190,'Database Grup SCC'!$B$2:$C1382,2,false)</f>
        <v>-</v>
      </c>
      <c r="K1190" s="50"/>
      <c r="L1190" s="50"/>
      <c r="M1190" s="50"/>
      <c r="N1190" s="35"/>
      <c r="O1190" s="34"/>
      <c r="P1190" s="34"/>
      <c r="Q1190" s="12" t="str">
        <f t="shared" si="6"/>
        <v>#REF!</v>
      </c>
      <c r="R1190" s="39" t="e">
        <v>#REF!</v>
      </c>
      <c r="S1190" s="39"/>
      <c r="T1190" s="39"/>
      <c r="U1190" s="39"/>
      <c r="V1190" s="39"/>
    </row>
    <row r="1191" ht="22.5" customHeight="1">
      <c r="A1191" s="18">
        <v>419.0</v>
      </c>
      <c r="B1191" s="36">
        <v>28.0</v>
      </c>
      <c r="C1191" s="36" t="s">
        <v>8195</v>
      </c>
      <c r="D1191" s="60">
        <v>2.32410294E8</v>
      </c>
      <c r="E1191" s="36" t="s">
        <v>8196</v>
      </c>
      <c r="F1191" s="36" t="s">
        <v>227</v>
      </c>
      <c r="G1191" s="12">
        <v>31.0</v>
      </c>
      <c r="H1191" s="57" t="str">
        <f t="shared" si="5"/>
        <v/>
      </c>
      <c r="I1191" s="29" t="s">
        <v>7705</v>
      </c>
      <c r="J1191" s="20" t="str">
        <f>VLOOKUP(I1191,'Database Grup SCC'!$B$2:$C1382,2,false)</f>
        <v>-</v>
      </c>
      <c r="K1191" s="50"/>
      <c r="L1191" s="50"/>
      <c r="M1191" s="50"/>
      <c r="N1191" s="35"/>
      <c r="O1191" s="34"/>
      <c r="P1191" s="34"/>
      <c r="Q1191" s="12" t="str">
        <f t="shared" si="6"/>
        <v>#REF!</v>
      </c>
      <c r="R1191" s="39" t="e">
        <v>#REF!</v>
      </c>
      <c r="S1191" s="39"/>
      <c r="T1191" s="39"/>
      <c r="U1191" s="39"/>
      <c r="V1191" s="39"/>
    </row>
    <row r="1192" ht="22.5" customHeight="1">
      <c r="A1192" s="18">
        <v>431.0</v>
      </c>
      <c r="B1192" s="36">
        <v>29.0</v>
      </c>
      <c r="C1192" s="59" t="s">
        <v>8197</v>
      </c>
      <c r="D1192" s="60">
        <v>2.32410317E8</v>
      </c>
      <c r="E1192" s="36" t="s">
        <v>8198</v>
      </c>
      <c r="F1192" s="36" t="s">
        <v>220</v>
      </c>
      <c r="G1192" s="12">
        <v>31.0</v>
      </c>
      <c r="H1192" s="57" t="str">
        <f t="shared" si="5"/>
        <v/>
      </c>
      <c r="I1192" s="29" t="s">
        <v>7705</v>
      </c>
      <c r="J1192" s="20" t="str">
        <f>VLOOKUP(I1192,'Database Grup SCC'!$B$2:$C1382,2,false)</f>
        <v>-</v>
      </c>
      <c r="K1192" s="50"/>
      <c r="L1192" s="50"/>
      <c r="M1192" s="50"/>
      <c r="N1192" s="35"/>
      <c r="O1192" s="34"/>
      <c r="P1192" s="34"/>
      <c r="Q1192" s="12" t="str">
        <f t="shared" si="6"/>
        <v>#REF!</v>
      </c>
      <c r="R1192" s="39" t="e">
        <v>#REF!</v>
      </c>
      <c r="S1192" s="39"/>
      <c r="T1192" s="39"/>
      <c r="U1192" s="39"/>
      <c r="V1192" s="39"/>
    </row>
    <row r="1193" ht="22.5" customHeight="1">
      <c r="A1193" s="18">
        <v>432.0</v>
      </c>
      <c r="B1193" s="36">
        <v>30.0</v>
      </c>
      <c r="C1193" s="59" t="s">
        <v>8199</v>
      </c>
      <c r="D1193" s="60">
        <v>2.32410336E8</v>
      </c>
      <c r="E1193" s="36" t="s">
        <v>8200</v>
      </c>
      <c r="F1193" s="36" t="s">
        <v>227</v>
      </c>
      <c r="G1193" s="12">
        <v>31.0</v>
      </c>
      <c r="H1193" s="57" t="str">
        <f t="shared" si="5"/>
        <v/>
      </c>
      <c r="I1193" s="29" t="s">
        <v>7705</v>
      </c>
      <c r="J1193" s="20" t="str">
        <f>VLOOKUP(I1193,'Database Grup SCC'!$B$2:$C1382,2,false)</f>
        <v>-</v>
      </c>
      <c r="K1193" s="50"/>
      <c r="L1193" s="50"/>
      <c r="M1193" s="50"/>
      <c r="N1193" s="35"/>
      <c r="O1193" s="34"/>
      <c r="P1193" s="34"/>
      <c r="Q1193" s="12" t="str">
        <f t="shared" si="6"/>
        <v>#REF!</v>
      </c>
      <c r="R1193" s="39" t="e">
        <v>#REF!</v>
      </c>
      <c r="S1193" s="39"/>
      <c r="T1193" s="39"/>
      <c r="U1193" s="39"/>
      <c r="V1193" s="39"/>
    </row>
    <row r="1194" ht="22.5" customHeight="1">
      <c r="A1194" s="18">
        <v>433.0</v>
      </c>
      <c r="B1194" s="36">
        <v>31.0</v>
      </c>
      <c r="C1194" s="36" t="s">
        <v>8201</v>
      </c>
      <c r="D1194" s="60">
        <v>2.32410339E8</v>
      </c>
      <c r="E1194" s="36" t="s">
        <v>8202</v>
      </c>
      <c r="F1194" s="36" t="s">
        <v>227</v>
      </c>
      <c r="G1194" s="12">
        <v>31.0</v>
      </c>
      <c r="H1194" s="57" t="str">
        <f t="shared" si="5"/>
        <v/>
      </c>
      <c r="I1194" s="29" t="s">
        <v>7705</v>
      </c>
      <c r="J1194" s="20" t="str">
        <f>VLOOKUP(I1194,'Database Grup SCC'!$B$2:$C1382,2,false)</f>
        <v>-</v>
      </c>
      <c r="K1194" s="50"/>
      <c r="L1194" s="50"/>
      <c r="M1194" s="50"/>
      <c r="N1194" s="35"/>
      <c r="O1194" s="34"/>
      <c r="P1194" s="34"/>
      <c r="Q1194" s="12" t="str">
        <f t="shared" si="6"/>
        <v>#REF!</v>
      </c>
      <c r="R1194" s="39" t="e">
        <v>#REF!</v>
      </c>
      <c r="S1194" s="39"/>
      <c r="T1194" s="39"/>
      <c r="U1194" s="39"/>
      <c r="V1194" s="39"/>
    </row>
    <row r="1195" ht="22.5" customHeight="1">
      <c r="A1195" s="18">
        <v>434.0</v>
      </c>
      <c r="B1195" s="36">
        <v>32.0</v>
      </c>
      <c r="C1195" s="36" t="s">
        <v>8203</v>
      </c>
      <c r="D1195" s="60">
        <v>2.3241034E8</v>
      </c>
      <c r="E1195" s="36" t="s">
        <v>8204</v>
      </c>
      <c r="F1195" s="36" t="s">
        <v>227</v>
      </c>
      <c r="G1195" s="12">
        <v>31.0</v>
      </c>
      <c r="H1195" s="57" t="str">
        <f t="shared" si="5"/>
        <v/>
      </c>
      <c r="I1195" s="29" t="s">
        <v>7705</v>
      </c>
      <c r="J1195" s="20" t="str">
        <f>VLOOKUP(I1195,'Database Grup SCC'!$B$2:$C1382,2,false)</f>
        <v>-</v>
      </c>
      <c r="K1195" s="50"/>
      <c r="L1195" s="50"/>
      <c r="M1195" s="50"/>
      <c r="N1195" s="35"/>
      <c r="O1195" s="34"/>
      <c r="P1195" s="34"/>
      <c r="Q1195" s="12" t="str">
        <f t="shared" si="6"/>
        <v>#REF!</v>
      </c>
      <c r="R1195" s="39" t="e">
        <v>#REF!</v>
      </c>
      <c r="S1195" s="39"/>
      <c r="T1195" s="39"/>
      <c r="U1195" s="39"/>
      <c r="V1195" s="39"/>
    </row>
    <row r="1196" ht="22.5" customHeight="1">
      <c r="A1196" s="18">
        <v>435.0</v>
      </c>
      <c r="B1196" s="36">
        <v>33.0</v>
      </c>
      <c r="C1196" s="59" t="s">
        <v>8205</v>
      </c>
      <c r="D1196" s="60">
        <v>2.32410343E8</v>
      </c>
      <c r="E1196" s="36" t="s">
        <v>8206</v>
      </c>
      <c r="F1196" s="36" t="s">
        <v>220</v>
      </c>
      <c r="G1196" s="12">
        <v>31.0</v>
      </c>
      <c r="H1196" s="57" t="str">
        <f t="shared" si="5"/>
        <v/>
      </c>
      <c r="I1196" s="29" t="s">
        <v>7705</v>
      </c>
      <c r="J1196" s="20" t="str">
        <f>VLOOKUP(I1196,'Database Grup SCC'!$B$2:$C1382,2,false)</f>
        <v>-</v>
      </c>
      <c r="K1196" s="50"/>
      <c r="L1196" s="50"/>
      <c r="M1196" s="50"/>
      <c r="N1196" s="35"/>
      <c r="O1196" s="34"/>
      <c r="P1196" s="34"/>
      <c r="Q1196" s="12" t="str">
        <f t="shared" si="6"/>
        <v>#REF!</v>
      </c>
      <c r="R1196" s="39" t="e">
        <v>#REF!</v>
      </c>
      <c r="S1196" s="39"/>
      <c r="T1196" s="39"/>
      <c r="U1196" s="39"/>
      <c r="V1196" s="39"/>
    </row>
    <row r="1197" ht="22.5" customHeight="1">
      <c r="A1197" s="18">
        <v>436.0</v>
      </c>
      <c r="B1197" s="36">
        <v>34.0</v>
      </c>
      <c r="C1197" s="36" t="s">
        <v>8207</v>
      </c>
      <c r="D1197" s="60">
        <v>2.32410364E8</v>
      </c>
      <c r="E1197" s="36" t="s">
        <v>8208</v>
      </c>
      <c r="F1197" s="36" t="s">
        <v>227</v>
      </c>
      <c r="G1197" s="12">
        <v>31.0</v>
      </c>
      <c r="H1197" s="57" t="str">
        <f t="shared" si="5"/>
        <v/>
      </c>
      <c r="I1197" s="29" t="s">
        <v>7705</v>
      </c>
      <c r="J1197" s="20" t="str">
        <f>VLOOKUP(I1197,'Database Grup SCC'!$B$2:$C1382,2,false)</f>
        <v>-</v>
      </c>
      <c r="K1197" s="50"/>
      <c r="L1197" s="50"/>
      <c r="M1197" s="50"/>
      <c r="N1197" s="35"/>
      <c r="O1197" s="34"/>
      <c r="P1197" s="34"/>
      <c r="Q1197" s="12" t="str">
        <f t="shared" si="6"/>
        <v>#REF!</v>
      </c>
      <c r="R1197" s="39" t="e">
        <v>#REF!</v>
      </c>
      <c r="S1197" s="39"/>
      <c r="T1197" s="39"/>
      <c r="U1197" s="39"/>
      <c r="V1197" s="39"/>
    </row>
    <row r="1198" ht="22.5" customHeight="1">
      <c r="A1198" s="18">
        <v>437.0</v>
      </c>
      <c r="B1198" s="36">
        <v>35.0</v>
      </c>
      <c r="C1198" s="59" t="s">
        <v>8209</v>
      </c>
      <c r="D1198" s="60">
        <v>2.32410375E8</v>
      </c>
      <c r="E1198" s="36" t="s">
        <v>8210</v>
      </c>
      <c r="F1198" s="36" t="s">
        <v>227</v>
      </c>
      <c r="G1198" s="12">
        <v>31.0</v>
      </c>
      <c r="H1198" s="57" t="str">
        <f t="shared" si="5"/>
        <v/>
      </c>
      <c r="I1198" s="29" t="s">
        <v>7705</v>
      </c>
      <c r="J1198" s="20" t="str">
        <f>VLOOKUP(I1198,'Database Grup SCC'!$B$2:$C1382,2,false)</f>
        <v>-</v>
      </c>
      <c r="K1198" s="50"/>
      <c r="L1198" s="50"/>
      <c r="M1198" s="50"/>
      <c r="N1198" s="35"/>
      <c r="O1198" s="34"/>
      <c r="P1198" s="34"/>
      <c r="Q1198" s="12" t="str">
        <f t="shared" si="6"/>
        <v>#REF!</v>
      </c>
      <c r="R1198" s="39" t="e">
        <v>#REF!</v>
      </c>
      <c r="S1198" s="39"/>
      <c r="T1198" s="39"/>
      <c r="U1198" s="39"/>
      <c r="V1198" s="39"/>
    </row>
    <row r="1199" ht="22.5" customHeight="1">
      <c r="A1199" s="18">
        <v>438.0</v>
      </c>
      <c r="B1199" s="36">
        <v>36.0</v>
      </c>
      <c r="C1199" s="59" t="s">
        <v>8211</v>
      </c>
      <c r="D1199" s="47">
        <v>2.32410412E8</v>
      </c>
      <c r="E1199" s="36" t="s">
        <v>8212</v>
      </c>
      <c r="F1199" s="36" t="s">
        <v>220</v>
      </c>
      <c r="G1199" s="12">
        <v>31.0</v>
      </c>
      <c r="H1199" s="57" t="str">
        <f t="shared" si="5"/>
        <v/>
      </c>
      <c r="I1199" s="29" t="s">
        <v>7705</v>
      </c>
      <c r="J1199" s="20" t="str">
        <f>VLOOKUP(I1199,'Database Grup SCC'!$B$2:$C1382,2,false)</f>
        <v>-</v>
      </c>
      <c r="K1199" s="50"/>
      <c r="L1199" s="50"/>
      <c r="M1199" s="50"/>
      <c r="N1199" s="35"/>
      <c r="O1199" s="34"/>
      <c r="P1199" s="34"/>
      <c r="Q1199" s="12" t="str">
        <f t="shared" si="6"/>
        <v>#REF!</v>
      </c>
      <c r="R1199" s="39" t="e">
        <v>#REF!</v>
      </c>
      <c r="S1199" s="39"/>
      <c r="T1199" s="39"/>
      <c r="U1199" s="39"/>
      <c r="V1199" s="39"/>
    </row>
    <row r="1200" ht="22.5" customHeight="1">
      <c r="A1200" s="18">
        <v>452.0</v>
      </c>
      <c r="B1200" s="36">
        <v>1.0</v>
      </c>
      <c r="C1200" s="59" t="s">
        <v>8213</v>
      </c>
      <c r="D1200" s="60">
        <v>2.32410013E8</v>
      </c>
      <c r="E1200" s="36" t="s">
        <v>8214</v>
      </c>
      <c r="F1200" s="36" t="s">
        <v>220</v>
      </c>
      <c r="G1200" s="12">
        <v>31.0</v>
      </c>
      <c r="H1200" s="57" t="str">
        <f t="shared" si="5"/>
        <v/>
      </c>
      <c r="I1200" s="29" t="s">
        <v>7705</v>
      </c>
      <c r="J1200" s="20" t="str">
        <f>VLOOKUP(I1200,'Database Grup SCC'!$B$2:$C1382,2,false)</f>
        <v>-</v>
      </c>
      <c r="K1200" s="50"/>
      <c r="L1200" s="50" t="s">
        <v>7267</v>
      </c>
      <c r="M1200" s="50" t="s">
        <v>8215</v>
      </c>
      <c r="N1200" s="35"/>
      <c r="O1200" s="34"/>
      <c r="P1200" s="34"/>
      <c r="Q1200" s="12" t="str">
        <f t="shared" si="6"/>
        <v>#REF!</v>
      </c>
      <c r="R1200" s="39" t="e">
        <v>#REF!</v>
      </c>
      <c r="S1200" s="39"/>
      <c r="T1200" s="39"/>
      <c r="U1200" s="39"/>
      <c r="V1200" s="39"/>
    </row>
    <row r="1201" ht="22.5" customHeight="1">
      <c r="A1201" s="18">
        <v>453.0</v>
      </c>
      <c r="B1201" s="36">
        <v>2.0</v>
      </c>
      <c r="C1201" s="36" t="s">
        <v>8216</v>
      </c>
      <c r="D1201" s="60">
        <v>2.32410024E8</v>
      </c>
      <c r="E1201" s="36" t="s">
        <v>8217</v>
      </c>
      <c r="F1201" s="36" t="s">
        <v>227</v>
      </c>
      <c r="G1201" s="12">
        <v>31.0</v>
      </c>
      <c r="H1201" s="57" t="str">
        <f t="shared" si="5"/>
        <v/>
      </c>
      <c r="I1201" s="29" t="s">
        <v>7705</v>
      </c>
      <c r="J1201" s="20" t="str">
        <f>VLOOKUP(I1201,'Database Grup SCC'!$B$2:$C1382,2,false)</f>
        <v>-</v>
      </c>
      <c r="K1201" s="50"/>
      <c r="L1201" s="50"/>
      <c r="M1201" s="50"/>
      <c r="N1201" s="35"/>
      <c r="O1201" s="34"/>
      <c r="P1201" s="34"/>
      <c r="Q1201" s="12" t="str">
        <f t="shared" si="6"/>
        <v>#REF!</v>
      </c>
      <c r="R1201" s="39" t="e">
        <v>#REF!</v>
      </c>
      <c r="S1201" s="39"/>
      <c r="T1201" s="39"/>
      <c r="U1201" s="39"/>
      <c r="V1201" s="39"/>
    </row>
    <row r="1202" ht="22.5" customHeight="1">
      <c r="A1202" s="18">
        <v>454.0</v>
      </c>
      <c r="B1202" s="36">
        <v>3.0</v>
      </c>
      <c r="C1202" s="59" t="s">
        <v>8218</v>
      </c>
      <c r="D1202" s="47">
        <v>2.32410034E8</v>
      </c>
      <c r="E1202" s="36" t="s">
        <v>8219</v>
      </c>
      <c r="F1202" s="36" t="s">
        <v>227</v>
      </c>
      <c r="G1202" s="12">
        <v>31.0</v>
      </c>
      <c r="H1202" s="57" t="str">
        <f t="shared" si="5"/>
        <v/>
      </c>
      <c r="I1202" s="29" t="s">
        <v>7705</v>
      </c>
      <c r="J1202" s="20" t="str">
        <f>VLOOKUP(I1202,'Database Grup SCC'!$B$2:$C1382,2,false)</f>
        <v>-</v>
      </c>
      <c r="K1202" s="50"/>
      <c r="L1202" s="50"/>
      <c r="M1202" s="50"/>
      <c r="N1202" s="35"/>
      <c r="O1202" s="34"/>
      <c r="P1202" s="34"/>
      <c r="Q1202" s="12" t="str">
        <f t="shared" si="6"/>
        <v>#REF!</v>
      </c>
      <c r="R1202" s="39" t="e">
        <v>#REF!</v>
      </c>
      <c r="S1202" s="39"/>
      <c r="T1202" s="39"/>
      <c r="U1202" s="39"/>
      <c r="V1202" s="39"/>
    </row>
    <row r="1203" ht="22.5" customHeight="1">
      <c r="A1203" s="18">
        <v>455.0</v>
      </c>
      <c r="B1203" s="36">
        <v>4.0</v>
      </c>
      <c r="C1203" s="36" t="s">
        <v>8220</v>
      </c>
      <c r="D1203" s="60">
        <v>2.32410038E8</v>
      </c>
      <c r="E1203" s="36" t="s">
        <v>8221</v>
      </c>
      <c r="F1203" s="36" t="s">
        <v>227</v>
      </c>
      <c r="G1203" s="12">
        <v>31.0</v>
      </c>
      <c r="H1203" s="57" t="str">
        <f t="shared" si="5"/>
        <v/>
      </c>
      <c r="I1203" s="29" t="s">
        <v>7705</v>
      </c>
      <c r="J1203" s="20" t="str">
        <f>VLOOKUP(I1203,'Database Grup SCC'!$B$2:$C1382,2,false)</f>
        <v>-</v>
      </c>
      <c r="K1203" s="50"/>
      <c r="L1203" s="50"/>
      <c r="M1203" s="50"/>
      <c r="N1203" s="35"/>
      <c r="O1203" s="34"/>
      <c r="P1203" s="34"/>
      <c r="Q1203" s="12" t="str">
        <f t="shared" si="6"/>
        <v>#REF!</v>
      </c>
      <c r="R1203" s="39" t="e">
        <v>#REF!</v>
      </c>
      <c r="S1203" s="39"/>
      <c r="T1203" s="39"/>
      <c r="U1203" s="39"/>
      <c r="V1203" s="39"/>
    </row>
    <row r="1204" ht="22.5" customHeight="1">
      <c r="A1204" s="18">
        <v>456.0</v>
      </c>
      <c r="B1204" s="36">
        <v>5.0</v>
      </c>
      <c r="C1204" s="36" t="s">
        <v>8222</v>
      </c>
      <c r="D1204" s="60">
        <v>2.32410041E8</v>
      </c>
      <c r="E1204" s="36" t="s">
        <v>8223</v>
      </c>
      <c r="F1204" s="36" t="s">
        <v>227</v>
      </c>
      <c r="G1204" s="12">
        <v>31.0</v>
      </c>
      <c r="H1204" s="57" t="str">
        <f t="shared" si="5"/>
        <v/>
      </c>
      <c r="I1204" s="29" t="s">
        <v>7705</v>
      </c>
      <c r="J1204" s="20" t="str">
        <f>VLOOKUP(I1204,'Database Grup SCC'!$B$2:$C1382,2,false)</f>
        <v>-</v>
      </c>
      <c r="K1204" s="50"/>
      <c r="L1204" s="50"/>
      <c r="M1204" s="50"/>
      <c r="N1204" s="35"/>
      <c r="O1204" s="34"/>
      <c r="P1204" s="34"/>
      <c r="Q1204" s="12" t="str">
        <f t="shared" si="6"/>
        <v>#REF!</v>
      </c>
      <c r="R1204" s="39" t="e">
        <v>#REF!</v>
      </c>
      <c r="S1204" s="39"/>
      <c r="T1204" s="39"/>
      <c r="U1204" s="39"/>
      <c r="V1204" s="39"/>
    </row>
    <row r="1205" ht="22.5" customHeight="1">
      <c r="A1205" s="18">
        <v>457.0</v>
      </c>
      <c r="B1205" s="36">
        <v>6.0</v>
      </c>
      <c r="C1205" s="36" t="s">
        <v>8224</v>
      </c>
      <c r="D1205" s="60">
        <v>2.32410055E8</v>
      </c>
      <c r="E1205" s="36" t="s">
        <v>8225</v>
      </c>
      <c r="F1205" s="36" t="s">
        <v>227</v>
      </c>
      <c r="G1205" s="12">
        <v>31.0</v>
      </c>
      <c r="H1205" s="57" t="str">
        <f t="shared" si="5"/>
        <v/>
      </c>
      <c r="I1205" s="29" t="s">
        <v>7705</v>
      </c>
      <c r="J1205" s="20" t="str">
        <f>VLOOKUP(I1205,'Database Grup SCC'!$B$2:$C1382,2,false)</f>
        <v>-</v>
      </c>
      <c r="K1205" s="50"/>
      <c r="L1205" s="50"/>
      <c r="M1205" s="50"/>
      <c r="N1205" s="35"/>
      <c r="O1205" s="34"/>
      <c r="P1205" s="34"/>
      <c r="Q1205" s="12" t="str">
        <f t="shared" si="6"/>
        <v>#REF!</v>
      </c>
      <c r="R1205" s="39" t="e">
        <v>#REF!</v>
      </c>
      <c r="S1205" s="39"/>
      <c r="T1205" s="39"/>
      <c r="U1205" s="39"/>
      <c r="V1205" s="39"/>
    </row>
    <row r="1206" ht="22.5" customHeight="1">
      <c r="A1206" s="18">
        <v>458.0</v>
      </c>
      <c r="B1206" s="36">
        <v>7.0</v>
      </c>
      <c r="C1206" s="59" t="s">
        <v>8226</v>
      </c>
      <c r="D1206" s="60">
        <v>2.32410057E8</v>
      </c>
      <c r="E1206" s="36" t="s">
        <v>8227</v>
      </c>
      <c r="F1206" s="36" t="s">
        <v>227</v>
      </c>
      <c r="G1206" s="12">
        <v>31.0</v>
      </c>
      <c r="H1206" s="57" t="str">
        <f t="shared" si="5"/>
        <v/>
      </c>
      <c r="I1206" s="29" t="s">
        <v>7705</v>
      </c>
      <c r="J1206" s="20" t="str">
        <f>VLOOKUP(I1206,'Database Grup SCC'!$B$2:$C1382,2,false)</f>
        <v>-</v>
      </c>
      <c r="K1206" s="50"/>
      <c r="L1206" s="50"/>
      <c r="M1206" s="50"/>
      <c r="N1206" s="35"/>
      <c r="O1206" s="34"/>
      <c r="P1206" s="34"/>
      <c r="Q1206" s="12" t="str">
        <f t="shared" si="6"/>
        <v>#REF!</v>
      </c>
      <c r="R1206" s="39" t="e">
        <v>#REF!</v>
      </c>
      <c r="S1206" s="39"/>
      <c r="T1206" s="39"/>
      <c r="U1206" s="39"/>
      <c r="V1206" s="39"/>
    </row>
    <row r="1207" ht="22.5" customHeight="1">
      <c r="A1207" s="18">
        <v>459.0</v>
      </c>
      <c r="B1207" s="36">
        <v>8.0</v>
      </c>
      <c r="C1207" s="59" t="s">
        <v>8228</v>
      </c>
      <c r="D1207" s="60" t="s">
        <v>8229</v>
      </c>
      <c r="E1207" s="36" t="s">
        <v>8230</v>
      </c>
      <c r="F1207" s="36" t="s">
        <v>220</v>
      </c>
      <c r="G1207" s="12">
        <v>31.0</v>
      </c>
      <c r="H1207" s="57" t="str">
        <f t="shared" si="5"/>
        <v/>
      </c>
      <c r="I1207" s="29" t="s">
        <v>7705</v>
      </c>
      <c r="J1207" s="20" t="str">
        <f>VLOOKUP(I1207,'Database Grup SCC'!$B$2:$C1382,2,false)</f>
        <v>-</v>
      </c>
      <c r="K1207" s="50"/>
      <c r="L1207" s="50"/>
      <c r="M1207" s="50"/>
      <c r="N1207" s="35"/>
      <c r="O1207" s="34"/>
      <c r="P1207" s="34"/>
      <c r="Q1207" s="12" t="str">
        <f t="shared" si="6"/>
        <v>#REF!</v>
      </c>
      <c r="R1207" s="39" t="e">
        <v>#REF!</v>
      </c>
      <c r="S1207" s="39"/>
      <c r="T1207" s="39"/>
      <c r="U1207" s="39"/>
      <c r="V1207" s="39"/>
    </row>
    <row r="1208" ht="22.5" customHeight="1">
      <c r="A1208" s="18">
        <v>460.0</v>
      </c>
      <c r="B1208" s="36">
        <v>9.0</v>
      </c>
      <c r="C1208" s="59" t="s">
        <v>8231</v>
      </c>
      <c r="D1208" s="60">
        <v>2.32410104E8</v>
      </c>
      <c r="E1208" s="36" t="s">
        <v>8232</v>
      </c>
      <c r="F1208" s="36" t="s">
        <v>227</v>
      </c>
      <c r="G1208" s="12">
        <v>31.0</v>
      </c>
      <c r="H1208" s="57" t="str">
        <f t="shared" si="5"/>
        <v/>
      </c>
      <c r="I1208" s="29" t="s">
        <v>7705</v>
      </c>
      <c r="J1208" s="20" t="str">
        <f>VLOOKUP(I1208,'Database Grup SCC'!$B$2:$C1382,2,false)</f>
        <v>-</v>
      </c>
      <c r="K1208" s="50"/>
      <c r="L1208" s="50"/>
      <c r="M1208" s="50"/>
      <c r="N1208" s="35"/>
      <c r="O1208" s="34"/>
      <c r="P1208" s="34"/>
      <c r="Q1208" s="12" t="str">
        <f t="shared" si="6"/>
        <v>#REF!</v>
      </c>
      <c r="R1208" s="39" t="e">
        <v>#REF!</v>
      </c>
      <c r="S1208" s="39"/>
      <c r="T1208" s="39"/>
      <c r="U1208" s="39"/>
      <c r="V1208" s="39"/>
    </row>
    <row r="1209" ht="22.5" customHeight="1">
      <c r="A1209" s="18">
        <v>461.0</v>
      </c>
      <c r="B1209" s="36">
        <v>10.0</v>
      </c>
      <c r="C1209" s="59" t="s">
        <v>8233</v>
      </c>
      <c r="D1209" s="60">
        <v>2.32410116E8</v>
      </c>
      <c r="E1209" s="36" t="s">
        <v>8234</v>
      </c>
      <c r="F1209" s="36" t="s">
        <v>227</v>
      </c>
      <c r="G1209" s="12">
        <v>31.0</v>
      </c>
      <c r="H1209" s="57" t="str">
        <f t="shared" si="5"/>
        <v/>
      </c>
      <c r="I1209" s="29" t="s">
        <v>7705</v>
      </c>
      <c r="J1209" s="20" t="str">
        <f>VLOOKUP(I1209,'Database Grup SCC'!$B$2:$C1382,2,false)</f>
        <v>-</v>
      </c>
      <c r="K1209" s="50"/>
      <c r="L1209" s="50"/>
      <c r="M1209" s="50"/>
      <c r="N1209" s="35"/>
      <c r="O1209" s="34"/>
      <c r="P1209" s="34"/>
      <c r="Q1209" s="12" t="str">
        <f t="shared" si="6"/>
        <v>#REF!</v>
      </c>
      <c r="R1209" s="39" t="e">
        <v>#REF!</v>
      </c>
      <c r="S1209" s="39"/>
      <c r="T1209" s="39"/>
      <c r="U1209" s="39"/>
      <c r="V1209" s="39"/>
    </row>
    <row r="1210" ht="22.5" customHeight="1">
      <c r="A1210" s="18">
        <v>462.0</v>
      </c>
      <c r="B1210" s="36">
        <v>11.0</v>
      </c>
      <c r="C1210" s="65" t="s">
        <v>7790</v>
      </c>
      <c r="D1210" s="60">
        <v>2.32410117E8</v>
      </c>
      <c r="E1210" s="36" t="s">
        <v>8235</v>
      </c>
      <c r="F1210" s="36" t="s">
        <v>227</v>
      </c>
      <c r="G1210" s="12">
        <v>31.0</v>
      </c>
      <c r="H1210" s="57" t="str">
        <f t="shared" si="5"/>
        <v/>
      </c>
      <c r="I1210" s="29" t="s">
        <v>7705</v>
      </c>
      <c r="J1210" s="20" t="str">
        <f>VLOOKUP(I1210,'Database Grup SCC'!$B$2:$C1382,2,false)</f>
        <v>-</v>
      </c>
      <c r="K1210" s="50"/>
      <c r="L1210" s="50"/>
      <c r="M1210" s="50"/>
      <c r="N1210" s="35"/>
      <c r="O1210" s="34"/>
      <c r="P1210" s="34"/>
      <c r="Q1210" s="12" t="str">
        <f t="shared" si="6"/>
        <v>#REF!</v>
      </c>
      <c r="R1210" s="39" t="e">
        <v>#REF!</v>
      </c>
      <c r="S1210" s="39"/>
      <c r="T1210" s="39"/>
      <c r="U1210" s="39"/>
      <c r="V1210" s="39"/>
    </row>
    <row r="1211" ht="22.5" customHeight="1">
      <c r="A1211" s="18">
        <v>463.0</v>
      </c>
      <c r="B1211" s="36">
        <v>12.0</v>
      </c>
      <c r="C1211" s="59" t="s">
        <v>8236</v>
      </c>
      <c r="D1211" s="60">
        <v>2.32410125E8</v>
      </c>
      <c r="E1211" s="36" t="s">
        <v>8237</v>
      </c>
      <c r="F1211" s="36" t="s">
        <v>227</v>
      </c>
      <c r="G1211" s="12">
        <v>31.0</v>
      </c>
      <c r="H1211" s="57" t="str">
        <f t="shared" si="5"/>
        <v/>
      </c>
      <c r="I1211" s="29" t="s">
        <v>7705</v>
      </c>
      <c r="J1211" s="20" t="str">
        <f>VLOOKUP(I1211,'Database Grup SCC'!$B$2:$C1382,2,false)</f>
        <v>-</v>
      </c>
      <c r="K1211" s="50"/>
      <c r="L1211" s="50"/>
      <c r="M1211" s="50"/>
      <c r="N1211" s="35"/>
      <c r="O1211" s="34"/>
      <c r="P1211" s="34"/>
      <c r="Q1211" s="12" t="str">
        <f t="shared" si="6"/>
        <v>#REF!</v>
      </c>
      <c r="R1211" s="39" t="e">
        <v>#REF!</v>
      </c>
      <c r="S1211" s="39"/>
      <c r="T1211" s="39"/>
      <c r="U1211" s="39"/>
      <c r="V1211" s="39"/>
    </row>
    <row r="1212" ht="22.5" customHeight="1">
      <c r="A1212" s="18">
        <v>464.0</v>
      </c>
      <c r="B1212" s="36">
        <v>13.0</v>
      </c>
      <c r="C1212" s="59" t="s">
        <v>7715</v>
      </c>
      <c r="D1212" s="60">
        <v>2.32410133E8</v>
      </c>
      <c r="E1212" s="36" t="s">
        <v>8238</v>
      </c>
      <c r="F1212" s="36" t="s">
        <v>227</v>
      </c>
      <c r="G1212" s="12">
        <v>31.0</v>
      </c>
      <c r="H1212" s="57" t="str">
        <f t="shared" si="5"/>
        <v/>
      </c>
      <c r="I1212" s="29" t="s">
        <v>7705</v>
      </c>
      <c r="J1212" s="20" t="str">
        <f>VLOOKUP(I1212,'Database Grup SCC'!$B$2:$C1382,2,false)</f>
        <v>-</v>
      </c>
      <c r="K1212" s="50"/>
      <c r="L1212" s="50"/>
      <c r="M1212" s="50"/>
      <c r="N1212" s="35"/>
      <c r="O1212" s="34"/>
      <c r="P1212" s="34"/>
      <c r="Q1212" s="12" t="str">
        <f t="shared" si="6"/>
        <v>#REF!</v>
      </c>
      <c r="R1212" s="39" t="e">
        <v>#REF!</v>
      </c>
      <c r="S1212" s="39"/>
      <c r="T1212" s="39"/>
      <c r="U1212" s="39"/>
      <c r="V1212" s="39"/>
    </row>
    <row r="1213" ht="22.5" customHeight="1">
      <c r="A1213" s="18">
        <v>465.0</v>
      </c>
      <c r="B1213" s="36">
        <v>14.0</v>
      </c>
      <c r="C1213" s="36" t="s">
        <v>8239</v>
      </c>
      <c r="D1213" s="60">
        <v>2.32410139E8</v>
      </c>
      <c r="E1213" s="36" t="s">
        <v>8240</v>
      </c>
      <c r="F1213" s="36" t="s">
        <v>220</v>
      </c>
      <c r="G1213" s="12">
        <v>31.0</v>
      </c>
      <c r="H1213" s="57" t="str">
        <f t="shared" si="5"/>
        <v/>
      </c>
      <c r="I1213" s="29" t="s">
        <v>7705</v>
      </c>
      <c r="J1213" s="20" t="str">
        <f>VLOOKUP(I1213,'Database Grup SCC'!$B$2:$C1382,2,false)</f>
        <v>-</v>
      </c>
      <c r="K1213" s="50"/>
      <c r="L1213" s="50"/>
      <c r="M1213" s="50"/>
      <c r="N1213" s="35"/>
      <c r="O1213" s="34"/>
      <c r="P1213" s="34"/>
      <c r="Q1213" s="12" t="str">
        <f t="shared" si="6"/>
        <v>#REF!</v>
      </c>
      <c r="R1213" s="39" t="e">
        <v>#REF!</v>
      </c>
      <c r="S1213" s="39"/>
      <c r="T1213" s="39"/>
      <c r="U1213" s="39"/>
      <c r="V1213" s="39"/>
    </row>
    <row r="1214" ht="22.5" customHeight="1">
      <c r="A1214" s="18">
        <v>466.0</v>
      </c>
      <c r="B1214" s="36">
        <v>15.0</v>
      </c>
      <c r="C1214" s="59" t="s">
        <v>8241</v>
      </c>
      <c r="D1214" s="60">
        <v>2.32410174E8</v>
      </c>
      <c r="E1214" s="36" t="s">
        <v>8242</v>
      </c>
      <c r="F1214" s="36" t="s">
        <v>227</v>
      </c>
      <c r="G1214" s="12">
        <v>31.0</v>
      </c>
      <c r="H1214" s="57" t="str">
        <f t="shared" si="5"/>
        <v/>
      </c>
      <c r="I1214" s="29" t="s">
        <v>7705</v>
      </c>
      <c r="J1214" s="20" t="str">
        <f>VLOOKUP(I1214,'Database Grup SCC'!$B$2:$C1382,2,false)</f>
        <v>-</v>
      </c>
      <c r="K1214" s="50"/>
      <c r="L1214" s="50"/>
      <c r="M1214" s="50"/>
      <c r="N1214" s="35"/>
      <c r="O1214" s="34"/>
      <c r="P1214" s="34"/>
      <c r="Q1214" s="12" t="str">
        <f t="shared" si="6"/>
        <v>#REF!</v>
      </c>
      <c r="R1214" s="39" t="e">
        <v>#REF!</v>
      </c>
      <c r="S1214" s="39"/>
      <c r="T1214" s="39"/>
      <c r="U1214" s="39"/>
      <c r="V1214" s="39"/>
    </row>
    <row r="1215" ht="22.5" customHeight="1">
      <c r="A1215" s="18">
        <v>478.0</v>
      </c>
      <c r="B1215" s="36">
        <v>16.0</v>
      </c>
      <c r="C1215" s="59" t="s">
        <v>8243</v>
      </c>
      <c r="D1215" s="60">
        <v>2.32410199E8</v>
      </c>
      <c r="E1215" s="36" t="s">
        <v>8244</v>
      </c>
      <c r="F1215" s="36" t="s">
        <v>227</v>
      </c>
      <c r="G1215" s="12">
        <v>31.0</v>
      </c>
      <c r="H1215" s="57" t="str">
        <f t="shared" si="5"/>
        <v/>
      </c>
      <c r="I1215" s="29" t="s">
        <v>7705</v>
      </c>
      <c r="J1215" s="20" t="str">
        <f>VLOOKUP(I1215,'Database Grup SCC'!$B$2:$C1382,2,false)</f>
        <v>-</v>
      </c>
      <c r="K1215" s="50"/>
      <c r="L1215" s="50"/>
      <c r="M1215" s="50"/>
      <c r="N1215" s="35"/>
      <c r="O1215" s="34"/>
      <c r="P1215" s="34"/>
      <c r="Q1215" s="12" t="str">
        <f t="shared" si="6"/>
        <v>#REF!</v>
      </c>
      <c r="R1215" s="39" t="e">
        <v>#REF!</v>
      </c>
      <c r="S1215" s="39"/>
      <c r="T1215" s="39"/>
      <c r="U1215" s="39"/>
      <c r="V1215" s="39"/>
    </row>
    <row r="1216" ht="22.5" customHeight="1">
      <c r="A1216" s="18">
        <v>479.0</v>
      </c>
      <c r="B1216" s="36">
        <v>17.0</v>
      </c>
      <c r="C1216" s="36" t="s">
        <v>8245</v>
      </c>
      <c r="D1216" s="60">
        <v>2.32410201E8</v>
      </c>
      <c r="E1216" s="36" t="s">
        <v>8246</v>
      </c>
      <c r="F1216" s="36" t="s">
        <v>227</v>
      </c>
      <c r="G1216" s="12">
        <v>31.0</v>
      </c>
      <c r="H1216" s="57" t="str">
        <f t="shared" si="5"/>
        <v/>
      </c>
      <c r="I1216" s="29" t="s">
        <v>7705</v>
      </c>
      <c r="J1216" s="20" t="str">
        <f>VLOOKUP(I1216,'Database Grup SCC'!$B$2:$C1382,2,false)</f>
        <v>-</v>
      </c>
      <c r="K1216" s="50"/>
      <c r="L1216" s="50"/>
      <c r="M1216" s="50"/>
      <c r="N1216" s="35"/>
      <c r="O1216" s="34"/>
      <c r="P1216" s="34"/>
      <c r="Q1216" s="12" t="str">
        <f t="shared" si="6"/>
        <v>#REF!</v>
      </c>
      <c r="R1216" s="39" t="e">
        <v>#REF!</v>
      </c>
      <c r="S1216" s="39"/>
      <c r="T1216" s="39"/>
      <c r="U1216" s="39"/>
      <c r="V1216" s="39"/>
    </row>
    <row r="1217" ht="22.5" customHeight="1">
      <c r="A1217" s="18">
        <v>480.0</v>
      </c>
      <c r="B1217" s="36">
        <v>18.0</v>
      </c>
      <c r="C1217" s="59" t="s">
        <v>8247</v>
      </c>
      <c r="D1217" s="60">
        <v>2.3241021E8</v>
      </c>
      <c r="E1217" s="36" t="s">
        <v>8248</v>
      </c>
      <c r="F1217" s="36" t="s">
        <v>220</v>
      </c>
      <c r="G1217" s="12">
        <v>31.0</v>
      </c>
      <c r="H1217" s="57" t="str">
        <f t="shared" si="5"/>
        <v/>
      </c>
      <c r="I1217" s="29" t="s">
        <v>7705</v>
      </c>
      <c r="J1217" s="20" t="str">
        <f>VLOOKUP(I1217,'Database Grup SCC'!$B$2:$C1382,2,false)</f>
        <v>-</v>
      </c>
      <c r="K1217" s="50"/>
      <c r="L1217" s="50"/>
      <c r="M1217" s="50"/>
      <c r="N1217" s="35"/>
      <c r="O1217" s="34"/>
      <c r="P1217" s="34"/>
      <c r="Q1217" s="12" t="str">
        <f t="shared" si="6"/>
        <v>#REF!</v>
      </c>
      <c r="R1217" s="39" t="e">
        <v>#REF!</v>
      </c>
      <c r="S1217" s="39"/>
      <c r="T1217" s="39"/>
      <c r="U1217" s="39"/>
      <c r="V1217" s="39"/>
    </row>
    <row r="1218" ht="22.5" customHeight="1">
      <c r="A1218" s="18">
        <v>481.0</v>
      </c>
      <c r="B1218" s="36">
        <v>19.0</v>
      </c>
      <c r="C1218" s="59" t="s">
        <v>8249</v>
      </c>
      <c r="D1218" s="60">
        <v>2.32410439E8</v>
      </c>
      <c r="E1218" s="36" t="s">
        <v>8250</v>
      </c>
      <c r="F1218" s="36" t="s">
        <v>220</v>
      </c>
      <c r="G1218" s="12">
        <v>31.0</v>
      </c>
      <c r="H1218" s="57" t="str">
        <f t="shared" si="5"/>
        <v/>
      </c>
      <c r="I1218" s="29" t="s">
        <v>7705</v>
      </c>
      <c r="J1218" s="20" t="str">
        <f>VLOOKUP(I1218,'Database Grup SCC'!$B$2:$C1382,2,false)</f>
        <v>-</v>
      </c>
      <c r="K1218" s="50"/>
      <c r="L1218" s="50"/>
      <c r="M1218" s="50"/>
      <c r="N1218" s="35"/>
      <c r="O1218" s="34"/>
      <c r="P1218" s="34"/>
      <c r="Q1218" s="12" t="str">
        <f t="shared" si="6"/>
        <v>#REF!</v>
      </c>
      <c r="R1218" s="39" t="e">
        <v>#REF!</v>
      </c>
      <c r="S1218" s="39"/>
      <c r="T1218" s="39"/>
      <c r="U1218" s="39"/>
      <c r="V1218" s="39"/>
    </row>
    <row r="1219" ht="22.5" customHeight="1">
      <c r="A1219" s="18">
        <v>482.0</v>
      </c>
      <c r="B1219" s="36">
        <v>20.0</v>
      </c>
      <c r="C1219" s="59" t="s">
        <v>8251</v>
      </c>
      <c r="D1219" s="60">
        <v>2.32410251E8</v>
      </c>
      <c r="E1219" s="36" t="s">
        <v>8252</v>
      </c>
      <c r="F1219" s="36" t="s">
        <v>220</v>
      </c>
      <c r="G1219" s="12">
        <v>31.0</v>
      </c>
      <c r="H1219" s="57" t="str">
        <f t="shared" si="5"/>
        <v/>
      </c>
      <c r="I1219" s="29" t="s">
        <v>7705</v>
      </c>
      <c r="J1219" s="20" t="str">
        <f>VLOOKUP(I1219,'Database Grup SCC'!$B$2:$C1382,2,false)</f>
        <v>-</v>
      </c>
      <c r="K1219" s="50"/>
      <c r="L1219" s="50"/>
      <c r="M1219" s="50"/>
      <c r="N1219" s="35"/>
      <c r="O1219" s="34"/>
      <c r="P1219" s="34"/>
      <c r="Q1219" s="12" t="str">
        <f t="shared" si="6"/>
        <v>#REF!</v>
      </c>
      <c r="R1219" s="39" t="e">
        <v>#REF!</v>
      </c>
      <c r="S1219" s="39"/>
      <c r="T1219" s="39"/>
      <c r="U1219" s="39"/>
      <c r="V1219" s="39"/>
    </row>
    <row r="1220" ht="22.5" customHeight="1">
      <c r="A1220" s="18">
        <v>483.0</v>
      </c>
      <c r="B1220" s="36">
        <v>21.0</v>
      </c>
      <c r="C1220" s="59" t="s">
        <v>8253</v>
      </c>
      <c r="D1220" s="60">
        <v>2.32410305E8</v>
      </c>
      <c r="E1220" s="36" t="s">
        <v>8254</v>
      </c>
      <c r="F1220" s="36" t="s">
        <v>227</v>
      </c>
      <c r="G1220" s="12">
        <v>31.0</v>
      </c>
      <c r="H1220" s="57" t="str">
        <f t="shared" si="5"/>
        <v/>
      </c>
      <c r="I1220" s="29" t="s">
        <v>7705</v>
      </c>
      <c r="J1220" s="20" t="str">
        <f>VLOOKUP(I1220,'Database Grup SCC'!$B$2:$C1382,2,false)</f>
        <v>-</v>
      </c>
      <c r="K1220" s="50"/>
      <c r="L1220" s="50"/>
      <c r="M1220" s="50"/>
      <c r="N1220" s="35"/>
      <c r="O1220" s="34"/>
      <c r="P1220" s="34"/>
      <c r="Q1220" s="12" t="str">
        <f t="shared" si="6"/>
        <v>#REF!</v>
      </c>
      <c r="R1220" s="39" t="e">
        <v>#REF!</v>
      </c>
      <c r="S1220" s="39"/>
      <c r="T1220" s="39"/>
      <c r="U1220" s="39"/>
      <c r="V1220" s="39"/>
    </row>
    <row r="1221" ht="22.5" customHeight="1">
      <c r="A1221" s="18">
        <v>484.0</v>
      </c>
      <c r="B1221" s="36">
        <v>22.0</v>
      </c>
      <c r="C1221" s="59" t="s">
        <v>8255</v>
      </c>
      <c r="D1221" s="60">
        <v>2.32410286E8</v>
      </c>
      <c r="E1221" s="36" t="s">
        <v>8256</v>
      </c>
      <c r="F1221" s="36" t="s">
        <v>227</v>
      </c>
      <c r="G1221" s="12">
        <v>31.0</v>
      </c>
      <c r="H1221" s="57" t="str">
        <f t="shared" si="5"/>
        <v/>
      </c>
      <c r="I1221" s="29" t="s">
        <v>7705</v>
      </c>
      <c r="J1221" s="20" t="str">
        <f>VLOOKUP(I1221,'Database Grup SCC'!$B$2:$C1382,2,false)</f>
        <v>-</v>
      </c>
      <c r="K1221" s="50"/>
      <c r="L1221" s="50"/>
      <c r="M1221" s="50"/>
      <c r="N1221" s="35"/>
      <c r="O1221" s="34"/>
      <c r="P1221" s="34"/>
      <c r="Q1221" s="12" t="str">
        <f t="shared" si="6"/>
        <v>#REF!</v>
      </c>
      <c r="R1221" s="39" t="e">
        <v>#REF!</v>
      </c>
      <c r="S1221" s="39"/>
      <c r="T1221" s="39"/>
      <c r="U1221" s="39"/>
      <c r="V1221" s="39"/>
    </row>
    <row r="1222" ht="22.5" customHeight="1">
      <c r="A1222" s="18">
        <v>485.0</v>
      </c>
      <c r="B1222" s="36">
        <v>23.0</v>
      </c>
      <c r="C1222" s="59" t="s">
        <v>8257</v>
      </c>
      <c r="D1222" s="60">
        <v>2.32410289E8</v>
      </c>
      <c r="E1222" s="36" t="s">
        <v>8258</v>
      </c>
      <c r="F1222" s="36" t="s">
        <v>227</v>
      </c>
      <c r="G1222" s="12">
        <v>31.0</v>
      </c>
      <c r="H1222" s="57" t="str">
        <f t="shared" si="5"/>
        <v/>
      </c>
      <c r="I1222" s="29" t="s">
        <v>7705</v>
      </c>
      <c r="J1222" s="20" t="str">
        <f>VLOOKUP(I1222,'Database Grup SCC'!$B$2:$C1382,2,false)</f>
        <v>-</v>
      </c>
      <c r="K1222" s="50"/>
      <c r="L1222" s="50"/>
      <c r="M1222" s="50"/>
      <c r="N1222" s="35"/>
      <c r="O1222" s="34"/>
      <c r="P1222" s="34"/>
      <c r="Q1222" s="12" t="str">
        <f t="shared" si="6"/>
        <v>#REF!</v>
      </c>
      <c r="R1222" s="39" t="e">
        <v>#REF!</v>
      </c>
      <c r="S1222" s="39"/>
      <c r="T1222" s="39"/>
      <c r="U1222" s="39"/>
      <c r="V1222" s="39"/>
    </row>
    <row r="1223" ht="22.5" customHeight="1">
      <c r="A1223" s="18">
        <v>486.0</v>
      </c>
      <c r="B1223" s="36">
        <v>24.0</v>
      </c>
      <c r="C1223" s="59" t="s">
        <v>8259</v>
      </c>
      <c r="D1223" s="60">
        <v>2.32410319E8</v>
      </c>
      <c r="E1223" s="36" t="s">
        <v>8260</v>
      </c>
      <c r="F1223" s="36" t="s">
        <v>227</v>
      </c>
      <c r="G1223" s="12">
        <v>31.0</v>
      </c>
      <c r="H1223" s="57" t="str">
        <f t="shared" si="5"/>
        <v/>
      </c>
      <c r="I1223" s="29" t="s">
        <v>7705</v>
      </c>
      <c r="J1223" s="20" t="str">
        <f>VLOOKUP(I1223,'Database Grup SCC'!$B$2:$C1382,2,false)</f>
        <v>-</v>
      </c>
      <c r="K1223" s="50"/>
      <c r="L1223" s="50"/>
      <c r="M1223" s="50"/>
      <c r="N1223" s="35"/>
      <c r="O1223" s="34"/>
      <c r="P1223" s="34"/>
      <c r="Q1223" s="12" t="str">
        <f t="shared" si="6"/>
        <v>#REF!</v>
      </c>
      <c r="R1223" s="39" t="e">
        <v>#REF!</v>
      </c>
      <c r="S1223" s="39"/>
      <c r="T1223" s="39"/>
      <c r="U1223" s="39"/>
      <c r="V1223" s="39"/>
    </row>
    <row r="1224" ht="22.5" customHeight="1">
      <c r="A1224" s="18">
        <v>487.0</v>
      </c>
      <c r="B1224" s="36">
        <v>25.0</v>
      </c>
      <c r="C1224" s="59" t="s">
        <v>8261</v>
      </c>
      <c r="D1224" s="60">
        <v>2.32410327E8</v>
      </c>
      <c r="E1224" s="36" t="s">
        <v>8262</v>
      </c>
      <c r="F1224" s="36" t="s">
        <v>220</v>
      </c>
      <c r="G1224" s="12">
        <v>31.0</v>
      </c>
      <c r="H1224" s="57" t="str">
        <f t="shared" si="5"/>
        <v/>
      </c>
      <c r="I1224" s="29" t="s">
        <v>7705</v>
      </c>
      <c r="J1224" s="20" t="str">
        <f>VLOOKUP(I1224,'Database Grup SCC'!$B$2:$C1382,2,false)</f>
        <v>-</v>
      </c>
      <c r="K1224" s="50"/>
      <c r="L1224" s="50"/>
      <c r="M1224" s="50"/>
      <c r="N1224" s="35"/>
      <c r="O1224" s="34"/>
      <c r="P1224" s="34"/>
      <c r="Q1224" s="12" t="str">
        <f t="shared" si="6"/>
        <v>#REF!</v>
      </c>
      <c r="R1224" s="39" t="e">
        <v>#REF!</v>
      </c>
      <c r="S1224" s="39"/>
      <c r="T1224" s="39"/>
      <c r="U1224" s="39"/>
      <c r="V1224" s="39"/>
    </row>
    <row r="1225" ht="22.5" customHeight="1">
      <c r="A1225" s="18">
        <v>488.0</v>
      </c>
      <c r="B1225" s="36">
        <v>26.0</v>
      </c>
      <c r="C1225" s="36" t="s">
        <v>8263</v>
      </c>
      <c r="D1225" s="60">
        <v>2.32410329E8</v>
      </c>
      <c r="E1225" s="36" t="s">
        <v>8264</v>
      </c>
      <c r="F1225" s="36" t="s">
        <v>220</v>
      </c>
      <c r="G1225" s="12">
        <v>31.0</v>
      </c>
      <c r="H1225" s="57" t="str">
        <f t="shared" si="5"/>
        <v/>
      </c>
      <c r="I1225" s="29" t="s">
        <v>7705</v>
      </c>
      <c r="J1225" s="20" t="str">
        <f>VLOOKUP(I1225,'Database Grup SCC'!$B$2:$C1382,2,false)</f>
        <v>-</v>
      </c>
      <c r="K1225" s="50"/>
      <c r="L1225" s="50"/>
      <c r="M1225" s="50"/>
      <c r="N1225" s="35"/>
      <c r="O1225" s="34"/>
      <c r="P1225" s="34"/>
      <c r="Q1225" s="12" t="str">
        <f t="shared" si="6"/>
        <v>#REF!</v>
      </c>
      <c r="R1225" s="39" t="e">
        <v>#REF!</v>
      </c>
      <c r="S1225" s="39"/>
      <c r="T1225" s="39"/>
      <c r="U1225" s="39"/>
      <c r="V1225" s="39"/>
    </row>
    <row r="1226" ht="22.5" customHeight="1">
      <c r="A1226" s="18">
        <v>489.0</v>
      </c>
      <c r="B1226" s="36">
        <v>27.0</v>
      </c>
      <c r="C1226" s="59" t="s">
        <v>8265</v>
      </c>
      <c r="D1226" s="60">
        <v>2.4231033E8</v>
      </c>
      <c r="E1226" s="36" t="s">
        <v>8266</v>
      </c>
      <c r="F1226" s="36" t="s">
        <v>220</v>
      </c>
      <c r="G1226" s="12">
        <v>31.0</v>
      </c>
      <c r="H1226" s="57" t="str">
        <f t="shared" si="5"/>
        <v/>
      </c>
      <c r="I1226" s="29" t="s">
        <v>7705</v>
      </c>
      <c r="J1226" s="20" t="str">
        <f>VLOOKUP(I1226,'Database Grup SCC'!$B$2:$C1382,2,false)</f>
        <v>-</v>
      </c>
      <c r="K1226" s="50"/>
      <c r="L1226" s="50"/>
      <c r="M1226" s="50"/>
      <c r="N1226" s="35"/>
      <c r="O1226" s="34"/>
      <c r="P1226" s="34"/>
      <c r="Q1226" s="12" t="str">
        <f t="shared" si="6"/>
        <v>#REF!</v>
      </c>
      <c r="R1226" s="39" t="e">
        <v>#REF!</v>
      </c>
      <c r="S1226" s="39"/>
      <c r="T1226" s="39"/>
      <c r="U1226" s="39"/>
      <c r="V1226" s="39"/>
    </row>
    <row r="1227" ht="22.5" customHeight="1">
      <c r="A1227" s="18">
        <v>490.0</v>
      </c>
      <c r="B1227" s="36">
        <v>28.0</v>
      </c>
      <c r="C1227" s="36" t="s">
        <v>8267</v>
      </c>
      <c r="D1227" s="60">
        <v>2.32410347E8</v>
      </c>
      <c r="E1227" s="36" t="s">
        <v>8268</v>
      </c>
      <c r="F1227" s="36" t="s">
        <v>220</v>
      </c>
      <c r="G1227" s="12">
        <v>31.0</v>
      </c>
      <c r="H1227" s="57" t="str">
        <f t="shared" si="5"/>
        <v/>
      </c>
      <c r="I1227" s="29" t="s">
        <v>7705</v>
      </c>
      <c r="J1227" s="20" t="str">
        <f>VLOOKUP(I1227,'Database Grup SCC'!$B$2:$C1382,2,false)</f>
        <v>-</v>
      </c>
      <c r="K1227" s="50"/>
      <c r="L1227" s="50"/>
      <c r="M1227" s="50"/>
      <c r="N1227" s="35"/>
      <c r="O1227" s="34"/>
      <c r="P1227" s="34"/>
      <c r="Q1227" s="12" t="str">
        <f t="shared" si="6"/>
        <v>#REF!</v>
      </c>
      <c r="R1227" s="39" t="e">
        <v>#REF!</v>
      </c>
      <c r="S1227" s="39"/>
      <c r="T1227" s="39"/>
      <c r="U1227" s="39"/>
      <c r="V1227" s="39"/>
    </row>
    <row r="1228" ht="22.5" customHeight="1">
      <c r="A1228" s="18">
        <v>491.0</v>
      </c>
      <c r="B1228" s="36">
        <v>29.0</v>
      </c>
      <c r="C1228" s="59" t="s">
        <v>8269</v>
      </c>
      <c r="D1228" s="60">
        <v>2.3241036E8</v>
      </c>
      <c r="E1228" s="36" t="s">
        <v>8270</v>
      </c>
      <c r="F1228" s="36" t="s">
        <v>227</v>
      </c>
      <c r="G1228" s="12">
        <v>31.0</v>
      </c>
      <c r="H1228" s="57" t="str">
        <f t="shared" si="5"/>
        <v/>
      </c>
      <c r="I1228" s="29" t="s">
        <v>7705</v>
      </c>
      <c r="J1228" s="20" t="str">
        <f>VLOOKUP(I1228,'Database Grup SCC'!$B$2:$C1382,2,false)</f>
        <v>-</v>
      </c>
      <c r="K1228" s="50"/>
      <c r="L1228" s="50"/>
      <c r="M1228" s="50"/>
      <c r="N1228" s="35"/>
      <c r="O1228" s="34"/>
      <c r="P1228" s="34"/>
      <c r="Q1228" s="12" t="str">
        <f t="shared" si="6"/>
        <v>#REF!</v>
      </c>
      <c r="R1228" s="39" t="e">
        <v>#REF!</v>
      </c>
      <c r="S1228" s="39"/>
      <c r="T1228" s="39"/>
      <c r="U1228" s="39"/>
      <c r="V1228" s="39"/>
    </row>
    <row r="1229" ht="22.5" customHeight="1">
      <c r="A1229" s="18">
        <v>492.0</v>
      </c>
      <c r="B1229" s="36">
        <v>30.0</v>
      </c>
      <c r="C1229" s="59" t="s">
        <v>8271</v>
      </c>
      <c r="D1229" s="60">
        <v>2.32410366E8</v>
      </c>
      <c r="E1229" s="36" t="s">
        <v>8272</v>
      </c>
      <c r="F1229" s="36" t="s">
        <v>227</v>
      </c>
      <c r="G1229" s="12">
        <v>31.0</v>
      </c>
      <c r="H1229" s="57" t="str">
        <f t="shared" si="5"/>
        <v/>
      </c>
      <c r="I1229" s="29" t="s">
        <v>7705</v>
      </c>
      <c r="J1229" s="20" t="str">
        <f>VLOOKUP(I1229,'Database Grup SCC'!$B$2:$C1382,2,false)</f>
        <v>-</v>
      </c>
      <c r="K1229" s="50"/>
      <c r="L1229" s="50"/>
      <c r="M1229" s="50"/>
      <c r="N1229" s="35"/>
      <c r="O1229" s="34"/>
      <c r="P1229" s="34"/>
      <c r="Q1229" s="12" t="str">
        <f t="shared" si="6"/>
        <v>#REF!</v>
      </c>
      <c r="R1229" s="39" t="e">
        <v>#REF!</v>
      </c>
      <c r="S1229" s="39"/>
      <c r="T1229" s="39"/>
      <c r="U1229" s="39"/>
      <c r="V1229" s="39"/>
    </row>
    <row r="1230" ht="22.5" customHeight="1">
      <c r="A1230" s="18">
        <v>493.0</v>
      </c>
      <c r="B1230" s="36">
        <v>31.0</v>
      </c>
      <c r="C1230" s="59" t="s">
        <v>8273</v>
      </c>
      <c r="D1230" s="60">
        <v>2.32410377E8</v>
      </c>
      <c r="E1230" s="36" t="s">
        <v>8274</v>
      </c>
      <c r="F1230" s="36" t="s">
        <v>227</v>
      </c>
      <c r="G1230" s="12">
        <v>31.0</v>
      </c>
      <c r="H1230" s="57" t="str">
        <f t="shared" si="5"/>
        <v/>
      </c>
      <c r="I1230" s="29" t="s">
        <v>7705</v>
      </c>
      <c r="J1230" s="20" t="str">
        <f>VLOOKUP(I1230,'Database Grup SCC'!$B$2:$C1382,2,false)</f>
        <v>-</v>
      </c>
      <c r="K1230" s="50"/>
      <c r="L1230" s="50"/>
      <c r="M1230" s="50"/>
      <c r="N1230" s="35"/>
      <c r="O1230" s="34"/>
      <c r="P1230" s="34"/>
      <c r="Q1230" s="12" t="str">
        <f t="shared" si="6"/>
        <v>#REF!</v>
      </c>
      <c r="R1230" s="39" t="e">
        <v>#REF!</v>
      </c>
      <c r="S1230" s="39"/>
      <c r="T1230" s="39"/>
      <c r="U1230" s="39"/>
      <c r="V1230" s="39"/>
    </row>
    <row r="1231" ht="22.5" customHeight="1">
      <c r="A1231" s="18">
        <v>494.0</v>
      </c>
      <c r="B1231" s="36">
        <v>32.0</v>
      </c>
      <c r="C1231" s="59" t="s">
        <v>8275</v>
      </c>
      <c r="D1231" s="60">
        <v>2.32410394E8</v>
      </c>
      <c r="E1231" s="36" t="s">
        <v>8276</v>
      </c>
      <c r="F1231" s="36" t="s">
        <v>227</v>
      </c>
      <c r="G1231" s="12">
        <v>31.0</v>
      </c>
      <c r="H1231" s="57" t="str">
        <f t="shared" si="5"/>
        <v/>
      </c>
      <c r="I1231" s="29" t="s">
        <v>7705</v>
      </c>
      <c r="J1231" s="20" t="str">
        <f>VLOOKUP(I1231,'Database Grup SCC'!$B$2:$C1382,2,false)</f>
        <v>-</v>
      </c>
      <c r="K1231" s="50"/>
      <c r="L1231" s="50"/>
      <c r="M1231" s="50"/>
      <c r="N1231" s="35"/>
      <c r="O1231" s="34"/>
      <c r="P1231" s="34"/>
      <c r="Q1231" s="12" t="str">
        <f t="shared" si="6"/>
        <v>#REF!</v>
      </c>
      <c r="R1231" s="39" t="e">
        <v>#REF!</v>
      </c>
      <c r="S1231" s="39"/>
      <c r="T1231" s="39"/>
      <c r="U1231" s="39"/>
      <c r="V1231" s="39"/>
    </row>
    <row r="1232" ht="22.5" customHeight="1">
      <c r="A1232" s="18">
        <v>495.0</v>
      </c>
      <c r="B1232" s="36">
        <v>33.0</v>
      </c>
      <c r="C1232" s="59" t="s">
        <v>8277</v>
      </c>
      <c r="D1232" s="60">
        <v>2.32410392E8</v>
      </c>
      <c r="E1232" s="36" t="s">
        <v>8278</v>
      </c>
      <c r="F1232" s="36" t="s">
        <v>227</v>
      </c>
      <c r="G1232" s="12">
        <v>31.0</v>
      </c>
      <c r="H1232" s="57" t="str">
        <f t="shared" si="5"/>
        <v/>
      </c>
      <c r="I1232" s="29" t="s">
        <v>7705</v>
      </c>
      <c r="J1232" s="20" t="str">
        <f>VLOOKUP(I1232,'Database Grup SCC'!$B$2:$C1382,2,false)</f>
        <v>-</v>
      </c>
      <c r="K1232" s="50"/>
      <c r="L1232" s="50"/>
      <c r="M1232" s="50"/>
      <c r="N1232" s="35"/>
      <c r="O1232" s="34"/>
      <c r="P1232" s="34"/>
      <c r="Q1232" s="12" t="str">
        <f t="shared" si="6"/>
        <v>#REF!</v>
      </c>
      <c r="R1232" s="39" t="e">
        <v>#REF!</v>
      </c>
      <c r="S1232" s="39"/>
      <c r="T1232" s="39"/>
      <c r="U1232" s="39"/>
      <c r="V1232" s="39"/>
    </row>
    <row r="1233" ht="22.5" customHeight="1">
      <c r="A1233" s="18">
        <v>496.0</v>
      </c>
      <c r="B1233" s="36">
        <v>34.0</v>
      </c>
      <c r="C1233" s="59" t="s">
        <v>8279</v>
      </c>
      <c r="D1233" s="47">
        <v>2.32410408E8</v>
      </c>
      <c r="E1233" s="36" t="s">
        <v>8280</v>
      </c>
      <c r="F1233" s="36" t="s">
        <v>220</v>
      </c>
      <c r="G1233" s="12">
        <v>31.0</v>
      </c>
      <c r="H1233" s="57" t="str">
        <f t="shared" si="5"/>
        <v/>
      </c>
      <c r="I1233" s="29" t="s">
        <v>7705</v>
      </c>
      <c r="J1233" s="20" t="str">
        <f>VLOOKUP(I1233,'Database Grup SCC'!$B$2:$C1382,2,false)</f>
        <v>-</v>
      </c>
      <c r="K1233" s="50"/>
      <c r="L1233" s="50"/>
      <c r="M1233" s="50"/>
      <c r="N1233" s="35"/>
      <c r="O1233" s="34"/>
      <c r="P1233" s="34"/>
      <c r="Q1233" s="12" t="str">
        <f t="shared" si="6"/>
        <v>#REF!</v>
      </c>
      <c r="R1233" s="39" t="e">
        <v>#REF!</v>
      </c>
      <c r="S1233" s="39"/>
      <c r="T1233" s="39"/>
      <c r="U1233" s="39"/>
      <c r="V1233" s="39"/>
    </row>
    <row r="1234" ht="22.5" customHeight="1">
      <c r="A1234" s="18">
        <v>497.0</v>
      </c>
      <c r="B1234" s="36">
        <v>35.0</v>
      </c>
      <c r="C1234" s="66" t="s">
        <v>8281</v>
      </c>
      <c r="D1234" s="60">
        <v>2.32410422E8</v>
      </c>
      <c r="E1234" s="36" t="s">
        <v>8282</v>
      </c>
      <c r="F1234" s="36" t="s">
        <v>227</v>
      </c>
      <c r="G1234" s="12">
        <v>31.0</v>
      </c>
      <c r="H1234" s="57" t="str">
        <f t="shared" si="5"/>
        <v/>
      </c>
      <c r="I1234" s="29" t="s">
        <v>7705</v>
      </c>
      <c r="J1234" s="20" t="str">
        <f>VLOOKUP(I1234,'Database Grup SCC'!$B$2:$C1382,2,false)</f>
        <v>-</v>
      </c>
      <c r="K1234" s="50"/>
      <c r="L1234" s="50"/>
      <c r="M1234" s="50"/>
      <c r="N1234" s="35"/>
      <c r="O1234" s="34"/>
      <c r="P1234" s="34"/>
      <c r="Q1234" s="12" t="str">
        <f t="shared" si="6"/>
        <v>#REF!</v>
      </c>
      <c r="R1234" s="39" t="e">
        <v>#REF!</v>
      </c>
      <c r="S1234" s="39"/>
      <c r="T1234" s="39"/>
      <c r="U1234" s="39"/>
      <c r="V1234" s="39"/>
    </row>
    <row r="1235" ht="22.5" customHeight="1">
      <c r="A1235" s="18">
        <v>498.0</v>
      </c>
      <c r="B1235" s="36">
        <v>36.0</v>
      </c>
      <c r="C1235" s="59" t="s">
        <v>8283</v>
      </c>
      <c r="D1235" s="60">
        <v>2.32410421E8</v>
      </c>
      <c r="E1235" s="36" t="s">
        <v>8284</v>
      </c>
      <c r="F1235" s="36" t="s">
        <v>227</v>
      </c>
      <c r="G1235" s="12">
        <v>31.0</v>
      </c>
      <c r="H1235" s="57" t="str">
        <f t="shared" si="5"/>
        <v/>
      </c>
      <c r="I1235" s="29" t="s">
        <v>7705</v>
      </c>
      <c r="J1235" s="20" t="str">
        <f>VLOOKUP(I1235,'Database Grup SCC'!$B$2:$C1382,2,false)</f>
        <v>-</v>
      </c>
      <c r="K1235" s="50"/>
      <c r="L1235" s="50"/>
      <c r="M1235" s="50"/>
      <c r="N1235" s="35"/>
      <c r="O1235" s="34"/>
      <c r="P1235" s="34"/>
      <c r="Q1235" s="12" t="str">
        <f t="shared" si="6"/>
        <v>#REF!</v>
      </c>
      <c r="R1235" s="39" t="e">
        <v>#REF!</v>
      </c>
      <c r="S1235" s="39"/>
      <c r="T1235" s="39"/>
      <c r="U1235" s="39"/>
      <c r="V1235" s="39"/>
    </row>
    <row r="1236" ht="22.5" customHeight="1">
      <c r="A1236" s="18">
        <v>512.0</v>
      </c>
      <c r="B1236" s="36">
        <v>1.0</v>
      </c>
      <c r="C1236" s="36" t="s">
        <v>8285</v>
      </c>
      <c r="D1236" s="60">
        <v>2.32410005E8</v>
      </c>
      <c r="E1236" s="36" t="s">
        <v>8286</v>
      </c>
      <c r="F1236" s="36" t="s">
        <v>220</v>
      </c>
      <c r="G1236" s="12">
        <v>31.0</v>
      </c>
      <c r="H1236" s="57" t="str">
        <f t="shared" si="5"/>
        <v/>
      </c>
      <c r="I1236" s="29" t="s">
        <v>7705</v>
      </c>
      <c r="J1236" s="20" t="str">
        <f>VLOOKUP(I1236,'Database Grup SCC'!$B$2:$C1382,2,false)</f>
        <v>-</v>
      </c>
      <c r="K1236" s="50"/>
      <c r="L1236" s="50" t="s">
        <v>8287</v>
      </c>
      <c r="M1236" s="50" t="s">
        <v>8288</v>
      </c>
      <c r="N1236" s="35"/>
      <c r="O1236" s="34"/>
      <c r="P1236" s="34"/>
      <c r="Q1236" s="12" t="str">
        <f t="shared" si="6"/>
        <v>#REF!</v>
      </c>
      <c r="R1236" s="39" t="e">
        <v>#REF!</v>
      </c>
      <c r="S1236" s="39"/>
      <c r="T1236" s="39"/>
      <c r="U1236" s="39"/>
      <c r="V1236" s="39"/>
    </row>
    <row r="1237" ht="22.5" customHeight="1">
      <c r="A1237" s="18">
        <v>513.0</v>
      </c>
      <c r="B1237" s="36">
        <v>2.0</v>
      </c>
      <c r="C1237" s="59" t="s">
        <v>8289</v>
      </c>
      <c r="D1237" s="60">
        <v>2.32410012E8</v>
      </c>
      <c r="E1237" s="36" t="s">
        <v>8290</v>
      </c>
      <c r="F1237" s="36" t="s">
        <v>220</v>
      </c>
      <c r="G1237" s="12">
        <v>31.0</v>
      </c>
      <c r="H1237" s="57" t="str">
        <f t="shared" si="5"/>
        <v/>
      </c>
      <c r="I1237" s="29" t="s">
        <v>7705</v>
      </c>
      <c r="J1237" s="20" t="str">
        <f>VLOOKUP(I1237,'Database Grup SCC'!$B$2:$C1382,2,false)</f>
        <v>-</v>
      </c>
      <c r="K1237" s="50"/>
      <c r="L1237" s="50"/>
      <c r="M1237" s="50"/>
      <c r="N1237" s="35"/>
      <c r="O1237" s="34"/>
      <c r="P1237" s="34"/>
      <c r="Q1237" s="12" t="str">
        <f t="shared" si="6"/>
        <v>#REF!</v>
      </c>
      <c r="R1237" s="39" t="e">
        <v>#REF!</v>
      </c>
      <c r="S1237" s="39"/>
      <c r="T1237" s="39"/>
      <c r="U1237" s="39"/>
      <c r="V1237" s="39"/>
    </row>
    <row r="1238" ht="22.5" customHeight="1">
      <c r="A1238" s="18">
        <v>525.0</v>
      </c>
      <c r="B1238" s="36">
        <v>3.0</v>
      </c>
      <c r="C1238" s="36" t="s">
        <v>8291</v>
      </c>
      <c r="D1238" s="60">
        <v>2.32410031E8</v>
      </c>
      <c r="E1238" s="36" t="s">
        <v>8292</v>
      </c>
      <c r="F1238" s="36" t="s">
        <v>227</v>
      </c>
      <c r="G1238" s="12">
        <v>31.0</v>
      </c>
      <c r="H1238" s="57" t="str">
        <f t="shared" si="5"/>
        <v/>
      </c>
      <c r="I1238" s="29" t="s">
        <v>7705</v>
      </c>
      <c r="J1238" s="20" t="str">
        <f>VLOOKUP(I1238,'Database Grup SCC'!$B$2:$C1382,2,false)</f>
        <v>-</v>
      </c>
      <c r="K1238" s="50"/>
      <c r="L1238" s="50"/>
      <c r="M1238" s="50"/>
      <c r="N1238" s="35"/>
      <c r="O1238" s="34"/>
      <c r="P1238" s="34"/>
      <c r="Q1238" s="12" t="str">
        <f t="shared" si="6"/>
        <v>#REF!</v>
      </c>
      <c r="R1238" s="39" t="e">
        <v>#REF!</v>
      </c>
      <c r="S1238" s="39"/>
      <c r="T1238" s="39"/>
      <c r="U1238" s="39"/>
      <c r="V1238" s="39"/>
    </row>
    <row r="1239" ht="22.5" customHeight="1">
      <c r="A1239" s="18">
        <v>526.0</v>
      </c>
      <c r="B1239" s="36">
        <v>4.0</v>
      </c>
      <c r="C1239" s="36" t="s">
        <v>8293</v>
      </c>
      <c r="D1239" s="60">
        <v>2.32410082E8</v>
      </c>
      <c r="E1239" s="36" t="s">
        <v>8294</v>
      </c>
      <c r="F1239" s="36" t="s">
        <v>227</v>
      </c>
      <c r="G1239" s="12">
        <v>31.0</v>
      </c>
      <c r="H1239" s="57" t="str">
        <f t="shared" si="5"/>
        <v/>
      </c>
      <c r="I1239" s="29" t="s">
        <v>7705</v>
      </c>
      <c r="J1239" s="20" t="str">
        <f>VLOOKUP(I1239,'Database Grup SCC'!$B$2:$C1382,2,false)</f>
        <v>-</v>
      </c>
      <c r="K1239" s="50"/>
      <c r="L1239" s="50"/>
      <c r="M1239" s="50"/>
      <c r="N1239" s="35"/>
      <c r="O1239" s="34"/>
      <c r="P1239" s="34"/>
      <c r="Q1239" s="12" t="str">
        <f t="shared" si="6"/>
        <v>#REF!</v>
      </c>
      <c r="R1239" s="39" t="e">
        <v>#REF!</v>
      </c>
      <c r="S1239" s="39"/>
      <c r="T1239" s="39"/>
      <c r="U1239" s="39"/>
      <c r="V1239" s="39"/>
    </row>
    <row r="1240" ht="22.5" customHeight="1">
      <c r="A1240" s="18">
        <v>527.0</v>
      </c>
      <c r="B1240" s="36">
        <v>5.0</v>
      </c>
      <c r="C1240" s="59" t="s">
        <v>8295</v>
      </c>
      <c r="D1240" s="60">
        <v>2.32410096E8</v>
      </c>
      <c r="E1240" s="36" t="s">
        <v>8296</v>
      </c>
      <c r="F1240" s="36" t="s">
        <v>220</v>
      </c>
      <c r="G1240" s="12">
        <v>31.0</v>
      </c>
      <c r="H1240" s="57" t="str">
        <f t="shared" si="5"/>
        <v/>
      </c>
      <c r="I1240" s="29" t="s">
        <v>7705</v>
      </c>
      <c r="J1240" s="20" t="str">
        <f>VLOOKUP(I1240,'Database Grup SCC'!$B$2:$C1382,2,false)</f>
        <v>-</v>
      </c>
      <c r="K1240" s="50"/>
      <c r="L1240" s="50"/>
      <c r="M1240" s="50"/>
      <c r="N1240" s="35"/>
      <c r="O1240" s="34"/>
      <c r="P1240" s="34"/>
      <c r="Q1240" s="12" t="str">
        <f t="shared" si="6"/>
        <v>#REF!</v>
      </c>
      <c r="R1240" s="39" t="e">
        <v>#REF!</v>
      </c>
      <c r="S1240" s="39"/>
      <c r="T1240" s="39"/>
      <c r="U1240" s="39"/>
      <c r="V1240" s="39"/>
    </row>
    <row r="1241" ht="22.5" customHeight="1">
      <c r="A1241" s="18">
        <v>528.0</v>
      </c>
      <c r="B1241" s="36">
        <v>6.0</v>
      </c>
      <c r="C1241" s="36" t="s">
        <v>8297</v>
      </c>
      <c r="D1241" s="60">
        <v>2.32410097E8</v>
      </c>
      <c r="E1241" s="36" t="s">
        <v>8298</v>
      </c>
      <c r="F1241" s="36" t="s">
        <v>220</v>
      </c>
      <c r="G1241" s="12">
        <v>31.0</v>
      </c>
      <c r="H1241" s="57" t="str">
        <f t="shared" si="5"/>
        <v/>
      </c>
      <c r="I1241" s="29" t="s">
        <v>7705</v>
      </c>
      <c r="J1241" s="20" t="str">
        <f>VLOOKUP(I1241,'Database Grup SCC'!$B$2:$C1382,2,false)</f>
        <v>-</v>
      </c>
      <c r="K1241" s="50"/>
      <c r="L1241" s="50"/>
      <c r="M1241" s="50"/>
      <c r="N1241" s="35"/>
      <c r="O1241" s="34"/>
      <c r="P1241" s="34"/>
      <c r="Q1241" s="12" t="str">
        <f t="shared" si="6"/>
        <v>#REF!</v>
      </c>
      <c r="R1241" s="39" t="e">
        <v>#REF!</v>
      </c>
      <c r="S1241" s="39"/>
      <c r="T1241" s="39"/>
      <c r="U1241" s="39"/>
      <c r="V1241" s="39"/>
    </row>
    <row r="1242" ht="22.5" customHeight="1">
      <c r="A1242" s="18">
        <v>529.0</v>
      </c>
      <c r="B1242" s="36">
        <v>7.0</v>
      </c>
      <c r="C1242" s="59" t="s">
        <v>8084</v>
      </c>
      <c r="D1242" s="60">
        <v>2.32410101E8</v>
      </c>
      <c r="E1242" s="36" t="s">
        <v>8299</v>
      </c>
      <c r="F1242" s="36" t="s">
        <v>220</v>
      </c>
      <c r="G1242" s="12">
        <v>31.0</v>
      </c>
      <c r="H1242" s="57" t="str">
        <f t="shared" si="5"/>
        <v/>
      </c>
      <c r="I1242" s="29" t="s">
        <v>7705</v>
      </c>
      <c r="J1242" s="20" t="str">
        <f>VLOOKUP(I1242,'Database Grup SCC'!$B$2:$C1382,2,false)</f>
        <v>-</v>
      </c>
      <c r="K1242" s="50"/>
      <c r="L1242" s="50"/>
      <c r="M1242" s="50"/>
      <c r="N1242" s="35"/>
      <c r="O1242" s="34"/>
      <c r="P1242" s="34"/>
      <c r="Q1242" s="12" t="str">
        <f t="shared" si="6"/>
        <v>#REF!</v>
      </c>
      <c r="R1242" s="39" t="e">
        <v>#REF!</v>
      </c>
      <c r="S1242" s="39"/>
      <c r="T1242" s="39"/>
      <c r="U1242" s="39"/>
      <c r="V1242" s="39"/>
    </row>
    <row r="1243" ht="22.5" customHeight="1">
      <c r="A1243" s="18">
        <v>530.0</v>
      </c>
      <c r="B1243" s="36">
        <v>8.0</v>
      </c>
      <c r="C1243" s="36" t="s">
        <v>8300</v>
      </c>
      <c r="D1243" s="60">
        <v>2.32410114E8</v>
      </c>
      <c r="E1243" s="36" t="s">
        <v>8301</v>
      </c>
      <c r="F1243" s="36" t="s">
        <v>227</v>
      </c>
      <c r="G1243" s="12">
        <v>31.0</v>
      </c>
      <c r="H1243" s="57" t="str">
        <f t="shared" si="5"/>
        <v/>
      </c>
      <c r="I1243" s="29" t="s">
        <v>7705</v>
      </c>
      <c r="J1243" s="20" t="str">
        <f>VLOOKUP(I1243,'Database Grup SCC'!$B$2:$C1382,2,false)</f>
        <v>-</v>
      </c>
      <c r="K1243" s="50"/>
      <c r="L1243" s="50"/>
      <c r="M1243" s="50"/>
      <c r="N1243" s="35"/>
      <c r="O1243" s="34"/>
      <c r="P1243" s="34"/>
      <c r="Q1243" s="12" t="str">
        <f t="shared" si="6"/>
        <v>#REF!</v>
      </c>
      <c r="R1243" s="39" t="e">
        <v>#REF!</v>
      </c>
      <c r="S1243" s="39"/>
      <c r="T1243" s="39"/>
      <c r="U1243" s="39"/>
      <c r="V1243" s="39"/>
    </row>
    <row r="1244" ht="22.5" customHeight="1">
      <c r="A1244" s="18">
        <v>531.0</v>
      </c>
      <c r="B1244" s="36">
        <v>9.0</v>
      </c>
      <c r="C1244" s="59" t="s">
        <v>8302</v>
      </c>
      <c r="D1244" s="60">
        <v>2.32410124E8</v>
      </c>
      <c r="E1244" s="36" t="s">
        <v>8303</v>
      </c>
      <c r="F1244" s="36" t="s">
        <v>220</v>
      </c>
      <c r="G1244" s="12">
        <v>31.0</v>
      </c>
      <c r="H1244" s="57" t="str">
        <f t="shared" si="5"/>
        <v/>
      </c>
      <c r="I1244" s="29" t="s">
        <v>7705</v>
      </c>
      <c r="J1244" s="20" t="str">
        <f>VLOOKUP(I1244,'Database Grup SCC'!$B$2:$C1382,2,false)</f>
        <v>-</v>
      </c>
      <c r="K1244" s="50"/>
      <c r="L1244" s="50"/>
      <c r="M1244" s="50"/>
      <c r="N1244" s="35"/>
      <c r="O1244" s="34"/>
      <c r="P1244" s="34"/>
      <c r="Q1244" s="12" t="str">
        <f t="shared" si="6"/>
        <v>#REF!</v>
      </c>
      <c r="R1244" s="39" t="e">
        <v>#REF!</v>
      </c>
      <c r="S1244" s="39"/>
      <c r="T1244" s="39"/>
      <c r="U1244" s="39"/>
      <c r="V1244" s="39"/>
    </row>
    <row r="1245" ht="22.5" customHeight="1">
      <c r="A1245" s="18">
        <v>532.0</v>
      </c>
      <c r="B1245" s="36">
        <v>10.0</v>
      </c>
      <c r="C1245" s="36" t="s">
        <v>8304</v>
      </c>
      <c r="D1245" s="60">
        <v>2.32410129E8</v>
      </c>
      <c r="E1245" s="36" t="s">
        <v>8305</v>
      </c>
      <c r="F1245" s="36" t="s">
        <v>220</v>
      </c>
      <c r="G1245" s="12">
        <v>31.0</v>
      </c>
      <c r="H1245" s="57" t="str">
        <f t="shared" si="5"/>
        <v/>
      </c>
      <c r="I1245" s="29" t="s">
        <v>7705</v>
      </c>
      <c r="J1245" s="20" t="str">
        <f>VLOOKUP(I1245,'Database Grup SCC'!$B$2:$C1382,2,false)</f>
        <v>-</v>
      </c>
      <c r="K1245" s="50"/>
      <c r="L1245" s="50"/>
      <c r="M1245" s="50"/>
      <c r="N1245" s="35"/>
      <c r="O1245" s="34"/>
      <c r="P1245" s="34"/>
      <c r="Q1245" s="12" t="str">
        <f t="shared" si="6"/>
        <v>#REF!</v>
      </c>
      <c r="R1245" s="39" t="e">
        <v>#REF!</v>
      </c>
      <c r="S1245" s="39"/>
      <c r="T1245" s="39"/>
      <c r="U1245" s="39"/>
      <c r="V1245" s="39"/>
    </row>
    <row r="1246" ht="22.5" customHeight="1">
      <c r="A1246" s="18">
        <v>533.0</v>
      </c>
      <c r="B1246" s="36">
        <v>11.0</v>
      </c>
      <c r="C1246" s="59" t="s">
        <v>8306</v>
      </c>
      <c r="D1246" s="60">
        <v>2.32410141E8</v>
      </c>
      <c r="E1246" s="36" t="s">
        <v>8307</v>
      </c>
      <c r="F1246" s="36" t="s">
        <v>220</v>
      </c>
      <c r="G1246" s="12">
        <v>31.0</v>
      </c>
      <c r="H1246" s="57" t="str">
        <f t="shared" si="5"/>
        <v/>
      </c>
      <c r="I1246" s="29" t="s">
        <v>7705</v>
      </c>
      <c r="J1246" s="20" t="str">
        <f>VLOOKUP(I1246,'Database Grup SCC'!$B$2:$C1382,2,false)</f>
        <v>-</v>
      </c>
      <c r="K1246" s="50"/>
      <c r="L1246" s="50"/>
      <c r="M1246" s="50"/>
      <c r="N1246" s="35"/>
      <c r="O1246" s="34"/>
      <c r="P1246" s="34"/>
      <c r="Q1246" s="12" t="str">
        <f t="shared" si="6"/>
        <v>#REF!</v>
      </c>
      <c r="R1246" s="39" t="e">
        <v>#REF!</v>
      </c>
      <c r="S1246" s="39"/>
      <c r="T1246" s="39"/>
      <c r="U1246" s="39"/>
      <c r="V1246" s="39"/>
    </row>
    <row r="1247" ht="22.5" customHeight="1">
      <c r="A1247" s="18">
        <v>534.0</v>
      </c>
      <c r="B1247" s="36">
        <v>12.0</v>
      </c>
      <c r="C1247" s="59" t="s">
        <v>8308</v>
      </c>
      <c r="D1247" s="60">
        <v>2.32410161E8</v>
      </c>
      <c r="E1247" s="36" t="s">
        <v>8309</v>
      </c>
      <c r="F1247" s="36" t="s">
        <v>220</v>
      </c>
      <c r="G1247" s="12">
        <v>31.0</v>
      </c>
      <c r="H1247" s="57" t="str">
        <f t="shared" si="5"/>
        <v/>
      </c>
      <c r="I1247" s="29" t="s">
        <v>7705</v>
      </c>
      <c r="J1247" s="20" t="str">
        <f>VLOOKUP(I1247,'Database Grup SCC'!$B$2:$C1382,2,false)</f>
        <v>-</v>
      </c>
      <c r="K1247" s="50"/>
      <c r="L1247" s="50"/>
      <c r="M1247" s="50"/>
      <c r="N1247" s="35"/>
      <c r="O1247" s="34"/>
      <c r="P1247" s="34"/>
      <c r="Q1247" s="12" t="str">
        <f t="shared" si="6"/>
        <v>#REF!</v>
      </c>
      <c r="R1247" s="39" t="e">
        <v>#REF!</v>
      </c>
      <c r="S1247" s="39"/>
      <c r="T1247" s="39"/>
      <c r="U1247" s="39"/>
      <c r="V1247" s="39"/>
    </row>
    <row r="1248" ht="22.5" customHeight="1">
      <c r="A1248" s="18">
        <v>535.0</v>
      </c>
      <c r="B1248" s="36">
        <v>13.0</v>
      </c>
      <c r="C1248" s="36" t="s">
        <v>8310</v>
      </c>
      <c r="D1248" s="60">
        <v>2.32410162E8</v>
      </c>
      <c r="E1248" s="36" t="s">
        <v>8311</v>
      </c>
      <c r="F1248" s="36" t="s">
        <v>227</v>
      </c>
      <c r="G1248" s="12">
        <v>31.0</v>
      </c>
      <c r="H1248" s="57" t="str">
        <f t="shared" si="5"/>
        <v/>
      </c>
      <c r="I1248" s="29" t="s">
        <v>7705</v>
      </c>
      <c r="J1248" s="20" t="str">
        <f>VLOOKUP(I1248,'Database Grup SCC'!$B$2:$C1382,2,false)</f>
        <v>-</v>
      </c>
      <c r="K1248" s="50"/>
      <c r="L1248" s="50"/>
      <c r="M1248" s="50"/>
      <c r="N1248" s="35"/>
      <c r="O1248" s="34"/>
      <c r="P1248" s="34"/>
      <c r="Q1248" s="12" t="str">
        <f t="shared" si="6"/>
        <v>#REF!</v>
      </c>
      <c r="R1248" s="39" t="e">
        <v>#REF!</v>
      </c>
      <c r="S1248" s="39"/>
      <c r="T1248" s="39"/>
      <c r="U1248" s="39"/>
      <c r="V1248" s="39"/>
    </row>
    <row r="1249" ht="22.5" customHeight="1">
      <c r="A1249" s="18">
        <v>536.0</v>
      </c>
      <c r="B1249" s="36">
        <v>14.0</v>
      </c>
      <c r="C1249" s="36" t="s">
        <v>8312</v>
      </c>
      <c r="D1249" s="60">
        <v>2.32410171E8</v>
      </c>
      <c r="E1249" s="36" t="s">
        <v>8313</v>
      </c>
      <c r="F1249" s="36" t="s">
        <v>227</v>
      </c>
      <c r="G1249" s="12">
        <v>31.0</v>
      </c>
      <c r="H1249" s="57" t="str">
        <f t="shared" si="5"/>
        <v/>
      </c>
      <c r="I1249" s="29" t="s">
        <v>7705</v>
      </c>
      <c r="J1249" s="20" t="str">
        <f>VLOOKUP(I1249,'Database Grup SCC'!$B$2:$C1382,2,false)</f>
        <v>-</v>
      </c>
      <c r="K1249" s="50"/>
      <c r="L1249" s="50"/>
      <c r="M1249" s="50"/>
      <c r="N1249" s="35"/>
      <c r="O1249" s="34"/>
      <c r="P1249" s="34"/>
      <c r="Q1249" s="12" t="str">
        <f t="shared" si="6"/>
        <v>#REF!</v>
      </c>
      <c r="R1249" s="39" t="e">
        <v>#REF!</v>
      </c>
      <c r="S1249" s="39"/>
      <c r="T1249" s="39"/>
      <c r="U1249" s="39"/>
      <c r="V1249" s="39"/>
    </row>
    <row r="1250" ht="22.5" customHeight="1">
      <c r="A1250" s="18">
        <v>537.0</v>
      </c>
      <c r="B1250" s="36">
        <v>15.0</v>
      </c>
      <c r="C1250" s="59" t="s">
        <v>8314</v>
      </c>
      <c r="D1250" s="60">
        <v>2.32410185E8</v>
      </c>
      <c r="E1250" s="36" t="s">
        <v>8315</v>
      </c>
      <c r="F1250" s="36" t="s">
        <v>220</v>
      </c>
      <c r="G1250" s="12">
        <v>31.0</v>
      </c>
      <c r="H1250" s="57" t="str">
        <f t="shared" si="5"/>
        <v/>
      </c>
      <c r="I1250" s="29" t="s">
        <v>7705</v>
      </c>
      <c r="J1250" s="20" t="str">
        <f>VLOOKUP(I1250,'Database Grup SCC'!$B$2:$C1382,2,false)</f>
        <v>-</v>
      </c>
      <c r="K1250" s="50"/>
      <c r="L1250" s="50"/>
      <c r="M1250" s="50"/>
      <c r="N1250" s="35"/>
      <c r="O1250" s="34"/>
      <c r="P1250" s="34"/>
      <c r="Q1250" s="12" t="str">
        <f t="shared" si="6"/>
        <v>#REF!</v>
      </c>
      <c r="R1250" s="39" t="e">
        <v>#REF!</v>
      </c>
      <c r="S1250" s="39"/>
      <c r="T1250" s="39"/>
      <c r="U1250" s="39"/>
      <c r="V1250" s="39"/>
    </row>
    <row r="1251" ht="22.5" customHeight="1">
      <c r="A1251" s="18">
        <v>538.0</v>
      </c>
      <c r="B1251" s="36">
        <v>16.0</v>
      </c>
      <c r="C1251" s="59" t="s">
        <v>8316</v>
      </c>
      <c r="D1251" s="60">
        <v>2.32410187E8</v>
      </c>
      <c r="E1251" s="36" t="s">
        <v>8317</v>
      </c>
      <c r="F1251" s="36" t="s">
        <v>227</v>
      </c>
      <c r="G1251" s="12">
        <v>31.0</v>
      </c>
      <c r="H1251" s="57" t="str">
        <f t="shared" si="5"/>
        <v/>
      </c>
      <c r="I1251" s="29" t="s">
        <v>7705</v>
      </c>
      <c r="J1251" s="20" t="str">
        <f>VLOOKUP(I1251,'Database Grup SCC'!$B$2:$C1382,2,false)</f>
        <v>-</v>
      </c>
      <c r="K1251" s="50"/>
      <c r="L1251" s="50"/>
      <c r="M1251" s="50"/>
      <c r="N1251" s="35"/>
      <c r="O1251" s="34"/>
      <c r="P1251" s="34"/>
      <c r="Q1251" s="12" t="str">
        <f t="shared" si="6"/>
        <v>#REF!</v>
      </c>
      <c r="R1251" s="39" t="e">
        <v>#REF!</v>
      </c>
      <c r="S1251" s="39"/>
      <c r="T1251" s="39"/>
      <c r="U1251" s="39"/>
      <c r="V1251" s="39"/>
    </row>
    <row r="1252" ht="22.5" customHeight="1">
      <c r="A1252" s="18">
        <v>539.0</v>
      </c>
      <c r="B1252" s="36">
        <v>17.0</v>
      </c>
      <c r="C1252" s="67" t="s">
        <v>8318</v>
      </c>
      <c r="D1252" s="60">
        <v>2.32410215E8</v>
      </c>
      <c r="E1252" s="36" t="s">
        <v>8319</v>
      </c>
      <c r="F1252" s="36" t="s">
        <v>220</v>
      </c>
      <c r="G1252" s="12">
        <v>31.0</v>
      </c>
      <c r="H1252" s="57" t="str">
        <f t="shared" si="5"/>
        <v/>
      </c>
      <c r="I1252" s="29" t="s">
        <v>7705</v>
      </c>
      <c r="J1252" s="20" t="str">
        <f>VLOOKUP(I1252,'Database Grup SCC'!$B$2:$C1382,2,false)</f>
        <v>-</v>
      </c>
      <c r="K1252" s="50"/>
      <c r="L1252" s="50"/>
      <c r="M1252" s="50"/>
      <c r="N1252" s="35"/>
      <c r="O1252" s="34"/>
      <c r="P1252" s="34"/>
      <c r="Q1252" s="12" t="str">
        <f t="shared" si="6"/>
        <v>#REF!</v>
      </c>
      <c r="R1252" s="39" t="e">
        <v>#REF!</v>
      </c>
      <c r="S1252" s="39"/>
      <c r="T1252" s="39"/>
      <c r="U1252" s="39"/>
      <c r="V1252" s="39"/>
    </row>
    <row r="1253" ht="22.5" customHeight="1">
      <c r="A1253" s="18">
        <v>540.0</v>
      </c>
      <c r="B1253" s="36">
        <v>18.0</v>
      </c>
      <c r="C1253" s="36" t="s">
        <v>8320</v>
      </c>
      <c r="D1253" s="60">
        <v>2.32410217E8</v>
      </c>
      <c r="E1253" s="36" t="s">
        <v>8321</v>
      </c>
      <c r="F1253" s="36" t="s">
        <v>227</v>
      </c>
      <c r="G1253" s="12">
        <v>31.0</v>
      </c>
      <c r="H1253" s="57" t="str">
        <f t="shared" si="5"/>
        <v/>
      </c>
      <c r="I1253" s="29" t="s">
        <v>7705</v>
      </c>
      <c r="J1253" s="20" t="str">
        <f>VLOOKUP(I1253,'Database Grup SCC'!$B$2:$C1382,2,false)</f>
        <v>-</v>
      </c>
      <c r="K1253" s="50"/>
      <c r="L1253" s="50"/>
      <c r="M1253" s="50"/>
      <c r="N1253" s="35"/>
      <c r="O1253" s="34"/>
      <c r="P1253" s="34"/>
      <c r="Q1253" s="12" t="str">
        <f t="shared" si="6"/>
        <v>#REF!</v>
      </c>
      <c r="R1253" s="39" t="e">
        <v>#REF!</v>
      </c>
      <c r="S1253" s="39"/>
      <c r="T1253" s="39"/>
      <c r="U1253" s="39"/>
      <c r="V1253" s="39"/>
    </row>
    <row r="1254" ht="22.5" customHeight="1">
      <c r="A1254" s="18">
        <v>541.0</v>
      </c>
      <c r="B1254" s="36">
        <v>19.0</v>
      </c>
      <c r="C1254" s="40" t="s">
        <v>8322</v>
      </c>
      <c r="D1254" s="64">
        <v>2.32410218E8</v>
      </c>
      <c r="E1254" s="36" t="s">
        <v>8323</v>
      </c>
      <c r="F1254" s="36" t="s">
        <v>227</v>
      </c>
      <c r="G1254" s="12">
        <v>31.0</v>
      </c>
      <c r="H1254" s="57" t="str">
        <f t="shared" si="5"/>
        <v/>
      </c>
      <c r="I1254" s="29" t="s">
        <v>7705</v>
      </c>
      <c r="J1254" s="20" t="str">
        <f>VLOOKUP(I1254,'Database Grup SCC'!$B$2:$C1382,2,false)</f>
        <v>-</v>
      </c>
      <c r="K1254" s="50"/>
      <c r="L1254" s="50"/>
      <c r="M1254" s="50"/>
      <c r="N1254" s="35"/>
      <c r="O1254" s="34"/>
      <c r="P1254" s="34"/>
      <c r="Q1254" s="12" t="str">
        <f t="shared" si="6"/>
        <v>#REF!</v>
      </c>
      <c r="R1254" s="39" t="e">
        <v>#REF!</v>
      </c>
      <c r="S1254" s="39"/>
      <c r="T1254" s="39"/>
      <c r="U1254" s="39"/>
      <c r="V1254" s="39"/>
    </row>
    <row r="1255" ht="22.5" customHeight="1">
      <c r="A1255" s="18">
        <v>542.0</v>
      </c>
      <c r="B1255" s="36">
        <v>20.0</v>
      </c>
      <c r="C1255" s="59" t="s">
        <v>8324</v>
      </c>
      <c r="D1255" s="60">
        <v>2.32410256E8</v>
      </c>
      <c r="E1255" s="36" t="s">
        <v>8325</v>
      </c>
      <c r="F1255" s="36" t="s">
        <v>220</v>
      </c>
      <c r="G1255" s="12">
        <v>31.0</v>
      </c>
      <c r="H1255" s="57" t="str">
        <f t="shared" si="5"/>
        <v/>
      </c>
      <c r="I1255" s="29" t="s">
        <v>7705</v>
      </c>
      <c r="J1255" s="20" t="str">
        <f>VLOOKUP(I1255,'Database Grup SCC'!$B$2:$C1382,2,false)</f>
        <v>-</v>
      </c>
      <c r="K1255" s="50"/>
      <c r="L1255" s="50"/>
      <c r="M1255" s="50"/>
      <c r="N1255" s="35"/>
      <c r="O1255" s="34"/>
      <c r="P1255" s="34"/>
      <c r="Q1255" s="12" t="str">
        <f t="shared" si="6"/>
        <v>#REF!</v>
      </c>
      <c r="R1255" s="39" t="e">
        <v>#REF!</v>
      </c>
      <c r="S1255" s="39"/>
      <c r="T1255" s="39"/>
      <c r="U1255" s="39"/>
      <c r="V1255" s="39"/>
    </row>
    <row r="1256" ht="22.5" customHeight="1">
      <c r="A1256" s="18">
        <v>543.0</v>
      </c>
      <c r="B1256" s="36">
        <v>21.0</v>
      </c>
      <c r="C1256" s="59" t="s">
        <v>8326</v>
      </c>
      <c r="D1256" s="60">
        <v>2.32410264E8</v>
      </c>
      <c r="E1256" s="36" t="s">
        <v>8327</v>
      </c>
      <c r="F1256" s="36" t="s">
        <v>227</v>
      </c>
      <c r="G1256" s="12">
        <v>31.0</v>
      </c>
      <c r="H1256" s="57" t="str">
        <f t="shared" si="5"/>
        <v/>
      </c>
      <c r="I1256" s="29" t="s">
        <v>7705</v>
      </c>
      <c r="J1256" s="20" t="str">
        <f>VLOOKUP(I1256,'Database Grup SCC'!$B$2:$C1382,2,false)</f>
        <v>-</v>
      </c>
      <c r="K1256" s="50"/>
      <c r="L1256" s="50"/>
      <c r="M1256" s="50"/>
      <c r="N1256" s="35"/>
      <c r="O1256" s="34"/>
      <c r="P1256" s="34"/>
      <c r="Q1256" s="12" t="str">
        <f t="shared" si="6"/>
        <v>#REF!</v>
      </c>
      <c r="R1256" s="39" t="e">
        <v>#REF!</v>
      </c>
      <c r="S1256" s="39"/>
      <c r="T1256" s="39"/>
      <c r="U1256" s="39"/>
      <c r="V1256" s="39"/>
    </row>
    <row r="1257" ht="22.5" customHeight="1">
      <c r="A1257" s="18">
        <v>544.0</v>
      </c>
      <c r="B1257" s="36">
        <v>22.0</v>
      </c>
      <c r="C1257" s="36">
        <v>3.082660397E9</v>
      </c>
      <c r="D1257" s="60">
        <v>2.3241027E8</v>
      </c>
      <c r="E1257" s="36" t="s">
        <v>8328</v>
      </c>
      <c r="F1257" s="36" t="s">
        <v>227</v>
      </c>
      <c r="G1257" s="12">
        <v>31.0</v>
      </c>
      <c r="H1257" s="57" t="str">
        <f t="shared" si="5"/>
        <v/>
      </c>
      <c r="I1257" s="29" t="s">
        <v>7705</v>
      </c>
      <c r="J1257" s="20" t="str">
        <f>VLOOKUP(I1257,'Database Grup SCC'!$B$2:$C1382,2,false)</f>
        <v>-</v>
      </c>
      <c r="K1257" s="50"/>
      <c r="L1257" s="50"/>
      <c r="M1257" s="50"/>
      <c r="N1257" s="35"/>
      <c r="O1257" s="34"/>
      <c r="P1257" s="34"/>
      <c r="Q1257" s="12" t="str">
        <f t="shared" si="6"/>
        <v>#REF!</v>
      </c>
      <c r="R1257" s="39" t="e">
        <v>#REF!</v>
      </c>
      <c r="S1257" s="39"/>
      <c r="T1257" s="39"/>
      <c r="U1257" s="39"/>
      <c r="V1257" s="39"/>
    </row>
    <row r="1258" ht="22.5" customHeight="1">
      <c r="A1258" s="18">
        <v>545.0</v>
      </c>
      <c r="B1258" s="36">
        <v>23.0</v>
      </c>
      <c r="C1258" s="36" t="s">
        <v>8329</v>
      </c>
      <c r="D1258" s="60">
        <v>2.32410277E8</v>
      </c>
      <c r="E1258" s="36" t="s">
        <v>8330</v>
      </c>
      <c r="F1258" s="36" t="s">
        <v>227</v>
      </c>
      <c r="G1258" s="12">
        <v>31.0</v>
      </c>
      <c r="H1258" s="57" t="str">
        <f t="shared" si="5"/>
        <v/>
      </c>
      <c r="I1258" s="29" t="s">
        <v>7705</v>
      </c>
      <c r="J1258" s="20" t="str">
        <f>VLOOKUP(I1258,'Database Grup SCC'!$B$2:$C1382,2,false)</f>
        <v>-</v>
      </c>
      <c r="K1258" s="50"/>
      <c r="L1258" s="50"/>
      <c r="M1258" s="50"/>
      <c r="N1258" s="35"/>
      <c r="O1258" s="34"/>
      <c r="P1258" s="34"/>
      <c r="Q1258" s="12" t="str">
        <f t="shared" si="6"/>
        <v>#REF!</v>
      </c>
      <c r="R1258" s="39" t="e">
        <v>#REF!</v>
      </c>
      <c r="S1258" s="39"/>
      <c r="T1258" s="39"/>
      <c r="U1258" s="39"/>
      <c r="V1258" s="39"/>
    </row>
    <row r="1259" ht="22.5" customHeight="1">
      <c r="A1259" s="18">
        <v>546.0</v>
      </c>
      <c r="B1259" s="36">
        <v>24.0</v>
      </c>
      <c r="C1259" s="36" t="s">
        <v>8331</v>
      </c>
      <c r="D1259" s="60">
        <v>2.32410297E8</v>
      </c>
      <c r="E1259" s="36" t="s">
        <v>8332</v>
      </c>
      <c r="F1259" s="36" t="s">
        <v>227</v>
      </c>
      <c r="G1259" s="12">
        <v>31.0</v>
      </c>
      <c r="H1259" s="57" t="str">
        <f t="shared" si="5"/>
        <v/>
      </c>
      <c r="I1259" s="29" t="s">
        <v>7705</v>
      </c>
      <c r="J1259" s="20" t="str">
        <f>VLOOKUP(I1259,'Database Grup SCC'!$B$2:$C1382,2,false)</f>
        <v>-</v>
      </c>
      <c r="K1259" s="50"/>
      <c r="L1259" s="50"/>
      <c r="M1259" s="50"/>
      <c r="N1259" s="35"/>
      <c r="O1259" s="34"/>
      <c r="P1259" s="34"/>
      <c r="Q1259" s="12" t="str">
        <f t="shared" si="6"/>
        <v>#REF!</v>
      </c>
      <c r="R1259" s="39" t="e">
        <v>#REF!</v>
      </c>
      <c r="S1259" s="39"/>
      <c r="T1259" s="39"/>
      <c r="U1259" s="39"/>
      <c r="V1259" s="39"/>
    </row>
    <row r="1260" ht="22.5" customHeight="1">
      <c r="A1260" s="18">
        <v>547.0</v>
      </c>
      <c r="B1260" s="36">
        <v>25.0</v>
      </c>
      <c r="C1260" s="36" t="s">
        <v>8333</v>
      </c>
      <c r="D1260" s="60">
        <v>2.32410312E8</v>
      </c>
      <c r="E1260" s="36" t="s">
        <v>8334</v>
      </c>
      <c r="F1260" s="36" t="s">
        <v>220</v>
      </c>
      <c r="G1260" s="12">
        <v>31.0</v>
      </c>
      <c r="H1260" s="57" t="str">
        <f t="shared" si="5"/>
        <v/>
      </c>
      <c r="I1260" s="29" t="s">
        <v>7705</v>
      </c>
      <c r="J1260" s="20" t="str">
        <f>VLOOKUP(I1260,'Database Grup SCC'!$B$2:$C1382,2,false)</f>
        <v>-</v>
      </c>
      <c r="K1260" s="50"/>
      <c r="L1260" s="50"/>
      <c r="M1260" s="50"/>
      <c r="N1260" s="35"/>
      <c r="O1260" s="34"/>
      <c r="P1260" s="34"/>
      <c r="Q1260" s="12" t="str">
        <f t="shared" si="6"/>
        <v>#REF!</v>
      </c>
      <c r="R1260" s="39" t="e">
        <v>#REF!</v>
      </c>
      <c r="S1260" s="39"/>
      <c r="T1260" s="39"/>
      <c r="U1260" s="39"/>
      <c r="V1260" s="39"/>
    </row>
    <row r="1261" ht="22.5" customHeight="1">
      <c r="A1261" s="18">
        <v>548.0</v>
      </c>
      <c r="B1261" s="36">
        <v>26.0</v>
      </c>
      <c r="C1261" s="36" t="s">
        <v>8335</v>
      </c>
      <c r="D1261" s="60">
        <v>2.32410314E8</v>
      </c>
      <c r="E1261" s="36" t="s">
        <v>8336</v>
      </c>
      <c r="F1261" s="36" t="s">
        <v>220</v>
      </c>
      <c r="G1261" s="12">
        <v>31.0</v>
      </c>
      <c r="H1261" s="57" t="str">
        <f t="shared" si="5"/>
        <v/>
      </c>
      <c r="I1261" s="29" t="s">
        <v>7705</v>
      </c>
      <c r="J1261" s="20" t="str">
        <f>VLOOKUP(I1261,'Database Grup SCC'!$B$2:$C1382,2,false)</f>
        <v>-</v>
      </c>
      <c r="K1261" s="50"/>
      <c r="L1261" s="50"/>
      <c r="M1261" s="50"/>
      <c r="N1261" s="35"/>
      <c r="O1261" s="34"/>
      <c r="P1261" s="34"/>
      <c r="Q1261" s="12" t="str">
        <f t="shared" si="6"/>
        <v>#REF!</v>
      </c>
      <c r="R1261" s="39" t="e">
        <v>#REF!</v>
      </c>
      <c r="S1261" s="39"/>
      <c r="T1261" s="39"/>
      <c r="U1261" s="39"/>
      <c r="V1261" s="39"/>
    </row>
    <row r="1262" ht="22.5" customHeight="1">
      <c r="A1262" s="18">
        <v>549.0</v>
      </c>
      <c r="B1262" s="36">
        <v>27.0</v>
      </c>
      <c r="C1262" s="36" t="s">
        <v>8337</v>
      </c>
      <c r="D1262" s="60">
        <v>2.32410321E8</v>
      </c>
      <c r="E1262" s="36" t="s">
        <v>8338</v>
      </c>
      <c r="F1262" s="36" t="s">
        <v>220</v>
      </c>
      <c r="G1262" s="12">
        <v>31.0</v>
      </c>
      <c r="H1262" s="57" t="str">
        <f t="shared" si="5"/>
        <v/>
      </c>
      <c r="I1262" s="29" t="s">
        <v>7705</v>
      </c>
      <c r="J1262" s="20" t="str">
        <f>VLOOKUP(I1262,'Database Grup SCC'!$B$2:$C1382,2,false)</f>
        <v>-</v>
      </c>
      <c r="K1262" s="50"/>
      <c r="L1262" s="50"/>
      <c r="M1262" s="50"/>
      <c r="N1262" s="35"/>
      <c r="O1262" s="34"/>
      <c r="P1262" s="34"/>
      <c r="Q1262" s="12" t="str">
        <f t="shared" si="6"/>
        <v>#REF!</v>
      </c>
      <c r="R1262" s="39" t="e">
        <v>#REF!</v>
      </c>
      <c r="S1262" s="39"/>
      <c r="T1262" s="39"/>
      <c r="U1262" s="39"/>
      <c r="V1262" s="39"/>
    </row>
    <row r="1263" ht="22.5" customHeight="1">
      <c r="A1263" s="18">
        <v>550.0</v>
      </c>
      <c r="B1263" s="36">
        <v>28.0</v>
      </c>
      <c r="C1263" s="59" t="s">
        <v>8339</v>
      </c>
      <c r="D1263" s="60">
        <v>2.32410333E8</v>
      </c>
      <c r="E1263" s="36" t="s">
        <v>8340</v>
      </c>
      <c r="F1263" s="36" t="s">
        <v>220</v>
      </c>
      <c r="G1263" s="12">
        <v>31.0</v>
      </c>
      <c r="H1263" s="57" t="str">
        <f t="shared" si="5"/>
        <v/>
      </c>
      <c r="I1263" s="29" t="s">
        <v>7705</v>
      </c>
      <c r="J1263" s="20" t="str">
        <f>VLOOKUP(I1263,'Database Grup SCC'!$B$2:$C1382,2,false)</f>
        <v>-</v>
      </c>
      <c r="K1263" s="50"/>
      <c r="L1263" s="50"/>
      <c r="M1263" s="50"/>
      <c r="N1263" s="35"/>
      <c r="O1263" s="34"/>
      <c r="P1263" s="34"/>
      <c r="Q1263" s="12" t="str">
        <f t="shared" si="6"/>
        <v>#REF!</v>
      </c>
      <c r="R1263" s="39" t="e">
        <v>#REF!</v>
      </c>
      <c r="S1263" s="39"/>
      <c r="T1263" s="39"/>
      <c r="U1263" s="39"/>
      <c r="V1263" s="39"/>
    </row>
    <row r="1264" ht="22.5" customHeight="1">
      <c r="A1264" s="18">
        <v>551.0</v>
      </c>
      <c r="B1264" s="36">
        <v>29.0</v>
      </c>
      <c r="C1264" s="36" t="s">
        <v>8341</v>
      </c>
      <c r="D1264" s="60">
        <v>2.32410337E8</v>
      </c>
      <c r="E1264" s="36" t="s">
        <v>8342</v>
      </c>
      <c r="F1264" s="36" t="s">
        <v>227</v>
      </c>
      <c r="G1264" s="12">
        <v>31.0</v>
      </c>
      <c r="H1264" s="57" t="str">
        <f t="shared" si="5"/>
        <v/>
      </c>
      <c r="I1264" s="29" t="s">
        <v>7705</v>
      </c>
      <c r="J1264" s="20" t="str">
        <f>VLOOKUP(I1264,'Database Grup SCC'!$B$2:$C1382,2,false)</f>
        <v>-</v>
      </c>
      <c r="K1264" s="50"/>
      <c r="L1264" s="50"/>
      <c r="M1264" s="50"/>
      <c r="N1264" s="35"/>
      <c r="O1264" s="34"/>
      <c r="P1264" s="34"/>
      <c r="Q1264" s="12" t="str">
        <f t="shared" si="6"/>
        <v>#REF!</v>
      </c>
      <c r="R1264" s="39" t="e">
        <v>#REF!</v>
      </c>
      <c r="S1264" s="39"/>
      <c r="T1264" s="39"/>
      <c r="U1264" s="39"/>
      <c r="V1264" s="39"/>
    </row>
    <row r="1265" ht="22.5" customHeight="1">
      <c r="A1265" s="18">
        <v>552.0</v>
      </c>
      <c r="B1265" s="36">
        <v>30.0</v>
      </c>
      <c r="C1265" s="36" t="s">
        <v>8343</v>
      </c>
      <c r="D1265" s="60">
        <v>2.32410344E8</v>
      </c>
      <c r="E1265" s="36" t="s">
        <v>8344</v>
      </c>
      <c r="F1265" s="36" t="s">
        <v>227</v>
      </c>
      <c r="G1265" s="12">
        <v>31.0</v>
      </c>
      <c r="H1265" s="57" t="str">
        <f t="shared" si="5"/>
        <v/>
      </c>
      <c r="I1265" s="29" t="s">
        <v>7705</v>
      </c>
      <c r="J1265" s="20" t="str">
        <f>VLOOKUP(I1265,'Database Grup SCC'!$B$2:$C1382,2,false)</f>
        <v>-</v>
      </c>
      <c r="K1265" s="50"/>
      <c r="L1265" s="50"/>
      <c r="M1265" s="50"/>
      <c r="N1265" s="35"/>
      <c r="O1265" s="34"/>
      <c r="P1265" s="34"/>
      <c r="Q1265" s="12" t="str">
        <f t="shared" si="6"/>
        <v>#REF!</v>
      </c>
      <c r="R1265" s="39" t="e">
        <v>#REF!</v>
      </c>
      <c r="S1265" s="39"/>
      <c r="T1265" s="39"/>
      <c r="U1265" s="39"/>
      <c r="V1265" s="39"/>
    </row>
    <row r="1266" ht="22.5" customHeight="1">
      <c r="A1266" s="18">
        <v>553.0</v>
      </c>
      <c r="B1266" s="36">
        <v>31.0</v>
      </c>
      <c r="C1266" s="36" t="s">
        <v>8345</v>
      </c>
      <c r="D1266" s="60">
        <v>2.32410349E8</v>
      </c>
      <c r="E1266" s="36" t="s">
        <v>8346</v>
      </c>
      <c r="F1266" s="36" t="s">
        <v>227</v>
      </c>
      <c r="G1266" s="12">
        <v>31.0</v>
      </c>
      <c r="H1266" s="57" t="str">
        <f t="shared" si="5"/>
        <v/>
      </c>
      <c r="I1266" s="29" t="s">
        <v>7705</v>
      </c>
      <c r="J1266" s="20" t="str">
        <f>VLOOKUP(I1266,'Database Grup SCC'!$B$2:$C1382,2,false)</f>
        <v>-</v>
      </c>
      <c r="K1266" s="50"/>
      <c r="L1266" s="50"/>
      <c r="M1266" s="50"/>
      <c r="N1266" s="35"/>
      <c r="O1266" s="34"/>
      <c r="P1266" s="34"/>
      <c r="Q1266" s="12" t="str">
        <f t="shared" si="6"/>
        <v>#REF!</v>
      </c>
      <c r="R1266" s="39" t="e">
        <v>#REF!</v>
      </c>
      <c r="S1266" s="39"/>
      <c r="T1266" s="39"/>
      <c r="U1266" s="39"/>
      <c r="V1266" s="39"/>
    </row>
    <row r="1267" ht="22.5" customHeight="1">
      <c r="A1267" s="18">
        <v>554.0</v>
      </c>
      <c r="B1267" s="36">
        <v>32.0</v>
      </c>
      <c r="C1267" s="59" t="s">
        <v>8347</v>
      </c>
      <c r="D1267" s="47">
        <v>2.42511437E8</v>
      </c>
      <c r="E1267" s="36" t="s">
        <v>8348</v>
      </c>
      <c r="F1267" s="36" t="s">
        <v>227</v>
      </c>
      <c r="G1267" s="12">
        <v>31.0</v>
      </c>
      <c r="H1267" s="57" t="str">
        <f t="shared" si="5"/>
        <v/>
      </c>
      <c r="I1267" s="29" t="s">
        <v>7705</v>
      </c>
      <c r="J1267" s="20" t="str">
        <f>VLOOKUP(I1267,'Database Grup SCC'!$B$2:$C1382,2,false)</f>
        <v>-</v>
      </c>
      <c r="K1267" s="50"/>
      <c r="L1267" s="50"/>
      <c r="M1267" s="50"/>
      <c r="N1267" s="35"/>
      <c r="O1267" s="34"/>
      <c r="P1267" s="34"/>
      <c r="Q1267" s="12" t="str">
        <f t="shared" si="6"/>
        <v>#REF!</v>
      </c>
      <c r="R1267" s="39" t="e">
        <v>#REF!</v>
      </c>
      <c r="S1267" s="39"/>
      <c r="T1267" s="39"/>
      <c r="U1267" s="39"/>
      <c r="V1267" s="39"/>
    </row>
    <row r="1268" ht="22.5" customHeight="1">
      <c r="A1268" s="18">
        <v>555.0</v>
      </c>
      <c r="B1268" s="36">
        <v>33.0</v>
      </c>
      <c r="C1268" s="36">
        <v>3.073656051E9</v>
      </c>
      <c r="D1268" s="60">
        <v>2.32410385E8</v>
      </c>
      <c r="E1268" s="36" t="s">
        <v>8349</v>
      </c>
      <c r="F1268" s="36" t="s">
        <v>220</v>
      </c>
      <c r="G1268" s="12">
        <v>31.0</v>
      </c>
      <c r="H1268" s="57" t="str">
        <f t="shared" si="5"/>
        <v/>
      </c>
      <c r="I1268" s="29" t="s">
        <v>7705</v>
      </c>
      <c r="J1268" s="20" t="str">
        <f>VLOOKUP(I1268,'Database Grup SCC'!$B$2:$C1382,2,false)</f>
        <v>-</v>
      </c>
      <c r="K1268" s="50"/>
      <c r="L1268" s="50"/>
      <c r="M1268" s="50"/>
      <c r="N1268" s="35"/>
      <c r="O1268" s="34"/>
      <c r="P1268" s="34"/>
      <c r="Q1268" s="12" t="str">
        <f t="shared" si="6"/>
        <v>#REF!</v>
      </c>
      <c r="R1268" s="39" t="e">
        <v>#REF!</v>
      </c>
      <c r="S1268" s="39"/>
      <c r="T1268" s="39"/>
      <c r="U1268" s="39"/>
      <c r="V1268" s="39"/>
    </row>
    <row r="1269" ht="22.5" customHeight="1">
      <c r="A1269" s="18">
        <v>556.0</v>
      </c>
      <c r="B1269" s="36">
        <v>34.0</v>
      </c>
      <c r="C1269" s="36" t="s">
        <v>8350</v>
      </c>
      <c r="D1269" s="60">
        <v>2.32410404E8</v>
      </c>
      <c r="E1269" s="36" t="s">
        <v>8351</v>
      </c>
      <c r="F1269" s="36" t="s">
        <v>227</v>
      </c>
      <c r="G1269" s="12">
        <v>31.0</v>
      </c>
      <c r="H1269" s="57" t="str">
        <f t="shared" si="5"/>
        <v/>
      </c>
      <c r="I1269" s="29" t="s">
        <v>7705</v>
      </c>
      <c r="J1269" s="20" t="str">
        <f>VLOOKUP(I1269,'Database Grup SCC'!$B$2:$C1382,2,false)</f>
        <v>-</v>
      </c>
      <c r="K1269" s="50"/>
      <c r="L1269" s="50"/>
      <c r="M1269" s="50"/>
      <c r="N1269" s="35"/>
      <c r="O1269" s="34"/>
      <c r="P1269" s="34"/>
      <c r="Q1269" s="12" t="str">
        <f t="shared" si="6"/>
        <v>#REF!</v>
      </c>
      <c r="R1269" s="39" t="e">
        <v>#REF!</v>
      </c>
      <c r="S1269" s="39"/>
      <c r="T1269" s="39"/>
      <c r="U1269" s="39"/>
      <c r="V1269" s="39"/>
    </row>
    <row r="1270" ht="22.5" customHeight="1">
      <c r="A1270" s="18">
        <v>557.0</v>
      </c>
      <c r="B1270" s="36">
        <v>35.0</v>
      </c>
      <c r="C1270" s="59" t="s">
        <v>8352</v>
      </c>
      <c r="D1270" s="60">
        <v>2.32410411E8</v>
      </c>
      <c r="E1270" s="36" t="s">
        <v>8353</v>
      </c>
      <c r="F1270" s="36" t="s">
        <v>220</v>
      </c>
      <c r="G1270" s="12">
        <v>31.0</v>
      </c>
      <c r="H1270" s="57" t="str">
        <f t="shared" si="5"/>
        <v/>
      </c>
      <c r="I1270" s="29" t="s">
        <v>7705</v>
      </c>
      <c r="J1270" s="20" t="str">
        <f>VLOOKUP(I1270,'Database Grup SCC'!$B$2:$C1382,2,false)</f>
        <v>-</v>
      </c>
      <c r="K1270" s="50"/>
      <c r="L1270" s="50"/>
      <c r="M1270" s="50"/>
      <c r="N1270" s="35"/>
      <c r="O1270" s="34"/>
      <c r="P1270" s="34"/>
      <c r="Q1270" s="12" t="str">
        <f t="shared" si="6"/>
        <v>#REF!</v>
      </c>
      <c r="R1270" s="39" t="e">
        <v>#REF!</v>
      </c>
      <c r="S1270" s="39"/>
      <c r="T1270" s="39"/>
      <c r="U1270" s="39"/>
      <c r="V1270" s="39"/>
    </row>
    <row r="1271" ht="22.5" customHeight="1">
      <c r="A1271" s="18">
        <v>570.0</v>
      </c>
      <c r="B1271" s="36">
        <v>1.0</v>
      </c>
      <c r="C1271" s="59" t="s">
        <v>8354</v>
      </c>
      <c r="D1271" s="60">
        <v>2.3241001E8</v>
      </c>
      <c r="E1271" s="36" t="s">
        <v>8355</v>
      </c>
      <c r="F1271" s="36" t="s">
        <v>227</v>
      </c>
      <c r="G1271" s="12">
        <v>31.0</v>
      </c>
      <c r="H1271" s="57" t="str">
        <f t="shared" si="5"/>
        <v/>
      </c>
      <c r="I1271" s="29" t="s">
        <v>7705</v>
      </c>
      <c r="J1271" s="20" t="str">
        <f>VLOOKUP(I1271,'Database Grup SCC'!$B$2:$C1382,2,false)</f>
        <v>-</v>
      </c>
      <c r="K1271" s="50"/>
      <c r="L1271" s="50" t="s">
        <v>8356</v>
      </c>
      <c r="M1271" s="50" t="s">
        <v>8357</v>
      </c>
      <c r="N1271" s="35"/>
      <c r="O1271" s="34"/>
      <c r="P1271" s="34"/>
      <c r="Q1271" s="12" t="str">
        <f t="shared" si="6"/>
        <v>#REF!</v>
      </c>
      <c r="R1271" s="39" t="e">
        <v>#REF!</v>
      </c>
      <c r="S1271" s="39"/>
      <c r="T1271" s="39"/>
      <c r="U1271" s="39"/>
      <c r="V1271" s="39"/>
    </row>
    <row r="1272" ht="22.5" customHeight="1">
      <c r="A1272" s="18">
        <v>571.0</v>
      </c>
      <c r="B1272" s="36">
        <v>2.0</v>
      </c>
      <c r="C1272" s="36" t="s">
        <v>8358</v>
      </c>
      <c r="D1272" s="60">
        <v>2.32410015E8</v>
      </c>
      <c r="E1272" s="36" t="s">
        <v>8359</v>
      </c>
      <c r="F1272" s="36" t="s">
        <v>227</v>
      </c>
      <c r="G1272" s="12">
        <v>31.0</v>
      </c>
      <c r="H1272" s="57" t="str">
        <f t="shared" si="5"/>
        <v/>
      </c>
      <c r="I1272" s="29" t="s">
        <v>7705</v>
      </c>
      <c r="J1272" s="20" t="str">
        <f>VLOOKUP(I1272,'Database Grup SCC'!$B$2:$C1382,2,false)</f>
        <v>-</v>
      </c>
      <c r="K1272" s="50"/>
      <c r="L1272" s="50"/>
      <c r="M1272" s="50"/>
      <c r="N1272" s="35"/>
      <c r="O1272" s="34"/>
      <c r="P1272" s="34"/>
      <c r="Q1272" s="12" t="str">
        <f t="shared" si="6"/>
        <v>#REF!</v>
      </c>
      <c r="R1272" s="39" t="e">
        <v>#REF!</v>
      </c>
      <c r="S1272" s="39"/>
      <c r="T1272" s="39"/>
      <c r="U1272" s="39"/>
      <c r="V1272" s="39"/>
    </row>
    <row r="1273" ht="22.5" customHeight="1">
      <c r="A1273" s="18">
        <v>572.0</v>
      </c>
      <c r="B1273" s="36">
        <v>3.0</v>
      </c>
      <c r="C1273" s="40" t="s">
        <v>8360</v>
      </c>
      <c r="D1273" s="64">
        <v>2.32410017E8</v>
      </c>
      <c r="E1273" s="40" t="s">
        <v>8361</v>
      </c>
      <c r="F1273" s="40" t="s">
        <v>220</v>
      </c>
      <c r="G1273" s="12">
        <v>31.0</v>
      </c>
      <c r="H1273" s="57" t="str">
        <f t="shared" si="5"/>
        <v/>
      </c>
      <c r="I1273" s="29" t="s">
        <v>7705</v>
      </c>
      <c r="J1273" s="20" t="str">
        <f>VLOOKUP(I1273,'Database Grup SCC'!$B$2:$C1382,2,false)</f>
        <v>-</v>
      </c>
      <c r="K1273" s="50"/>
      <c r="L1273" s="50"/>
      <c r="M1273" s="50"/>
      <c r="N1273" s="35"/>
      <c r="O1273" s="34"/>
      <c r="P1273" s="34"/>
      <c r="Q1273" s="12" t="str">
        <f t="shared" si="6"/>
        <v>#REF!</v>
      </c>
      <c r="R1273" s="39" t="e">
        <v>#REF!</v>
      </c>
      <c r="S1273" s="39"/>
      <c r="T1273" s="39"/>
      <c r="U1273" s="39"/>
      <c r="V1273" s="39"/>
    </row>
    <row r="1274" ht="22.5" customHeight="1">
      <c r="A1274" s="18">
        <v>573.0</v>
      </c>
      <c r="B1274" s="36">
        <v>4.0</v>
      </c>
      <c r="C1274" s="36" t="s">
        <v>8362</v>
      </c>
      <c r="D1274" s="60">
        <v>2.32410019E8</v>
      </c>
      <c r="E1274" s="36" t="s">
        <v>8363</v>
      </c>
      <c r="F1274" s="36" t="s">
        <v>227</v>
      </c>
      <c r="G1274" s="12">
        <v>31.0</v>
      </c>
      <c r="H1274" s="57" t="str">
        <f t="shared" si="5"/>
        <v/>
      </c>
      <c r="I1274" s="29" t="s">
        <v>7705</v>
      </c>
      <c r="J1274" s="20" t="str">
        <f>VLOOKUP(I1274,'Database Grup SCC'!$B$2:$C1382,2,false)</f>
        <v>-</v>
      </c>
      <c r="K1274" s="50"/>
      <c r="L1274" s="50"/>
      <c r="M1274" s="50"/>
      <c r="N1274" s="35"/>
      <c r="O1274" s="34"/>
      <c r="P1274" s="34"/>
      <c r="Q1274" s="12" t="str">
        <f t="shared" si="6"/>
        <v>#REF!</v>
      </c>
      <c r="R1274" s="39" t="e">
        <v>#REF!</v>
      </c>
      <c r="S1274" s="39"/>
      <c r="T1274" s="39"/>
      <c r="U1274" s="39"/>
      <c r="V1274" s="39"/>
    </row>
    <row r="1275" ht="22.5" customHeight="1">
      <c r="A1275" s="18">
        <v>574.0</v>
      </c>
      <c r="B1275" s="36">
        <v>5.0</v>
      </c>
      <c r="C1275" s="59" t="s">
        <v>8364</v>
      </c>
      <c r="D1275" s="60">
        <v>2.3241002E8</v>
      </c>
      <c r="E1275" s="36" t="s">
        <v>8365</v>
      </c>
      <c r="F1275" s="36" t="s">
        <v>220</v>
      </c>
      <c r="G1275" s="12">
        <v>31.0</v>
      </c>
      <c r="H1275" s="57" t="str">
        <f t="shared" si="5"/>
        <v/>
      </c>
      <c r="I1275" s="29" t="s">
        <v>7705</v>
      </c>
      <c r="J1275" s="20" t="str">
        <f>VLOOKUP(I1275,'Database Grup SCC'!$B$2:$C1382,2,false)</f>
        <v>-</v>
      </c>
      <c r="K1275" s="50"/>
      <c r="L1275" s="50"/>
      <c r="M1275" s="50"/>
      <c r="N1275" s="35"/>
      <c r="O1275" s="34"/>
      <c r="P1275" s="34"/>
      <c r="Q1275" s="12" t="str">
        <f t="shared" si="6"/>
        <v>#REF!</v>
      </c>
      <c r="R1275" s="39" t="e">
        <v>#REF!</v>
      </c>
      <c r="S1275" s="39"/>
      <c r="T1275" s="39"/>
      <c r="U1275" s="39"/>
      <c r="V1275" s="39"/>
    </row>
    <row r="1276" ht="22.5" customHeight="1">
      <c r="A1276" s="18">
        <v>575.0</v>
      </c>
      <c r="B1276" s="36">
        <v>6.0</v>
      </c>
      <c r="C1276" s="36" t="s">
        <v>8366</v>
      </c>
      <c r="D1276" s="60">
        <v>2.32410023E8</v>
      </c>
      <c r="E1276" s="36" t="s">
        <v>8367</v>
      </c>
      <c r="F1276" s="36" t="s">
        <v>227</v>
      </c>
      <c r="G1276" s="12">
        <v>31.0</v>
      </c>
      <c r="H1276" s="57" t="str">
        <f t="shared" si="5"/>
        <v/>
      </c>
      <c r="I1276" s="29" t="s">
        <v>7705</v>
      </c>
      <c r="J1276" s="20" t="str">
        <f>VLOOKUP(I1276,'Database Grup SCC'!$B$2:$C1382,2,false)</f>
        <v>-</v>
      </c>
      <c r="K1276" s="50"/>
      <c r="L1276" s="50"/>
      <c r="M1276" s="50"/>
      <c r="N1276" s="35"/>
      <c r="O1276" s="34"/>
      <c r="P1276" s="34"/>
      <c r="Q1276" s="12" t="str">
        <f t="shared" si="6"/>
        <v>#REF!</v>
      </c>
      <c r="R1276" s="39" t="e">
        <v>#REF!</v>
      </c>
      <c r="S1276" s="39"/>
      <c r="T1276" s="39"/>
      <c r="U1276" s="39"/>
      <c r="V1276" s="39"/>
    </row>
    <row r="1277" ht="22.5" customHeight="1">
      <c r="A1277" s="18">
        <v>576.0</v>
      </c>
      <c r="B1277" s="36">
        <v>7.0</v>
      </c>
      <c r="C1277" s="36" t="s">
        <v>8368</v>
      </c>
      <c r="D1277" s="60">
        <v>2.32410027E8</v>
      </c>
      <c r="E1277" s="36" t="s">
        <v>8369</v>
      </c>
      <c r="F1277" s="36" t="s">
        <v>227</v>
      </c>
      <c r="G1277" s="12">
        <v>31.0</v>
      </c>
      <c r="H1277" s="57" t="str">
        <f t="shared" si="5"/>
        <v/>
      </c>
      <c r="I1277" s="29" t="s">
        <v>7705</v>
      </c>
      <c r="J1277" s="20" t="str">
        <f>VLOOKUP(I1277,'Database Grup SCC'!$B$2:$C1382,2,false)</f>
        <v>-</v>
      </c>
      <c r="K1277" s="50"/>
      <c r="L1277" s="50"/>
      <c r="M1277" s="50"/>
      <c r="N1277" s="35"/>
      <c r="O1277" s="34"/>
      <c r="P1277" s="34"/>
      <c r="Q1277" s="12" t="str">
        <f t="shared" si="6"/>
        <v>#REF!</v>
      </c>
      <c r="R1277" s="39" t="e">
        <v>#REF!</v>
      </c>
      <c r="S1277" s="39"/>
      <c r="T1277" s="39"/>
      <c r="U1277" s="39"/>
      <c r="V1277" s="39"/>
    </row>
    <row r="1278" ht="22.5" customHeight="1">
      <c r="A1278" s="18">
        <v>577.0</v>
      </c>
      <c r="B1278" s="36">
        <v>8.0</v>
      </c>
      <c r="C1278" s="36" t="s">
        <v>8370</v>
      </c>
      <c r="D1278" s="60">
        <v>2.32410035E8</v>
      </c>
      <c r="E1278" s="36" t="s">
        <v>8371</v>
      </c>
      <c r="F1278" s="36" t="s">
        <v>227</v>
      </c>
      <c r="G1278" s="12">
        <v>31.0</v>
      </c>
      <c r="H1278" s="57" t="str">
        <f t="shared" si="5"/>
        <v/>
      </c>
      <c r="I1278" s="29" t="s">
        <v>7705</v>
      </c>
      <c r="J1278" s="20" t="str">
        <f>VLOOKUP(I1278,'Database Grup SCC'!$B$2:$C1382,2,false)</f>
        <v>-</v>
      </c>
      <c r="K1278" s="50"/>
      <c r="L1278" s="50"/>
      <c r="M1278" s="50"/>
      <c r="N1278" s="35"/>
      <c r="O1278" s="34"/>
      <c r="P1278" s="34"/>
      <c r="Q1278" s="12" t="str">
        <f t="shared" si="6"/>
        <v>#REF!</v>
      </c>
      <c r="R1278" s="39" t="e">
        <v>#REF!</v>
      </c>
      <c r="S1278" s="39"/>
      <c r="T1278" s="39"/>
      <c r="U1278" s="39"/>
      <c r="V1278" s="39"/>
    </row>
    <row r="1279" ht="22.5" customHeight="1">
      <c r="A1279" s="18">
        <v>578.0</v>
      </c>
      <c r="B1279" s="36">
        <v>9.0</v>
      </c>
      <c r="C1279" s="36" t="s">
        <v>8372</v>
      </c>
      <c r="D1279" s="60">
        <v>2.32410036E8</v>
      </c>
      <c r="E1279" s="36" t="s">
        <v>8373</v>
      </c>
      <c r="F1279" s="36" t="s">
        <v>227</v>
      </c>
      <c r="G1279" s="12">
        <v>31.0</v>
      </c>
      <c r="H1279" s="57" t="str">
        <f t="shared" si="5"/>
        <v/>
      </c>
      <c r="I1279" s="29" t="s">
        <v>7705</v>
      </c>
      <c r="J1279" s="20" t="str">
        <f>VLOOKUP(I1279,'Database Grup SCC'!$B$2:$C1382,2,false)</f>
        <v>-</v>
      </c>
      <c r="K1279" s="50"/>
      <c r="L1279" s="50"/>
      <c r="M1279" s="50"/>
      <c r="N1279" s="35"/>
      <c r="O1279" s="34"/>
      <c r="P1279" s="34"/>
      <c r="Q1279" s="12" t="str">
        <f t="shared" si="6"/>
        <v>#REF!</v>
      </c>
      <c r="R1279" s="39" t="e">
        <v>#REF!</v>
      </c>
      <c r="S1279" s="39"/>
      <c r="T1279" s="39"/>
      <c r="U1279" s="39"/>
      <c r="V1279" s="39"/>
    </row>
    <row r="1280" ht="22.5" customHeight="1">
      <c r="A1280" s="18">
        <v>579.0</v>
      </c>
      <c r="B1280" s="36">
        <v>10.0</v>
      </c>
      <c r="C1280" s="36" t="s">
        <v>8374</v>
      </c>
      <c r="D1280" s="60">
        <v>2.32410064E8</v>
      </c>
      <c r="E1280" s="36" t="s">
        <v>8375</v>
      </c>
      <c r="F1280" s="36" t="s">
        <v>227</v>
      </c>
      <c r="G1280" s="12">
        <v>31.0</v>
      </c>
      <c r="H1280" s="57" t="str">
        <f t="shared" si="5"/>
        <v/>
      </c>
      <c r="I1280" s="29" t="s">
        <v>7705</v>
      </c>
      <c r="J1280" s="20" t="str">
        <f>VLOOKUP(I1280,'Database Grup SCC'!$B$2:$C1382,2,false)</f>
        <v>-</v>
      </c>
      <c r="K1280" s="50"/>
      <c r="L1280" s="50"/>
      <c r="M1280" s="50"/>
      <c r="N1280" s="35"/>
      <c r="O1280" s="34"/>
      <c r="P1280" s="34"/>
      <c r="Q1280" s="12" t="str">
        <f t="shared" si="6"/>
        <v>#REF!</v>
      </c>
      <c r="R1280" s="39" t="e">
        <v>#REF!</v>
      </c>
      <c r="S1280" s="39"/>
      <c r="T1280" s="39"/>
      <c r="U1280" s="39"/>
      <c r="V1280" s="39"/>
    </row>
    <row r="1281" ht="22.5" customHeight="1">
      <c r="A1281" s="18">
        <v>580.0</v>
      </c>
      <c r="B1281" s="36">
        <v>11.0</v>
      </c>
      <c r="C1281" s="36" t="s">
        <v>8376</v>
      </c>
      <c r="D1281" s="60">
        <v>2.32410067E8</v>
      </c>
      <c r="E1281" s="36" t="s">
        <v>8377</v>
      </c>
      <c r="F1281" s="36" t="s">
        <v>227</v>
      </c>
      <c r="G1281" s="12">
        <v>31.0</v>
      </c>
      <c r="H1281" s="57" t="str">
        <f t="shared" si="5"/>
        <v/>
      </c>
      <c r="I1281" s="29" t="s">
        <v>7705</v>
      </c>
      <c r="J1281" s="20" t="str">
        <f>VLOOKUP(I1281,'Database Grup SCC'!$B$2:$C1382,2,false)</f>
        <v>-</v>
      </c>
      <c r="K1281" s="50"/>
      <c r="L1281" s="50"/>
      <c r="M1281" s="50"/>
      <c r="N1281" s="35"/>
      <c r="O1281" s="34"/>
      <c r="P1281" s="34"/>
      <c r="Q1281" s="12" t="str">
        <f t="shared" si="6"/>
        <v>#REF!</v>
      </c>
      <c r="R1281" s="39" t="e">
        <v>#REF!</v>
      </c>
      <c r="S1281" s="39"/>
      <c r="T1281" s="39"/>
      <c r="U1281" s="39"/>
      <c r="V1281" s="39"/>
    </row>
    <row r="1282" ht="22.5" customHeight="1">
      <c r="A1282" s="18">
        <v>581.0</v>
      </c>
      <c r="B1282" s="36">
        <v>12.0</v>
      </c>
      <c r="C1282" s="59" t="s">
        <v>8378</v>
      </c>
      <c r="D1282" s="60">
        <v>2.32410074E8</v>
      </c>
      <c r="E1282" s="36" t="s">
        <v>8379</v>
      </c>
      <c r="F1282" s="36" t="s">
        <v>220</v>
      </c>
      <c r="G1282" s="12">
        <v>31.0</v>
      </c>
      <c r="H1282" s="57" t="str">
        <f t="shared" si="5"/>
        <v/>
      </c>
      <c r="I1282" s="29" t="s">
        <v>7705</v>
      </c>
      <c r="J1282" s="20" t="str">
        <f>VLOOKUP(I1282,'Database Grup SCC'!$B$2:$C1382,2,false)</f>
        <v>-</v>
      </c>
      <c r="K1282" s="50"/>
      <c r="L1282" s="50"/>
      <c r="M1282" s="50"/>
      <c r="N1282" s="35"/>
      <c r="O1282" s="34"/>
      <c r="P1282" s="34"/>
      <c r="Q1282" s="12" t="str">
        <f t="shared" si="6"/>
        <v>#REF!</v>
      </c>
      <c r="R1282" s="39" t="e">
        <v>#REF!</v>
      </c>
      <c r="S1282" s="39"/>
      <c r="T1282" s="39"/>
      <c r="U1282" s="39"/>
      <c r="V1282" s="39"/>
    </row>
    <row r="1283" ht="22.5" customHeight="1">
      <c r="A1283" s="18">
        <v>582.0</v>
      </c>
      <c r="B1283" s="36">
        <v>13.0</v>
      </c>
      <c r="C1283" s="36" t="s">
        <v>8380</v>
      </c>
      <c r="D1283" s="60">
        <v>2.32410078E8</v>
      </c>
      <c r="E1283" s="36" t="s">
        <v>8381</v>
      </c>
      <c r="F1283" s="36" t="s">
        <v>227</v>
      </c>
      <c r="G1283" s="12">
        <v>31.0</v>
      </c>
      <c r="H1283" s="57" t="str">
        <f t="shared" si="5"/>
        <v/>
      </c>
      <c r="I1283" s="29" t="s">
        <v>7705</v>
      </c>
      <c r="J1283" s="20" t="str">
        <f>VLOOKUP(I1283,'Database Grup SCC'!$B$2:$C1382,2,false)</f>
        <v>-</v>
      </c>
      <c r="K1283" s="50"/>
      <c r="L1283" s="50"/>
      <c r="M1283" s="50"/>
      <c r="N1283" s="35"/>
      <c r="O1283" s="34"/>
      <c r="P1283" s="34"/>
      <c r="Q1283" s="12" t="str">
        <f t="shared" si="6"/>
        <v>#REF!</v>
      </c>
      <c r="R1283" s="39" t="e">
        <v>#REF!</v>
      </c>
      <c r="S1283" s="39"/>
      <c r="T1283" s="39"/>
      <c r="U1283" s="39"/>
      <c r="V1283" s="39"/>
    </row>
    <row r="1284" ht="22.5" customHeight="1">
      <c r="A1284" s="18">
        <v>583.0</v>
      </c>
      <c r="B1284" s="36">
        <v>14.0</v>
      </c>
      <c r="C1284" s="36" t="s">
        <v>8382</v>
      </c>
      <c r="D1284" s="60">
        <v>2.32410079E8</v>
      </c>
      <c r="E1284" s="36" t="s">
        <v>8383</v>
      </c>
      <c r="F1284" s="36" t="s">
        <v>227</v>
      </c>
      <c r="G1284" s="12">
        <v>31.0</v>
      </c>
      <c r="H1284" s="57" t="str">
        <f t="shared" si="5"/>
        <v/>
      </c>
      <c r="I1284" s="29" t="s">
        <v>7705</v>
      </c>
      <c r="J1284" s="20" t="str">
        <f>VLOOKUP(I1284,'Database Grup SCC'!$B$2:$C1382,2,false)</f>
        <v>-</v>
      </c>
      <c r="K1284" s="50"/>
      <c r="L1284" s="50"/>
      <c r="M1284" s="50"/>
      <c r="N1284" s="35"/>
      <c r="O1284" s="34"/>
      <c r="P1284" s="34"/>
      <c r="Q1284" s="12" t="str">
        <f t="shared" si="6"/>
        <v>#REF!</v>
      </c>
      <c r="R1284" s="39" t="e">
        <v>#REF!</v>
      </c>
      <c r="S1284" s="39"/>
      <c r="T1284" s="39"/>
      <c r="U1284" s="39"/>
      <c r="V1284" s="39"/>
    </row>
    <row r="1285" ht="22.5" customHeight="1">
      <c r="A1285" s="18">
        <v>584.0</v>
      </c>
      <c r="B1285" s="36">
        <v>15.0</v>
      </c>
      <c r="C1285" s="36" t="s">
        <v>8384</v>
      </c>
      <c r="D1285" s="60">
        <v>2.32410084E8</v>
      </c>
      <c r="E1285" s="36" t="s">
        <v>8385</v>
      </c>
      <c r="F1285" s="36" t="s">
        <v>227</v>
      </c>
      <c r="G1285" s="12">
        <v>31.0</v>
      </c>
      <c r="H1285" s="57" t="str">
        <f t="shared" si="5"/>
        <v/>
      </c>
      <c r="I1285" s="29" t="s">
        <v>7705</v>
      </c>
      <c r="J1285" s="20" t="str">
        <f>VLOOKUP(I1285,'Database Grup SCC'!$B$2:$C1382,2,false)</f>
        <v>-</v>
      </c>
      <c r="K1285" s="50"/>
      <c r="L1285" s="50"/>
      <c r="M1285" s="50"/>
      <c r="N1285" s="35"/>
      <c r="O1285" s="34"/>
      <c r="P1285" s="34"/>
      <c r="Q1285" s="12" t="str">
        <f t="shared" si="6"/>
        <v>#REF!</v>
      </c>
      <c r="R1285" s="39" t="e">
        <v>#REF!</v>
      </c>
      <c r="S1285" s="39"/>
      <c r="T1285" s="39"/>
      <c r="U1285" s="39"/>
      <c r="V1285" s="39"/>
    </row>
    <row r="1286" ht="22.5" customHeight="1">
      <c r="A1286" s="18">
        <v>585.0</v>
      </c>
      <c r="B1286" s="36">
        <v>16.0</v>
      </c>
      <c r="C1286" s="36" t="s">
        <v>8386</v>
      </c>
      <c r="D1286" s="60">
        <v>2.32410088E8</v>
      </c>
      <c r="E1286" s="36" t="s">
        <v>8387</v>
      </c>
      <c r="F1286" s="36" t="s">
        <v>227</v>
      </c>
      <c r="G1286" s="12">
        <v>31.0</v>
      </c>
      <c r="H1286" s="57" t="str">
        <f t="shared" si="5"/>
        <v/>
      </c>
      <c r="I1286" s="29" t="s">
        <v>7705</v>
      </c>
      <c r="J1286" s="20" t="str">
        <f>VLOOKUP(I1286,'Database Grup SCC'!$B$2:$C1382,2,false)</f>
        <v>-</v>
      </c>
      <c r="K1286" s="50"/>
      <c r="L1286" s="50"/>
      <c r="M1286" s="50"/>
      <c r="N1286" s="35"/>
      <c r="O1286" s="34"/>
      <c r="P1286" s="34"/>
      <c r="Q1286" s="12" t="str">
        <f t="shared" si="6"/>
        <v>#REF!</v>
      </c>
      <c r="R1286" s="39" t="e">
        <v>#REF!</v>
      </c>
      <c r="S1286" s="39"/>
      <c r="T1286" s="39"/>
      <c r="U1286" s="39"/>
      <c r="V1286" s="39"/>
    </row>
    <row r="1287" ht="22.5" customHeight="1">
      <c r="A1287" s="18">
        <v>586.0</v>
      </c>
      <c r="B1287" s="36">
        <v>17.0</v>
      </c>
      <c r="C1287" s="36" t="s">
        <v>8388</v>
      </c>
      <c r="D1287" s="60">
        <v>2.32410093E8</v>
      </c>
      <c r="E1287" s="36" t="s">
        <v>8389</v>
      </c>
      <c r="F1287" s="36" t="s">
        <v>220</v>
      </c>
      <c r="G1287" s="12">
        <v>31.0</v>
      </c>
      <c r="H1287" s="57" t="str">
        <f t="shared" si="5"/>
        <v/>
      </c>
      <c r="I1287" s="29" t="s">
        <v>7705</v>
      </c>
      <c r="J1287" s="20" t="str">
        <f>VLOOKUP(I1287,'Database Grup SCC'!$B$2:$C1382,2,false)</f>
        <v>-</v>
      </c>
      <c r="K1287" s="50"/>
      <c r="L1287" s="50"/>
      <c r="M1287" s="50"/>
      <c r="N1287" s="35"/>
      <c r="O1287" s="34"/>
      <c r="P1287" s="34"/>
      <c r="Q1287" s="12" t="str">
        <f t="shared" si="6"/>
        <v>#REF!</v>
      </c>
      <c r="R1287" s="39" t="e">
        <v>#REF!</v>
      </c>
      <c r="S1287" s="39"/>
      <c r="T1287" s="39"/>
      <c r="U1287" s="39"/>
      <c r="V1287" s="39"/>
    </row>
    <row r="1288" ht="22.5" customHeight="1">
      <c r="A1288" s="18">
        <v>587.0</v>
      </c>
      <c r="B1288" s="36">
        <v>18.0</v>
      </c>
      <c r="C1288" s="36" t="s">
        <v>8390</v>
      </c>
      <c r="D1288" s="60">
        <v>2.32410098E8</v>
      </c>
      <c r="E1288" s="36" t="s">
        <v>8391</v>
      </c>
      <c r="F1288" s="36" t="s">
        <v>220</v>
      </c>
      <c r="G1288" s="12">
        <v>31.0</v>
      </c>
      <c r="H1288" s="57" t="str">
        <f t="shared" si="5"/>
        <v/>
      </c>
      <c r="I1288" s="29" t="s">
        <v>7705</v>
      </c>
      <c r="J1288" s="20" t="str">
        <f>VLOOKUP(I1288,'Database Grup SCC'!$B$2:$C1382,2,false)</f>
        <v>-</v>
      </c>
      <c r="K1288" s="50"/>
      <c r="L1288" s="50"/>
      <c r="M1288" s="50"/>
      <c r="N1288" s="35"/>
      <c r="O1288" s="34"/>
      <c r="P1288" s="34"/>
      <c r="Q1288" s="12" t="str">
        <f t="shared" si="6"/>
        <v>#REF!</v>
      </c>
      <c r="R1288" s="39" t="e">
        <v>#REF!</v>
      </c>
      <c r="S1288" s="39"/>
      <c r="T1288" s="39"/>
      <c r="U1288" s="39"/>
      <c r="V1288" s="39"/>
    </row>
    <row r="1289" ht="22.5" customHeight="1">
      <c r="A1289" s="18">
        <v>588.0</v>
      </c>
      <c r="B1289" s="36">
        <v>19.0</v>
      </c>
      <c r="C1289" s="36" t="s">
        <v>8392</v>
      </c>
      <c r="D1289" s="60">
        <v>2.32410106E8</v>
      </c>
      <c r="E1289" s="36" t="s">
        <v>8393</v>
      </c>
      <c r="F1289" s="36" t="s">
        <v>227</v>
      </c>
      <c r="G1289" s="12">
        <v>31.0</v>
      </c>
      <c r="H1289" s="57" t="str">
        <f t="shared" si="5"/>
        <v/>
      </c>
      <c r="I1289" s="29" t="s">
        <v>7705</v>
      </c>
      <c r="J1289" s="20" t="str">
        <f>VLOOKUP(I1289,'Database Grup SCC'!$B$2:$C1382,2,false)</f>
        <v>-</v>
      </c>
      <c r="K1289" s="50"/>
      <c r="L1289" s="50"/>
      <c r="M1289" s="50"/>
      <c r="N1289" s="35"/>
      <c r="O1289" s="34"/>
      <c r="P1289" s="34"/>
      <c r="Q1289" s="12" t="str">
        <f t="shared" si="6"/>
        <v>#REF!</v>
      </c>
      <c r="R1289" s="39" t="e">
        <v>#REF!</v>
      </c>
      <c r="S1289" s="39"/>
      <c r="T1289" s="39"/>
      <c r="U1289" s="39"/>
      <c r="V1289" s="39"/>
    </row>
    <row r="1290" ht="22.5" customHeight="1">
      <c r="A1290" s="18">
        <v>589.0</v>
      </c>
      <c r="B1290" s="36">
        <v>20.0</v>
      </c>
      <c r="C1290" s="36" t="s">
        <v>8394</v>
      </c>
      <c r="D1290" s="60">
        <v>2.32410107E8</v>
      </c>
      <c r="E1290" s="36" t="s">
        <v>8395</v>
      </c>
      <c r="F1290" s="36" t="s">
        <v>220</v>
      </c>
      <c r="G1290" s="12">
        <v>31.0</v>
      </c>
      <c r="H1290" s="57" t="str">
        <f t="shared" si="5"/>
        <v/>
      </c>
      <c r="I1290" s="29" t="s">
        <v>7705</v>
      </c>
      <c r="J1290" s="20" t="str">
        <f>VLOOKUP(I1290,'Database Grup SCC'!$B$2:$C1382,2,false)</f>
        <v>-</v>
      </c>
      <c r="K1290" s="50"/>
      <c r="L1290" s="50"/>
      <c r="M1290" s="50"/>
      <c r="N1290" s="35"/>
      <c r="O1290" s="34"/>
      <c r="P1290" s="34"/>
      <c r="Q1290" s="12" t="str">
        <f t="shared" si="6"/>
        <v>#REF!</v>
      </c>
      <c r="R1290" s="39" t="e">
        <v>#REF!</v>
      </c>
      <c r="S1290" s="39"/>
      <c r="T1290" s="39"/>
      <c r="U1290" s="39"/>
      <c r="V1290" s="39"/>
    </row>
    <row r="1291" ht="22.5" customHeight="1">
      <c r="A1291" s="18">
        <v>590.0</v>
      </c>
      <c r="B1291" s="36">
        <v>21.0</v>
      </c>
      <c r="C1291" s="36" t="s">
        <v>8396</v>
      </c>
      <c r="D1291" s="60">
        <v>2.32410145E8</v>
      </c>
      <c r="E1291" s="36" t="s">
        <v>8397</v>
      </c>
      <c r="F1291" s="36" t="s">
        <v>227</v>
      </c>
      <c r="G1291" s="12">
        <v>31.0</v>
      </c>
      <c r="H1291" s="57" t="str">
        <f t="shared" si="5"/>
        <v/>
      </c>
      <c r="I1291" s="29" t="s">
        <v>7705</v>
      </c>
      <c r="J1291" s="20" t="str">
        <f>VLOOKUP(I1291,'Database Grup SCC'!$B$2:$C1382,2,false)</f>
        <v>-</v>
      </c>
      <c r="K1291" s="50"/>
      <c r="L1291" s="50"/>
      <c r="M1291" s="50"/>
      <c r="N1291" s="35"/>
      <c r="O1291" s="34"/>
      <c r="P1291" s="34"/>
      <c r="Q1291" s="12" t="str">
        <f t="shared" si="6"/>
        <v>#REF!</v>
      </c>
      <c r="R1291" s="39" t="e">
        <v>#REF!</v>
      </c>
      <c r="S1291" s="39"/>
      <c r="T1291" s="39"/>
      <c r="U1291" s="39"/>
      <c r="V1291" s="39"/>
    </row>
    <row r="1292" ht="22.5" customHeight="1">
      <c r="A1292" s="18">
        <v>591.0</v>
      </c>
      <c r="B1292" s="36">
        <v>22.0</v>
      </c>
      <c r="C1292" s="36" t="s">
        <v>8398</v>
      </c>
      <c r="D1292" s="60">
        <v>2.32410168E8</v>
      </c>
      <c r="E1292" s="36" t="s">
        <v>8399</v>
      </c>
      <c r="F1292" s="36" t="s">
        <v>220</v>
      </c>
      <c r="G1292" s="12">
        <v>31.0</v>
      </c>
      <c r="H1292" s="57" t="str">
        <f t="shared" si="5"/>
        <v/>
      </c>
      <c r="I1292" s="29" t="s">
        <v>7705</v>
      </c>
      <c r="J1292" s="20" t="str">
        <f>VLOOKUP(I1292,'Database Grup SCC'!$B$2:$C1382,2,false)</f>
        <v>-</v>
      </c>
      <c r="K1292" s="50"/>
      <c r="L1292" s="50"/>
      <c r="M1292" s="50"/>
      <c r="N1292" s="35"/>
      <c r="O1292" s="34"/>
      <c r="P1292" s="34"/>
      <c r="Q1292" s="12" t="str">
        <f t="shared" si="6"/>
        <v>#REF!</v>
      </c>
      <c r="R1292" s="39" t="e">
        <v>#REF!</v>
      </c>
      <c r="S1292" s="39"/>
      <c r="T1292" s="39"/>
      <c r="U1292" s="39"/>
      <c r="V1292" s="39"/>
    </row>
    <row r="1293" ht="22.5" customHeight="1">
      <c r="A1293" s="18">
        <v>592.0</v>
      </c>
      <c r="B1293" s="36">
        <v>23.0</v>
      </c>
      <c r="C1293" s="36" t="s">
        <v>8400</v>
      </c>
      <c r="D1293" s="60">
        <v>2.32410188E8</v>
      </c>
      <c r="E1293" s="36" t="s">
        <v>8401</v>
      </c>
      <c r="F1293" s="36" t="s">
        <v>227</v>
      </c>
      <c r="G1293" s="12">
        <v>31.0</v>
      </c>
      <c r="H1293" s="57" t="str">
        <f t="shared" si="5"/>
        <v/>
      </c>
      <c r="I1293" s="29" t="s">
        <v>7705</v>
      </c>
      <c r="J1293" s="20" t="str">
        <f>VLOOKUP(I1293,'Database Grup SCC'!$B$2:$C1382,2,false)</f>
        <v>-</v>
      </c>
      <c r="K1293" s="50"/>
      <c r="L1293" s="50"/>
      <c r="M1293" s="50"/>
      <c r="N1293" s="35"/>
      <c r="O1293" s="34"/>
      <c r="P1293" s="34"/>
      <c r="Q1293" s="12" t="str">
        <f t="shared" si="6"/>
        <v>#REF!</v>
      </c>
      <c r="R1293" s="39" t="e">
        <v>#REF!</v>
      </c>
      <c r="S1293" s="39"/>
      <c r="T1293" s="39"/>
      <c r="U1293" s="39"/>
      <c r="V1293" s="39"/>
    </row>
    <row r="1294" ht="22.5" customHeight="1">
      <c r="A1294" s="18">
        <v>593.0</v>
      </c>
      <c r="B1294" s="36">
        <v>24.0</v>
      </c>
      <c r="C1294" s="36" t="s">
        <v>8402</v>
      </c>
      <c r="D1294" s="60">
        <v>2.32410206E8</v>
      </c>
      <c r="E1294" s="36" t="s">
        <v>8403</v>
      </c>
      <c r="F1294" s="36" t="s">
        <v>227</v>
      </c>
      <c r="G1294" s="12">
        <v>31.0</v>
      </c>
      <c r="H1294" s="57" t="str">
        <f t="shared" si="5"/>
        <v/>
      </c>
      <c r="I1294" s="29" t="s">
        <v>7705</v>
      </c>
      <c r="J1294" s="20" t="str">
        <f>VLOOKUP(I1294,'Database Grup SCC'!$B$2:$C1382,2,false)</f>
        <v>-</v>
      </c>
      <c r="K1294" s="50"/>
      <c r="L1294" s="50"/>
      <c r="M1294" s="50"/>
      <c r="N1294" s="35"/>
      <c r="O1294" s="34"/>
      <c r="P1294" s="34"/>
      <c r="Q1294" s="12" t="str">
        <f t="shared" si="6"/>
        <v>#REF!</v>
      </c>
      <c r="R1294" s="39" t="e">
        <v>#REF!</v>
      </c>
      <c r="S1294" s="39"/>
      <c r="T1294" s="39"/>
      <c r="U1294" s="39"/>
      <c r="V1294" s="39"/>
    </row>
    <row r="1295" ht="22.5" customHeight="1">
      <c r="A1295" s="18">
        <v>594.0</v>
      </c>
      <c r="B1295" s="36">
        <v>25.0</v>
      </c>
      <c r="C1295" s="36" t="s">
        <v>8404</v>
      </c>
      <c r="D1295" s="60">
        <v>2.32410219E8</v>
      </c>
      <c r="E1295" s="36" t="s">
        <v>8405</v>
      </c>
      <c r="F1295" s="36" t="s">
        <v>227</v>
      </c>
      <c r="G1295" s="12">
        <v>31.0</v>
      </c>
      <c r="H1295" s="57" t="str">
        <f t="shared" si="5"/>
        <v/>
      </c>
      <c r="I1295" s="29" t="s">
        <v>7705</v>
      </c>
      <c r="J1295" s="20" t="str">
        <f>VLOOKUP(I1295,'Database Grup SCC'!$B$2:$C1382,2,false)</f>
        <v>-</v>
      </c>
      <c r="K1295" s="50"/>
      <c r="L1295" s="50"/>
      <c r="M1295" s="50"/>
      <c r="N1295" s="35"/>
      <c r="O1295" s="34"/>
      <c r="P1295" s="34"/>
      <c r="Q1295" s="12" t="str">
        <f t="shared" si="6"/>
        <v>#REF!</v>
      </c>
      <c r="R1295" s="39" t="e">
        <v>#REF!</v>
      </c>
      <c r="S1295" s="39"/>
      <c r="T1295" s="39"/>
      <c r="U1295" s="39"/>
      <c r="V1295" s="39"/>
    </row>
    <row r="1296" ht="22.5" customHeight="1">
      <c r="A1296" s="18">
        <v>595.0</v>
      </c>
      <c r="B1296" s="36">
        <v>26.0</v>
      </c>
      <c r="C1296" s="36" t="s">
        <v>8406</v>
      </c>
      <c r="D1296" s="60">
        <v>2.32410237E8</v>
      </c>
      <c r="E1296" s="36" t="s">
        <v>8407</v>
      </c>
      <c r="F1296" s="36" t="s">
        <v>220</v>
      </c>
      <c r="G1296" s="12">
        <v>31.0</v>
      </c>
      <c r="H1296" s="57" t="str">
        <f t="shared" si="5"/>
        <v/>
      </c>
      <c r="I1296" s="29" t="s">
        <v>7705</v>
      </c>
      <c r="J1296" s="20" t="str">
        <f>VLOOKUP(I1296,'Database Grup SCC'!$B$2:$C1382,2,false)</f>
        <v>-</v>
      </c>
      <c r="K1296" s="50"/>
      <c r="L1296" s="50"/>
      <c r="M1296" s="50"/>
      <c r="N1296" s="35"/>
      <c r="O1296" s="34"/>
      <c r="P1296" s="34"/>
      <c r="Q1296" s="12" t="str">
        <f t="shared" si="6"/>
        <v>#REF!</v>
      </c>
      <c r="R1296" s="39" t="e">
        <v>#REF!</v>
      </c>
      <c r="S1296" s="39"/>
      <c r="T1296" s="39"/>
      <c r="U1296" s="39"/>
      <c r="V1296" s="39"/>
    </row>
    <row r="1297" ht="22.5" customHeight="1">
      <c r="A1297" s="18">
        <v>596.0</v>
      </c>
      <c r="B1297" s="36">
        <v>27.0</v>
      </c>
      <c r="C1297" s="36" t="s">
        <v>8408</v>
      </c>
      <c r="D1297" s="60">
        <v>2.32410254E8</v>
      </c>
      <c r="E1297" s="36" t="s">
        <v>8409</v>
      </c>
      <c r="F1297" s="36" t="s">
        <v>220</v>
      </c>
      <c r="G1297" s="12">
        <v>31.0</v>
      </c>
      <c r="H1297" s="57" t="str">
        <f t="shared" si="5"/>
        <v/>
      </c>
      <c r="I1297" s="29" t="s">
        <v>7705</v>
      </c>
      <c r="J1297" s="20" t="str">
        <f>VLOOKUP(I1297,'Database Grup SCC'!$B$2:$C1382,2,false)</f>
        <v>-</v>
      </c>
      <c r="K1297" s="50"/>
      <c r="L1297" s="50"/>
      <c r="M1297" s="50"/>
      <c r="N1297" s="35"/>
      <c r="O1297" s="34"/>
      <c r="P1297" s="34"/>
      <c r="Q1297" s="12" t="str">
        <f t="shared" si="6"/>
        <v>#REF!</v>
      </c>
      <c r="R1297" s="39" t="e">
        <v>#REF!</v>
      </c>
      <c r="S1297" s="39"/>
      <c r="T1297" s="39"/>
      <c r="U1297" s="39"/>
      <c r="V1297" s="39"/>
    </row>
    <row r="1298" ht="22.5" customHeight="1">
      <c r="A1298" s="18">
        <v>597.0</v>
      </c>
      <c r="B1298" s="36">
        <v>28.0</v>
      </c>
      <c r="C1298" s="36" t="s">
        <v>8410</v>
      </c>
      <c r="D1298" s="60">
        <v>2.3241029E8</v>
      </c>
      <c r="E1298" s="36" t="s">
        <v>8411</v>
      </c>
      <c r="F1298" s="36" t="s">
        <v>227</v>
      </c>
      <c r="G1298" s="12">
        <v>31.0</v>
      </c>
      <c r="H1298" s="57" t="str">
        <f t="shared" si="5"/>
        <v/>
      </c>
      <c r="I1298" s="29" t="s">
        <v>7705</v>
      </c>
      <c r="J1298" s="20" t="str">
        <f>VLOOKUP(I1298,'Database Grup SCC'!$B$2:$C1382,2,false)</f>
        <v>-</v>
      </c>
      <c r="K1298" s="50"/>
      <c r="L1298" s="50"/>
      <c r="M1298" s="50"/>
      <c r="N1298" s="35"/>
      <c r="O1298" s="34"/>
      <c r="P1298" s="34"/>
      <c r="Q1298" s="12" t="str">
        <f t="shared" si="6"/>
        <v>#REF!</v>
      </c>
      <c r="R1298" s="39" t="e">
        <v>#REF!</v>
      </c>
      <c r="S1298" s="39"/>
      <c r="T1298" s="39"/>
      <c r="U1298" s="39"/>
      <c r="V1298" s="39"/>
    </row>
    <row r="1299" ht="22.5" customHeight="1">
      <c r="A1299" s="18">
        <v>598.0</v>
      </c>
      <c r="B1299" s="36">
        <v>29.0</v>
      </c>
      <c r="C1299" s="36" t="s">
        <v>8412</v>
      </c>
      <c r="D1299" s="60">
        <v>2.32410304E8</v>
      </c>
      <c r="E1299" s="36" t="s">
        <v>8413</v>
      </c>
      <c r="F1299" s="36" t="s">
        <v>220</v>
      </c>
      <c r="G1299" s="12">
        <v>31.0</v>
      </c>
      <c r="H1299" s="57" t="str">
        <f t="shared" si="5"/>
        <v/>
      </c>
      <c r="I1299" s="29" t="s">
        <v>7705</v>
      </c>
      <c r="J1299" s="20" t="str">
        <f>VLOOKUP(I1299,'Database Grup SCC'!$B$2:$C1382,2,false)</f>
        <v>-</v>
      </c>
      <c r="K1299" s="50"/>
      <c r="L1299" s="50"/>
      <c r="M1299" s="50"/>
      <c r="N1299" s="35"/>
      <c r="O1299" s="34"/>
      <c r="P1299" s="34"/>
      <c r="Q1299" s="12" t="str">
        <f t="shared" si="6"/>
        <v>#REF!</v>
      </c>
      <c r="R1299" s="39" t="e">
        <v>#REF!</v>
      </c>
      <c r="S1299" s="39"/>
      <c r="T1299" s="39"/>
      <c r="U1299" s="39"/>
      <c r="V1299" s="39"/>
    </row>
    <row r="1300" ht="22.5" customHeight="1">
      <c r="A1300" s="18">
        <v>599.0</v>
      </c>
      <c r="B1300" s="36">
        <v>30.0</v>
      </c>
      <c r="C1300" s="36" t="s">
        <v>8414</v>
      </c>
      <c r="D1300" s="60">
        <v>2.32410311E8</v>
      </c>
      <c r="E1300" s="36" t="s">
        <v>8415</v>
      </c>
      <c r="F1300" s="36" t="s">
        <v>227</v>
      </c>
      <c r="G1300" s="12">
        <v>31.0</v>
      </c>
      <c r="H1300" s="57" t="str">
        <f t="shared" si="5"/>
        <v/>
      </c>
      <c r="I1300" s="29" t="s">
        <v>7705</v>
      </c>
      <c r="J1300" s="20" t="str">
        <f>VLOOKUP(I1300,'Database Grup SCC'!$B$2:$C1382,2,false)</f>
        <v>-</v>
      </c>
      <c r="K1300" s="50"/>
      <c r="L1300" s="50"/>
      <c r="M1300" s="50"/>
      <c r="N1300" s="35"/>
      <c r="O1300" s="34"/>
      <c r="P1300" s="34"/>
      <c r="Q1300" s="12" t="str">
        <f t="shared" si="6"/>
        <v>#REF!</v>
      </c>
      <c r="R1300" s="39" t="e">
        <v>#REF!</v>
      </c>
      <c r="S1300" s="39"/>
      <c r="T1300" s="39"/>
      <c r="U1300" s="39"/>
      <c r="V1300" s="39"/>
    </row>
    <row r="1301" ht="22.5" customHeight="1">
      <c r="A1301" s="18">
        <v>600.0</v>
      </c>
      <c r="B1301" s="36">
        <v>31.0</v>
      </c>
      <c r="C1301" s="36" t="s">
        <v>8416</v>
      </c>
      <c r="D1301" s="60">
        <v>2.32410331E8</v>
      </c>
      <c r="E1301" s="36" t="s">
        <v>8417</v>
      </c>
      <c r="F1301" s="36" t="s">
        <v>220</v>
      </c>
      <c r="G1301" s="12">
        <v>31.0</v>
      </c>
      <c r="H1301" s="57" t="str">
        <f t="shared" si="5"/>
        <v/>
      </c>
      <c r="I1301" s="29" t="s">
        <v>7705</v>
      </c>
      <c r="J1301" s="20" t="str">
        <f>VLOOKUP(I1301,'Database Grup SCC'!$B$2:$C1382,2,false)</f>
        <v>-</v>
      </c>
      <c r="K1301" s="50"/>
      <c r="L1301" s="50"/>
      <c r="M1301" s="50"/>
      <c r="N1301" s="35"/>
      <c r="O1301" s="34"/>
      <c r="P1301" s="34"/>
      <c r="Q1301" s="12" t="str">
        <f t="shared" si="6"/>
        <v>#REF!</v>
      </c>
      <c r="R1301" s="39" t="e">
        <v>#REF!</v>
      </c>
      <c r="S1301" s="39"/>
      <c r="T1301" s="39"/>
      <c r="U1301" s="39"/>
      <c r="V1301" s="39"/>
    </row>
    <row r="1302" ht="22.5" customHeight="1">
      <c r="A1302" s="18">
        <v>601.0</v>
      </c>
      <c r="B1302" s="36">
        <v>32.0</v>
      </c>
      <c r="C1302" s="40" t="s">
        <v>8418</v>
      </c>
      <c r="D1302" s="64">
        <v>2.3241038E8</v>
      </c>
      <c r="E1302" s="40" t="s">
        <v>8419</v>
      </c>
      <c r="F1302" s="40" t="s">
        <v>227</v>
      </c>
      <c r="G1302" s="12">
        <v>31.0</v>
      </c>
      <c r="H1302" s="57" t="str">
        <f t="shared" si="5"/>
        <v/>
      </c>
      <c r="I1302" s="29" t="s">
        <v>7705</v>
      </c>
      <c r="J1302" s="20" t="str">
        <f>VLOOKUP(I1302,'Database Grup SCC'!$B$2:$C1382,2,false)</f>
        <v>-</v>
      </c>
      <c r="K1302" s="50"/>
      <c r="L1302" s="50"/>
      <c r="M1302" s="50"/>
      <c r="N1302" s="35"/>
      <c r="O1302" s="34"/>
      <c r="P1302" s="34"/>
      <c r="Q1302" s="12" t="str">
        <f t="shared" si="6"/>
        <v>#REF!</v>
      </c>
      <c r="R1302" s="39" t="e">
        <v>#REF!</v>
      </c>
      <c r="S1302" s="39"/>
      <c r="T1302" s="39"/>
      <c r="U1302" s="39"/>
      <c r="V1302" s="39"/>
    </row>
    <row r="1303" ht="22.5" customHeight="1">
      <c r="A1303" s="18">
        <v>602.0</v>
      </c>
      <c r="B1303" s="36">
        <v>33.0</v>
      </c>
      <c r="C1303" s="36" t="s">
        <v>8420</v>
      </c>
      <c r="D1303" s="60">
        <v>2.32410381E8</v>
      </c>
      <c r="E1303" s="36" t="s">
        <v>8421</v>
      </c>
      <c r="F1303" s="36" t="s">
        <v>227</v>
      </c>
      <c r="G1303" s="12">
        <v>31.0</v>
      </c>
      <c r="H1303" s="57" t="str">
        <f t="shared" si="5"/>
        <v/>
      </c>
      <c r="I1303" s="29" t="s">
        <v>7705</v>
      </c>
      <c r="J1303" s="20" t="str">
        <f>VLOOKUP(I1303,'Database Grup SCC'!$B$2:$C1382,2,false)</f>
        <v>-</v>
      </c>
      <c r="K1303" s="50"/>
      <c r="L1303" s="50"/>
      <c r="M1303" s="50"/>
      <c r="N1303" s="35"/>
      <c r="O1303" s="34"/>
      <c r="P1303" s="34"/>
      <c r="Q1303" s="12" t="str">
        <f t="shared" si="6"/>
        <v>#REF!</v>
      </c>
      <c r="R1303" s="39" t="e">
        <v>#REF!</v>
      </c>
      <c r="S1303" s="39"/>
      <c r="T1303" s="39"/>
      <c r="U1303" s="39"/>
      <c r="V1303" s="39"/>
    </row>
    <row r="1304" ht="22.5" customHeight="1">
      <c r="A1304" s="18">
        <v>603.0</v>
      </c>
      <c r="B1304" s="36">
        <v>34.0</v>
      </c>
      <c r="C1304" s="36" t="s">
        <v>8422</v>
      </c>
      <c r="D1304" s="60">
        <v>2.32410397E8</v>
      </c>
      <c r="E1304" s="36" t="s">
        <v>8423</v>
      </c>
      <c r="F1304" s="36" t="s">
        <v>220</v>
      </c>
      <c r="G1304" s="12">
        <v>31.0</v>
      </c>
      <c r="H1304" s="57" t="str">
        <f t="shared" si="5"/>
        <v/>
      </c>
      <c r="I1304" s="29" t="s">
        <v>7705</v>
      </c>
      <c r="J1304" s="20" t="str">
        <f>VLOOKUP(I1304,'Database Grup SCC'!$B$2:$C1382,2,false)</f>
        <v>-</v>
      </c>
      <c r="K1304" s="50"/>
      <c r="L1304" s="50"/>
      <c r="M1304" s="50"/>
      <c r="N1304" s="35"/>
      <c r="O1304" s="34"/>
      <c r="P1304" s="34"/>
      <c r="Q1304" s="12" t="str">
        <f t="shared" si="6"/>
        <v>#REF!</v>
      </c>
      <c r="R1304" s="39" t="e">
        <v>#REF!</v>
      </c>
      <c r="S1304" s="39"/>
      <c r="T1304" s="39"/>
      <c r="U1304" s="39"/>
      <c r="V1304" s="39"/>
    </row>
    <row r="1305" ht="22.5" customHeight="1">
      <c r="A1305" s="18">
        <v>604.0</v>
      </c>
      <c r="B1305" s="36">
        <v>35.0</v>
      </c>
      <c r="C1305" s="36" t="s">
        <v>8424</v>
      </c>
      <c r="D1305" s="60">
        <v>2.324104E8</v>
      </c>
      <c r="E1305" s="36" t="s">
        <v>8425</v>
      </c>
      <c r="F1305" s="36" t="s">
        <v>227</v>
      </c>
      <c r="G1305" s="12">
        <v>31.0</v>
      </c>
      <c r="H1305" s="57" t="str">
        <f t="shared" si="5"/>
        <v/>
      </c>
      <c r="I1305" s="29" t="s">
        <v>7705</v>
      </c>
      <c r="J1305" s="20" t="str">
        <f>VLOOKUP(I1305,'Database Grup SCC'!$B$2:$C1382,2,false)</f>
        <v>-</v>
      </c>
      <c r="K1305" s="50"/>
      <c r="L1305" s="50"/>
      <c r="M1305" s="50"/>
      <c r="N1305" s="35"/>
      <c r="O1305" s="34"/>
      <c r="P1305" s="34"/>
      <c r="Q1305" s="12" t="str">
        <f t="shared" si="6"/>
        <v>#REF!</v>
      </c>
      <c r="R1305" s="39" t="e">
        <v>#REF!</v>
      </c>
      <c r="S1305" s="39"/>
      <c r="T1305" s="39"/>
      <c r="U1305" s="39"/>
      <c r="V1305" s="39"/>
    </row>
    <row r="1306" ht="22.5" customHeight="1">
      <c r="A1306" s="18">
        <v>605.0</v>
      </c>
      <c r="B1306" s="36">
        <v>36.0</v>
      </c>
      <c r="C1306" s="36" t="s">
        <v>8426</v>
      </c>
      <c r="D1306" s="60">
        <v>2.32410406E8</v>
      </c>
      <c r="E1306" s="36" t="s">
        <v>8427</v>
      </c>
      <c r="F1306" s="36" t="s">
        <v>227</v>
      </c>
      <c r="G1306" s="12">
        <v>31.0</v>
      </c>
      <c r="H1306" s="57" t="str">
        <f t="shared" si="5"/>
        <v/>
      </c>
      <c r="I1306" s="29" t="s">
        <v>7705</v>
      </c>
      <c r="J1306" s="20" t="str">
        <f>VLOOKUP(I1306,'Database Grup SCC'!$B$2:$C1382,2,false)</f>
        <v>-</v>
      </c>
      <c r="K1306" s="50"/>
      <c r="L1306" s="50"/>
      <c r="M1306" s="50"/>
      <c r="N1306" s="35"/>
      <c r="O1306" s="34"/>
      <c r="P1306" s="34"/>
      <c r="Q1306" s="12" t="str">
        <f t="shared" si="6"/>
        <v>#REF!</v>
      </c>
      <c r="R1306" s="39" t="e">
        <v>#REF!</v>
      </c>
      <c r="S1306" s="39"/>
      <c r="T1306" s="39"/>
      <c r="U1306" s="39"/>
      <c r="V1306" s="39"/>
    </row>
    <row r="1307" ht="22.5" customHeight="1">
      <c r="A1307" s="18">
        <v>618.0</v>
      </c>
      <c r="B1307" s="36">
        <v>1.0</v>
      </c>
      <c r="C1307" s="36" t="s">
        <v>8428</v>
      </c>
      <c r="D1307" s="60">
        <v>2.32410026E8</v>
      </c>
      <c r="E1307" s="36" t="s">
        <v>8429</v>
      </c>
      <c r="F1307" s="36" t="s">
        <v>220</v>
      </c>
      <c r="G1307" s="12">
        <v>31.0</v>
      </c>
      <c r="H1307" s="57" t="str">
        <f t="shared" si="5"/>
        <v/>
      </c>
      <c r="I1307" s="29" t="s">
        <v>7705</v>
      </c>
      <c r="J1307" s="20" t="str">
        <f>VLOOKUP(I1307,'Database Grup SCC'!$B$2:$C1382,2,false)</f>
        <v>-</v>
      </c>
      <c r="K1307" s="50"/>
      <c r="L1307" s="50" t="s">
        <v>8430</v>
      </c>
      <c r="M1307" s="50" t="s">
        <v>8431</v>
      </c>
      <c r="N1307" s="35"/>
      <c r="O1307" s="34"/>
      <c r="P1307" s="34"/>
      <c r="Q1307" s="12" t="str">
        <f t="shared" si="6"/>
        <v>#REF!</v>
      </c>
      <c r="R1307" s="39" t="e">
        <v>#REF!</v>
      </c>
      <c r="S1307" s="39"/>
      <c r="T1307" s="39"/>
      <c r="U1307" s="39"/>
      <c r="V1307" s="39"/>
    </row>
    <row r="1308" ht="22.5" customHeight="1">
      <c r="A1308" s="18">
        <v>619.0</v>
      </c>
      <c r="B1308" s="36">
        <v>2.0</v>
      </c>
      <c r="C1308" s="36" t="s">
        <v>8432</v>
      </c>
      <c r="D1308" s="60">
        <v>2.32410029E8</v>
      </c>
      <c r="E1308" s="36" t="s">
        <v>8433</v>
      </c>
      <c r="F1308" s="36" t="s">
        <v>227</v>
      </c>
      <c r="G1308" s="12">
        <v>31.0</v>
      </c>
      <c r="H1308" s="57" t="str">
        <f t="shared" si="5"/>
        <v/>
      </c>
      <c r="I1308" s="29" t="s">
        <v>7705</v>
      </c>
      <c r="J1308" s="20" t="str">
        <f>VLOOKUP(I1308,'Database Grup SCC'!$B$2:$C1382,2,false)</f>
        <v>-</v>
      </c>
      <c r="K1308" s="50"/>
      <c r="L1308" s="50"/>
      <c r="M1308" s="50"/>
      <c r="N1308" s="35"/>
      <c r="O1308" s="34"/>
      <c r="P1308" s="34"/>
      <c r="Q1308" s="12" t="str">
        <f t="shared" si="6"/>
        <v>#REF!</v>
      </c>
      <c r="R1308" s="39" t="e">
        <v>#REF!</v>
      </c>
      <c r="S1308" s="39"/>
      <c r="T1308" s="39"/>
      <c r="U1308" s="39"/>
      <c r="V1308" s="39"/>
    </row>
    <row r="1309" ht="22.5" customHeight="1">
      <c r="A1309" s="18">
        <v>620.0</v>
      </c>
      <c r="B1309" s="36">
        <v>3.0</v>
      </c>
      <c r="C1309" s="62" t="s">
        <v>8434</v>
      </c>
      <c r="D1309" s="63">
        <v>2.42511439E8</v>
      </c>
      <c r="E1309" s="40" t="s">
        <v>8435</v>
      </c>
      <c r="F1309" s="40" t="s">
        <v>220</v>
      </c>
      <c r="G1309" s="12">
        <v>31.0</v>
      </c>
      <c r="H1309" s="57" t="str">
        <f t="shared" si="5"/>
        <v/>
      </c>
      <c r="I1309" s="29" t="s">
        <v>7705</v>
      </c>
      <c r="J1309" s="20" t="str">
        <f>VLOOKUP(I1309,'Database Grup SCC'!$B$2:$C1382,2,false)</f>
        <v>-</v>
      </c>
      <c r="K1309" s="50"/>
      <c r="L1309" s="50"/>
      <c r="M1309" s="50"/>
      <c r="N1309" s="35"/>
      <c r="O1309" s="34"/>
      <c r="P1309" s="34"/>
      <c r="Q1309" s="12" t="str">
        <f t="shared" si="6"/>
        <v>#REF!</v>
      </c>
      <c r="R1309" s="39" t="e">
        <v>#REF!</v>
      </c>
      <c r="S1309" s="39"/>
      <c r="T1309" s="39"/>
      <c r="U1309" s="39"/>
      <c r="V1309" s="39"/>
    </row>
    <row r="1310" ht="22.5" customHeight="1">
      <c r="A1310" s="18">
        <v>621.0</v>
      </c>
      <c r="B1310" s="36">
        <v>4.0</v>
      </c>
      <c r="C1310" s="36" t="s">
        <v>8436</v>
      </c>
      <c r="D1310" s="60">
        <v>2.3241004E8</v>
      </c>
      <c r="E1310" s="36" t="s">
        <v>8437</v>
      </c>
      <c r="F1310" s="36" t="s">
        <v>220</v>
      </c>
      <c r="G1310" s="12">
        <v>31.0</v>
      </c>
      <c r="H1310" s="57" t="str">
        <f t="shared" si="5"/>
        <v/>
      </c>
      <c r="I1310" s="29" t="s">
        <v>7705</v>
      </c>
      <c r="J1310" s="20" t="str">
        <f>VLOOKUP(I1310,'Database Grup SCC'!$B$2:$C1382,2,false)</f>
        <v>-</v>
      </c>
      <c r="K1310" s="50"/>
      <c r="L1310" s="50"/>
      <c r="M1310" s="50"/>
      <c r="N1310" s="35"/>
      <c r="O1310" s="34"/>
      <c r="P1310" s="34"/>
      <c r="Q1310" s="12" t="str">
        <f t="shared" si="6"/>
        <v>#REF!</v>
      </c>
      <c r="R1310" s="39" t="e">
        <v>#REF!</v>
      </c>
      <c r="S1310" s="39"/>
      <c r="T1310" s="39"/>
      <c r="U1310" s="39"/>
      <c r="V1310" s="39"/>
    </row>
    <row r="1311" ht="22.5" customHeight="1">
      <c r="A1311" s="18">
        <v>622.0</v>
      </c>
      <c r="B1311" s="36">
        <v>5.0</v>
      </c>
      <c r="C1311" s="36" t="s">
        <v>8438</v>
      </c>
      <c r="D1311" s="60">
        <v>2.3241006E8</v>
      </c>
      <c r="E1311" s="36" t="s">
        <v>8439</v>
      </c>
      <c r="F1311" s="36" t="s">
        <v>227</v>
      </c>
      <c r="G1311" s="12">
        <v>31.0</v>
      </c>
      <c r="H1311" s="57" t="str">
        <f t="shared" si="5"/>
        <v/>
      </c>
      <c r="I1311" s="29" t="s">
        <v>7705</v>
      </c>
      <c r="J1311" s="20" t="str">
        <f>VLOOKUP(I1311,'Database Grup SCC'!$B$2:$C1382,2,false)</f>
        <v>-</v>
      </c>
      <c r="K1311" s="50"/>
      <c r="L1311" s="50"/>
      <c r="M1311" s="50"/>
      <c r="N1311" s="35"/>
      <c r="O1311" s="34"/>
      <c r="P1311" s="34"/>
      <c r="Q1311" s="12" t="str">
        <f t="shared" si="6"/>
        <v>#REF!</v>
      </c>
      <c r="R1311" s="39" t="e">
        <v>#REF!</v>
      </c>
      <c r="S1311" s="39"/>
      <c r="T1311" s="39"/>
      <c r="U1311" s="39"/>
      <c r="V1311" s="39"/>
    </row>
    <row r="1312" ht="22.5" customHeight="1">
      <c r="A1312" s="18">
        <v>623.0</v>
      </c>
      <c r="B1312" s="36">
        <v>6.0</v>
      </c>
      <c r="C1312" s="59" t="s">
        <v>8440</v>
      </c>
      <c r="D1312" s="60">
        <v>2.32410077E8</v>
      </c>
      <c r="E1312" s="36" t="s">
        <v>8441</v>
      </c>
      <c r="F1312" s="36" t="s">
        <v>227</v>
      </c>
      <c r="G1312" s="12">
        <v>31.0</v>
      </c>
      <c r="H1312" s="57" t="str">
        <f t="shared" si="5"/>
        <v/>
      </c>
      <c r="I1312" s="29" t="s">
        <v>7705</v>
      </c>
      <c r="J1312" s="20" t="str">
        <f>VLOOKUP(I1312,'Database Grup SCC'!$B$2:$C1382,2,false)</f>
        <v>-</v>
      </c>
      <c r="K1312" s="50"/>
      <c r="L1312" s="50"/>
      <c r="M1312" s="50"/>
      <c r="N1312" s="35"/>
      <c r="O1312" s="34"/>
      <c r="P1312" s="34"/>
      <c r="Q1312" s="12" t="str">
        <f t="shared" si="6"/>
        <v>#REF!</v>
      </c>
      <c r="R1312" s="39" t="e">
        <v>#REF!</v>
      </c>
      <c r="S1312" s="39"/>
      <c r="T1312" s="39"/>
      <c r="U1312" s="39"/>
      <c r="V1312" s="39"/>
    </row>
    <row r="1313" ht="22.5" customHeight="1">
      <c r="A1313" s="18">
        <v>624.0</v>
      </c>
      <c r="B1313" s="36">
        <v>7.0</v>
      </c>
      <c r="C1313" s="59" t="s">
        <v>8442</v>
      </c>
      <c r="D1313" s="60">
        <v>2.32410081E8</v>
      </c>
      <c r="E1313" s="36" t="s">
        <v>8443</v>
      </c>
      <c r="F1313" s="36" t="s">
        <v>227</v>
      </c>
      <c r="G1313" s="12">
        <v>31.0</v>
      </c>
      <c r="H1313" s="57" t="str">
        <f t="shared" si="5"/>
        <v/>
      </c>
      <c r="I1313" s="29" t="s">
        <v>7705</v>
      </c>
      <c r="J1313" s="20" t="str">
        <f>VLOOKUP(I1313,'Database Grup SCC'!$B$2:$C1382,2,false)</f>
        <v>-</v>
      </c>
      <c r="K1313" s="50"/>
      <c r="L1313" s="50"/>
      <c r="M1313" s="50"/>
      <c r="N1313" s="35"/>
      <c r="O1313" s="34"/>
      <c r="P1313" s="34"/>
      <c r="Q1313" s="12" t="str">
        <f t="shared" si="6"/>
        <v>#REF!</v>
      </c>
      <c r="R1313" s="39" t="e">
        <v>#REF!</v>
      </c>
      <c r="S1313" s="39"/>
      <c r="T1313" s="39"/>
      <c r="U1313" s="39"/>
      <c r="V1313" s="39"/>
    </row>
    <row r="1314" ht="22.5" customHeight="1">
      <c r="A1314" s="18">
        <v>625.0</v>
      </c>
      <c r="B1314" s="36">
        <v>8.0</v>
      </c>
      <c r="C1314" s="59" t="s">
        <v>8444</v>
      </c>
      <c r="D1314" s="60">
        <v>2.32410127E8</v>
      </c>
      <c r="E1314" s="36" t="s">
        <v>8445</v>
      </c>
      <c r="F1314" s="36" t="s">
        <v>227</v>
      </c>
      <c r="G1314" s="12">
        <v>31.0</v>
      </c>
      <c r="H1314" s="57" t="str">
        <f t="shared" si="5"/>
        <v/>
      </c>
      <c r="I1314" s="29" t="s">
        <v>7705</v>
      </c>
      <c r="J1314" s="20" t="str">
        <f>VLOOKUP(I1314,'Database Grup SCC'!$B$2:$C1382,2,false)</f>
        <v>-</v>
      </c>
      <c r="K1314" s="50"/>
      <c r="L1314" s="50"/>
      <c r="M1314" s="50"/>
      <c r="N1314" s="35"/>
      <c r="O1314" s="34"/>
      <c r="P1314" s="34"/>
      <c r="Q1314" s="12" t="str">
        <f t="shared" si="6"/>
        <v>#REF!</v>
      </c>
      <c r="R1314" s="39" t="e">
        <v>#REF!</v>
      </c>
      <c r="S1314" s="39"/>
      <c r="T1314" s="39"/>
      <c r="U1314" s="39"/>
      <c r="V1314" s="39"/>
    </row>
    <row r="1315" ht="22.5" customHeight="1">
      <c r="A1315" s="18">
        <v>626.0</v>
      </c>
      <c r="B1315" s="36">
        <v>9.0</v>
      </c>
      <c r="C1315" s="59" t="s">
        <v>8446</v>
      </c>
      <c r="D1315" s="60">
        <v>2.32410134E8</v>
      </c>
      <c r="E1315" s="36" t="s">
        <v>8447</v>
      </c>
      <c r="F1315" s="36" t="s">
        <v>227</v>
      </c>
      <c r="G1315" s="12">
        <v>31.0</v>
      </c>
      <c r="H1315" s="57" t="str">
        <f t="shared" si="5"/>
        <v/>
      </c>
      <c r="I1315" s="29" t="s">
        <v>7705</v>
      </c>
      <c r="J1315" s="20" t="str">
        <f>VLOOKUP(I1315,'Database Grup SCC'!$B$2:$C1382,2,false)</f>
        <v>-</v>
      </c>
      <c r="K1315" s="50"/>
      <c r="L1315" s="50"/>
      <c r="M1315" s="50"/>
      <c r="N1315" s="35"/>
      <c r="O1315" s="34"/>
      <c r="P1315" s="34"/>
      <c r="Q1315" s="12" t="str">
        <f t="shared" si="6"/>
        <v>#REF!</v>
      </c>
      <c r="R1315" s="39" t="e">
        <v>#REF!</v>
      </c>
      <c r="S1315" s="39"/>
      <c r="T1315" s="39"/>
      <c r="U1315" s="39"/>
      <c r="V1315" s="39"/>
    </row>
    <row r="1316" ht="22.5" customHeight="1">
      <c r="A1316" s="18">
        <v>627.0</v>
      </c>
      <c r="B1316" s="36">
        <v>10.0</v>
      </c>
      <c r="C1316" s="65" t="s">
        <v>8448</v>
      </c>
      <c r="D1316" s="60">
        <v>2.32410137E8</v>
      </c>
      <c r="E1316" s="36" t="s">
        <v>8449</v>
      </c>
      <c r="F1316" s="36" t="s">
        <v>227</v>
      </c>
      <c r="G1316" s="12">
        <v>31.0</v>
      </c>
      <c r="H1316" s="57" t="str">
        <f t="shared" si="5"/>
        <v/>
      </c>
      <c r="I1316" s="29" t="s">
        <v>7705</v>
      </c>
      <c r="J1316" s="20" t="str">
        <f>VLOOKUP(I1316,'Database Grup SCC'!$B$2:$C1382,2,false)</f>
        <v>-</v>
      </c>
      <c r="K1316" s="50"/>
      <c r="L1316" s="50"/>
      <c r="M1316" s="50"/>
      <c r="N1316" s="35"/>
      <c r="O1316" s="34"/>
      <c r="P1316" s="34"/>
      <c r="Q1316" s="12" t="str">
        <f t="shared" si="6"/>
        <v>#REF!</v>
      </c>
      <c r="R1316" s="39" t="e">
        <v>#REF!</v>
      </c>
      <c r="S1316" s="39"/>
      <c r="T1316" s="39"/>
      <c r="U1316" s="39"/>
      <c r="V1316" s="39"/>
    </row>
    <row r="1317" ht="22.5" customHeight="1">
      <c r="A1317" s="18">
        <v>628.0</v>
      </c>
      <c r="B1317" s="36">
        <v>11.0</v>
      </c>
      <c r="C1317" s="36" t="s">
        <v>8306</v>
      </c>
      <c r="D1317" s="60">
        <v>2.32410142E8</v>
      </c>
      <c r="E1317" s="36" t="s">
        <v>8450</v>
      </c>
      <c r="F1317" s="36" t="s">
        <v>227</v>
      </c>
      <c r="G1317" s="12">
        <v>31.0</v>
      </c>
      <c r="H1317" s="57" t="str">
        <f t="shared" si="5"/>
        <v/>
      </c>
      <c r="I1317" s="29" t="s">
        <v>7705</v>
      </c>
      <c r="J1317" s="20" t="str">
        <f>VLOOKUP(I1317,'Database Grup SCC'!$B$2:$C1382,2,false)</f>
        <v>-</v>
      </c>
      <c r="K1317" s="50"/>
      <c r="L1317" s="50"/>
      <c r="M1317" s="50"/>
      <c r="N1317" s="35"/>
      <c r="O1317" s="34"/>
      <c r="P1317" s="34"/>
      <c r="Q1317" s="12" t="str">
        <f t="shared" si="6"/>
        <v>#REF!</v>
      </c>
      <c r="R1317" s="39" t="e">
        <v>#REF!</v>
      </c>
      <c r="S1317" s="39"/>
      <c r="T1317" s="39"/>
      <c r="U1317" s="39"/>
      <c r="V1317" s="39"/>
    </row>
    <row r="1318" ht="22.5" customHeight="1">
      <c r="A1318" s="18">
        <v>629.0</v>
      </c>
      <c r="B1318" s="36">
        <v>12.0</v>
      </c>
      <c r="C1318" s="36" t="s">
        <v>8451</v>
      </c>
      <c r="D1318" s="60">
        <v>2.32410148E8</v>
      </c>
      <c r="E1318" s="36" t="s">
        <v>8452</v>
      </c>
      <c r="F1318" s="36" t="s">
        <v>227</v>
      </c>
      <c r="G1318" s="12">
        <v>31.0</v>
      </c>
      <c r="H1318" s="57" t="str">
        <f t="shared" si="5"/>
        <v/>
      </c>
      <c r="I1318" s="29" t="s">
        <v>7705</v>
      </c>
      <c r="J1318" s="20" t="str">
        <f>VLOOKUP(I1318,'Database Grup SCC'!$B$2:$C1382,2,false)</f>
        <v>-</v>
      </c>
      <c r="K1318" s="50"/>
      <c r="L1318" s="50"/>
      <c r="M1318" s="50"/>
      <c r="N1318" s="35"/>
      <c r="O1318" s="34"/>
      <c r="P1318" s="34"/>
      <c r="Q1318" s="12" t="str">
        <f t="shared" si="6"/>
        <v>#REF!</v>
      </c>
      <c r="R1318" s="39" t="e">
        <v>#REF!</v>
      </c>
      <c r="S1318" s="39"/>
      <c r="T1318" s="39"/>
      <c r="U1318" s="39"/>
      <c r="V1318" s="39"/>
    </row>
    <row r="1319" ht="22.5" customHeight="1">
      <c r="A1319" s="18">
        <v>630.0</v>
      </c>
      <c r="B1319" s="36">
        <v>13.0</v>
      </c>
      <c r="C1319" s="36" t="s">
        <v>8453</v>
      </c>
      <c r="D1319" s="60">
        <v>2.32410158E8</v>
      </c>
      <c r="E1319" s="36" t="s">
        <v>8454</v>
      </c>
      <c r="F1319" s="36" t="s">
        <v>227</v>
      </c>
      <c r="G1319" s="12">
        <v>31.0</v>
      </c>
      <c r="H1319" s="57" t="str">
        <f t="shared" si="5"/>
        <v/>
      </c>
      <c r="I1319" s="29" t="s">
        <v>7705</v>
      </c>
      <c r="J1319" s="20" t="str">
        <f>VLOOKUP(I1319,'Database Grup SCC'!$B$2:$C1382,2,false)</f>
        <v>-</v>
      </c>
      <c r="K1319" s="50"/>
      <c r="L1319" s="50"/>
      <c r="M1319" s="50"/>
      <c r="N1319" s="35"/>
      <c r="O1319" s="34"/>
      <c r="P1319" s="34"/>
      <c r="Q1319" s="12" t="str">
        <f t="shared" si="6"/>
        <v>#REF!</v>
      </c>
      <c r="R1319" s="39" t="e">
        <v>#REF!</v>
      </c>
      <c r="S1319" s="39"/>
      <c r="T1319" s="39"/>
      <c r="U1319" s="39"/>
      <c r="V1319" s="39"/>
    </row>
    <row r="1320" ht="22.5" customHeight="1">
      <c r="A1320" s="18">
        <v>631.0</v>
      </c>
      <c r="B1320" s="36">
        <v>14.0</v>
      </c>
      <c r="C1320" s="36" t="s">
        <v>8455</v>
      </c>
      <c r="D1320" s="60">
        <v>2.3241017E8</v>
      </c>
      <c r="E1320" s="36" t="s">
        <v>8456</v>
      </c>
      <c r="F1320" s="36" t="s">
        <v>220</v>
      </c>
      <c r="G1320" s="12">
        <v>31.0</v>
      </c>
      <c r="H1320" s="57" t="str">
        <f t="shared" si="5"/>
        <v/>
      </c>
      <c r="I1320" s="29" t="s">
        <v>7705</v>
      </c>
      <c r="J1320" s="20" t="str">
        <f>VLOOKUP(I1320,'Database Grup SCC'!$B$2:$C1382,2,false)</f>
        <v>-</v>
      </c>
      <c r="K1320" s="50"/>
      <c r="L1320" s="50"/>
      <c r="M1320" s="50"/>
      <c r="N1320" s="35"/>
      <c r="O1320" s="34"/>
      <c r="P1320" s="34"/>
      <c r="Q1320" s="12" t="str">
        <f t="shared" si="6"/>
        <v>#REF!</v>
      </c>
      <c r="R1320" s="39" t="e">
        <v>#REF!</v>
      </c>
      <c r="S1320" s="39"/>
      <c r="T1320" s="39"/>
      <c r="U1320" s="39"/>
      <c r="V1320" s="39"/>
    </row>
    <row r="1321" ht="22.5" customHeight="1">
      <c r="A1321" s="18">
        <v>632.0</v>
      </c>
      <c r="B1321" s="36">
        <v>15.0</v>
      </c>
      <c r="C1321" s="40" t="s">
        <v>8457</v>
      </c>
      <c r="D1321" s="64">
        <v>2.32410202E8</v>
      </c>
      <c r="E1321" s="40" t="s">
        <v>8458</v>
      </c>
      <c r="F1321" s="40" t="s">
        <v>227</v>
      </c>
      <c r="G1321" s="12">
        <v>31.0</v>
      </c>
      <c r="H1321" s="57" t="str">
        <f t="shared" si="5"/>
        <v/>
      </c>
      <c r="I1321" s="29" t="s">
        <v>7705</v>
      </c>
      <c r="J1321" s="20" t="str">
        <f>VLOOKUP(I1321,'Database Grup SCC'!$B$2:$C1382,2,false)</f>
        <v>-</v>
      </c>
      <c r="K1321" s="50"/>
      <c r="L1321" s="50"/>
      <c r="M1321" s="50"/>
      <c r="N1321" s="35"/>
      <c r="O1321" s="34"/>
      <c r="P1321" s="34"/>
      <c r="Q1321" s="12" t="str">
        <f t="shared" si="6"/>
        <v>#REF!</v>
      </c>
      <c r="R1321" s="39" t="e">
        <v>#REF!</v>
      </c>
      <c r="S1321" s="39"/>
      <c r="T1321" s="39"/>
      <c r="U1321" s="39"/>
      <c r="V1321" s="39"/>
    </row>
    <row r="1322" ht="22.5" customHeight="1">
      <c r="A1322" s="18">
        <v>633.0</v>
      </c>
      <c r="B1322" s="36">
        <v>16.0</v>
      </c>
      <c r="C1322" s="40" t="s">
        <v>8459</v>
      </c>
      <c r="D1322" s="64">
        <v>2.32410244E8</v>
      </c>
      <c r="E1322" s="40" t="s">
        <v>8460</v>
      </c>
      <c r="F1322" s="40" t="s">
        <v>220</v>
      </c>
      <c r="G1322" s="12">
        <v>31.0</v>
      </c>
      <c r="H1322" s="57" t="str">
        <f t="shared" si="5"/>
        <v/>
      </c>
      <c r="I1322" s="29" t="s">
        <v>7705</v>
      </c>
      <c r="J1322" s="20" t="str">
        <f>VLOOKUP(I1322,'Database Grup SCC'!$B$2:$C1382,2,false)</f>
        <v>-</v>
      </c>
      <c r="K1322" s="50"/>
      <c r="L1322" s="50"/>
      <c r="M1322" s="50"/>
      <c r="N1322" s="35"/>
      <c r="O1322" s="34"/>
      <c r="P1322" s="34"/>
      <c r="Q1322" s="12" t="str">
        <f t="shared" si="6"/>
        <v>#REF!</v>
      </c>
      <c r="R1322" s="39" t="e">
        <v>#REF!</v>
      </c>
      <c r="S1322" s="39"/>
      <c r="T1322" s="39"/>
      <c r="U1322" s="39"/>
      <c r="V1322" s="39"/>
    </row>
    <row r="1323" ht="22.5" customHeight="1">
      <c r="A1323" s="18">
        <v>634.0</v>
      </c>
      <c r="B1323" s="36">
        <v>17.0</v>
      </c>
      <c r="C1323" s="36" t="s">
        <v>8461</v>
      </c>
      <c r="D1323" s="60">
        <v>2.32410245E8</v>
      </c>
      <c r="E1323" s="36" t="s">
        <v>8462</v>
      </c>
      <c r="F1323" s="36" t="s">
        <v>220</v>
      </c>
      <c r="G1323" s="12">
        <v>31.0</v>
      </c>
      <c r="H1323" s="57" t="str">
        <f t="shared" si="5"/>
        <v/>
      </c>
      <c r="I1323" s="29" t="s">
        <v>7705</v>
      </c>
      <c r="J1323" s="20" t="str">
        <f>VLOOKUP(I1323,'Database Grup SCC'!$B$2:$C1382,2,false)</f>
        <v>-</v>
      </c>
      <c r="K1323" s="50"/>
      <c r="L1323" s="50"/>
      <c r="M1323" s="50"/>
      <c r="N1323" s="35"/>
      <c r="O1323" s="34"/>
      <c r="P1323" s="34"/>
      <c r="Q1323" s="12" t="str">
        <f t="shared" si="6"/>
        <v>#REF!</v>
      </c>
      <c r="R1323" s="39" t="e">
        <v>#REF!</v>
      </c>
      <c r="S1323" s="39"/>
      <c r="T1323" s="39"/>
      <c r="U1323" s="39"/>
      <c r="V1323" s="39"/>
    </row>
    <row r="1324" ht="22.5" customHeight="1">
      <c r="A1324" s="18">
        <v>635.0</v>
      </c>
      <c r="B1324" s="36">
        <v>18.0</v>
      </c>
      <c r="C1324" s="36" t="s">
        <v>8463</v>
      </c>
      <c r="D1324" s="60">
        <v>2.32410249E8</v>
      </c>
      <c r="E1324" s="36" t="s">
        <v>8464</v>
      </c>
      <c r="F1324" s="36" t="s">
        <v>220</v>
      </c>
      <c r="G1324" s="12">
        <v>31.0</v>
      </c>
      <c r="H1324" s="57" t="str">
        <f t="shared" si="5"/>
        <v/>
      </c>
      <c r="I1324" s="29" t="s">
        <v>7705</v>
      </c>
      <c r="J1324" s="20" t="str">
        <f>VLOOKUP(I1324,'Database Grup SCC'!$B$2:$C1382,2,false)</f>
        <v>-</v>
      </c>
      <c r="K1324" s="50"/>
      <c r="L1324" s="50"/>
      <c r="M1324" s="50"/>
      <c r="N1324" s="35"/>
      <c r="O1324" s="34"/>
      <c r="P1324" s="34"/>
      <c r="Q1324" s="12" t="str">
        <f t="shared" si="6"/>
        <v>#REF!</v>
      </c>
      <c r="R1324" s="39" t="e">
        <v>#REF!</v>
      </c>
      <c r="S1324" s="39"/>
      <c r="T1324" s="39"/>
      <c r="U1324" s="39"/>
      <c r="V1324" s="39"/>
    </row>
    <row r="1325" ht="22.5" customHeight="1">
      <c r="A1325" s="18">
        <v>636.0</v>
      </c>
      <c r="B1325" s="36">
        <v>19.0</v>
      </c>
      <c r="C1325" s="36" t="s">
        <v>8465</v>
      </c>
      <c r="D1325" s="60">
        <v>2.3241025E8</v>
      </c>
      <c r="E1325" s="36" t="s">
        <v>8466</v>
      </c>
      <c r="F1325" s="36" t="s">
        <v>220</v>
      </c>
      <c r="G1325" s="12">
        <v>31.0</v>
      </c>
      <c r="H1325" s="57" t="str">
        <f t="shared" si="5"/>
        <v/>
      </c>
      <c r="I1325" s="29" t="s">
        <v>7705</v>
      </c>
      <c r="J1325" s="20" t="str">
        <f>VLOOKUP(I1325,'Database Grup SCC'!$B$2:$C1382,2,false)</f>
        <v>-</v>
      </c>
      <c r="K1325" s="50"/>
      <c r="L1325" s="50"/>
      <c r="M1325" s="50"/>
      <c r="N1325" s="35"/>
      <c r="O1325" s="34"/>
      <c r="P1325" s="34"/>
      <c r="Q1325" s="12" t="str">
        <f t="shared" si="6"/>
        <v>#REF!</v>
      </c>
      <c r="R1325" s="39" t="e">
        <v>#REF!</v>
      </c>
      <c r="S1325" s="39"/>
      <c r="T1325" s="39"/>
      <c r="U1325" s="39"/>
      <c r="V1325" s="39"/>
    </row>
    <row r="1326" ht="22.5" customHeight="1">
      <c r="A1326" s="18">
        <v>637.0</v>
      </c>
      <c r="B1326" s="36">
        <v>20.0</v>
      </c>
      <c r="C1326" s="36" t="s">
        <v>8467</v>
      </c>
      <c r="D1326" s="60">
        <v>2.32410275E8</v>
      </c>
      <c r="E1326" s="36" t="s">
        <v>8468</v>
      </c>
      <c r="F1326" s="36" t="s">
        <v>227</v>
      </c>
      <c r="G1326" s="12">
        <v>31.0</v>
      </c>
      <c r="H1326" s="57" t="str">
        <f t="shared" si="5"/>
        <v/>
      </c>
      <c r="I1326" s="29" t="s">
        <v>7705</v>
      </c>
      <c r="J1326" s="20" t="str">
        <f>VLOOKUP(I1326,'Database Grup SCC'!$B$2:$C1382,2,false)</f>
        <v>-</v>
      </c>
      <c r="K1326" s="50"/>
      <c r="L1326" s="50"/>
      <c r="M1326" s="50"/>
      <c r="N1326" s="35"/>
      <c r="O1326" s="34"/>
      <c r="P1326" s="34"/>
      <c r="Q1326" s="12" t="str">
        <f t="shared" si="6"/>
        <v>#REF!</v>
      </c>
      <c r="R1326" s="39" t="e">
        <v>#REF!</v>
      </c>
      <c r="S1326" s="39"/>
      <c r="T1326" s="39"/>
      <c r="U1326" s="39"/>
      <c r="V1326" s="39"/>
    </row>
    <row r="1327" ht="22.5" customHeight="1">
      <c r="A1327" s="18">
        <v>638.0</v>
      </c>
      <c r="B1327" s="36">
        <v>21.0</v>
      </c>
      <c r="C1327" s="36" t="s">
        <v>8469</v>
      </c>
      <c r="D1327" s="60">
        <v>2.32410285E8</v>
      </c>
      <c r="E1327" s="36" t="s">
        <v>8470</v>
      </c>
      <c r="F1327" s="36" t="s">
        <v>227</v>
      </c>
      <c r="G1327" s="12">
        <v>31.0</v>
      </c>
      <c r="H1327" s="57" t="str">
        <f t="shared" si="5"/>
        <v/>
      </c>
      <c r="I1327" s="29" t="s">
        <v>7705</v>
      </c>
      <c r="J1327" s="20" t="str">
        <f>VLOOKUP(I1327,'Database Grup SCC'!$B$2:$C1382,2,false)</f>
        <v>-</v>
      </c>
      <c r="K1327" s="50"/>
      <c r="L1327" s="50"/>
      <c r="M1327" s="50"/>
      <c r="N1327" s="35"/>
      <c r="O1327" s="34"/>
      <c r="P1327" s="34"/>
      <c r="Q1327" s="12" t="str">
        <f t="shared" si="6"/>
        <v>#REF!</v>
      </c>
      <c r="R1327" s="39" t="e">
        <v>#REF!</v>
      </c>
      <c r="S1327" s="39"/>
      <c r="T1327" s="39"/>
      <c r="U1327" s="39"/>
      <c r="V1327" s="39"/>
    </row>
    <row r="1328" ht="22.5" customHeight="1">
      <c r="A1328" s="18">
        <v>639.0</v>
      </c>
      <c r="B1328" s="36">
        <v>22.0</v>
      </c>
      <c r="C1328" s="36" t="s">
        <v>8471</v>
      </c>
      <c r="D1328" s="60">
        <v>2.32410291E8</v>
      </c>
      <c r="E1328" s="36" t="s">
        <v>8472</v>
      </c>
      <c r="F1328" s="36" t="s">
        <v>227</v>
      </c>
      <c r="G1328" s="12">
        <v>31.0</v>
      </c>
      <c r="H1328" s="57" t="str">
        <f t="shared" si="5"/>
        <v/>
      </c>
      <c r="I1328" s="29" t="s">
        <v>7705</v>
      </c>
      <c r="J1328" s="20" t="str">
        <f>VLOOKUP(I1328,'Database Grup SCC'!$B$2:$C1382,2,false)</f>
        <v>-</v>
      </c>
      <c r="K1328" s="50"/>
      <c r="L1328" s="50"/>
      <c r="M1328" s="50"/>
      <c r="N1328" s="35"/>
      <c r="O1328" s="34"/>
      <c r="P1328" s="34"/>
      <c r="Q1328" s="12" t="str">
        <f t="shared" si="6"/>
        <v>#REF!</v>
      </c>
      <c r="R1328" s="39" t="e">
        <v>#REF!</v>
      </c>
      <c r="S1328" s="39"/>
      <c r="T1328" s="39"/>
      <c r="U1328" s="39"/>
      <c r="V1328" s="39"/>
    </row>
    <row r="1329" ht="22.5" customHeight="1">
      <c r="A1329" s="18">
        <v>640.0</v>
      </c>
      <c r="B1329" s="36">
        <v>23.0</v>
      </c>
      <c r="C1329" s="36" t="s">
        <v>8473</v>
      </c>
      <c r="D1329" s="60">
        <v>2.32410301E8</v>
      </c>
      <c r="E1329" s="36" t="s">
        <v>8474</v>
      </c>
      <c r="F1329" s="36" t="s">
        <v>227</v>
      </c>
      <c r="G1329" s="12">
        <v>31.0</v>
      </c>
      <c r="H1329" s="57" t="str">
        <f t="shared" si="5"/>
        <v/>
      </c>
      <c r="I1329" s="29" t="s">
        <v>7705</v>
      </c>
      <c r="J1329" s="20" t="str">
        <f>VLOOKUP(I1329,'Database Grup SCC'!$B$2:$C1382,2,false)</f>
        <v>-</v>
      </c>
      <c r="K1329" s="50"/>
      <c r="L1329" s="50"/>
      <c r="M1329" s="50"/>
      <c r="N1329" s="35"/>
      <c r="O1329" s="34"/>
      <c r="P1329" s="34"/>
      <c r="Q1329" s="12" t="str">
        <f t="shared" si="6"/>
        <v>#REF!</v>
      </c>
      <c r="R1329" s="39" t="e">
        <v>#REF!</v>
      </c>
      <c r="S1329" s="39"/>
      <c r="T1329" s="39"/>
      <c r="U1329" s="39"/>
      <c r="V1329" s="39"/>
    </row>
    <row r="1330" ht="22.5" customHeight="1">
      <c r="A1330" s="18">
        <v>641.0</v>
      </c>
      <c r="B1330" s="36">
        <v>24.0</v>
      </c>
      <c r="C1330" s="36" t="s">
        <v>8475</v>
      </c>
      <c r="D1330" s="60">
        <v>2.32410307E8</v>
      </c>
      <c r="E1330" s="36" t="s">
        <v>8476</v>
      </c>
      <c r="F1330" s="36" t="s">
        <v>227</v>
      </c>
      <c r="G1330" s="12">
        <v>31.0</v>
      </c>
      <c r="H1330" s="57" t="str">
        <f t="shared" si="5"/>
        <v/>
      </c>
      <c r="I1330" s="29" t="s">
        <v>7705</v>
      </c>
      <c r="J1330" s="20" t="str">
        <f>VLOOKUP(I1330,'Database Grup SCC'!$B$2:$C1382,2,false)</f>
        <v>-</v>
      </c>
      <c r="K1330" s="50"/>
      <c r="L1330" s="50"/>
      <c r="M1330" s="50"/>
      <c r="N1330" s="35"/>
      <c r="O1330" s="34"/>
      <c r="P1330" s="34"/>
      <c r="Q1330" s="12" t="str">
        <f t="shared" si="6"/>
        <v>#REF!</v>
      </c>
      <c r="R1330" s="39" t="e">
        <v>#REF!</v>
      </c>
      <c r="S1330" s="39"/>
      <c r="T1330" s="39"/>
      <c r="U1330" s="39"/>
      <c r="V1330" s="39"/>
    </row>
    <row r="1331" ht="22.5" customHeight="1">
      <c r="A1331" s="18">
        <v>642.0</v>
      </c>
      <c r="B1331" s="36">
        <v>25.0</v>
      </c>
      <c r="C1331" s="36" t="s">
        <v>8477</v>
      </c>
      <c r="D1331" s="60">
        <v>2.32410309E8</v>
      </c>
      <c r="E1331" s="36" t="s">
        <v>8478</v>
      </c>
      <c r="F1331" s="36" t="s">
        <v>220</v>
      </c>
      <c r="G1331" s="12">
        <v>31.0</v>
      </c>
      <c r="H1331" s="57" t="str">
        <f t="shared" si="5"/>
        <v/>
      </c>
      <c r="I1331" s="29" t="s">
        <v>7705</v>
      </c>
      <c r="J1331" s="20" t="str">
        <f>VLOOKUP(I1331,'Database Grup SCC'!$B$2:$C1382,2,false)</f>
        <v>-</v>
      </c>
      <c r="K1331" s="50"/>
      <c r="L1331" s="50"/>
      <c r="M1331" s="50"/>
      <c r="N1331" s="35"/>
      <c r="O1331" s="34"/>
      <c r="P1331" s="34"/>
      <c r="Q1331" s="12" t="str">
        <f t="shared" si="6"/>
        <v>#REF!</v>
      </c>
      <c r="R1331" s="39" t="e">
        <v>#REF!</v>
      </c>
      <c r="S1331" s="39"/>
      <c r="T1331" s="39"/>
      <c r="U1331" s="39"/>
      <c r="V1331" s="39"/>
    </row>
    <row r="1332" ht="22.5" customHeight="1">
      <c r="A1332" s="18">
        <v>643.0</v>
      </c>
      <c r="B1332" s="36">
        <v>26.0</v>
      </c>
      <c r="C1332" s="59" t="s">
        <v>8479</v>
      </c>
      <c r="D1332" s="60">
        <v>2.32410354E8</v>
      </c>
      <c r="E1332" s="36" t="s">
        <v>8480</v>
      </c>
      <c r="F1332" s="36" t="s">
        <v>220</v>
      </c>
      <c r="G1332" s="12">
        <v>31.0</v>
      </c>
      <c r="H1332" s="57" t="str">
        <f t="shared" si="5"/>
        <v/>
      </c>
      <c r="I1332" s="29" t="s">
        <v>7705</v>
      </c>
      <c r="J1332" s="20" t="str">
        <f>VLOOKUP(I1332,'Database Grup SCC'!$B$2:$C1382,2,false)</f>
        <v>-</v>
      </c>
      <c r="K1332" s="50"/>
      <c r="L1332" s="50"/>
      <c r="M1332" s="50"/>
      <c r="N1332" s="35"/>
      <c r="O1332" s="34"/>
      <c r="P1332" s="34"/>
      <c r="Q1332" s="12" t="str">
        <f t="shared" si="6"/>
        <v>#REF!</v>
      </c>
      <c r="R1332" s="39" t="e">
        <v>#REF!</v>
      </c>
      <c r="S1332" s="39"/>
      <c r="T1332" s="39"/>
      <c r="U1332" s="39"/>
      <c r="V1332" s="39"/>
    </row>
    <row r="1333" ht="22.5" customHeight="1">
      <c r="A1333" s="18">
        <v>644.0</v>
      </c>
      <c r="B1333" s="36">
        <v>27.0</v>
      </c>
      <c r="C1333" s="36" t="s">
        <v>8481</v>
      </c>
      <c r="D1333" s="60">
        <v>2.32410358E8</v>
      </c>
      <c r="E1333" s="36" t="s">
        <v>8482</v>
      </c>
      <c r="F1333" s="36" t="s">
        <v>227</v>
      </c>
      <c r="G1333" s="12">
        <v>31.0</v>
      </c>
      <c r="H1333" s="57" t="str">
        <f t="shared" si="5"/>
        <v/>
      </c>
      <c r="I1333" s="29" t="s">
        <v>7705</v>
      </c>
      <c r="J1333" s="20" t="str">
        <f>VLOOKUP(I1333,'Database Grup SCC'!$B$2:$C1382,2,false)</f>
        <v>-</v>
      </c>
      <c r="K1333" s="50"/>
      <c r="L1333" s="50"/>
      <c r="M1333" s="50"/>
      <c r="N1333" s="35"/>
      <c r="O1333" s="34"/>
      <c r="P1333" s="34"/>
      <c r="Q1333" s="12" t="str">
        <f t="shared" si="6"/>
        <v>#REF!</v>
      </c>
      <c r="R1333" s="39" t="e">
        <v>#REF!</v>
      </c>
      <c r="S1333" s="39"/>
      <c r="T1333" s="39"/>
      <c r="U1333" s="39"/>
      <c r="V1333" s="39"/>
    </row>
    <row r="1334" ht="22.5" customHeight="1">
      <c r="A1334" s="18">
        <v>645.0</v>
      </c>
      <c r="B1334" s="36">
        <v>28.0</v>
      </c>
      <c r="C1334" s="59" t="s">
        <v>8483</v>
      </c>
      <c r="D1334" s="47">
        <v>2.32410363E8</v>
      </c>
      <c r="E1334" s="36" t="s">
        <v>8484</v>
      </c>
      <c r="F1334" s="36" t="s">
        <v>227</v>
      </c>
      <c r="G1334" s="12">
        <v>31.0</v>
      </c>
      <c r="H1334" s="57" t="str">
        <f t="shared" si="5"/>
        <v/>
      </c>
      <c r="I1334" s="29" t="s">
        <v>7705</v>
      </c>
      <c r="J1334" s="20" t="str">
        <f>VLOOKUP(I1334,'Database Grup SCC'!$B$2:$C1382,2,false)</f>
        <v>-</v>
      </c>
      <c r="K1334" s="50"/>
      <c r="L1334" s="50"/>
      <c r="M1334" s="50"/>
      <c r="N1334" s="35"/>
      <c r="O1334" s="34"/>
      <c r="P1334" s="34"/>
      <c r="Q1334" s="12" t="str">
        <f t="shared" si="6"/>
        <v>#REF!</v>
      </c>
      <c r="R1334" s="39" t="e">
        <v>#REF!</v>
      </c>
      <c r="S1334" s="39"/>
      <c r="T1334" s="39"/>
      <c r="U1334" s="39"/>
      <c r="V1334" s="39"/>
    </row>
    <row r="1335" ht="22.5" customHeight="1">
      <c r="A1335" s="18">
        <v>646.0</v>
      </c>
      <c r="B1335" s="36">
        <v>29.0</v>
      </c>
      <c r="C1335" s="36" t="s">
        <v>8485</v>
      </c>
      <c r="D1335" s="60">
        <v>2.32410368E8</v>
      </c>
      <c r="E1335" s="36" t="s">
        <v>8486</v>
      </c>
      <c r="F1335" s="36" t="s">
        <v>227</v>
      </c>
      <c r="G1335" s="12">
        <v>31.0</v>
      </c>
      <c r="H1335" s="57" t="str">
        <f t="shared" si="5"/>
        <v/>
      </c>
      <c r="I1335" s="29" t="s">
        <v>7705</v>
      </c>
      <c r="J1335" s="20" t="str">
        <f>VLOOKUP(I1335,'Database Grup SCC'!$B$2:$C1382,2,false)</f>
        <v>-</v>
      </c>
      <c r="K1335" s="50"/>
      <c r="L1335" s="50"/>
      <c r="M1335" s="50"/>
      <c r="N1335" s="35"/>
      <c r="O1335" s="34"/>
      <c r="P1335" s="34"/>
      <c r="Q1335" s="12" t="str">
        <f t="shared" si="6"/>
        <v>#REF!</v>
      </c>
      <c r="R1335" s="39" t="e">
        <v>#REF!</v>
      </c>
      <c r="S1335" s="39"/>
      <c r="T1335" s="39"/>
      <c r="U1335" s="39"/>
      <c r="V1335" s="39"/>
    </row>
    <row r="1336" ht="22.5" customHeight="1">
      <c r="A1336" s="18">
        <v>647.0</v>
      </c>
      <c r="B1336" s="36">
        <v>30.0</v>
      </c>
      <c r="C1336" s="36" t="s">
        <v>8487</v>
      </c>
      <c r="D1336" s="60">
        <v>2.3241037E8</v>
      </c>
      <c r="E1336" s="36" t="s">
        <v>8488</v>
      </c>
      <c r="F1336" s="36" t="s">
        <v>220</v>
      </c>
      <c r="G1336" s="12">
        <v>31.0</v>
      </c>
      <c r="H1336" s="57" t="str">
        <f t="shared" si="5"/>
        <v/>
      </c>
      <c r="I1336" s="29" t="s">
        <v>7705</v>
      </c>
      <c r="J1336" s="20" t="str">
        <f>VLOOKUP(I1336,'Database Grup SCC'!$B$2:$C1382,2,false)</f>
        <v>-</v>
      </c>
      <c r="K1336" s="50"/>
      <c r="L1336" s="50"/>
      <c r="M1336" s="50"/>
      <c r="N1336" s="35"/>
      <c r="O1336" s="34"/>
      <c r="P1336" s="34"/>
      <c r="Q1336" s="12" t="str">
        <f t="shared" si="6"/>
        <v>#REF!</v>
      </c>
      <c r="R1336" s="39" t="e">
        <v>#REF!</v>
      </c>
      <c r="S1336" s="39"/>
      <c r="T1336" s="39"/>
      <c r="U1336" s="39"/>
      <c r="V1336" s="39"/>
    </row>
    <row r="1337" ht="22.5" customHeight="1">
      <c r="A1337" s="18">
        <v>648.0</v>
      </c>
      <c r="B1337" s="36">
        <v>31.0</v>
      </c>
      <c r="C1337" s="36" t="s">
        <v>8489</v>
      </c>
      <c r="D1337" s="60">
        <v>2.32410371E8</v>
      </c>
      <c r="E1337" s="36" t="s">
        <v>8490</v>
      </c>
      <c r="F1337" s="36" t="s">
        <v>227</v>
      </c>
      <c r="G1337" s="12">
        <v>31.0</v>
      </c>
      <c r="H1337" s="57" t="str">
        <f t="shared" si="5"/>
        <v/>
      </c>
      <c r="I1337" s="29" t="s">
        <v>7705</v>
      </c>
      <c r="J1337" s="20" t="str">
        <f>VLOOKUP(I1337,'Database Grup SCC'!$B$2:$C1382,2,false)</f>
        <v>-</v>
      </c>
      <c r="K1337" s="50"/>
      <c r="L1337" s="50"/>
      <c r="M1337" s="50"/>
      <c r="N1337" s="35"/>
      <c r="O1337" s="34"/>
      <c r="P1337" s="34"/>
      <c r="Q1337" s="12" t="str">
        <f t="shared" si="6"/>
        <v>#REF!</v>
      </c>
      <c r="R1337" s="39" t="e">
        <v>#REF!</v>
      </c>
      <c r="S1337" s="39"/>
      <c r="T1337" s="39"/>
      <c r="U1337" s="39"/>
      <c r="V1337" s="39"/>
    </row>
    <row r="1338" ht="22.5" customHeight="1">
      <c r="A1338" s="18">
        <v>649.0</v>
      </c>
      <c r="B1338" s="36">
        <v>32.0</v>
      </c>
      <c r="C1338" s="36" t="s">
        <v>8491</v>
      </c>
      <c r="D1338" s="60">
        <v>2.32410383E8</v>
      </c>
      <c r="E1338" s="36" t="s">
        <v>8492</v>
      </c>
      <c r="F1338" s="36" t="s">
        <v>220</v>
      </c>
      <c r="G1338" s="12">
        <v>31.0</v>
      </c>
      <c r="H1338" s="57" t="str">
        <f t="shared" si="5"/>
        <v/>
      </c>
      <c r="I1338" s="29" t="s">
        <v>7705</v>
      </c>
      <c r="J1338" s="20" t="str">
        <f>VLOOKUP(I1338,'Database Grup SCC'!$B$2:$C1382,2,false)</f>
        <v>-</v>
      </c>
      <c r="K1338" s="50"/>
      <c r="L1338" s="50"/>
      <c r="M1338" s="50"/>
      <c r="N1338" s="35"/>
      <c r="O1338" s="34"/>
      <c r="P1338" s="34"/>
      <c r="Q1338" s="12" t="str">
        <f t="shared" si="6"/>
        <v>#REF!</v>
      </c>
      <c r="R1338" s="39" t="e">
        <v>#REF!</v>
      </c>
      <c r="S1338" s="39"/>
      <c r="T1338" s="39"/>
      <c r="U1338" s="39"/>
      <c r="V1338" s="39"/>
    </row>
    <row r="1339" ht="22.5" customHeight="1">
      <c r="A1339" s="18">
        <v>650.0</v>
      </c>
      <c r="B1339" s="36">
        <v>33.0</v>
      </c>
      <c r="C1339" s="36" t="s">
        <v>8493</v>
      </c>
      <c r="D1339" s="60">
        <v>2.32410387E8</v>
      </c>
      <c r="E1339" s="36" t="s">
        <v>8494</v>
      </c>
      <c r="F1339" s="36" t="s">
        <v>227</v>
      </c>
      <c r="G1339" s="12">
        <v>31.0</v>
      </c>
      <c r="H1339" s="57" t="str">
        <f t="shared" si="5"/>
        <v/>
      </c>
      <c r="I1339" s="29" t="s">
        <v>7705</v>
      </c>
      <c r="J1339" s="20" t="str">
        <f>VLOOKUP(I1339,'Database Grup SCC'!$B$2:$C1382,2,false)</f>
        <v>-</v>
      </c>
      <c r="K1339" s="50"/>
      <c r="L1339" s="50"/>
      <c r="M1339" s="50"/>
      <c r="N1339" s="35"/>
      <c r="O1339" s="34"/>
      <c r="P1339" s="34"/>
      <c r="Q1339" s="12" t="str">
        <f t="shared" si="6"/>
        <v>#REF!</v>
      </c>
      <c r="R1339" s="39" t="e">
        <v>#REF!</v>
      </c>
      <c r="S1339" s="39"/>
      <c r="T1339" s="39"/>
      <c r="U1339" s="39"/>
      <c r="V1339" s="39"/>
    </row>
    <row r="1340" ht="22.5" customHeight="1">
      <c r="A1340" s="18">
        <v>651.0</v>
      </c>
      <c r="B1340" s="36">
        <v>34.0</v>
      </c>
      <c r="C1340" s="36" t="s">
        <v>8495</v>
      </c>
      <c r="D1340" s="60">
        <v>2.32410389E8</v>
      </c>
      <c r="E1340" s="36" t="s">
        <v>8496</v>
      </c>
      <c r="F1340" s="36" t="s">
        <v>227</v>
      </c>
      <c r="G1340" s="12">
        <v>31.0</v>
      </c>
      <c r="H1340" s="57" t="str">
        <f t="shared" si="5"/>
        <v/>
      </c>
      <c r="I1340" s="29" t="s">
        <v>7705</v>
      </c>
      <c r="J1340" s="20" t="str">
        <f>VLOOKUP(I1340,'Database Grup SCC'!$B$2:$C1382,2,false)</f>
        <v>-</v>
      </c>
      <c r="K1340" s="50"/>
      <c r="L1340" s="50"/>
      <c r="M1340" s="50"/>
      <c r="N1340" s="35"/>
      <c r="O1340" s="34"/>
      <c r="P1340" s="34"/>
      <c r="Q1340" s="12" t="str">
        <f t="shared" si="6"/>
        <v>#REF!</v>
      </c>
      <c r="R1340" s="39" t="e">
        <v>#REF!</v>
      </c>
      <c r="S1340" s="39"/>
      <c r="T1340" s="39"/>
      <c r="U1340" s="39"/>
      <c r="V1340" s="39"/>
    </row>
    <row r="1341" ht="22.5" customHeight="1">
      <c r="A1341" s="18">
        <v>652.0</v>
      </c>
      <c r="B1341" s="36">
        <v>35.0</v>
      </c>
      <c r="C1341" s="36" t="s">
        <v>8497</v>
      </c>
      <c r="D1341" s="60">
        <v>2.32410393E8</v>
      </c>
      <c r="E1341" s="36" t="s">
        <v>8498</v>
      </c>
      <c r="F1341" s="36" t="s">
        <v>227</v>
      </c>
      <c r="G1341" s="12">
        <v>31.0</v>
      </c>
      <c r="H1341" s="57" t="str">
        <f t="shared" si="5"/>
        <v/>
      </c>
      <c r="I1341" s="29" t="s">
        <v>7705</v>
      </c>
      <c r="J1341" s="20" t="str">
        <f>VLOOKUP(I1341,'Database Grup SCC'!$B$2:$C1382,2,false)</f>
        <v>-</v>
      </c>
      <c r="K1341" s="50"/>
      <c r="L1341" s="50"/>
      <c r="M1341" s="50"/>
      <c r="N1341" s="35"/>
      <c r="O1341" s="34"/>
      <c r="P1341" s="34"/>
      <c r="Q1341" s="12" t="str">
        <f t="shared" si="6"/>
        <v>#REF!</v>
      </c>
      <c r="R1341" s="39" t="e">
        <v>#REF!</v>
      </c>
      <c r="S1341" s="39"/>
      <c r="T1341" s="39"/>
      <c r="U1341" s="39"/>
      <c r="V1341" s="39"/>
    </row>
    <row r="1342" ht="22.5" customHeight="1">
      <c r="A1342" s="18">
        <v>653.0</v>
      </c>
      <c r="B1342" s="36">
        <v>36.0</v>
      </c>
      <c r="C1342" s="36" t="s">
        <v>8499</v>
      </c>
      <c r="D1342" s="60">
        <v>2.3241041E8</v>
      </c>
      <c r="E1342" s="36" t="s">
        <v>8500</v>
      </c>
      <c r="F1342" s="36" t="s">
        <v>220</v>
      </c>
      <c r="G1342" s="12">
        <v>31.0</v>
      </c>
      <c r="H1342" s="57" t="str">
        <f t="shared" si="5"/>
        <v/>
      </c>
      <c r="I1342" s="29" t="s">
        <v>7705</v>
      </c>
      <c r="J1342" s="20" t="str">
        <f>VLOOKUP(I1342,'Database Grup SCC'!$B$2:$C1382,2,false)</f>
        <v>-</v>
      </c>
      <c r="K1342" s="50"/>
      <c r="L1342" s="50"/>
      <c r="M1342" s="50"/>
      <c r="N1342" s="35"/>
      <c r="O1342" s="34"/>
      <c r="P1342" s="34"/>
      <c r="Q1342" s="12" t="str">
        <f t="shared" si="6"/>
        <v>#REF!</v>
      </c>
      <c r="R1342" s="39" t="e">
        <v>#REF!</v>
      </c>
      <c r="S1342" s="39"/>
      <c r="T1342" s="39"/>
      <c r="U1342" s="39"/>
      <c r="V1342" s="39"/>
    </row>
    <row r="1343" ht="22.5" customHeight="1">
      <c r="A1343" s="18">
        <v>654.0</v>
      </c>
      <c r="B1343" s="36">
        <v>37.0</v>
      </c>
      <c r="C1343" s="36" t="s">
        <v>8501</v>
      </c>
      <c r="D1343" s="60">
        <v>2.3241042E8</v>
      </c>
      <c r="E1343" s="36" t="s">
        <v>8502</v>
      </c>
      <c r="F1343" s="36" t="s">
        <v>227</v>
      </c>
      <c r="G1343" s="12">
        <v>31.0</v>
      </c>
      <c r="H1343" s="57" t="str">
        <f t="shared" si="5"/>
        <v/>
      </c>
      <c r="I1343" s="29" t="s">
        <v>7705</v>
      </c>
      <c r="J1343" s="20" t="str">
        <f>VLOOKUP(I1343,'Database Grup SCC'!$B$2:$C1382,2,false)</f>
        <v>-</v>
      </c>
      <c r="K1343" s="50"/>
      <c r="L1343" s="50"/>
      <c r="M1343" s="50"/>
      <c r="N1343" s="35"/>
      <c r="O1343" s="34"/>
      <c r="P1343" s="34"/>
      <c r="Q1343" s="12" t="str">
        <f t="shared" si="6"/>
        <v>#REF!</v>
      </c>
      <c r="R1343" s="39" t="e">
        <v>#REF!</v>
      </c>
      <c r="S1343" s="39"/>
      <c r="T1343" s="39"/>
      <c r="U1343" s="39"/>
      <c r="V1343" s="39"/>
    </row>
    <row r="1344" ht="22.5" customHeight="1">
      <c r="A1344" s="18">
        <v>667.0</v>
      </c>
      <c r="B1344" s="36">
        <v>1.0</v>
      </c>
      <c r="C1344" s="36" t="s">
        <v>8503</v>
      </c>
      <c r="D1344" s="60">
        <v>2.32410003E8</v>
      </c>
      <c r="E1344" s="36" t="s">
        <v>8504</v>
      </c>
      <c r="F1344" s="36" t="s">
        <v>227</v>
      </c>
      <c r="G1344" s="12">
        <v>31.0</v>
      </c>
      <c r="H1344" s="57" t="str">
        <f t="shared" si="5"/>
        <v/>
      </c>
      <c r="I1344" s="29" t="s">
        <v>7705</v>
      </c>
      <c r="J1344" s="20" t="str">
        <f>VLOOKUP(I1344,'Database Grup SCC'!$B$2:$C1382,2,false)</f>
        <v>-</v>
      </c>
      <c r="K1344" s="50"/>
      <c r="L1344" s="50" t="s">
        <v>8505</v>
      </c>
      <c r="M1344" s="50" t="s">
        <v>8506</v>
      </c>
      <c r="N1344" s="35"/>
      <c r="O1344" s="34"/>
      <c r="P1344" s="34"/>
      <c r="Q1344" s="12" t="str">
        <f t="shared" si="6"/>
        <v>#REF!</v>
      </c>
      <c r="R1344" s="39" t="e">
        <v>#REF!</v>
      </c>
      <c r="S1344" s="39"/>
      <c r="T1344" s="39"/>
      <c r="U1344" s="39"/>
      <c r="V1344" s="39"/>
    </row>
    <row r="1345" ht="22.5" customHeight="1">
      <c r="A1345" s="18">
        <v>668.0</v>
      </c>
      <c r="B1345" s="36">
        <v>2.0</v>
      </c>
      <c r="C1345" s="59" t="s">
        <v>8507</v>
      </c>
      <c r="D1345" s="60">
        <v>2.32410009E8</v>
      </c>
      <c r="E1345" s="36" t="s">
        <v>8508</v>
      </c>
      <c r="F1345" s="36" t="s">
        <v>227</v>
      </c>
      <c r="G1345" s="12">
        <v>31.0</v>
      </c>
      <c r="H1345" s="57" t="str">
        <f t="shared" si="5"/>
        <v/>
      </c>
      <c r="I1345" s="29" t="s">
        <v>7705</v>
      </c>
      <c r="J1345" s="20" t="str">
        <f>VLOOKUP(I1345,'Database Grup SCC'!$B$2:$C1382,2,false)</f>
        <v>-</v>
      </c>
      <c r="K1345" s="50"/>
      <c r="L1345" s="50"/>
      <c r="M1345" s="50"/>
      <c r="N1345" s="35"/>
      <c r="O1345" s="34"/>
      <c r="P1345" s="34"/>
      <c r="Q1345" s="12" t="str">
        <f t="shared" si="6"/>
        <v>#REF!</v>
      </c>
      <c r="R1345" s="39" t="e">
        <v>#REF!</v>
      </c>
      <c r="S1345" s="39"/>
      <c r="T1345" s="39"/>
      <c r="U1345" s="39"/>
      <c r="V1345" s="39"/>
    </row>
    <row r="1346" ht="22.5" customHeight="1">
      <c r="A1346" s="18">
        <v>669.0</v>
      </c>
      <c r="B1346" s="36">
        <v>3.0</v>
      </c>
      <c r="C1346" s="36" t="s">
        <v>8509</v>
      </c>
      <c r="D1346" s="60">
        <v>2.32410048E8</v>
      </c>
      <c r="E1346" s="36" t="s">
        <v>8510</v>
      </c>
      <c r="F1346" s="36" t="s">
        <v>227</v>
      </c>
      <c r="G1346" s="12">
        <v>31.0</v>
      </c>
      <c r="H1346" s="57" t="str">
        <f t="shared" si="5"/>
        <v/>
      </c>
      <c r="I1346" s="29" t="s">
        <v>7705</v>
      </c>
      <c r="J1346" s="20" t="str">
        <f>VLOOKUP(I1346,'Database Grup SCC'!$B$2:$C1382,2,false)</f>
        <v>-</v>
      </c>
      <c r="K1346" s="50"/>
      <c r="L1346" s="50"/>
      <c r="M1346" s="50"/>
      <c r="N1346" s="35"/>
      <c r="O1346" s="34"/>
      <c r="P1346" s="34"/>
      <c r="Q1346" s="12" t="str">
        <f t="shared" si="6"/>
        <v>#REF!</v>
      </c>
      <c r="R1346" s="39" t="e">
        <v>#REF!</v>
      </c>
      <c r="S1346" s="39"/>
      <c r="T1346" s="39"/>
      <c r="U1346" s="39"/>
      <c r="V1346" s="39"/>
    </row>
    <row r="1347" ht="22.5" customHeight="1">
      <c r="A1347" s="18">
        <v>670.0</v>
      </c>
      <c r="B1347" s="36">
        <v>4.0</v>
      </c>
      <c r="C1347" s="36" t="s">
        <v>8511</v>
      </c>
      <c r="D1347" s="60">
        <v>2.3241005E8</v>
      </c>
      <c r="E1347" s="36" t="s">
        <v>8512</v>
      </c>
      <c r="F1347" s="36" t="s">
        <v>220</v>
      </c>
      <c r="G1347" s="12">
        <v>31.0</v>
      </c>
      <c r="H1347" s="57" t="str">
        <f t="shared" si="5"/>
        <v/>
      </c>
      <c r="I1347" s="29" t="s">
        <v>7705</v>
      </c>
      <c r="J1347" s="20" t="str">
        <f>VLOOKUP(I1347,'Database Grup SCC'!$B$2:$C1382,2,false)</f>
        <v>-</v>
      </c>
      <c r="K1347" s="50"/>
      <c r="L1347" s="50"/>
      <c r="M1347" s="50"/>
      <c r="N1347" s="35"/>
      <c r="O1347" s="34"/>
      <c r="P1347" s="34"/>
      <c r="Q1347" s="12" t="str">
        <f t="shared" si="6"/>
        <v>#REF!</v>
      </c>
      <c r="R1347" s="39" t="e">
        <v>#REF!</v>
      </c>
      <c r="S1347" s="39"/>
      <c r="T1347" s="39"/>
      <c r="U1347" s="39"/>
      <c r="V1347" s="39"/>
    </row>
    <row r="1348" ht="22.5" customHeight="1">
      <c r="A1348" s="18">
        <v>671.0</v>
      </c>
      <c r="B1348" s="36">
        <v>5.0</v>
      </c>
      <c r="C1348" s="36" t="s">
        <v>8513</v>
      </c>
      <c r="D1348" s="60">
        <v>2.32410061E8</v>
      </c>
      <c r="E1348" s="36" t="s">
        <v>8514</v>
      </c>
      <c r="F1348" s="36" t="s">
        <v>227</v>
      </c>
      <c r="G1348" s="12">
        <v>31.0</v>
      </c>
      <c r="H1348" s="57" t="str">
        <f t="shared" si="5"/>
        <v/>
      </c>
      <c r="I1348" s="29" t="s">
        <v>7705</v>
      </c>
      <c r="J1348" s="20" t="str">
        <f>VLOOKUP(I1348,'Database Grup SCC'!$B$2:$C1382,2,false)</f>
        <v>-</v>
      </c>
      <c r="K1348" s="50"/>
      <c r="L1348" s="50"/>
      <c r="M1348" s="50"/>
      <c r="N1348" s="35"/>
      <c r="O1348" s="34"/>
      <c r="P1348" s="34"/>
      <c r="Q1348" s="12" t="str">
        <f t="shared" si="6"/>
        <v>#REF!</v>
      </c>
      <c r="R1348" s="39" t="e">
        <v>#REF!</v>
      </c>
      <c r="S1348" s="39"/>
      <c r="T1348" s="39"/>
      <c r="U1348" s="39"/>
      <c r="V1348" s="39"/>
    </row>
    <row r="1349" ht="22.5" customHeight="1">
      <c r="A1349" s="18">
        <v>672.0</v>
      </c>
      <c r="B1349" s="36">
        <v>6.0</v>
      </c>
      <c r="C1349" s="59" t="s">
        <v>8515</v>
      </c>
      <c r="D1349" s="60">
        <v>2.32410435E8</v>
      </c>
      <c r="E1349" s="36" t="s">
        <v>8516</v>
      </c>
      <c r="F1349" s="36" t="s">
        <v>220</v>
      </c>
      <c r="G1349" s="12">
        <v>31.0</v>
      </c>
      <c r="H1349" s="57" t="str">
        <f t="shared" si="5"/>
        <v/>
      </c>
      <c r="I1349" s="29" t="s">
        <v>7705</v>
      </c>
      <c r="J1349" s="20" t="str">
        <f>VLOOKUP(I1349,'Database Grup SCC'!$B$2:$C1382,2,false)</f>
        <v>-</v>
      </c>
      <c r="K1349" s="50"/>
      <c r="L1349" s="50"/>
      <c r="M1349" s="50"/>
      <c r="N1349" s="35"/>
      <c r="O1349" s="34"/>
      <c r="P1349" s="34"/>
      <c r="Q1349" s="12" t="str">
        <f t="shared" si="6"/>
        <v>#REF!</v>
      </c>
      <c r="R1349" s="39" t="e">
        <v>#REF!</v>
      </c>
      <c r="S1349" s="39"/>
      <c r="T1349" s="39"/>
      <c r="U1349" s="39"/>
      <c r="V1349" s="39"/>
    </row>
    <row r="1350" ht="22.5" customHeight="1">
      <c r="A1350" s="18">
        <v>673.0</v>
      </c>
      <c r="B1350" s="36">
        <v>7.0</v>
      </c>
      <c r="C1350" s="36" t="s">
        <v>8517</v>
      </c>
      <c r="D1350" s="60">
        <v>2.32410072E8</v>
      </c>
      <c r="E1350" s="36" t="s">
        <v>8518</v>
      </c>
      <c r="F1350" s="36" t="s">
        <v>227</v>
      </c>
      <c r="G1350" s="12">
        <v>31.0</v>
      </c>
      <c r="H1350" s="57" t="str">
        <f t="shared" si="5"/>
        <v/>
      </c>
      <c r="I1350" s="29" t="s">
        <v>7705</v>
      </c>
      <c r="J1350" s="20" t="str">
        <f>VLOOKUP(I1350,'Database Grup SCC'!$B$2:$C1382,2,false)</f>
        <v>-</v>
      </c>
      <c r="K1350" s="50"/>
      <c r="L1350" s="50"/>
      <c r="M1350" s="50"/>
      <c r="N1350" s="35"/>
      <c r="O1350" s="34"/>
      <c r="P1350" s="34"/>
      <c r="Q1350" s="12" t="str">
        <f t="shared" si="6"/>
        <v>#REF!</v>
      </c>
      <c r="R1350" s="39" t="e">
        <v>#REF!</v>
      </c>
      <c r="S1350" s="39"/>
      <c r="T1350" s="39"/>
      <c r="U1350" s="39"/>
      <c r="V1350" s="39"/>
    </row>
    <row r="1351" ht="22.5" customHeight="1">
      <c r="A1351" s="18">
        <v>674.0</v>
      </c>
      <c r="B1351" s="36">
        <v>8.0</v>
      </c>
      <c r="C1351" s="36" t="s">
        <v>8231</v>
      </c>
      <c r="D1351" s="60">
        <v>2.32410105E8</v>
      </c>
      <c r="E1351" s="36" t="s">
        <v>8519</v>
      </c>
      <c r="F1351" s="36" t="s">
        <v>220</v>
      </c>
      <c r="G1351" s="12">
        <v>31.0</v>
      </c>
      <c r="H1351" s="57" t="str">
        <f t="shared" si="5"/>
        <v/>
      </c>
      <c r="I1351" s="29" t="s">
        <v>7705</v>
      </c>
      <c r="J1351" s="20" t="str">
        <f>VLOOKUP(I1351,'Database Grup SCC'!$B$2:$C1382,2,false)</f>
        <v>-</v>
      </c>
      <c r="K1351" s="50"/>
      <c r="L1351" s="50"/>
      <c r="M1351" s="50"/>
      <c r="N1351" s="35"/>
      <c r="O1351" s="34"/>
      <c r="P1351" s="34"/>
      <c r="Q1351" s="12" t="str">
        <f t="shared" si="6"/>
        <v>#REF!</v>
      </c>
      <c r="R1351" s="39" t="e">
        <v>#REF!</v>
      </c>
      <c r="S1351" s="39"/>
      <c r="T1351" s="39"/>
      <c r="U1351" s="39"/>
      <c r="V1351" s="39"/>
    </row>
    <row r="1352" ht="22.5" customHeight="1">
      <c r="A1352" s="18">
        <v>675.0</v>
      </c>
      <c r="B1352" s="36">
        <v>9.0</v>
      </c>
      <c r="C1352" s="36" t="s">
        <v>7938</v>
      </c>
      <c r="D1352" s="60">
        <v>2.32410112E8</v>
      </c>
      <c r="E1352" s="36" t="s">
        <v>8520</v>
      </c>
      <c r="F1352" s="36" t="s">
        <v>220</v>
      </c>
      <c r="G1352" s="12">
        <v>31.0</v>
      </c>
      <c r="H1352" s="57" t="str">
        <f t="shared" si="5"/>
        <v/>
      </c>
      <c r="I1352" s="29" t="s">
        <v>7705</v>
      </c>
      <c r="J1352" s="20" t="str">
        <f>VLOOKUP(I1352,'Database Grup SCC'!$B$2:$C1382,2,false)</f>
        <v>-</v>
      </c>
      <c r="K1352" s="50"/>
      <c r="L1352" s="50"/>
      <c r="M1352" s="50"/>
      <c r="N1352" s="35"/>
      <c r="O1352" s="34"/>
      <c r="P1352" s="34"/>
      <c r="Q1352" s="12" t="str">
        <f t="shared" si="6"/>
        <v>#REF!</v>
      </c>
      <c r="R1352" s="39" t="e">
        <v>#REF!</v>
      </c>
      <c r="S1352" s="39"/>
      <c r="T1352" s="39"/>
      <c r="U1352" s="39"/>
      <c r="V1352" s="39"/>
    </row>
    <row r="1353" ht="22.5" customHeight="1">
      <c r="A1353" s="18">
        <v>676.0</v>
      </c>
      <c r="B1353" s="36">
        <v>10.0</v>
      </c>
      <c r="C1353" s="36" t="s">
        <v>8521</v>
      </c>
      <c r="D1353" s="60">
        <v>2.32410144E8</v>
      </c>
      <c r="E1353" s="40" t="s">
        <v>8522</v>
      </c>
      <c r="F1353" s="36" t="s">
        <v>227</v>
      </c>
      <c r="G1353" s="12">
        <v>31.0</v>
      </c>
      <c r="H1353" s="57" t="str">
        <f t="shared" si="5"/>
        <v/>
      </c>
      <c r="I1353" s="29" t="s">
        <v>7705</v>
      </c>
      <c r="J1353" s="20" t="str">
        <f>VLOOKUP(I1353,'Database Grup SCC'!$B$2:$C1382,2,false)</f>
        <v>-</v>
      </c>
      <c r="K1353" s="50"/>
      <c r="L1353" s="50"/>
      <c r="M1353" s="50"/>
      <c r="N1353" s="35"/>
      <c r="O1353" s="34"/>
      <c r="P1353" s="34"/>
      <c r="Q1353" s="12" t="str">
        <f t="shared" si="6"/>
        <v>#REF!</v>
      </c>
      <c r="R1353" s="39" t="e">
        <v>#REF!</v>
      </c>
      <c r="S1353" s="39"/>
      <c r="T1353" s="39"/>
      <c r="U1353" s="39"/>
      <c r="V1353" s="39"/>
    </row>
    <row r="1354" ht="22.5" customHeight="1">
      <c r="A1354" s="18">
        <v>677.0</v>
      </c>
      <c r="B1354" s="36">
        <v>11.0</v>
      </c>
      <c r="C1354" s="36" t="s">
        <v>8523</v>
      </c>
      <c r="D1354" s="60">
        <v>2.32410156E8</v>
      </c>
      <c r="E1354" s="36" t="s">
        <v>8524</v>
      </c>
      <c r="F1354" s="36" t="s">
        <v>227</v>
      </c>
      <c r="G1354" s="12">
        <v>31.0</v>
      </c>
      <c r="H1354" s="57" t="str">
        <f t="shared" si="5"/>
        <v/>
      </c>
      <c r="I1354" s="29" t="s">
        <v>7705</v>
      </c>
      <c r="J1354" s="20" t="str">
        <f>VLOOKUP(I1354,'Database Grup SCC'!$B$2:$C1382,2,false)</f>
        <v>-</v>
      </c>
      <c r="K1354" s="50"/>
      <c r="L1354" s="50"/>
      <c r="M1354" s="50"/>
      <c r="N1354" s="35"/>
      <c r="O1354" s="34"/>
      <c r="P1354" s="34"/>
      <c r="Q1354" s="12" t="str">
        <f t="shared" si="6"/>
        <v>#REF!</v>
      </c>
      <c r="R1354" s="39" t="e">
        <v>#REF!</v>
      </c>
      <c r="S1354" s="39"/>
      <c r="T1354" s="39"/>
      <c r="U1354" s="39"/>
      <c r="V1354" s="39"/>
    </row>
    <row r="1355" ht="22.5" customHeight="1">
      <c r="A1355" s="18">
        <v>678.0</v>
      </c>
      <c r="B1355" s="36">
        <v>12.0</v>
      </c>
      <c r="C1355" s="36" t="s">
        <v>8525</v>
      </c>
      <c r="D1355" s="60">
        <v>2.32410163E8</v>
      </c>
      <c r="E1355" s="36" t="s">
        <v>8526</v>
      </c>
      <c r="F1355" s="36" t="s">
        <v>220</v>
      </c>
      <c r="G1355" s="12">
        <v>31.0</v>
      </c>
      <c r="H1355" s="57" t="str">
        <f t="shared" si="5"/>
        <v/>
      </c>
      <c r="I1355" s="29" t="s">
        <v>7705</v>
      </c>
      <c r="J1355" s="20" t="str">
        <f>VLOOKUP(I1355,'Database Grup SCC'!$B$2:$C1382,2,false)</f>
        <v>-</v>
      </c>
      <c r="K1355" s="50"/>
      <c r="L1355" s="50"/>
      <c r="M1355" s="50"/>
      <c r="N1355" s="35"/>
      <c r="O1355" s="34"/>
      <c r="P1355" s="34"/>
      <c r="Q1355" s="12" t="str">
        <f t="shared" si="6"/>
        <v>#REF!</v>
      </c>
      <c r="R1355" s="39" t="e">
        <v>#REF!</v>
      </c>
      <c r="S1355" s="39"/>
      <c r="T1355" s="39"/>
      <c r="U1355" s="39"/>
      <c r="V1355" s="39"/>
    </row>
    <row r="1356" ht="22.5" customHeight="1">
      <c r="A1356" s="18">
        <v>679.0</v>
      </c>
      <c r="B1356" s="36">
        <v>13.0</v>
      </c>
      <c r="C1356" s="36" t="s">
        <v>8527</v>
      </c>
      <c r="D1356" s="60">
        <v>2.32410172E8</v>
      </c>
      <c r="E1356" s="36" t="s">
        <v>8528</v>
      </c>
      <c r="F1356" s="36" t="s">
        <v>227</v>
      </c>
      <c r="G1356" s="12">
        <v>31.0</v>
      </c>
      <c r="H1356" s="57" t="str">
        <f t="shared" si="5"/>
        <v/>
      </c>
      <c r="I1356" s="29" t="s">
        <v>7705</v>
      </c>
      <c r="J1356" s="20" t="str">
        <f>VLOOKUP(I1356,'Database Grup SCC'!$B$2:$C1382,2,false)</f>
        <v>-</v>
      </c>
      <c r="K1356" s="50"/>
      <c r="L1356" s="50"/>
      <c r="M1356" s="50"/>
      <c r="N1356" s="35"/>
      <c r="O1356" s="34"/>
      <c r="P1356" s="34"/>
      <c r="Q1356" s="12" t="str">
        <f t="shared" si="6"/>
        <v>#REF!</v>
      </c>
      <c r="R1356" s="39" t="e">
        <v>#REF!</v>
      </c>
      <c r="S1356" s="39"/>
      <c r="T1356" s="39"/>
      <c r="U1356" s="39"/>
      <c r="V1356" s="39"/>
    </row>
    <row r="1357" ht="22.5" customHeight="1">
      <c r="A1357" s="18">
        <v>680.0</v>
      </c>
      <c r="B1357" s="36">
        <v>14.0</v>
      </c>
      <c r="C1357" s="36" t="s">
        <v>8529</v>
      </c>
      <c r="D1357" s="60">
        <v>2.32410183E8</v>
      </c>
      <c r="E1357" s="36" t="s">
        <v>8530</v>
      </c>
      <c r="F1357" s="36" t="s">
        <v>227</v>
      </c>
      <c r="G1357" s="12">
        <v>31.0</v>
      </c>
      <c r="H1357" s="57" t="str">
        <f t="shared" si="5"/>
        <v/>
      </c>
      <c r="I1357" s="29" t="s">
        <v>7705</v>
      </c>
      <c r="J1357" s="20" t="str">
        <f>VLOOKUP(I1357,'Database Grup SCC'!$B$2:$C1382,2,false)</f>
        <v>-</v>
      </c>
      <c r="K1357" s="50"/>
      <c r="L1357" s="50"/>
      <c r="M1357" s="50"/>
      <c r="N1357" s="35"/>
      <c r="O1357" s="34"/>
      <c r="P1357" s="34"/>
      <c r="Q1357" s="12" t="str">
        <f t="shared" si="6"/>
        <v>#REF!</v>
      </c>
      <c r="R1357" s="39" t="e">
        <v>#REF!</v>
      </c>
      <c r="S1357" s="39"/>
      <c r="T1357" s="39"/>
      <c r="U1357" s="39"/>
      <c r="V1357" s="39"/>
    </row>
    <row r="1358" ht="22.5" customHeight="1">
      <c r="A1358" s="18">
        <v>681.0</v>
      </c>
      <c r="B1358" s="36">
        <v>15.0</v>
      </c>
      <c r="C1358" s="36" t="s">
        <v>8531</v>
      </c>
      <c r="D1358" s="60">
        <v>2.32410184E8</v>
      </c>
      <c r="E1358" s="36" t="s">
        <v>8532</v>
      </c>
      <c r="F1358" s="36" t="s">
        <v>227</v>
      </c>
      <c r="G1358" s="12">
        <v>31.0</v>
      </c>
      <c r="H1358" s="57" t="str">
        <f t="shared" si="5"/>
        <v/>
      </c>
      <c r="I1358" s="29" t="s">
        <v>7705</v>
      </c>
      <c r="J1358" s="20" t="str">
        <f>VLOOKUP(I1358,'Database Grup SCC'!$B$2:$C1382,2,false)</f>
        <v>-</v>
      </c>
      <c r="K1358" s="50"/>
      <c r="L1358" s="50"/>
      <c r="M1358" s="50"/>
      <c r="N1358" s="35"/>
      <c r="O1358" s="34"/>
      <c r="P1358" s="34"/>
      <c r="Q1358" s="12" t="str">
        <f t="shared" si="6"/>
        <v>#REF!</v>
      </c>
      <c r="R1358" s="39" t="e">
        <v>#REF!</v>
      </c>
      <c r="S1358" s="39"/>
      <c r="T1358" s="39"/>
      <c r="U1358" s="39"/>
      <c r="V1358" s="39"/>
    </row>
    <row r="1359" ht="22.5" customHeight="1">
      <c r="A1359" s="18">
        <v>682.0</v>
      </c>
      <c r="B1359" s="36">
        <v>16.0</v>
      </c>
      <c r="C1359" s="36" t="s">
        <v>8533</v>
      </c>
      <c r="D1359" s="60">
        <v>2.32410198E8</v>
      </c>
      <c r="E1359" s="36" t="s">
        <v>8534</v>
      </c>
      <c r="F1359" s="36" t="s">
        <v>220</v>
      </c>
      <c r="G1359" s="12">
        <v>31.0</v>
      </c>
      <c r="H1359" s="57" t="str">
        <f t="shared" si="5"/>
        <v/>
      </c>
      <c r="I1359" s="29" t="s">
        <v>7705</v>
      </c>
      <c r="J1359" s="20" t="str">
        <f>VLOOKUP(I1359,'Database Grup SCC'!$B$2:$C1382,2,false)</f>
        <v>-</v>
      </c>
      <c r="K1359" s="50"/>
      <c r="L1359" s="50"/>
      <c r="M1359" s="50"/>
      <c r="N1359" s="35"/>
      <c r="O1359" s="34"/>
      <c r="P1359" s="34"/>
      <c r="Q1359" s="12" t="str">
        <f t="shared" si="6"/>
        <v>#REF!</v>
      </c>
      <c r="R1359" s="39" t="e">
        <v>#REF!</v>
      </c>
      <c r="S1359" s="39"/>
      <c r="T1359" s="39"/>
      <c r="U1359" s="39"/>
      <c r="V1359" s="39"/>
    </row>
    <row r="1360" ht="22.5" customHeight="1">
      <c r="A1360" s="18">
        <v>683.0</v>
      </c>
      <c r="B1360" s="36">
        <v>17.0</v>
      </c>
      <c r="C1360" s="36" t="s">
        <v>8535</v>
      </c>
      <c r="D1360" s="60">
        <v>2.32410225E8</v>
      </c>
      <c r="E1360" s="36" t="s">
        <v>8536</v>
      </c>
      <c r="F1360" s="36" t="s">
        <v>227</v>
      </c>
      <c r="G1360" s="12">
        <v>31.0</v>
      </c>
      <c r="H1360" s="57" t="str">
        <f t="shared" si="5"/>
        <v/>
      </c>
      <c r="I1360" s="29" t="s">
        <v>7705</v>
      </c>
      <c r="J1360" s="20" t="str">
        <f>VLOOKUP(I1360,'Database Grup SCC'!$B$2:$C1382,2,false)</f>
        <v>-</v>
      </c>
      <c r="K1360" s="50"/>
      <c r="L1360" s="50"/>
      <c r="M1360" s="50"/>
      <c r="N1360" s="35"/>
      <c r="O1360" s="34"/>
      <c r="P1360" s="34"/>
      <c r="Q1360" s="12" t="str">
        <f t="shared" si="6"/>
        <v>#REF!</v>
      </c>
      <c r="R1360" s="39" t="e">
        <v>#REF!</v>
      </c>
      <c r="S1360" s="39"/>
      <c r="T1360" s="39"/>
      <c r="U1360" s="39"/>
      <c r="V1360" s="39"/>
    </row>
    <row r="1361" ht="22.5" customHeight="1">
      <c r="A1361" s="18">
        <v>684.0</v>
      </c>
      <c r="B1361" s="36">
        <v>18.0</v>
      </c>
      <c r="C1361" s="36" t="s">
        <v>8537</v>
      </c>
      <c r="D1361" s="60">
        <v>2.32410239E8</v>
      </c>
      <c r="E1361" s="36" t="s">
        <v>8538</v>
      </c>
      <c r="F1361" s="36" t="s">
        <v>220</v>
      </c>
      <c r="G1361" s="12">
        <v>31.0</v>
      </c>
      <c r="H1361" s="57" t="str">
        <f t="shared" si="5"/>
        <v/>
      </c>
      <c r="I1361" s="29" t="s">
        <v>7705</v>
      </c>
      <c r="J1361" s="20" t="str">
        <f>VLOOKUP(I1361,'Database Grup SCC'!$B$2:$C1382,2,false)</f>
        <v>-</v>
      </c>
      <c r="K1361" s="50"/>
      <c r="L1361" s="50"/>
      <c r="M1361" s="50"/>
      <c r="N1361" s="35"/>
      <c r="O1361" s="34"/>
      <c r="P1361" s="34"/>
      <c r="Q1361" s="12" t="str">
        <f t="shared" si="6"/>
        <v>#REF!</v>
      </c>
      <c r="R1361" s="39" t="e">
        <v>#REF!</v>
      </c>
      <c r="S1361" s="39"/>
      <c r="T1361" s="39"/>
      <c r="U1361" s="39"/>
      <c r="V1361" s="39"/>
    </row>
    <row r="1362" ht="22.5" customHeight="1">
      <c r="A1362" s="18">
        <v>685.0</v>
      </c>
      <c r="B1362" s="36">
        <v>19.0</v>
      </c>
      <c r="C1362" s="36" t="s">
        <v>8539</v>
      </c>
      <c r="D1362" s="60">
        <v>2.32410242E8</v>
      </c>
      <c r="E1362" s="36" t="s">
        <v>8540</v>
      </c>
      <c r="F1362" s="36" t="s">
        <v>220</v>
      </c>
      <c r="G1362" s="12">
        <v>31.0</v>
      </c>
      <c r="H1362" s="57" t="str">
        <f t="shared" si="5"/>
        <v/>
      </c>
      <c r="I1362" s="29" t="s">
        <v>7705</v>
      </c>
      <c r="J1362" s="20" t="str">
        <f>VLOOKUP(I1362,'Database Grup SCC'!$B$2:$C1382,2,false)</f>
        <v>-</v>
      </c>
      <c r="K1362" s="50"/>
      <c r="L1362" s="50"/>
      <c r="M1362" s="50"/>
      <c r="N1362" s="35"/>
      <c r="O1362" s="34"/>
      <c r="P1362" s="34"/>
      <c r="Q1362" s="12" t="str">
        <f t="shared" si="6"/>
        <v>#REF!</v>
      </c>
      <c r="R1362" s="39" t="e">
        <v>#REF!</v>
      </c>
      <c r="S1362" s="39"/>
      <c r="T1362" s="39"/>
      <c r="U1362" s="39"/>
      <c r="V1362" s="39"/>
    </row>
    <row r="1363" ht="22.5" customHeight="1">
      <c r="A1363" s="18">
        <v>686.0</v>
      </c>
      <c r="B1363" s="36">
        <v>20.0</v>
      </c>
      <c r="C1363" s="36" t="s">
        <v>8541</v>
      </c>
      <c r="D1363" s="60">
        <v>2.32410263E8</v>
      </c>
      <c r="E1363" s="36" t="s">
        <v>8542</v>
      </c>
      <c r="F1363" s="36" t="s">
        <v>227</v>
      </c>
      <c r="G1363" s="12">
        <v>31.0</v>
      </c>
      <c r="H1363" s="57" t="str">
        <f t="shared" si="5"/>
        <v/>
      </c>
      <c r="I1363" s="29" t="s">
        <v>7705</v>
      </c>
      <c r="J1363" s="20" t="str">
        <f>VLOOKUP(I1363,'Database Grup SCC'!$B$2:$C1382,2,false)</f>
        <v>-</v>
      </c>
      <c r="K1363" s="50"/>
      <c r="L1363" s="50"/>
      <c r="M1363" s="50"/>
      <c r="N1363" s="35"/>
      <c r="O1363" s="34"/>
      <c r="P1363" s="34"/>
      <c r="Q1363" s="12" t="str">
        <f t="shared" si="6"/>
        <v>#REF!</v>
      </c>
      <c r="R1363" s="39" t="e">
        <v>#REF!</v>
      </c>
      <c r="S1363" s="39"/>
      <c r="T1363" s="39"/>
      <c r="U1363" s="39"/>
      <c r="V1363" s="39"/>
    </row>
    <row r="1364" ht="22.5" customHeight="1">
      <c r="A1364" s="18">
        <v>687.0</v>
      </c>
      <c r="B1364" s="36">
        <v>21.0</v>
      </c>
      <c r="C1364" s="36" t="s">
        <v>8543</v>
      </c>
      <c r="D1364" s="60">
        <v>2.32410269E8</v>
      </c>
      <c r="E1364" s="36" t="s">
        <v>8544</v>
      </c>
      <c r="F1364" s="36" t="s">
        <v>227</v>
      </c>
      <c r="G1364" s="12">
        <v>31.0</v>
      </c>
      <c r="H1364" s="57" t="str">
        <f t="shared" si="5"/>
        <v/>
      </c>
      <c r="I1364" s="29" t="s">
        <v>7705</v>
      </c>
      <c r="J1364" s="20" t="str">
        <f>VLOOKUP(I1364,'Database Grup SCC'!$B$2:$C1382,2,false)</f>
        <v>-</v>
      </c>
      <c r="K1364" s="50"/>
      <c r="L1364" s="50"/>
      <c r="M1364" s="50"/>
      <c r="N1364" s="35"/>
      <c r="O1364" s="34"/>
      <c r="P1364" s="34"/>
      <c r="Q1364" s="12" t="str">
        <f t="shared" si="6"/>
        <v>#REF!</v>
      </c>
      <c r="R1364" s="39" t="e">
        <v>#REF!</v>
      </c>
      <c r="S1364" s="39"/>
      <c r="T1364" s="39"/>
      <c r="U1364" s="39"/>
      <c r="V1364" s="39"/>
    </row>
    <row r="1365" ht="22.5" customHeight="1">
      <c r="A1365" s="18">
        <v>688.0</v>
      </c>
      <c r="B1365" s="36">
        <v>22.0</v>
      </c>
      <c r="C1365" s="36" t="s">
        <v>8545</v>
      </c>
      <c r="D1365" s="60">
        <v>2.32410276E8</v>
      </c>
      <c r="E1365" s="36" t="s">
        <v>8546</v>
      </c>
      <c r="F1365" s="36" t="s">
        <v>220</v>
      </c>
      <c r="G1365" s="12">
        <v>31.0</v>
      </c>
      <c r="H1365" s="57" t="str">
        <f t="shared" si="5"/>
        <v/>
      </c>
      <c r="I1365" s="29" t="s">
        <v>7705</v>
      </c>
      <c r="J1365" s="20" t="str">
        <f>VLOOKUP(I1365,'Database Grup SCC'!$B$2:$C1382,2,false)</f>
        <v>-</v>
      </c>
      <c r="K1365" s="50"/>
      <c r="L1365" s="50"/>
      <c r="M1365" s="50"/>
      <c r="N1365" s="35"/>
      <c r="O1365" s="34"/>
      <c r="P1365" s="34"/>
      <c r="Q1365" s="12" t="str">
        <f t="shared" si="6"/>
        <v>#REF!</v>
      </c>
      <c r="R1365" s="39" t="e">
        <v>#REF!</v>
      </c>
      <c r="S1365" s="39"/>
      <c r="T1365" s="39"/>
      <c r="U1365" s="39"/>
      <c r="V1365" s="39"/>
    </row>
    <row r="1366" ht="22.5" customHeight="1">
      <c r="A1366" s="18">
        <v>689.0</v>
      </c>
      <c r="B1366" s="36">
        <v>23.0</v>
      </c>
      <c r="C1366" s="36" t="s">
        <v>8547</v>
      </c>
      <c r="D1366" s="60">
        <v>2.3241028E8</v>
      </c>
      <c r="E1366" s="36" t="s">
        <v>8548</v>
      </c>
      <c r="F1366" s="36" t="s">
        <v>227</v>
      </c>
      <c r="G1366" s="12">
        <v>31.0</v>
      </c>
      <c r="H1366" s="57" t="str">
        <f t="shared" si="5"/>
        <v/>
      </c>
      <c r="I1366" s="29" t="s">
        <v>7705</v>
      </c>
      <c r="J1366" s="20" t="str">
        <f>VLOOKUP(I1366,'Database Grup SCC'!$B$2:$C1382,2,false)</f>
        <v>-</v>
      </c>
      <c r="K1366" s="50"/>
      <c r="L1366" s="50"/>
      <c r="M1366" s="50"/>
      <c r="N1366" s="35"/>
      <c r="O1366" s="34"/>
      <c r="P1366" s="34"/>
      <c r="Q1366" s="12" t="str">
        <f t="shared" si="6"/>
        <v>#REF!</v>
      </c>
      <c r="R1366" s="39" t="e">
        <v>#REF!</v>
      </c>
      <c r="S1366" s="39"/>
      <c r="T1366" s="39"/>
      <c r="U1366" s="39"/>
      <c r="V1366" s="39"/>
    </row>
    <row r="1367" ht="22.5" customHeight="1">
      <c r="A1367" s="18">
        <v>690.0</v>
      </c>
      <c r="B1367" s="36">
        <v>24.0</v>
      </c>
      <c r="C1367" s="36" t="s">
        <v>8549</v>
      </c>
      <c r="D1367" s="60">
        <v>2.32410288E8</v>
      </c>
      <c r="E1367" s="36" t="s">
        <v>8550</v>
      </c>
      <c r="F1367" s="36" t="s">
        <v>227</v>
      </c>
      <c r="G1367" s="12">
        <v>31.0</v>
      </c>
      <c r="H1367" s="57" t="str">
        <f t="shared" si="5"/>
        <v/>
      </c>
      <c r="I1367" s="29" t="s">
        <v>7705</v>
      </c>
      <c r="J1367" s="20" t="str">
        <f>VLOOKUP(I1367,'Database Grup SCC'!$B$2:$C1382,2,false)</f>
        <v>-</v>
      </c>
      <c r="K1367" s="50"/>
      <c r="L1367" s="50"/>
      <c r="M1367" s="50"/>
      <c r="N1367" s="35"/>
      <c r="O1367" s="34"/>
      <c r="P1367" s="34"/>
      <c r="Q1367" s="12" t="str">
        <f t="shared" si="6"/>
        <v>#REF!</v>
      </c>
      <c r="R1367" s="39" t="e">
        <v>#REF!</v>
      </c>
      <c r="S1367" s="39"/>
      <c r="T1367" s="39"/>
      <c r="U1367" s="39"/>
      <c r="V1367" s="39"/>
    </row>
    <row r="1368" ht="22.5" customHeight="1">
      <c r="A1368" s="18">
        <v>691.0</v>
      </c>
      <c r="B1368" s="36">
        <v>25.0</v>
      </c>
      <c r="C1368" s="36" t="s">
        <v>8551</v>
      </c>
      <c r="D1368" s="60">
        <v>2.32410295E8</v>
      </c>
      <c r="E1368" s="36" t="s">
        <v>8552</v>
      </c>
      <c r="F1368" s="36" t="s">
        <v>227</v>
      </c>
      <c r="G1368" s="12">
        <v>31.0</v>
      </c>
      <c r="H1368" s="57" t="str">
        <f t="shared" si="5"/>
        <v/>
      </c>
      <c r="I1368" s="29" t="s">
        <v>7705</v>
      </c>
      <c r="J1368" s="20" t="str">
        <f>VLOOKUP(I1368,'Database Grup SCC'!$B$2:$C1382,2,false)</f>
        <v>-</v>
      </c>
      <c r="K1368" s="50"/>
      <c r="L1368" s="50"/>
      <c r="M1368" s="50"/>
      <c r="N1368" s="35"/>
      <c r="O1368" s="34"/>
      <c r="P1368" s="34"/>
      <c r="Q1368" s="12" t="str">
        <f t="shared" si="6"/>
        <v>#REF!</v>
      </c>
      <c r="R1368" s="39" t="e">
        <v>#REF!</v>
      </c>
      <c r="S1368" s="39"/>
      <c r="T1368" s="39"/>
      <c r="U1368" s="39"/>
      <c r="V1368" s="39"/>
    </row>
    <row r="1369" ht="22.5" customHeight="1">
      <c r="A1369" s="18">
        <v>692.0</v>
      </c>
      <c r="B1369" s="36">
        <v>26.0</v>
      </c>
      <c r="C1369" s="36" t="s">
        <v>8553</v>
      </c>
      <c r="D1369" s="60">
        <v>2.324103E8</v>
      </c>
      <c r="E1369" s="36" t="s">
        <v>8554</v>
      </c>
      <c r="F1369" s="36" t="s">
        <v>227</v>
      </c>
      <c r="G1369" s="12">
        <v>31.0</v>
      </c>
      <c r="H1369" s="57" t="str">
        <f t="shared" si="5"/>
        <v/>
      </c>
      <c r="I1369" s="29" t="s">
        <v>7705</v>
      </c>
      <c r="J1369" s="20" t="str">
        <f>VLOOKUP(I1369,'Database Grup SCC'!$B$2:$C1382,2,false)</f>
        <v>-</v>
      </c>
      <c r="K1369" s="50"/>
      <c r="L1369" s="50"/>
      <c r="M1369" s="50"/>
      <c r="N1369" s="35"/>
      <c r="O1369" s="34"/>
      <c r="P1369" s="34"/>
      <c r="Q1369" s="12" t="str">
        <f t="shared" si="6"/>
        <v>#REF!</v>
      </c>
      <c r="R1369" s="39" t="e">
        <v>#REF!</v>
      </c>
      <c r="S1369" s="39"/>
      <c r="T1369" s="39"/>
      <c r="U1369" s="39"/>
      <c r="V1369" s="39"/>
    </row>
    <row r="1370" ht="22.5" customHeight="1">
      <c r="A1370" s="18">
        <v>693.0</v>
      </c>
      <c r="B1370" s="36">
        <v>27.0</v>
      </c>
      <c r="C1370" s="62" t="s">
        <v>8555</v>
      </c>
      <c r="D1370" s="64">
        <v>2.3241044E8</v>
      </c>
      <c r="E1370" s="40" t="s">
        <v>8556</v>
      </c>
      <c r="F1370" s="40" t="s">
        <v>220</v>
      </c>
      <c r="G1370" s="12">
        <v>31.0</v>
      </c>
      <c r="H1370" s="57" t="str">
        <f t="shared" si="5"/>
        <v/>
      </c>
      <c r="I1370" s="29" t="s">
        <v>7705</v>
      </c>
      <c r="J1370" s="20" t="str">
        <f>VLOOKUP(I1370,'Database Grup SCC'!$B$2:$C1382,2,false)</f>
        <v>-</v>
      </c>
      <c r="K1370" s="50"/>
      <c r="L1370" s="50"/>
      <c r="M1370" s="50"/>
      <c r="N1370" s="35"/>
      <c r="O1370" s="34"/>
      <c r="P1370" s="34"/>
      <c r="Q1370" s="12" t="str">
        <f t="shared" si="6"/>
        <v>#REF!</v>
      </c>
      <c r="R1370" s="39" t="e">
        <v>#REF!</v>
      </c>
      <c r="S1370" s="39"/>
      <c r="T1370" s="39"/>
      <c r="U1370" s="39"/>
      <c r="V1370" s="39"/>
    </row>
    <row r="1371" ht="22.5" customHeight="1">
      <c r="A1371" s="18">
        <v>694.0</v>
      </c>
      <c r="B1371" s="36">
        <v>28.0</v>
      </c>
      <c r="C1371" s="36" t="s">
        <v>8557</v>
      </c>
      <c r="D1371" s="60">
        <v>2.32410326E8</v>
      </c>
      <c r="E1371" s="36" t="s">
        <v>8558</v>
      </c>
      <c r="F1371" s="36" t="s">
        <v>227</v>
      </c>
      <c r="G1371" s="12">
        <v>31.0</v>
      </c>
      <c r="H1371" s="57" t="str">
        <f t="shared" si="5"/>
        <v/>
      </c>
      <c r="I1371" s="29" t="s">
        <v>7705</v>
      </c>
      <c r="J1371" s="20" t="str">
        <f>VLOOKUP(I1371,'Database Grup SCC'!$B$2:$C1382,2,false)</f>
        <v>-</v>
      </c>
      <c r="K1371" s="50"/>
      <c r="L1371" s="50"/>
      <c r="M1371" s="50"/>
      <c r="N1371" s="35"/>
      <c r="O1371" s="34"/>
      <c r="P1371" s="34"/>
      <c r="Q1371" s="12" t="str">
        <f t="shared" si="6"/>
        <v>#REF!</v>
      </c>
      <c r="R1371" s="39" t="e">
        <v>#REF!</v>
      </c>
      <c r="S1371" s="39"/>
      <c r="T1371" s="39"/>
      <c r="U1371" s="39"/>
      <c r="V1371" s="39"/>
    </row>
    <row r="1372" ht="22.5" customHeight="1">
      <c r="A1372" s="18">
        <v>695.0</v>
      </c>
      <c r="B1372" s="36">
        <v>29.0</v>
      </c>
      <c r="C1372" s="36" t="s">
        <v>8559</v>
      </c>
      <c r="D1372" s="60">
        <v>2.32410335E8</v>
      </c>
      <c r="E1372" s="36" t="s">
        <v>8560</v>
      </c>
      <c r="F1372" s="36" t="s">
        <v>227</v>
      </c>
      <c r="G1372" s="12">
        <v>31.0</v>
      </c>
      <c r="H1372" s="57" t="str">
        <f t="shared" si="5"/>
        <v/>
      </c>
      <c r="I1372" s="29" t="s">
        <v>7705</v>
      </c>
      <c r="J1372" s="20" t="str">
        <f>VLOOKUP(I1372,'Database Grup SCC'!$B$2:$C1382,2,false)</f>
        <v>-</v>
      </c>
      <c r="K1372" s="50"/>
      <c r="L1372" s="50"/>
      <c r="M1372" s="50"/>
      <c r="N1372" s="35"/>
      <c r="O1372" s="34"/>
      <c r="P1372" s="34"/>
      <c r="Q1372" s="12" t="str">
        <f t="shared" si="6"/>
        <v>#REF!</v>
      </c>
      <c r="R1372" s="39" t="e">
        <v>#REF!</v>
      </c>
      <c r="S1372" s="39"/>
      <c r="T1372" s="39"/>
      <c r="U1372" s="39"/>
      <c r="V1372" s="39"/>
    </row>
    <row r="1373" ht="22.5" customHeight="1">
      <c r="A1373" s="18">
        <v>696.0</v>
      </c>
      <c r="B1373" s="36">
        <v>30.0</v>
      </c>
      <c r="C1373" s="59" t="s">
        <v>8561</v>
      </c>
      <c r="D1373" s="60">
        <v>2.12210341E8</v>
      </c>
      <c r="E1373" s="36" t="s">
        <v>8562</v>
      </c>
      <c r="F1373" s="36" t="s">
        <v>220</v>
      </c>
      <c r="G1373" s="12">
        <v>31.0</v>
      </c>
      <c r="H1373" s="57" t="str">
        <f t="shared" si="5"/>
        <v/>
      </c>
      <c r="I1373" s="29" t="s">
        <v>7705</v>
      </c>
      <c r="J1373" s="20" t="str">
        <f>VLOOKUP(I1373,'Database Grup SCC'!$B$2:$C1382,2,false)</f>
        <v>-</v>
      </c>
      <c r="K1373" s="50"/>
      <c r="L1373" s="50"/>
      <c r="M1373" s="50"/>
      <c r="N1373" s="35"/>
      <c r="O1373" s="34"/>
      <c r="P1373" s="34"/>
      <c r="Q1373" s="12" t="str">
        <f t="shared" si="6"/>
        <v>#REF!</v>
      </c>
      <c r="R1373" s="39" t="e">
        <v>#REF!</v>
      </c>
      <c r="S1373" s="39"/>
      <c r="T1373" s="39"/>
      <c r="U1373" s="39"/>
      <c r="V1373" s="39"/>
    </row>
    <row r="1374" ht="22.5" customHeight="1">
      <c r="A1374" s="18">
        <v>697.0</v>
      </c>
      <c r="B1374" s="36">
        <v>31.0</v>
      </c>
      <c r="C1374" s="36" t="s">
        <v>8563</v>
      </c>
      <c r="D1374" s="60">
        <v>2.3241035E8</v>
      </c>
      <c r="E1374" s="36" t="s">
        <v>8564</v>
      </c>
      <c r="F1374" s="36" t="s">
        <v>227</v>
      </c>
      <c r="G1374" s="12">
        <v>31.0</v>
      </c>
      <c r="H1374" s="57" t="str">
        <f t="shared" si="5"/>
        <v/>
      </c>
      <c r="I1374" s="29" t="s">
        <v>7705</v>
      </c>
      <c r="J1374" s="20" t="str">
        <f>VLOOKUP(I1374,'Database Grup SCC'!$B$2:$C1382,2,false)</f>
        <v>-</v>
      </c>
      <c r="K1374" s="50"/>
      <c r="L1374" s="50"/>
      <c r="M1374" s="50"/>
      <c r="N1374" s="35"/>
      <c r="O1374" s="34"/>
      <c r="P1374" s="34"/>
      <c r="Q1374" s="12" t="str">
        <f t="shared" si="6"/>
        <v>#REF!</v>
      </c>
      <c r="R1374" s="39" t="e">
        <v>#REF!</v>
      </c>
      <c r="S1374" s="39"/>
      <c r="T1374" s="39"/>
      <c r="U1374" s="39"/>
      <c r="V1374" s="39"/>
    </row>
    <row r="1375" ht="22.5" customHeight="1">
      <c r="A1375" s="18">
        <v>698.0</v>
      </c>
      <c r="B1375" s="36">
        <v>32.0</v>
      </c>
      <c r="C1375" s="36" t="s">
        <v>8565</v>
      </c>
      <c r="D1375" s="60">
        <v>2.32410355E8</v>
      </c>
      <c r="E1375" s="36" t="s">
        <v>8566</v>
      </c>
      <c r="F1375" s="36" t="s">
        <v>227</v>
      </c>
      <c r="G1375" s="12">
        <v>31.0</v>
      </c>
      <c r="H1375" s="57" t="str">
        <f t="shared" si="5"/>
        <v/>
      </c>
      <c r="I1375" s="29" t="s">
        <v>7705</v>
      </c>
      <c r="J1375" s="20" t="str">
        <f>VLOOKUP(I1375,'Database Grup SCC'!$B$2:$C1382,2,false)</f>
        <v>-</v>
      </c>
      <c r="K1375" s="50"/>
      <c r="L1375" s="50"/>
      <c r="M1375" s="50"/>
      <c r="N1375" s="35"/>
      <c r="O1375" s="34"/>
      <c r="P1375" s="34"/>
      <c r="Q1375" s="12" t="str">
        <f t="shared" si="6"/>
        <v>#REF!</v>
      </c>
      <c r="R1375" s="39" t="e">
        <v>#REF!</v>
      </c>
      <c r="S1375" s="39"/>
      <c r="T1375" s="39"/>
      <c r="U1375" s="39"/>
      <c r="V1375" s="39"/>
    </row>
    <row r="1376" ht="22.5" customHeight="1">
      <c r="A1376" s="18">
        <v>699.0</v>
      </c>
      <c r="B1376" s="36">
        <v>33.0</v>
      </c>
      <c r="C1376" s="36" t="s">
        <v>8567</v>
      </c>
      <c r="D1376" s="60">
        <v>2.32410369E8</v>
      </c>
      <c r="E1376" s="36" t="s">
        <v>8568</v>
      </c>
      <c r="F1376" s="36" t="s">
        <v>227</v>
      </c>
      <c r="G1376" s="12">
        <v>31.0</v>
      </c>
      <c r="H1376" s="57" t="str">
        <f t="shared" si="5"/>
        <v/>
      </c>
      <c r="I1376" s="29" t="s">
        <v>7705</v>
      </c>
      <c r="J1376" s="20" t="str">
        <f>VLOOKUP(I1376,'Database Grup SCC'!$B$2:$C1382,2,false)</f>
        <v>-</v>
      </c>
      <c r="K1376" s="50"/>
      <c r="L1376" s="50"/>
      <c r="M1376" s="50"/>
      <c r="N1376" s="35"/>
      <c r="O1376" s="34"/>
      <c r="P1376" s="34"/>
      <c r="Q1376" s="12" t="str">
        <f t="shared" si="6"/>
        <v>#REF!</v>
      </c>
      <c r="R1376" s="39" t="e">
        <v>#REF!</v>
      </c>
      <c r="S1376" s="39"/>
      <c r="T1376" s="39"/>
      <c r="U1376" s="39"/>
      <c r="V1376" s="39"/>
    </row>
    <row r="1377" ht="22.5" customHeight="1">
      <c r="A1377" s="18">
        <v>700.0</v>
      </c>
      <c r="B1377" s="36">
        <v>34.0</v>
      </c>
      <c r="C1377" s="36" t="s">
        <v>8569</v>
      </c>
      <c r="D1377" s="60">
        <v>2.32410374E8</v>
      </c>
      <c r="E1377" s="36" t="s">
        <v>8570</v>
      </c>
      <c r="F1377" s="36" t="s">
        <v>220</v>
      </c>
      <c r="G1377" s="12">
        <v>31.0</v>
      </c>
      <c r="H1377" s="57" t="str">
        <f t="shared" si="5"/>
        <v/>
      </c>
      <c r="I1377" s="29" t="s">
        <v>7705</v>
      </c>
      <c r="J1377" s="20" t="str">
        <f>VLOOKUP(I1377,'Database Grup SCC'!$B$2:$C1382,2,false)</f>
        <v>-</v>
      </c>
      <c r="K1377" s="50"/>
      <c r="L1377" s="50"/>
      <c r="M1377" s="50"/>
      <c r="N1377" s="35"/>
      <c r="O1377" s="34"/>
      <c r="P1377" s="34"/>
      <c r="Q1377" s="12" t="str">
        <f t="shared" si="6"/>
        <v>#REF!</v>
      </c>
      <c r="R1377" s="39" t="e">
        <v>#REF!</v>
      </c>
      <c r="S1377" s="39"/>
      <c r="T1377" s="39"/>
      <c r="U1377" s="39"/>
      <c r="V1377" s="39"/>
    </row>
    <row r="1378" ht="22.5" customHeight="1">
      <c r="A1378" s="18">
        <v>701.0</v>
      </c>
      <c r="B1378" s="36">
        <v>35.0</v>
      </c>
      <c r="C1378" s="36" t="s">
        <v>8571</v>
      </c>
      <c r="D1378" s="60">
        <v>2.32410396E8</v>
      </c>
      <c r="E1378" s="36" t="s">
        <v>8572</v>
      </c>
      <c r="F1378" s="36" t="s">
        <v>220</v>
      </c>
      <c r="G1378" s="12">
        <v>31.0</v>
      </c>
      <c r="H1378" s="57" t="str">
        <f t="shared" si="5"/>
        <v/>
      </c>
      <c r="I1378" s="29" t="s">
        <v>7705</v>
      </c>
      <c r="J1378" s="20" t="str">
        <f>VLOOKUP(I1378,'Database Grup SCC'!$B$2:$C1382,2,false)</f>
        <v>-</v>
      </c>
      <c r="K1378" s="50"/>
      <c r="L1378" s="50"/>
      <c r="M1378" s="50"/>
      <c r="N1378" s="35"/>
      <c r="O1378" s="34"/>
      <c r="P1378" s="34"/>
      <c r="Q1378" s="12" t="str">
        <f t="shared" si="6"/>
        <v>#REF!</v>
      </c>
      <c r="R1378" s="39" t="e">
        <v>#REF!</v>
      </c>
      <c r="S1378" s="39"/>
      <c r="T1378" s="39"/>
      <c r="U1378" s="39"/>
      <c r="V1378" s="39"/>
    </row>
    <row r="1379" ht="22.5" customHeight="1">
      <c r="A1379" s="18">
        <v>702.0</v>
      </c>
      <c r="B1379" s="36">
        <v>36.0</v>
      </c>
      <c r="C1379" s="36" t="s">
        <v>8573</v>
      </c>
      <c r="D1379" s="60">
        <v>2.32410415E8</v>
      </c>
      <c r="E1379" s="36" t="s">
        <v>8574</v>
      </c>
      <c r="F1379" s="36" t="s">
        <v>227</v>
      </c>
      <c r="G1379" s="12">
        <v>31.0</v>
      </c>
      <c r="H1379" s="57" t="str">
        <f t="shared" si="5"/>
        <v/>
      </c>
      <c r="I1379" s="29" t="s">
        <v>7705</v>
      </c>
      <c r="J1379" s="20" t="str">
        <f>VLOOKUP(I1379,'Database Grup SCC'!$B$2:$C1382,2,false)</f>
        <v>-</v>
      </c>
      <c r="K1379" s="50"/>
      <c r="L1379" s="50"/>
      <c r="M1379" s="50"/>
      <c r="N1379" s="35"/>
      <c r="O1379" s="34"/>
      <c r="P1379" s="34"/>
      <c r="Q1379" s="12" t="str">
        <f t="shared" si="6"/>
        <v>#REF!</v>
      </c>
      <c r="R1379" s="39" t="e">
        <v>#REF!</v>
      </c>
      <c r="S1379" s="39"/>
      <c r="T1379" s="39"/>
      <c r="U1379" s="39"/>
      <c r="V1379" s="39"/>
    </row>
    <row r="1380" ht="22.5" customHeight="1">
      <c r="A1380" s="18">
        <v>703.0</v>
      </c>
      <c r="B1380" s="36">
        <v>37.0</v>
      </c>
      <c r="C1380" s="36" t="s">
        <v>8575</v>
      </c>
      <c r="D1380" s="60">
        <v>2.32410419E8</v>
      </c>
      <c r="E1380" s="36" t="s">
        <v>8576</v>
      </c>
      <c r="F1380" s="36" t="s">
        <v>227</v>
      </c>
      <c r="G1380" s="12">
        <v>31.0</v>
      </c>
      <c r="H1380" s="57" t="str">
        <f t="shared" si="5"/>
        <v/>
      </c>
      <c r="I1380" s="29" t="s">
        <v>7705</v>
      </c>
      <c r="J1380" s="20" t="str">
        <f>VLOOKUP(I1380,'Database Grup SCC'!$B$2:$C1382,2,false)</f>
        <v>-</v>
      </c>
      <c r="K1380" s="50"/>
      <c r="L1380" s="50"/>
      <c r="M1380" s="50"/>
      <c r="N1380" s="35"/>
      <c r="O1380" s="34"/>
      <c r="P1380" s="34"/>
      <c r="Q1380" s="12" t="str">
        <f t="shared" si="6"/>
        <v>#REF!</v>
      </c>
      <c r="R1380" s="39" t="e">
        <v>#REF!</v>
      </c>
      <c r="S1380" s="39"/>
      <c r="T1380" s="39"/>
      <c r="U1380" s="39"/>
      <c r="V1380" s="39"/>
    </row>
    <row r="1381" ht="22.5" customHeight="1">
      <c r="A1381" s="18">
        <v>595.0</v>
      </c>
      <c r="B1381" s="32"/>
      <c r="C1381" s="32"/>
      <c r="D1381" s="52"/>
      <c r="E1381" s="32"/>
      <c r="F1381" s="32"/>
      <c r="G1381" s="12"/>
      <c r="H1381" s="48" t="str">
        <f t="shared" ref="H1381:J1381" si="7">L1381</f>
        <v/>
      </c>
      <c r="I1381" s="28" t="str">
        <f t="shared" si="7"/>
        <v/>
      </c>
      <c r="J1381" s="43" t="str">
        <f t="shared" si="7"/>
        <v/>
      </c>
      <c r="K1381" s="50"/>
      <c r="L1381" s="50"/>
      <c r="M1381" s="50"/>
      <c r="N1381" s="35"/>
      <c r="O1381" s="34"/>
      <c r="P1381" s="34"/>
      <c r="Q1381" s="24" t="str">
        <f>"https://docs.google.com/forms/d/e/1FAIpQLSeZ-R1GrWlAPkfaThGqxeTj0QTtrARw4rroxIIepf2kipn1nw/formResponse?usp=pp_url&amp;entry.1313582257="&amp;C1381&amp;"&amp;entry.1578404635=Hadir"</f>
        <v>https://docs.google.com/forms/d/e/1FAIpQLSeZ-R1GrWlAPkfaThGqxeTj0QTtrARw4rroxIIepf2kipn1nw/formResponse?usp=pp_url&amp;entry.1313582257=&amp;entry.1578404635=Hadir</v>
      </c>
      <c r="R1381" s="23" t="s">
        <v>8577</v>
      </c>
      <c r="S1381" s="39"/>
      <c r="T1381" s="39"/>
      <c r="U1381" s="39"/>
      <c r="V1381" s="39"/>
    </row>
    <row r="1382" ht="22.5" customHeight="1">
      <c r="A1382" s="18"/>
      <c r="B1382" s="36"/>
      <c r="C1382" s="36"/>
      <c r="D1382" s="47"/>
      <c r="E1382" s="36"/>
      <c r="F1382" s="36"/>
      <c r="G1382" s="12"/>
      <c r="H1382" s="57" t="str">
        <f>K1382</f>
        <v/>
      </c>
      <c r="I1382" s="28" t="str">
        <f>N1382</f>
        <v/>
      </c>
      <c r="J1382" s="20"/>
      <c r="K1382" s="50"/>
      <c r="L1382" s="50"/>
      <c r="M1382" s="50"/>
      <c r="N1382" s="35"/>
      <c r="O1382" s="34"/>
      <c r="P1382" s="34"/>
      <c r="Q1382" s="12" t="str">
        <f>"https://docs.google.com/forms/d/e/1FAIpQLSeZ-R1GrWlAPkfaThGqxeTj0QTtrARw4rroxIIepf2kipn1nw/formResponse?usp=pp_url&amp;entry.1313582257="&amp;#REF!&amp;"&amp;entry.1578404635=Hadir"</f>
        <v>#REF!</v>
      </c>
      <c r="R1382" s="39" t="e">
        <v>#REF!</v>
      </c>
      <c r="S1382" s="39"/>
      <c r="T1382" s="39"/>
      <c r="U1382" s="39"/>
      <c r="V1382" s="39"/>
    </row>
  </sheetData>
  <conditionalFormatting sqref="G2:G1382">
    <cfRule type="containsText" dxfId="7" priority="1" operator="containsText" text="33">
      <formula>NOT(ISERROR(SEARCH(("33"),(G2))))</formula>
    </cfRule>
  </conditionalFormatting>
  <conditionalFormatting sqref="G2:G1382">
    <cfRule type="containsText" dxfId="8" priority="2" operator="containsText" text="32">
      <formula>NOT(ISERROR(SEARCH(("32"),(G2))))</formula>
    </cfRule>
  </conditionalFormatting>
  <conditionalFormatting sqref="G2:G1382">
    <cfRule type="containsText" dxfId="9" priority="3" operator="containsText" text="31">
      <formula>NOT(ISERROR(SEARCH(("31"),(G2))))</formula>
    </cfRule>
  </conditionalFormatting>
  <conditionalFormatting sqref="D1:D1382">
    <cfRule type="expression" dxfId="10" priority="4">
      <formula>COUNTIF($D:$D,D1)&gt;1</formula>
    </cfRule>
  </conditionalFormatting>
  <conditionalFormatting sqref="C1:C1382">
    <cfRule type="expression" dxfId="10" priority="5">
      <formula>COUNTIF($C:$C,C1)&gt;1</formula>
    </cfRule>
  </conditionalFormatting>
  <dataValidations>
    <dataValidation type="list" allowBlank="1" sqref="I2:I1382 N2:N1382">
      <formula1>#REF!</formula1>
    </dataValidation>
  </dataValidations>
  <hyperlinks>
    <hyperlink r:id="rId1" ref="R3"/>
    <hyperlink r:id="rId2" ref="R4"/>
    <hyperlink r:id="rId3" ref="R5"/>
    <hyperlink r:id="rId4" ref="R6"/>
    <hyperlink r:id="rId5" ref="R7"/>
    <hyperlink r:id="rId6" ref="R8"/>
    <hyperlink r:id="rId7" ref="R9"/>
    <hyperlink r:id="rId8" ref="R10"/>
    <hyperlink r:id="rId9" ref="R11"/>
    <hyperlink r:id="rId10" ref="R12"/>
    <hyperlink r:id="rId11" ref="R13"/>
    <hyperlink r:id="rId12" ref="R14"/>
    <hyperlink r:id="rId13" ref="R15"/>
    <hyperlink r:id="rId14" ref="R16"/>
    <hyperlink r:id="rId15" ref="R17"/>
    <hyperlink r:id="rId16" ref="R18"/>
    <hyperlink r:id="rId17" ref="R19"/>
    <hyperlink r:id="rId18" ref="R20"/>
    <hyperlink r:id="rId19" ref="R21"/>
    <hyperlink r:id="rId20" ref="R22"/>
    <hyperlink r:id="rId21" ref="R23"/>
    <hyperlink r:id="rId22" ref="R24"/>
    <hyperlink r:id="rId23" ref="R25"/>
    <hyperlink r:id="rId24" ref="R26"/>
    <hyperlink r:id="rId25" ref="R27"/>
    <hyperlink r:id="rId26" ref="R28"/>
    <hyperlink r:id="rId27" ref="R29"/>
    <hyperlink r:id="rId28" ref="R30"/>
    <hyperlink r:id="rId29" ref="R31"/>
    <hyperlink r:id="rId30" ref="R32"/>
    <hyperlink r:id="rId31" ref="R33"/>
    <hyperlink r:id="rId32" ref="R34"/>
    <hyperlink r:id="rId33" ref="R35"/>
    <hyperlink r:id="rId34" ref="R36"/>
    <hyperlink r:id="rId35" ref="R37"/>
    <hyperlink r:id="rId36" ref="R38"/>
    <hyperlink r:id="rId37" ref="R39"/>
    <hyperlink r:id="rId38" ref="R40"/>
    <hyperlink r:id="rId39" ref="R41"/>
    <hyperlink r:id="rId40" ref="R42"/>
    <hyperlink r:id="rId41" ref="R43"/>
    <hyperlink r:id="rId42" ref="R44"/>
    <hyperlink r:id="rId43" ref="R45"/>
    <hyperlink r:id="rId44" ref="R46"/>
    <hyperlink r:id="rId45" ref="R47"/>
    <hyperlink r:id="rId46" ref="R48"/>
    <hyperlink r:id="rId47" ref="R49"/>
    <hyperlink r:id="rId48" ref="R50"/>
    <hyperlink r:id="rId49" ref="R51"/>
    <hyperlink r:id="rId50" ref="R52"/>
    <hyperlink r:id="rId51" ref="R53"/>
    <hyperlink r:id="rId52" ref="R54"/>
    <hyperlink r:id="rId53" ref="R55"/>
    <hyperlink r:id="rId54" ref="R56"/>
    <hyperlink r:id="rId55" ref="R57"/>
    <hyperlink r:id="rId56" ref="R58"/>
    <hyperlink r:id="rId57" ref="R59"/>
    <hyperlink r:id="rId58" ref="R60"/>
    <hyperlink r:id="rId59" ref="R61"/>
    <hyperlink r:id="rId60" ref="R62"/>
    <hyperlink r:id="rId61" ref="R63"/>
    <hyperlink r:id="rId62" ref="R64"/>
    <hyperlink r:id="rId63" ref="R65"/>
    <hyperlink r:id="rId64" ref="R66"/>
    <hyperlink r:id="rId65" ref="R67"/>
    <hyperlink r:id="rId66" ref="R68"/>
    <hyperlink r:id="rId67" ref="R69"/>
    <hyperlink r:id="rId68" ref="R70"/>
    <hyperlink r:id="rId69" ref="R71"/>
    <hyperlink r:id="rId70" ref="R72"/>
    <hyperlink r:id="rId71" ref="R73"/>
    <hyperlink r:id="rId72" ref="R74"/>
    <hyperlink r:id="rId73" ref="R75"/>
    <hyperlink r:id="rId74" ref="R76"/>
    <hyperlink r:id="rId75" ref="R77"/>
    <hyperlink r:id="rId76" ref="R78"/>
    <hyperlink r:id="rId77" ref="R79"/>
    <hyperlink r:id="rId78" ref="R80"/>
    <hyperlink r:id="rId79" ref="R81"/>
    <hyperlink r:id="rId80" ref="R82"/>
    <hyperlink r:id="rId81" ref="R83"/>
    <hyperlink r:id="rId82" ref="R84"/>
    <hyperlink r:id="rId83" ref="R85"/>
    <hyperlink r:id="rId84" ref="R86"/>
    <hyperlink r:id="rId85" ref="R87"/>
    <hyperlink r:id="rId86" ref="R88"/>
    <hyperlink r:id="rId87" ref="R89"/>
    <hyperlink r:id="rId88" ref="R90"/>
    <hyperlink r:id="rId89" ref="R91"/>
    <hyperlink r:id="rId90" ref="R92"/>
    <hyperlink r:id="rId91" ref="R93"/>
    <hyperlink r:id="rId92" ref="R94"/>
    <hyperlink r:id="rId93" ref="R95"/>
    <hyperlink r:id="rId94" ref="R96"/>
    <hyperlink r:id="rId95" ref="R97"/>
    <hyperlink r:id="rId96" ref="R98"/>
    <hyperlink r:id="rId97" ref="R99"/>
    <hyperlink r:id="rId98" ref="R100"/>
    <hyperlink r:id="rId99" ref="R101"/>
    <hyperlink r:id="rId100" ref="R102"/>
    <hyperlink r:id="rId101" ref="R103"/>
    <hyperlink r:id="rId102" ref="R104"/>
    <hyperlink r:id="rId103" ref="R105"/>
    <hyperlink r:id="rId104" ref="R106"/>
    <hyperlink r:id="rId105" ref="R107"/>
    <hyperlink r:id="rId106" ref="R108"/>
    <hyperlink r:id="rId107" ref="R109"/>
    <hyperlink r:id="rId108" ref="R110"/>
    <hyperlink r:id="rId109" ref="R111"/>
    <hyperlink r:id="rId110" ref="R112"/>
    <hyperlink r:id="rId111" ref="R113"/>
    <hyperlink r:id="rId112" ref="R114"/>
    <hyperlink r:id="rId113" ref="R115"/>
    <hyperlink r:id="rId114" ref="R116"/>
    <hyperlink r:id="rId115" ref="R117"/>
    <hyperlink r:id="rId116" ref="R118"/>
    <hyperlink r:id="rId117" ref="R119"/>
    <hyperlink r:id="rId118" ref="R120"/>
    <hyperlink r:id="rId119" ref="R121"/>
    <hyperlink r:id="rId120" ref="R122"/>
    <hyperlink r:id="rId121" ref="R123"/>
    <hyperlink r:id="rId122" ref="R124"/>
    <hyperlink r:id="rId123" ref="R125"/>
    <hyperlink r:id="rId124" ref="R126"/>
    <hyperlink r:id="rId125" ref="R127"/>
    <hyperlink r:id="rId126" ref="R128"/>
    <hyperlink r:id="rId127" ref="R129"/>
    <hyperlink r:id="rId128" ref="R130"/>
    <hyperlink r:id="rId129" ref="R131"/>
    <hyperlink r:id="rId130" ref="R132"/>
    <hyperlink r:id="rId131" ref="R133"/>
    <hyperlink r:id="rId132" ref="R134"/>
    <hyperlink r:id="rId133" ref="R135"/>
    <hyperlink r:id="rId134" ref="R136"/>
    <hyperlink r:id="rId135" ref="R137"/>
    <hyperlink r:id="rId136" ref="R138"/>
    <hyperlink r:id="rId137" ref="R139"/>
    <hyperlink r:id="rId138" ref="R140"/>
    <hyperlink r:id="rId139" ref="R141"/>
    <hyperlink r:id="rId140" ref="R142"/>
    <hyperlink r:id="rId141" ref="R143"/>
    <hyperlink r:id="rId142" ref="R144"/>
    <hyperlink r:id="rId143" ref="R145"/>
    <hyperlink r:id="rId144" ref="R146"/>
    <hyperlink r:id="rId145" ref="R147"/>
    <hyperlink r:id="rId146" ref="R148"/>
    <hyperlink r:id="rId147" ref="R149"/>
    <hyperlink r:id="rId148" ref="R150"/>
    <hyperlink r:id="rId149" ref="R151"/>
    <hyperlink r:id="rId150" ref="R152"/>
    <hyperlink r:id="rId151" ref="R153"/>
    <hyperlink r:id="rId152" ref="R154"/>
    <hyperlink r:id="rId153" ref="R155"/>
    <hyperlink r:id="rId154" ref="R156"/>
    <hyperlink r:id="rId155" ref="R157"/>
    <hyperlink r:id="rId156" ref="R158"/>
    <hyperlink r:id="rId157" ref="R159"/>
    <hyperlink r:id="rId158" ref="R160"/>
    <hyperlink r:id="rId159" ref="R161"/>
    <hyperlink r:id="rId160" ref="R162"/>
    <hyperlink r:id="rId161" ref="R163"/>
    <hyperlink r:id="rId162" ref="R164"/>
    <hyperlink r:id="rId163" ref="R165"/>
    <hyperlink r:id="rId164" ref="R166"/>
    <hyperlink r:id="rId165" ref="R167"/>
    <hyperlink r:id="rId166" ref="R168"/>
    <hyperlink r:id="rId167" ref="R169"/>
    <hyperlink r:id="rId168" ref="R170"/>
    <hyperlink r:id="rId169" ref="R171"/>
    <hyperlink r:id="rId170" ref="R172"/>
    <hyperlink r:id="rId171" ref="R173"/>
    <hyperlink r:id="rId172" ref="R174"/>
    <hyperlink r:id="rId173" ref="R175"/>
    <hyperlink r:id="rId174" ref="R176"/>
    <hyperlink r:id="rId175" ref="R177"/>
    <hyperlink r:id="rId176" ref="R178"/>
    <hyperlink r:id="rId177" ref="R179"/>
    <hyperlink r:id="rId178" ref="R180"/>
    <hyperlink r:id="rId179" ref="R181"/>
    <hyperlink r:id="rId180" ref="R182"/>
    <hyperlink r:id="rId181" ref="R183"/>
    <hyperlink r:id="rId182" ref="R184"/>
    <hyperlink r:id="rId183" ref="R185"/>
    <hyperlink r:id="rId184" ref="R186"/>
    <hyperlink r:id="rId185" ref="R187"/>
    <hyperlink r:id="rId186" ref="R188"/>
    <hyperlink r:id="rId187" ref="R189"/>
    <hyperlink r:id="rId188" ref="R190"/>
    <hyperlink r:id="rId189" ref="R191"/>
    <hyperlink r:id="rId190" ref="R192"/>
    <hyperlink r:id="rId191" ref="R193"/>
    <hyperlink r:id="rId192" ref="R194"/>
    <hyperlink r:id="rId193" ref="R195"/>
    <hyperlink r:id="rId194" ref="R196"/>
    <hyperlink r:id="rId195" ref="R197"/>
    <hyperlink r:id="rId196" ref="R198"/>
    <hyperlink r:id="rId197" ref="R199"/>
    <hyperlink r:id="rId198" ref="R200"/>
    <hyperlink r:id="rId199" ref="R201"/>
    <hyperlink r:id="rId200" ref="R202"/>
    <hyperlink r:id="rId201" ref="R203"/>
    <hyperlink r:id="rId202" ref="R204"/>
    <hyperlink r:id="rId203" ref="R205"/>
    <hyperlink r:id="rId204" ref="R206"/>
    <hyperlink r:id="rId205" ref="R207"/>
    <hyperlink r:id="rId206" ref="R208"/>
    <hyperlink r:id="rId207" ref="R209"/>
    <hyperlink r:id="rId208" ref="R210"/>
    <hyperlink r:id="rId209" ref="R211"/>
    <hyperlink r:id="rId210" ref="R212"/>
    <hyperlink r:id="rId211" ref="R213"/>
    <hyperlink r:id="rId212" ref="R214"/>
    <hyperlink r:id="rId213" ref="R215"/>
    <hyperlink r:id="rId214" ref="R216"/>
    <hyperlink r:id="rId215" ref="R217"/>
    <hyperlink r:id="rId216" ref="R218"/>
    <hyperlink r:id="rId217" ref="R219"/>
    <hyperlink r:id="rId218" ref="R220"/>
    <hyperlink r:id="rId219" ref="R221"/>
    <hyperlink r:id="rId220" ref="R222"/>
    <hyperlink r:id="rId221" ref="R223"/>
    <hyperlink r:id="rId222" ref="R224"/>
    <hyperlink r:id="rId223" ref="R225"/>
    <hyperlink r:id="rId224" ref="R226"/>
    <hyperlink r:id="rId225" ref="R227"/>
    <hyperlink r:id="rId226" ref="R228"/>
    <hyperlink r:id="rId227" ref="R229"/>
    <hyperlink r:id="rId228" ref="R230"/>
    <hyperlink r:id="rId229" ref="R231"/>
    <hyperlink r:id="rId230" ref="R232"/>
    <hyperlink r:id="rId231" ref="R233"/>
    <hyperlink r:id="rId232" ref="R234"/>
    <hyperlink r:id="rId233" ref="R235"/>
    <hyperlink r:id="rId234" ref="R236"/>
    <hyperlink r:id="rId235" ref="R237"/>
    <hyperlink r:id="rId236" ref="R238"/>
    <hyperlink r:id="rId237" ref="R239"/>
    <hyperlink r:id="rId238" ref="R240"/>
    <hyperlink r:id="rId239" ref="R241"/>
    <hyperlink r:id="rId240" ref="R242"/>
    <hyperlink r:id="rId241" ref="R243"/>
    <hyperlink r:id="rId242" ref="R244"/>
    <hyperlink r:id="rId243" ref="R245"/>
    <hyperlink r:id="rId244" ref="R246"/>
    <hyperlink r:id="rId245" ref="R247"/>
    <hyperlink r:id="rId246" ref="R248"/>
    <hyperlink r:id="rId247" ref="R249"/>
    <hyperlink r:id="rId248" ref="R250"/>
    <hyperlink r:id="rId249" ref="R251"/>
    <hyperlink r:id="rId250" ref="R252"/>
    <hyperlink r:id="rId251" ref="R253"/>
    <hyperlink r:id="rId252" ref="R254"/>
    <hyperlink r:id="rId253" ref="R255"/>
    <hyperlink r:id="rId254" ref="R256"/>
    <hyperlink r:id="rId255" ref="R257"/>
    <hyperlink r:id="rId256" ref="R258"/>
    <hyperlink r:id="rId257" ref="R259"/>
    <hyperlink r:id="rId258" ref="R260"/>
    <hyperlink r:id="rId259" ref="R261"/>
    <hyperlink r:id="rId260" ref="R262"/>
    <hyperlink r:id="rId261" ref="R263"/>
    <hyperlink r:id="rId262" ref="R264"/>
    <hyperlink r:id="rId263" ref="R265"/>
    <hyperlink r:id="rId264" ref="R266"/>
    <hyperlink r:id="rId265" ref="R267"/>
    <hyperlink r:id="rId266" ref="R268"/>
    <hyperlink r:id="rId267" ref="R269"/>
    <hyperlink r:id="rId268" ref="R270"/>
    <hyperlink r:id="rId269" ref="R271"/>
    <hyperlink r:id="rId270" ref="R272"/>
    <hyperlink r:id="rId271" ref="R273"/>
    <hyperlink r:id="rId272" ref="R274"/>
    <hyperlink r:id="rId273" ref="R275"/>
    <hyperlink r:id="rId274" ref="R276"/>
    <hyperlink r:id="rId275" ref="R277"/>
    <hyperlink r:id="rId276" ref="R278"/>
    <hyperlink r:id="rId277" ref="R279"/>
    <hyperlink r:id="rId278" ref="R280"/>
    <hyperlink r:id="rId279" ref="R281"/>
    <hyperlink r:id="rId280" ref="R282"/>
    <hyperlink r:id="rId281" ref="R283"/>
    <hyperlink r:id="rId282" ref="R284"/>
    <hyperlink r:id="rId283" ref="R285"/>
    <hyperlink r:id="rId284" ref="R286"/>
    <hyperlink r:id="rId285" ref="R287"/>
    <hyperlink r:id="rId286" ref="R288"/>
    <hyperlink r:id="rId287" ref="R289"/>
    <hyperlink r:id="rId288" ref="R290"/>
    <hyperlink r:id="rId289" ref="R291"/>
    <hyperlink r:id="rId290" ref="R292"/>
    <hyperlink r:id="rId291" ref="R293"/>
    <hyperlink r:id="rId292" ref="R294"/>
    <hyperlink r:id="rId293" ref="R295"/>
    <hyperlink r:id="rId294" ref="R296"/>
    <hyperlink r:id="rId295" ref="R297"/>
    <hyperlink r:id="rId296" ref="R298"/>
    <hyperlink r:id="rId297" ref="R299"/>
    <hyperlink r:id="rId298" ref="R300"/>
    <hyperlink r:id="rId299" ref="R301"/>
    <hyperlink r:id="rId300" ref="R302"/>
    <hyperlink r:id="rId301" ref="R303"/>
    <hyperlink r:id="rId302" ref="R304"/>
    <hyperlink r:id="rId303" ref="R305"/>
    <hyperlink r:id="rId304" ref="R306"/>
    <hyperlink r:id="rId305" ref="R307"/>
    <hyperlink r:id="rId306" ref="R308"/>
    <hyperlink r:id="rId307" ref="R309"/>
    <hyperlink r:id="rId308" ref="R310"/>
    <hyperlink r:id="rId309" ref="R311"/>
    <hyperlink r:id="rId310" ref="R312"/>
    <hyperlink r:id="rId311" ref="R313"/>
    <hyperlink r:id="rId312" ref="R314"/>
    <hyperlink r:id="rId313" ref="R315"/>
    <hyperlink r:id="rId314" ref="R316"/>
    <hyperlink r:id="rId315" ref="R317"/>
    <hyperlink r:id="rId316" ref="R318"/>
    <hyperlink r:id="rId317" ref="R319"/>
    <hyperlink r:id="rId318" ref="R320"/>
    <hyperlink r:id="rId319" ref="R321"/>
    <hyperlink r:id="rId320" ref="R322"/>
    <hyperlink r:id="rId321" ref="R323"/>
    <hyperlink r:id="rId322" ref="R324"/>
    <hyperlink r:id="rId323" ref="R325"/>
    <hyperlink r:id="rId324" ref="R326"/>
    <hyperlink r:id="rId325" ref="R327"/>
    <hyperlink r:id="rId326" ref="R328"/>
    <hyperlink r:id="rId327" ref="R329"/>
    <hyperlink r:id="rId328" ref="R330"/>
    <hyperlink r:id="rId329" ref="R331"/>
    <hyperlink r:id="rId330" ref="R332"/>
    <hyperlink r:id="rId331" ref="R333"/>
    <hyperlink r:id="rId332" ref="R334"/>
    <hyperlink r:id="rId333" ref="R335"/>
    <hyperlink r:id="rId334" ref="R336"/>
    <hyperlink r:id="rId335" ref="R337"/>
    <hyperlink r:id="rId336" ref="R338"/>
    <hyperlink r:id="rId337" ref="R339"/>
    <hyperlink r:id="rId338" ref="R340"/>
    <hyperlink r:id="rId339" ref="R341"/>
    <hyperlink r:id="rId340" ref="R342"/>
    <hyperlink r:id="rId341" ref="R343"/>
    <hyperlink r:id="rId342" ref="R344"/>
    <hyperlink r:id="rId343" ref="R345"/>
    <hyperlink r:id="rId344" ref="R346"/>
    <hyperlink r:id="rId345" ref="R347"/>
    <hyperlink r:id="rId346" ref="R348"/>
    <hyperlink r:id="rId347" ref="R349"/>
    <hyperlink r:id="rId348" ref="R350"/>
    <hyperlink r:id="rId349" ref="R351"/>
    <hyperlink r:id="rId350" ref="R352"/>
    <hyperlink r:id="rId351" ref="R353"/>
    <hyperlink r:id="rId352" ref="R354"/>
    <hyperlink r:id="rId353" ref="R355"/>
    <hyperlink r:id="rId354" ref="R356"/>
    <hyperlink r:id="rId355" ref="R357"/>
    <hyperlink r:id="rId356" ref="R358"/>
    <hyperlink r:id="rId357" ref="R359"/>
    <hyperlink r:id="rId358" ref="R360"/>
    <hyperlink r:id="rId359" ref="R361"/>
    <hyperlink r:id="rId360" ref="R362"/>
    <hyperlink r:id="rId361" ref="R363"/>
    <hyperlink r:id="rId362" ref="R364"/>
    <hyperlink r:id="rId363" ref="R365"/>
    <hyperlink r:id="rId364" ref="R366"/>
    <hyperlink r:id="rId365" ref="R367"/>
    <hyperlink r:id="rId366" ref="R368"/>
    <hyperlink r:id="rId367" ref="R369"/>
    <hyperlink r:id="rId368" ref="R370"/>
    <hyperlink r:id="rId369" ref="R371"/>
    <hyperlink r:id="rId370" ref="R372"/>
    <hyperlink r:id="rId371" ref="R373"/>
    <hyperlink r:id="rId372" ref="R374"/>
    <hyperlink r:id="rId373" ref="R375"/>
    <hyperlink r:id="rId374" ref="R376"/>
    <hyperlink r:id="rId375" ref="R377"/>
    <hyperlink r:id="rId376" ref="R378"/>
    <hyperlink r:id="rId377" ref="R379"/>
    <hyperlink r:id="rId378" ref="R380"/>
    <hyperlink r:id="rId379" ref="R381"/>
    <hyperlink r:id="rId380" ref="R382"/>
    <hyperlink r:id="rId381" ref="R383"/>
    <hyperlink r:id="rId382" ref="R384"/>
    <hyperlink r:id="rId383" ref="R385"/>
    <hyperlink r:id="rId384" ref="R386"/>
    <hyperlink r:id="rId385" ref="R387"/>
    <hyperlink r:id="rId386" ref="R388"/>
    <hyperlink r:id="rId387" ref="R389"/>
    <hyperlink r:id="rId388" ref="R390"/>
    <hyperlink r:id="rId389" ref="R391"/>
    <hyperlink r:id="rId390" ref="R392"/>
    <hyperlink r:id="rId391" ref="R393"/>
    <hyperlink r:id="rId392" ref="R394"/>
    <hyperlink r:id="rId393" ref="R395"/>
    <hyperlink r:id="rId394" ref="R396"/>
    <hyperlink r:id="rId395" ref="R397"/>
    <hyperlink r:id="rId396" ref="R398"/>
    <hyperlink r:id="rId397" ref="R399"/>
    <hyperlink r:id="rId398" ref="R400"/>
    <hyperlink r:id="rId399" ref="R401"/>
    <hyperlink r:id="rId400" ref="R402"/>
    <hyperlink r:id="rId401" ref="R403"/>
    <hyperlink r:id="rId402" ref="R404"/>
    <hyperlink r:id="rId403" ref="R405"/>
    <hyperlink r:id="rId404" ref="R406"/>
    <hyperlink r:id="rId405" ref="R407"/>
    <hyperlink r:id="rId406" ref="R408"/>
    <hyperlink r:id="rId407" ref="R409"/>
    <hyperlink r:id="rId408" ref="R410"/>
    <hyperlink r:id="rId409" ref="R411"/>
    <hyperlink r:id="rId410" ref="R412"/>
    <hyperlink r:id="rId411" ref="R413"/>
    <hyperlink r:id="rId412" ref="R414"/>
    <hyperlink r:id="rId413" ref="R415"/>
    <hyperlink r:id="rId414" ref="R416"/>
    <hyperlink r:id="rId415" ref="R417"/>
    <hyperlink r:id="rId416" ref="R418"/>
    <hyperlink r:id="rId417" ref="R419"/>
    <hyperlink r:id="rId418" ref="R420"/>
    <hyperlink r:id="rId419" ref="R421"/>
    <hyperlink r:id="rId420" ref="R422"/>
    <hyperlink r:id="rId421" ref="R423"/>
    <hyperlink r:id="rId422" ref="R424"/>
    <hyperlink r:id="rId423" ref="R425"/>
    <hyperlink r:id="rId424" ref="R426"/>
    <hyperlink r:id="rId425" ref="R427"/>
    <hyperlink r:id="rId426" ref="R428"/>
    <hyperlink r:id="rId427" ref="R429"/>
    <hyperlink r:id="rId428" ref="R430"/>
    <hyperlink r:id="rId429" ref="R431"/>
    <hyperlink r:id="rId430" ref="R432"/>
    <hyperlink r:id="rId431" ref="R433"/>
    <hyperlink r:id="rId432" ref="R434"/>
    <hyperlink r:id="rId433" ref="R435"/>
    <hyperlink r:id="rId434" ref="R436"/>
    <hyperlink r:id="rId435" ref="R437"/>
    <hyperlink r:id="rId436" ref="R438"/>
    <hyperlink r:id="rId437" ref="R439"/>
    <hyperlink r:id="rId438" ref="R440"/>
    <hyperlink r:id="rId439" ref="R441"/>
    <hyperlink r:id="rId440" ref="R442"/>
    <hyperlink r:id="rId441" ref="R443"/>
    <hyperlink r:id="rId442" ref="R444"/>
    <hyperlink r:id="rId443" ref="R445"/>
    <hyperlink r:id="rId444" ref="R446"/>
    <hyperlink r:id="rId445" ref="R447"/>
    <hyperlink r:id="rId446" ref="R448"/>
    <hyperlink r:id="rId447" ref="R449"/>
    <hyperlink r:id="rId448" ref="R450"/>
    <hyperlink r:id="rId449" ref="R451"/>
    <hyperlink r:id="rId450" ref="R452"/>
    <hyperlink r:id="rId451" ref="R453"/>
    <hyperlink r:id="rId452" ref="R454"/>
    <hyperlink r:id="rId453" ref="R455"/>
    <hyperlink r:id="rId454" ref="R456"/>
    <hyperlink r:id="rId455" ref="R457"/>
    <hyperlink r:id="rId456" ref="R458"/>
    <hyperlink r:id="rId457" ref="R459"/>
    <hyperlink r:id="rId458" ref="R460"/>
    <hyperlink r:id="rId459" ref="R461"/>
    <hyperlink r:id="rId460" ref="R462"/>
    <hyperlink r:id="rId461" ref="R463"/>
    <hyperlink r:id="rId462" ref="R464"/>
    <hyperlink r:id="rId463" ref="R465"/>
    <hyperlink r:id="rId464" ref="R466"/>
    <hyperlink r:id="rId465" ref="R467"/>
    <hyperlink r:id="rId466" ref="R468"/>
    <hyperlink r:id="rId467" ref="R469"/>
    <hyperlink r:id="rId468" ref="R470"/>
    <hyperlink r:id="rId469" ref="R471"/>
    <hyperlink r:id="rId470" ref="R472"/>
    <hyperlink r:id="rId471" ref="R473"/>
    <hyperlink r:id="rId472" ref="R474"/>
    <hyperlink r:id="rId473" ref="R475"/>
    <hyperlink r:id="rId474" ref="R476"/>
    <hyperlink r:id="rId475" ref="R477"/>
    <hyperlink r:id="rId476" ref="R478"/>
    <hyperlink r:id="rId477" ref="R479"/>
    <hyperlink r:id="rId478" ref="R480"/>
    <hyperlink r:id="rId479" ref="R481"/>
    <hyperlink r:id="rId480" ref="R482"/>
    <hyperlink r:id="rId481" ref="R483"/>
    <hyperlink r:id="rId482" ref="R484"/>
    <hyperlink r:id="rId483" ref="R485"/>
    <hyperlink r:id="rId484" ref="R486"/>
    <hyperlink r:id="rId485" ref="R487"/>
    <hyperlink r:id="rId486" ref="R488"/>
    <hyperlink r:id="rId487" ref="R489"/>
    <hyperlink r:id="rId488" ref="R490"/>
    <hyperlink r:id="rId489" ref="R491"/>
    <hyperlink r:id="rId490" ref="R492"/>
    <hyperlink r:id="rId491" ref="R493"/>
    <hyperlink r:id="rId492" ref="R494"/>
    <hyperlink r:id="rId493" ref="R495"/>
    <hyperlink r:id="rId494" ref="R496"/>
    <hyperlink r:id="rId495" ref="R497"/>
    <hyperlink r:id="rId496" ref="R498"/>
    <hyperlink r:id="rId497" ref="R499"/>
    <hyperlink r:id="rId498" ref="R500"/>
    <hyperlink r:id="rId499" ref="R501"/>
    <hyperlink r:id="rId500" ref="R502"/>
    <hyperlink r:id="rId501" ref="R503"/>
    <hyperlink r:id="rId502" ref="R504"/>
    <hyperlink r:id="rId503" ref="R505"/>
    <hyperlink r:id="rId504" ref="R506"/>
    <hyperlink r:id="rId505" ref="R507"/>
    <hyperlink r:id="rId506" ref="R508"/>
    <hyperlink r:id="rId507" ref="R509"/>
    <hyperlink r:id="rId508" ref="R510"/>
    <hyperlink r:id="rId509" ref="R511"/>
    <hyperlink r:id="rId510" ref="R512"/>
    <hyperlink r:id="rId511" ref="R513"/>
    <hyperlink r:id="rId512" ref="R514"/>
    <hyperlink r:id="rId513" ref="R515"/>
    <hyperlink r:id="rId514" ref="R516"/>
    <hyperlink r:id="rId515" ref="R517"/>
    <hyperlink r:id="rId516" ref="R518"/>
    <hyperlink r:id="rId517" ref="R519"/>
    <hyperlink r:id="rId518" ref="R520"/>
    <hyperlink r:id="rId519" ref="R521"/>
    <hyperlink r:id="rId520" ref="R522"/>
    <hyperlink r:id="rId521" ref="R523"/>
    <hyperlink r:id="rId522" ref="R524"/>
    <hyperlink r:id="rId523" ref="R525"/>
    <hyperlink r:id="rId524" ref="R526"/>
    <hyperlink r:id="rId525" ref="R527"/>
    <hyperlink r:id="rId526" ref="R528"/>
    <hyperlink r:id="rId527" ref="R529"/>
    <hyperlink r:id="rId528" ref="R530"/>
    <hyperlink r:id="rId529" ref="R531"/>
    <hyperlink r:id="rId530" ref="R532"/>
    <hyperlink r:id="rId531" ref="R533"/>
    <hyperlink r:id="rId532" ref="R534"/>
    <hyperlink r:id="rId533" ref="R535"/>
    <hyperlink r:id="rId534" ref="R536"/>
    <hyperlink r:id="rId535" ref="R537"/>
    <hyperlink r:id="rId536" ref="R538"/>
    <hyperlink r:id="rId537" ref="R539"/>
    <hyperlink r:id="rId538" ref="R540"/>
    <hyperlink r:id="rId539" ref="R541"/>
    <hyperlink r:id="rId540" ref="R542"/>
    <hyperlink r:id="rId541" ref="R543"/>
    <hyperlink r:id="rId542" ref="R544"/>
    <hyperlink r:id="rId543" ref="R545"/>
    <hyperlink r:id="rId544" ref="R546"/>
    <hyperlink r:id="rId545" ref="R547"/>
    <hyperlink r:id="rId546" ref="R548"/>
    <hyperlink r:id="rId547" ref="R549"/>
    <hyperlink r:id="rId548" ref="R550"/>
    <hyperlink r:id="rId549" ref="R551"/>
    <hyperlink r:id="rId550" ref="R552"/>
    <hyperlink r:id="rId551" ref="R553"/>
    <hyperlink r:id="rId552" ref="R554"/>
    <hyperlink r:id="rId553" ref="R555"/>
    <hyperlink r:id="rId554" ref="R556"/>
    <hyperlink r:id="rId555" ref="R557"/>
    <hyperlink r:id="rId556" ref="R558"/>
    <hyperlink r:id="rId557" ref="R559"/>
    <hyperlink r:id="rId558" ref="R560"/>
    <hyperlink r:id="rId559" ref="R561"/>
    <hyperlink r:id="rId560" ref="R562"/>
    <hyperlink r:id="rId561" ref="R563"/>
    <hyperlink r:id="rId562" ref="R564"/>
    <hyperlink r:id="rId563" ref="R565"/>
    <hyperlink r:id="rId564" ref="R566"/>
    <hyperlink r:id="rId565" ref="R567"/>
    <hyperlink r:id="rId566" ref="R568"/>
    <hyperlink r:id="rId567" ref="R569"/>
    <hyperlink r:id="rId568" ref="R570"/>
    <hyperlink r:id="rId569" ref="R571"/>
    <hyperlink r:id="rId570" ref="R572"/>
    <hyperlink r:id="rId571" ref="R573"/>
    <hyperlink r:id="rId572" ref="R574"/>
    <hyperlink r:id="rId573" ref="R575"/>
    <hyperlink r:id="rId574" ref="R576"/>
    <hyperlink r:id="rId575" ref="R577"/>
    <hyperlink r:id="rId576" ref="R578"/>
    <hyperlink r:id="rId577" ref="R579"/>
    <hyperlink r:id="rId578" ref="R580"/>
    <hyperlink r:id="rId579" ref="R581"/>
    <hyperlink r:id="rId580" ref="R582"/>
    <hyperlink r:id="rId581" ref="R583"/>
    <hyperlink r:id="rId582" ref="R584"/>
    <hyperlink r:id="rId583" ref="R585"/>
    <hyperlink r:id="rId584" ref="R586"/>
    <hyperlink r:id="rId585" ref="R587"/>
    <hyperlink r:id="rId586" ref="R588"/>
    <hyperlink r:id="rId587" ref="R589"/>
    <hyperlink r:id="rId588" ref="R590"/>
    <hyperlink r:id="rId589" ref="R591"/>
    <hyperlink r:id="rId590" ref="R592"/>
    <hyperlink r:id="rId591" ref="R593"/>
    <hyperlink r:id="rId592" ref="R594"/>
    <hyperlink r:id="rId593" ref="R595"/>
    <hyperlink r:id="rId594" ref="R596"/>
    <hyperlink r:id="rId595" ref="R597"/>
    <hyperlink r:id="rId596" ref="R598"/>
    <hyperlink r:id="rId597" ref="R599"/>
    <hyperlink r:id="rId598" ref="R600"/>
    <hyperlink r:id="rId599" ref="R601"/>
    <hyperlink r:id="rId600" ref="R602"/>
    <hyperlink r:id="rId601" ref="R603"/>
    <hyperlink r:id="rId602" ref="R604"/>
    <hyperlink r:id="rId603" ref="R605"/>
    <hyperlink r:id="rId604" ref="R606"/>
    <hyperlink r:id="rId605" ref="R607"/>
    <hyperlink r:id="rId606" ref="R608"/>
    <hyperlink r:id="rId607" ref="R609"/>
    <hyperlink r:id="rId608" ref="R610"/>
    <hyperlink r:id="rId609" ref="R611"/>
    <hyperlink r:id="rId610" ref="R612"/>
    <hyperlink r:id="rId611" ref="R613"/>
    <hyperlink r:id="rId612" ref="R614"/>
    <hyperlink r:id="rId613" ref="R615"/>
    <hyperlink r:id="rId614" ref="R616"/>
    <hyperlink r:id="rId615" ref="R617"/>
    <hyperlink r:id="rId616" ref="R618"/>
    <hyperlink r:id="rId617" ref="R619"/>
    <hyperlink r:id="rId618" ref="R620"/>
    <hyperlink r:id="rId619" ref="R621"/>
    <hyperlink r:id="rId620" ref="R622"/>
    <hyperlink r:id="rId621" ref="R623"/>
    <hyperlink r:id="rId622" ref="R624"/>
    <hyperlink r:id="rId623" ref="R625"/>
    <hyperlink r:id="rId624" ref="R626"/>
    <hyperlink r:id="rId625" ref="R627"/>
    <hyperlink r:id="rId626" ref="R628"/>
    <hyperlink r:id="rId627" ref="R629"/>
    <hyperlink r:id="rId628" ref="R630"/>
    <hyperlink r:id="rId629" ref="R631"/>
    <hyperlink r:id="rId630" ref="R632"/>
    <hyperlink r:id="rId631" ref="R633"/>
    <hyperlink r:id="rId632" ref="R634"/>
    <hyperlink r:id="rId633" ref="R635"/>
    <hyperlink r:id="rId634" ref="R636"/>
    <hyperlink r:id="rId635" ref="R637"/>
    <hyperlink r:id="rId636" ref="R638"/>
    <hyperlink r:id="rId637" ref="R639"/>
    <hyperlink r:id="rId638" ref="R640"/>
    <hyperlink r:id="rId639" ref="R641"/>
    <hyperlink r:id="rId640" ref="R642"/>
    <hyperlink r:id="rId641" ref="R643"/>
    <hyperlink r:id="rId642" ref="R644"/>
    <hyperlink r:id="rId643" ref="R645"/>
    <hyperlink r:id="rId644" ref="R646"/>
    <hyperlink r:id="rId645" ref="R647"/>
    <hyperlink r:id="rId646" ref="R648"/>
    <hyperlink r:id="rId647" ref="R649"/>
    <hyperlink r:id="rId648" ref="R650"/>
    <hyperlink r:id="rId649" ref="R651"/>
    <hyperlink r:id="rId650" ref="R652"/>
    <hyperlink r:id="rId651" ref="R653"/>
    <hyperlink r:id="rId652" ref="R654"/>
    <hyperlink r:id="rId653" ref="R655"/>
    <hyperlink r:id="rId654" ref="R656"/>
    <hyperlink r:id="rId655" ref="R657"/>
    <hyperlink r:id="rId656" ref="R658"/>
    <hyperlink r:id="rId657" ref="R659"/>
    <hyperlink r:id="rId658" ref="R660"/>
    <hyperlink r:id="rId659" ref="R661"/>
    <hyperlink r:id="rId660" ref="R662"/>
    <hyperlink r:id="rId661" ref="R663"/>
    <hyperlink r:id="rId662" ref="R664"/>
    <hyperlink r:id="rId663" ref="R665"/>
    <hyperlink r:id="rId664" ref="R666"/>
    <hyperlink r:id="rId665" ref="R667"/>
    <hyperlink r:id="rId666" ref="R668"/>
    <hyperlink r:id="rId667" ref="R669"/>
    <hyperlink r:id="rId668" ref="R670"/>
    <hyperlink r:id="rId669" ref="R671"/>
    <hyperlink r:id="rId670" ref="R672"/>
    <hyperlink r:id="rId671" ref="R673"/>
    <hyperlink r:id="rId672" ref="R674"/>
    <hyperlink r:id="rId673" ref="R675"/>
    <hyperlink r:id="rId674" ref="R676"/>
    <hyperlink r:id="rId675" ref="R677"/>
    <hyperlink r:id="rId676" ref="R678"/>
    <hyperlink r:id="rId677" ref="R679"/>
    <hyperlink r:id="rId678" ref="R680"/>
    <hyperlink r:id="rId679" ref="R681"/>
    <hyperlink r:id="rId680" ref="R682"/>
    <hyperlink r:id="rId681" ref="R683"/>
    <hyperlink r:id="rId682" ref="R684"/>
    <hyperlink r:id="rId683" ref="R685"/>
    <hyperlink r:id="rId684" ref="R686"/>
    <hyperlink r:id="rId685" ref="R687"/>
    <hyperlink r:id="rId686" ref="R688"/>
    <hyperlink r:id="rId687" ref="R689"/>
    <hyperlink r:id="rId688" ref="R690"/>
    <hyperlink r:id="rId689" ref="R691"/>
    <hyperlink r:id="rId690" ref="R692"/>
    <hyperlink r:id="rId691" ref="R693"/>
    <hyperlink r:id="rId692" ref="R694"/>
    <hyperlink r:id="rId693" ref="R695"/>
    <hyperlink r:id="rId694" ref="R696"/>
    <hyperlink r:id="rId695" ref="R697"/>
    <hyperlink r:id="rId696" ref="R698"/>
    <hyperlink r:id="rId697" ref="R699"/>
    <hyperlink r:id="rId698" ref="R700"/>
    <hyperlink r:id="rId699" ref="R701"/>
    <hyperlink r:id="rId700" ref="R702"/>
    <hyperlink r:id="rId701" ref="R703"/>
    <hyperlink r:id="rId702" ref="R704"/>
    <hyperlink r:id="rId703" ref="R705"/>
    <hyperlink r:id="rId704" ref="R706"/>
    <hyperlink r:id="rId705" ref="R707"/>
    <hyperlink r:id="rId706" ref="R708"/>
    <hyperlink r:id="rId707" ref="R709"/>
    <hyperlink r:id="rId708" ref="R710"/>
    <hyperlink r:id="rId709" ref="R711"/>
    <hyperlink r:id="rId710" ref="R712"/>
    <hyperlink r:id="rId711" ref="R713"/>
    <hyperlink r:id="rId712" ref="R714"/>
    <hyperlink r:id="rId713" ref="R715"/>
    <hyperlink r:id="rId714" ref="R716"/>
    <hyperlink r:id="rId715" ref="R717"/>
    <hyperlink r:id="rId716" ref="R718"/>
    <hyperlink r:id="rId717" ref="R719"/>
    <hyperlink r:id="rId718" ref="R720"/>
    <hyperlink r:id="rId719" ref="R721"/>
    <hyperlink r:id="rId720" ref="R722"/>
    <hyperlink r:id="rId721" ref="R723"/>
    <hyperlink r:id="rId722" ref="R724"/>
    <hyperlink r:id="rId723" ref="R725"/>
    <hyperlink r:id="rId724" ref="R726"/>
    <hyperlink r:id="rId725" ref="R727"/>
    <hyperlink r:id="rId726" ref="R728"/>
    <hyperlink r:id="rId727" ref="R729"/>
    <hyperlink r:id="rId728" ref="R730"/>
    <hyperlink r:id="rId729" ref="R731"/>
    <hyperlink r:id="rId730" ref="R732"/>
    <hyperlink r:id="rId731" ref="R733"/>
    <hyperlink r:id="rId732" ref="R734"/>
    <hyperlink r:id="rId733" ref="R735"/>
    <hyperlink r:id="rId734" ref="R736"/>
    <hyperlink r:id="rId735" ref="R737"/>
    <hyperlink r:id="rId736" ref="R738"/>
    <hyperlink r:id="rId737" ref="R739"/>
    <hyperlink r:id="rId738" ref="R740"/>
    <hyperlink r:id="rId739" ref="R741"/>
    <hyperlink r:id="rId740" ref="R742"/>
    <hyperlink r:id="rId741" ref="R743"/>
    <hyperlink r:id="rId742" ref="R744"/>
    <hyperlink r:id="rId743" ref="R745"/>
    <hyperlink r:id="rId744" ref="R746"/>
    <hyperlink r:id="rId745" ref="R747"/>
    <hyperlink r:id="rId746" ref="R748"/>
    <hyperlink r:id="rId747" ref="R749"/>
    <hyperlink r:id="rId748" ref="R750"/>
    <hyperlink r:id="rId749" ref="R751"/>
    <hyperlink r:id="rId750" ref="R752"/>
    <hyperlink r:id="rId751" ref="R753"/>
    <hyperlink r:id="rId752" ref="R754"/>
    <hyperlink r:id="rId753" ref="R755"/>
    <hyperlink r:id="rId754" ref="R756"/>
    <hyperlink r:id="rId755" ref="R757"/>
    <hyperlink r:id="rId756" ref="R758"/>
    <hyperlink r:id="rId757" ref="R759"/>
    <hyperlink r:id="rId758" ref="R760"/>
    <hyperlink r:id="rId759" ref="R761"/>
    <hyperlink r:id="rId760" ref="R762"/>
    <hyperlink r:id="rId761" ref="R763"/>
    <hyperlink r:id="rId762" ref="R764"/>
    <hyperlink r:id="rId763" ref="R765"/>
    <hyperlink r:id="rId764" ref="R766"/>
    <hyperlink r:id="rId765" ref="R767"/>
    <hyperlink r:id="rId766" ref="R768"/>
    <hyperlink r:id="rId767" ref="R769"/>
    <hyperlink r:id="rId768" ref="R770"/>
    <hyperlink r:id="rId769" ref="R771"/>
    <hyperlink r:id="rId770" ref="R772"/>
    <hyperlink r:id="rId771" ref="R773"/>
    <hyperlink r:id="rId772" ref="R774"/>
    <hyperlink r:id="rId773" ref="R775"/>
    <hyperlink r:id="rId774" ref="R776"/>
    <hyperlink r:id="rId775" ref="R777"/>
    <hyperlink r:id="rId776" ref="R778"/>
    <hyperlink r:id="rId777" ref="R779"/>
    <hyperlink r:id="rId778" ref="R780"/>
    <hyperlink r:id="rId779" ref="R781"/>
    <hyperlink r:id="rId780" ref="R782"/>
    <hyperlink r:id="rId781" ref="R783"/>
    <hyperlink r:id="rId782" ref="R784"/>
    <hyperlink r:id="rId783" ref="R785"/>
    <hyperlink r:id="rId784" ref="R786"/>
    <hyperlink r:id="rId785" ref="R787"/>
    <hyperlink r:id="rId786" ref="R788"/>
    <hyperlink r:id="rId787" ref="R789"/>
    <hyperlink r:id="rId788" ref="R790"/>
    <hyperlink r:id="rId789" ref="R791"/>
    <hyperlink r:id="rId790" ref="R792"/>
    <hyperlink r:id="rId791" ref="R793"/>
    <hyperlink r:id="rId792" ref="R794"/>
    <hyperlink r:id="rId793" ref="R795"/>
    <hyperlink r:id="rId794" ref="R796"/>
    <hyperlink r:id="rId795" ref="R797"/>
    <hyperlink r:id="rId796" ref="R798"/>
    <hyperlink r:id="rId797" ref="R799"/>
    <hyperlink r:id="rId798" ref="R800"/>
    <hyperlink r:id="rId799" ref="R801"/>
    <hyperlink r:id="rId800" ref="R802"/>
    <hyperlink r:id="rId801" ref="R803"/>
    <hyperlink r:id="rId802" ref="R804"/>
    <hyperlink r:id="rId803" ref="R805"/>
    <hyperlink r:id="rId804" ref="R806"/>
    <hyperlink r:id="rId805" ref="R807"/>
    <hyperlink r:id="rId806" ref="R808"/>
    <hyperlink r:id="rId807" ref="R809"/>
    <hyperlink r:id="rId808" ref="R810"/>
    <hyperlink r:id="rId809" ref="R811"/>
    <hyperlink r:id="rId810" ref="R812"/>
    <hyperlink r:id="rId811" ref="R813"/>
    <hyperlink r:id="rId812" ref="R814"/>
    <hyperlink r:id="rId813" ref="R815"/>
    <hyperlink r:id="rId814" ref="R816"/>
    <hyperlink r:id="rId815" ref="R817"/>
    <hyperlink r:id="rId816" ref="R818"/>
    <hyperlink r:id="rId817" ref="R819"/>
    <hyperlink r:id="rId818" ref="R820"/>
    <hyperlink r:id="rId819" ref="R821"/>
    <hyperlink r:id="rId820" ref="R822"/>
    <hyperlink r:id="rId821" ref="R823"/>
    <hyperlink r:id="rId822" ref="R824"/>
    <hyperlink r:id="rId823" ref="R825"/>
    <hyperlink r:id="rId824" ref="R826"/>
    <hyperlink r:id="rId825" ref="R827"/>
    <hyperlink r:id="rId826" ref="R828"/>
    <hyperlink r:id="rId827" ref="R829"/>
    <hyperlink r:id="rId828" ref="R830"/>
    <hyperlink r:id="rId829" ref="R831"/>
    <hyperlink r:id="rId830" ref="R832"/>
    <hyperlink r:id="rId831" ref="R833"/>
    <hyperlink r:id="rId832" ref="R834"/>
    <hyperlink r:id="rId833" ref="R835"/>
    <hyperlink r:id="rId834" ref="R836"/>
    <hyperlink r:id="rId835" ref="R837"/>
    <hyperlink r:id="rId836" ref="R838"/>
    <hyperlink r:id="rId837" ref="R839"/>
    <hyperlink r:id="rId838" ref="R840"/>
    <hyperlink r:id="rId839" ref="R841"/>
    <hyperlink r:id="rId840" ref="R842"/>
    <hyperlink r:id="rId841" ref="R843"/>
    <hyperlink r:id="rId842" ref="R844"/>
    <hyperlink r:id="rId843" ref="R845"/>
    <hyperlink r:id="rId844" ref="R846"/>
    <hyperlink r:id="rId845" ref="R847"/>
    <hyperlink r:id="rId846" ref="R848"/>
    <hyperlink r:id="rId847" ref="R849"/>
    <hyperlink r:id="rId848" ref="R850"/>
    <hyperlink r:id="rId849" ref="R851"/>
    <hyperlink r:id="rId850" ref="R852"/>
    <hyperlink r:id="rId851" ref="R853"/>
    <hyperlink r:id="rId852" ref="R854"/>
    <hyperlink r:id="rId853" ref="R855"/>
    <hyperlink r:id="rId854" ref="R856"/>
    <hyperlink r:id="rId855" ref="R857"/>
    <hyperlink r:id="rId856" ref="R858"/>
    <hyperlink r:id="rId857" ref="R859"/>
    <hyperlink r:id="rId858" ref="R860"/>
    <hyperlink r:id="rId859" ref="R861"/>
    <hyperlink r:id="rId860" ref="R862"/>
    <hyperlink r:id="rId861" ref="R863"/>
    <hyperlink r:id="rId862" ref="R864"/>
    <hyperlink r:id="rId863" ref="R865"/>
    <hyperlink r:id="rId864" ref="R866"/>
    <hyperlink r:id="rId865" ref="R867"/>
    <hyperlink r:id="rId866" ref="R868"/>
    <hyperlink r:id="rId867" ref="R869"/>
    <hyperlink r:id="rId868" ref="R870"/>
    <hyperlink r:id="rId869" ref="R871"/>
    <hyperlink r:id="rId870" ref="R872"/>
    <hyperlink r:id="rId871" ref="R873"/>
    <hyperlink r:id="rId872" ref="R874"/>
    <hyperlink r:id="rId873" ref="R875"/>
    <hyperlink r:id="rId874" ref="R876"/>
    <hyperlink r:id="rId875" ref="R877"/>
    <hyperlink r:id="rId876" ref="R878"/>
    <hyperlink r:id="rId877" ref="R879"/>
    <hyperlink r:id="rId878" ref="R880"/>
    <hyperlink r:id="rId879" ref="R881"/>
    <hyperlink r:id="rId880" ref="R882"/>
    <hyperlink r:id="rId881" ref="R883"/>
    <hyperlink r:id="rId882" ref="R884"/>
    <hyperlink r:id="rId883" ref="R885"/>
    <hyperlink r:id="rId884" ref="R886"/>
    <hyperlink r:id="rId885" ref="R887"/>
    <hyperlink r:id="rId886" ref="R888"/>
    <hyperlink r:id="rId887" ref="R889"/>
    <hyperlink r:id="rId888" ref="R890"/>
    <hyperlink r:id="rId889" ref="R891"/>
    <hyperlink r:id="rId890" ref="R892"/>
    <hyperlink r:id="rId891" ref="R893"/>
    <hyperlink r:id="rId892" ref="R894"/>
    <hyperlink r:id="rId893" ref="R895"/>
    <hyperlink r:id="rId894" ref="R896"/>
    <hyperlink r:id="rId895" ref="R897"/>
    <hyperlink r:id="rId896" ref="R898"/>
    <hyperlink r:id="rId897" ref="R899"/>
    <hyperlink r:id="rId898" ref="R900"/>
    <hyperlink r:id="rId899" ref="R901"/>
    <hyperlink r:id="rId900" ref="R902"/>
    <hyperlink r:id="rId901" ref="R903"/>
    <hyperlink r:id="rId902" ref="R904"/>
    <hyperlink r:id="rId903" ref="R905"/>
    <hyperlink r:id="rId904" ref="R906"/>
    <hyperlink r:id="rId905" ref="R907"/>
    <hyperlink r:id="rId906" ref="R908"/>
    <hyperlink r:id="rId907" ref="R909"/>
    <hyperlink r:id="rId908" ref="R910"/>
    <hyperlink r:id="rId909" ref="R911"/>
    <hyperlink r:id="rId910" ref="R912"/>
    <hyperlink r:id="rId911" ref="R913"/>
    <hyperlink r:id="rId912" ref="R914"/>
    <hyperlink r:id="rId913" ref="R915"/>
    <hyperlink r:id="rId914" ref="R916"/>
    <hyperlink r:id="rId915" ref="R917"/>
    <hyperlink r:id="rId916" ref="R918"/>
    <hyperlink r:id="rId917" ref="R919"/>
    <hyperlink r:id="rId918" ref="R920"/>
    <hyperlink r:id="rId919" ref="R921"/>
    <hyperlink r:id="rId920" ref="R922"/>
    <hyperlink r:id="rId921" ref="R923"/>
    <hyperlink r:id="rId922" ref="R924"/>
    <hyperlink r:id="rId923" ref="R925"/>
    <hyperlink r:id="rId924" ref="R926"/>
    <hyperlink r:id="rId925" ref="R927"/>
    <hyperlink r:id="rId926" ref="R928"/>
    <hyperlink r:id="rId927" ref="R929"/>
    <hyperlink r:id="rId928" ref="R930"/>
    <hyperlink r:id="rId929" ref="R931"/>
    <hyperlink r:id="rId930" ref="R932"/>
    <hyperlink r:id="rId931" ref="R933"/>
    <hyperlink r:id="rId932" ref="R934"/>
    <hyperlink r:id="rId933" ref="R935"/>
    <hyperlink r:id="rId934" ref="R936"/>
    <hyperlink r:id="rId935" ref="R937"/>
    <hyperlink r:id="rId936" ref="R938"/>
    <hyperlink r:id="rId937" ref="R939"/>
    <hyperlink r:id="rId938" ref="R940"/>
    <hyperlink r:id="rId939" ref="R941"/>
    <hyperlink r:id="rId940" ref="R942"/>
    <hyperlink r:id="rId941" ref="R943"/>
    <hyperlink r:id="rId942" ref="R944"/>
    <hyperlink r:id="rId943" ref="R945"/>
    <hyperlink r:id="rId944" ref="R946"/>
    <hyperlink r:id="rId945" ref="R947"/>
    <hyperlink r:id="rId946" ref="R948"/>
    <hyperlink r:id="rId947" ref="R1381"/>
  </hyperlinks>
  <drawing r:id="rId948"/>
  <tableParts count="1">
    <tablePart r:id="rId950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5"/>
    <col customWidth="1" min="2" max="2" width="8.25"/>
    <col customWidth="1" min="3" max="3" width="10.38"/>
    <col customWidth="1" min="4" max="4" width="13.88"/>
    <col customWidth="1" min="6" max="6" width="8.75"/>
    <col customWidth="1" min="7" max="7" width="10.63"/>
    <col customWidth="1" min="8" max="8" width="14.13"/>
    <col customWidth="1" min="9" max="9" width="14.63"/>
    <col customWidth="1" min="10" max="10" width="4.5"/>
    <col customWidth="1" min="11" max="11" width="17.88"/>
  </cols>
  <sheetData>
    <row r="1">
      <c r="A1" s="68"/>
      <c r="B1" s="69" t="s">
        <v>8578</v>
      </c>
      <c r="P1" s="69" t="s">
        <v>8579</v>
      </c>
    </row>
    <row r="2">
      <c r="A2" s="70"/>
      <c r="B2" s="70"/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70"/>
    </row>
    <row r="3">
      <c r="A3" s="71"/>
      <c r="B3" s="71" t="s">
        <v>8580</v>
      </c>
      <c r="I3" s="70"/>
      <c r="J3" s="70"/>
      <c r="K3" s="70"/>
      <c r="L3" s="70"/>
      <c r="M3" s="70"/>
      <c r="O3" s="70"/>
      <c r="P3" s="72"/>
      <c r="Q3" s="73" t="s">
        <v>8581</v>
      </c>
      <c r="R3" s="73" t="s">
        <v>8582</v>
      </c>
      <c r="S3" s="73" t="s">
        <v>8583</v>
      </c>
    </row>
    <row r="4">
      <c r="A4" s="71"/>
      <c r="B4" s="74" t="s">
        <v>8584</v>
      </c>
      <c r="C4" s="74" t="s">
        <v>8585</v>
      </c>
      <c r="D4" s="74" t="s">
        <v>17</v>
      </c>
      <c r="E4" s="70"/>
      <c r="F4" s="74" t="s">
        <v>8586</v>
      </c>
      <c r="G4" s="74" t="s">
        <v>8585</v>
      </c>
      <c r="H4" s="75" t="s">
        <v>8587</v>
      </c>
      <c r="I4" s="75" t="s">
        <v>8588</v>
      </c>
      <c r="J4" s="70"/>
      <c r="K4" s="70"/>
      <c r="L4" s="70"/>
      <c r="M4" s="70"/>
      <c r="N4" s="70"/>
      <c r="O4" s="70"/>
      <c r="P4" s="76" t="s">
        <v>8589</v>
      </c>
      <c r="Q4" s="8">
        <f>COUNTA('Gen33'!$B$3:$B$517)</f>
        <v>1</v>
      </c>
      <c r="R4" s="8" t="str">
        <f>COUNTIF('Gen33'!$F$3:$F$517,"L")</f>
        <v>#REF!</v>
      </c>
      <c r="S4" s="8" t="str">
        <f>COUNTIF('Gen33'!$F$3:$F$517,"P")</f>
        <v>#REF!</v>
      </c>
    </row>
    <row r="5">
      <c r="A5" s="70"/>
      <c r="B5" s="77" t="s">
        <v>5249</v>
      </c>
      <c r="C5" s="78">
        <v>18.0</v>
      </c>
      <c r="D5" s="79" t="s">
        <v>8590</v>
      </c>
      <c r="E5" s="70"/>
      <c r="F5" s="77" t="s">
        <v>5249</v>
      </c>
      <c r="G5" s="77">
        <v>22.0</v>
      </c>
      <c r="H5" s="75" t="s">
        <v>8591</v>
      </c>
      <c r="I5" s="75" t="s">
        <v>8592</v>
      </c>
      <c r="J5" s="70"/>
      <c r="K5" s="70"/>
      <c r="L5" s="70"/>
      <c r="M5" s="70"/>
      <c r="N5" s="70"/>
      <c r="O5" s="70"/>
      <c r="P5" s="76" t="s">
        <v>8593</v>
      </c>
      <c r="Q5" s="8"/>
      <c r="R5" s="8"/>
      <c r="S5" s="8"/>
    </row>
    <row r="6">
      <c r="A6" s="70"/>
      <c r="B6" s="77" t="s">
        <v>5372</v>
      </c>
      <c r="C6" s="77">
        <v>15.0</v>
      </c>
      <c r="D6" s="79" t="s">
        <v>8594</v>
      </c>
      <c r="E6" s="70"/>
      <c r="F6" s="77" t="s">
        <v>5372</v>
      </c>
      <c r="G6" s="77">
        <v>23.0</v>
      </c>
      <c r="H6" s="75" t="s">
        <v>8595</v>
      </c>
      <c r="I6" s="75" t="s">
        <v>8596</v>
      </c>
      <c r="J6" s="70"/>
      <c r="K6" s="70"/>
      <c r="L6" s="70"/>
      <c r="M6" s="70"/>
      <c r="N6" s="70"/>
      <c r="O6" s="70"/>
      <c r="P6" s="76" t="s">
        <v>8597</v>
      </c>
      <c r="Q6" s="8"/>
      <c r="R6" s="8"/>
      <c r="S6" s="8"/>
    </row>
    <row r="7">
      <c r="A7" s="70"/>
      <c r="B7" s="77" t="s">
        <v>5506</v>
      </c>
      <c r="C7" s="77">
        <v>13.0</v>
      </c>
      <c r="D7" s="79" t="s">
        <v>8598</v>
      </c>
      <c r="E7" s="70"/>
      <c r="F7" s="77" t="s">
        <v>5506</v>
      </c>
      <c r="G7" s="77">
        <v>26.0</v>
      </c>
      <c r="H7" s="75" t="s">
        <v>8599</v>
      </c>
      <c r="I7" s="75" t="s">
        <v>8600</v>
      </c>
      <c r="J7" s="70"/>
      <c r="K7" s="70"/>
      <c r="L7" s="70"/>
      <c r="M7" s="70"/>
      <c r="N7" s="70"/>
      <c r="O7" s="70"/>
      <c r="P7" s="76" t="s">
        <v>8601</v>
      </c>
      <c r="Q7" s="8"/>
      <c r="R7" s="8"/>
      <c r="S7" s="8"/>
    </row>
    <row r="8">
      <c r="A8" s="70"/>
      <c r="B8" s="77" t="s">
        <v>5627</v>
      </c>
      <c r="C8" s="77">
        <v>16.0</v>
      </c>
      <c r="D8" s="79" t="s">
        <v>8602</v>
      </c>
      <c r="E8" s="70"/>
      <c r="F8" s="77" t="s">
        <v>5627</v>
      </c>
      <c r="G8" s="77">
        <v>24.0</v>
      </c>
      <c r="H8" s="75" t="s">
        <v>8603</v>
      </c>
      <c r="I8" s="75" t="s">
        <v>8604</v>
      </c>
      <c r="J8" s="70"/>
      <c r="K8" s="70"/>
      <c r="L8" s="70"/>
      <c r="M8" s="70"/>
      <c r="N8" s="70"/>
      <c r="O8" s="70"/>
      <c r="P8" s="70"/>
    </row>
    <row r="9">
      <c r="A9" s="70"/>
      <c r="B9" s="77" t="s">
        <v>5766</v>
      </c>
      <c r="C9" s="77">
        <v>14.0</v>
      </c>
      <c r="D9" s="79" t="s">
        <v>8605</v>
      </c>
      <c r="E9" s="70"/>
      <c r="F9" s="77" t="s">
        <v>5766</v>
      </c>
      <c r="G9" s="77">
        <v>24.0</v>
      </c>
      <c r="H9" s="75" t="s">
        <v>8606</v>
      </c>
      <c r="I9" s="75" t="s">
        <v>8607</v>
      </c>
      <c r="J9" s="70"/>
      <c r="K9" s="70"/>
      <c r="L9" s="70"/>
      <c r="M9" s="70"/>
      <c r="N9" s="70"/>
      <c r="O9" s="70"/>
      <c r="P9" s="70"/>
    </row>
    <row r="10">
      <c r="A10" s="70"/>
      <c r="B10" s="77" t="s">
        <v>5903</v>
      </c>
      <c r="C10" s="77">
        <v>7.0</v>
      </c>
      <c r="D10" s="79" t="s">
        <v>8608</v>
      </c>
      <c r="E10" s="70"/>
      <c r="F10" s="77" t="s">
        <v>5903</v>
      </c>
      <c r="G10" s="77">
        <v>23.0</v>
      </c>
      <c r="H10" s="75" t="s">
        <v>8609</v>
      </c>
      <c r="I10" s="75" t="s">
        <v>8610</v>
      </c>
      <c r="J10" s="70"/>
      <c r="K10" s="70"/>
      <c r="L10" s="70"/>
      <c r="M10" s="70"/>
      <c r="N10" s="70"/>
      <c r="O10" s="70"/>
      <c r="P10" s="70"/>
    </row>
    <row r="11">
      <c r="A11" s="70"/>
      <c r="B11" s="77" t="s">
        <v>6000</v>
      </c>
      <c r="C11" s="77">
        <v>16.0</v>
      </c>
      <c r="D11" s="79" t="s">
        <v>8611</v>
      </c>
      <c r="E11" s="70"/>
      <c r="F11" s="77" t="s">
        <v>6000</v>
      </c>
      <c r="G11" s="77">
        <v>28.0</v>
      </c>
      <c r="H11" s="75" t="s">
        <v>8612</v>
      </c>
      <c r="I11" s="75" t="s">
        <v>8613</v>
      </c>
      <c r="J11" s="70"/>
      <c r="K11" s="70"/>
      <c r="L11" s="70"/>
      <c r="M11" s="70"/>
      <c r="N11" s="70"/>
      <c r="O11" s="70"/>
      <c r="P11" s="70"/>
    </row>
    <row r="12">
      <c r="A12" s="70"/>
      <c r="B12" s="77" t="s">
        <v>6134</v>
      </c>
      <c r="C12" s="77">
        <v>14.0</v>
      </c>
      <c r="D12" s="79" t="s">
        <v>8614</v>
      </c>
      <c r="E12" s="70"/>
      <c r="F12" s="77" t="s">
        <v>6134</v>
      </c>
      <c r="G12" s="77">
        <v>28.0</v>
      </c>
      <c r="H12" s="75" t="s">
        <v>8615</v>
      </c>
      <c r="I12" s="75" t="s">
        <v>8616</v>
      </c>
      <c r="J12" s="70"/>
      <c r="K12" s="70"/>
      <c r="L12" s="70"/>
      <c r="M12" s="70"/>
      <c r="N12" s="70"/>
      <c r="O12" s="70"/>
      <c r="P12" s="70"/>
    </row>
    <row r="13">
      <c r="A13" s="70"/>
      <c r="B13" s="77" t="s">
        <v>6279</v>
      </c>
      <c r="C13" s="77">
        <v>16.0</v>
      </c>
      <c r="D13" s="80" t="s">
        <v>8617</v>
      </c>
      <c r="E13" s="70"/>
      <c r="F13" s="77" t="s">
        <v>6279</v>
      </c>
      <c r="G13" s="77">
        <v>25.0</v>
      </c>
      <c r="H13" s="75" t="s">
        <v>8618</v>
      </c>
      <c r="I13" s="75" t="s">
        <v>8619</v>
      </c>
      <c r="J13" s="70"/>
      <c r="K13" s="70"/>
      <c r="L13" s="70"/>
      <c r="M13" s="70"/>
      <c r="N13" s="70"/>
      <c r="O13" s="70"/>
      <c r="P13" s="70"/>
    </row>
    <row r="14">
      <c r="A14" s="70"/>
      <c r="B14" s="77" t="s">
        <v>6421</v>
      </c>
      <c r="C14" s="77">
        <v>14.0</v>
      </c>
      <c r="D14" s="79" t="s">
        <v>8620</v>
      </c>
      <c r="E14" s="70"/>
      <c r="F14" s="77" t="s">
        <v>6421</v>
      </c>
      <c r="G14" s="77">
        <v>23.0</v>
      </c>
      <c r="H14" s="75" t="s">
        <v>8621</v>
      </c>
      <c r="I14" s="75" t="s">
        <v>8622</v>
      </c>
      <c r="J14" s="70"/>
      <c r="K14" s="70"/>
      <c r="L14" s="70"/>
      <c r="M14" s="70"/>
      <c r="N14" s="70"/>
      <c r="O14" s="70"/>
      <c r="P14" s="70"/>
    </row>
    <row r="15">
      <c r="A15" s="70"/>
      <c r="B15" s="77" t="s">
        <v>6549</v>
      </c>
      <c r="C15" s="77">
        <v>16.0</v>
      </c>
      <c r="D15" s="79" t="s">
        <v>8623</v>
      </c>
      <c r="E15" s="70"/>
      <c r="F15" s="77" t="s">
        <v>6549</v>
      </c>
      <c r="G15" s="77">
        <v>23.0</v>
      </c>
      <c r="H15" s="81" t="s">
        <v>8624</v>
      </c>
      <c r="I15" s="75" t="s">
        <v>8625</v>
      </c>
      <c r="J15" s="70"/>
      <c r="K15" s="70"/>
      <c r="L15" s="70"/>
      <c r="M15" s="70"/>
      <c r="N15" s="70"/>
      <c r="O15" s="70"/>
      <c r="P15" s="70"/>
    </row>
    <row r="16">
      <c r="A16" s="70"/>
      <c r="B16" s="77" t="s">
        <v>6685</v>
      </c>
      <c r="C16" s="78">
        <v>16.0</v>
      </c>
      <c r="D16" s="79" t="s">
        <v>8626</v>
      </c>
      <c r="E16" s="70"/>
      <c r="F16" s="77" t="s">
        <v>6685</v>
      </c>
      <c r="G16" s="77">
        <v>24.0</v>
      </c>
      <c r="H16" s="75" t="s">
        <v>8627</v>
      </c>
      <c r="I16" s="75" t="s">
        <v>8628</v>
      </c>
      <c r="J16" s="70"/>
      <c r="K16" s="70"/>
      <c r="L16" s="70"/>
      <c r="M16" s="70"/>
      <c r="N16" s="70"/>
      <c r="O16" s="70"/>
      <c r="P16" s="70"/>
    </row>
    <row r="17">
      <c r="A17" s="70"/>
      <c r="B17" s="77" t="s">
        <v>8629</v>
      </c>
      <c r="C17" s="77">
        <v>10.0</v>
      </c>
      <c r="D17" s="79" t="s">
        <v>8630</v>
      </c>
      <c r="E17" s="70"/>
      <c r="F17" s="77" t="s">
        <v>8629</v>
      </c>
      <c r="G17" s="77">
        <v>13.0</v>
      </c>
      <c r="H17" s="74" t="s">
        <v>8631</v>
      </c>
      <c r="I17" s="77" t="s">
        <v>7050</v>
      </c>
      <c r="J17" s="70"/>
      <c r="K17" s="70"/>
      <c r="L17" s="70"/>
      <c r="M17" s="70"/>
      <c r="N17" s="70"/>
      <c r="O17" s="70"/>
      <c r="P17" s="70"/>
    </row>
    <row r="18">
      <c r="A18" s="70"/>
      <c r="B18" s="77" t="s">
        <v>8632</v>
      </c>
      <c r="C18" s="77">
        <v>11.0</v>
      </c>
      <c r="D18" s="74" t="s">
        <v>8633</v>
      </c>
      <c r="E18" s="70"/>
      <c r="F18" s="77" t="s">
        <v>8632</v>
      </c>
      <c r="G18" s="77">
        <v>14.0</v>
      </c>
      <c r="H18" s="75" t="s">
        <v>8634</v>
      </c>
      <c r="I18" s="74" t="s">
        <v>7050</v>
      </c>
      <c r="J18" s="70"/>
      <c r="K18" s="70"/>
      <c r="L18" s="70"/>
      <c r="M18" s="70"/>
      <c r="N18" s="70"/>
      <c r="O18" s="70"/>
      <c r="P18" s="70"/>
    </row>
    <row r="19">
      <c r="A19" s="70"/>
      <c r="B19" s="70" t="s">
        <v>8635</v>
      </c>
      <c r="C19" s="70">
        <f>sum(C5:C18)</f>
        <v>196</v>
      </c>
      <c r="D19" s="70">
        <v>14.0</v>
      </c>
      <c r="E19" s="70"/>
      <c r="F19" s="70" t="s">
        <v>8635</v>
      </c>
      <c r="G19" s="70">
        <f>sum(G6:G18)</f>
        <v>298</v>
      </c>
      <c r="H19" s="82">
        <v>14.0</v>
      </c>
      <c r="I19" s="70">
        <v>12.0</v>
      </c>
      <c r="J19" s="70"/>
      <c r="K19" s="70"/>
      <c r="L19" s="70"/>
      <c r="M19" s="70"/>
      <c r="N19" s="70"/>
      <c r="O19" s="70"/>
      <c r="P19" s="70"/>
    </row>
    <row r="20">
      <c r="A20" s="71"/>
      <c r="B20" s="71"/>
      <c r="C20" s="71"/>
      <c r="D20" s="71"/>
      <c r="E20" s="71"/>
      <c r="F20" s="71"/>
      <c r="G20" s="71"/>
      <c r="H20" s="71"/>
      <c r="I20" s="70"/>
      <c r="J20" s="70"/>
      <c r="K20" s="70"/>
      <c r="L20" s="70"/>
      <c r="M20" s="70"/>
      <c r="N20" s="70"/>
      <c r="P20" s="70"/>
    </row>
    <row r="21">
      <c r="A21" s="71"/>
      <c r="B21" s="71" t="s">
        <v>8636</v>
      </c>
      <c r="I21" s="70"/>
      <c r="J21" s="70"/>
      <c r="K21" s="70"/>
      <c r="L21" s="70"/>
      <c r="M21" s="70"/>
      <c r="N21" s="70"/>
      <c r="P21" s="70"/>
    </row>
    <row r="22">
      <c r="A22" s="70"/>
      <c r="B22" s="77" t="s">
        <v>8584</v>
      </c>
      <c r="C22" s="74" t="s">
        <v>8585</v>
      </c>
      <c r="D22" s="74" t="s">
        <v>17</v>
      </c>
      <c r="E22" s="70"/>
      <c r="F22" s="74" t="s">
        <v>8586</v>
      </c>
      <c r="G22" s="74" t="s">
        <v>8585</v>
      </c>
      <c r="H22" s="74" t="s">
        <v>17</v>
      </c>
      <c r="I22" s="70"/>
      <c r="J22" s="71"/>
      <c r="K22" s="83" t="s">
        <v>8637</v>
      </c>
      <c r="L22" s="84" t="s">
        <v>17</v>
      </c>
      <c r="M22" s="77" t="s">
        <v>8585</v>
      </c>
    </row>
    <row r="23">
      <c r="A23" s="70"/>
      <c r="B23" s="77" t="s">
        <v>5249</v>
      </c>
      <c r="C23" s="85" t="s">
        <v>8638</v>
      </c>
      <c r="D23" s="86" t="s">
        <v>8639</v>
      </c>
      <c r="E23" s="70"/>
      <c r="F23" s="77" t="s">
        <v>5249</v>
      </c>
      <c r="G23" s="85" t="s">
        <v>8640</v>
      </c>
      <c r="H23" s="74" t="s">
        <v>8641</v>
      </c>
      <c r="I23" s="70"/>
      <c r="J23" s="70"/>
      <c r="K23" s="77" t="s">
        <v>8584</v>
      </c>
      <c r="L23" s="74" t="s">
        <v>8642</v>
      </c>
      <c r="M23" s="77">
        <v>11.0</v>
      </c>
    </row>
    <row r="24">
      <c r="A24" s="70"/>
      <c r="B24" s="77" t="s">
        <v>5372</v>
      </c>
      <c r="C24" s="87">
        <v>45761.0</v>
      </c>
      <c r="D24" s="86" t="s">
        <v>8643</v>
      </c>
      <c r="E24" s="70"/>
      <c r="F24" s="77" t="s">
        <v>5372</v>
      </c>
      <c r="G24" s="85" t="s">
        <v>8644</v>
      </c>
      <c r="H24" s="88" t="s">
        <v>8645</v>
      </c>
      <c r="I24" s="70"/>
      <c r="J24" s="70"/>
      <c r="K24" s="77" t="s">
        <v>8646</v>
      </c>
      <c r="L24" s="74" t="s">
        <v>8647</v>
      </c>
      <c r="M24" s="77">
        <v>11.0</v>
      </c>
    </row>
    <row r="25">
      <c r="A25" s="70"/>
      <c r="B25" s="77" t="s">
        <v>5506</v>
      </c>
      <c r="C25" s="85" t="s">
        <v>8648</v>
      </c>
      <c r="D25" s="74" t="s">
        <v>8649</v>
      </c>
      <c r="E25" s="70"/>
      <c r="F25" s="77" t="s">
        <v>5506</v>
      </c>
      <c r="G25" s="85" t="s">
        <v>8650</v>
      </c>
      <c r="H25" s="74" t="s">
        <v>8651</v>
      </c>
      <c r="I25" s="70"/>
      <c r="J25" s="70"/>
      <c r="K25" s="77" t="s">
        <v>8652</v>
      </c>
      <c r="L25" s="74" t="s">
        <v>8653</v>
      </c>
      <c r="M25" s="77">
        <v>11.0</v>
      </c>
    </row>
    <row r="26">
      <c r="A26" s="70"/>
      <c r="B26" s="77" t="s">
        <v>5627</v>
      </c>
      <c r="C26" s="89">
        <v>45816.0</v>
      </c>
      <c r="D26" s="74" t="s">
        <v>8639</v>
      </c>
      <c r="E26" s="70"/>
      <c r="F26" s="77" t="s">
        <v>5627</v>
      </c>
      <c r="G26" s="87">
        <v>45917.0</v>
      </c>
      <c r="H26" s="75" t="s">
        <v>8654</v>
      </c>
      <c r="I26" s="70"/>
      <c r="J26" s="70"/>
      <c r="K26" s="70"/>
      <c r="L26" s="70"/>
      <c r="M26" s="70"/>
      <c r="N26" s="70"/>
      <c r="P26" s="70"/>
    </row>
    <row r="27">
      <c r="A27" s="70"/>
      <c r="B27" s="77" t="s">
        <v>5766</v>
      </c>
      <c r="C27" s="87">
        <v>45883.0</v>
      </c>
      <c r="D27" s="74" t="s">
        <v>8655</v>
      </c>
      <c r="E27" s="70"/>
      <c r="F27" s="77" t="s">
        <v>5766</v>
      </c>
      <c r="G27" s="89">
        <v>45846.0</v>
      </c>
      <c r="H27" s="88" t="s">
        <v>8656</v>
      </c>
      <c r="I27" s="70"/>
      <c r="J27" s="71"/>
      <c r="K27" s="83" t="s">
        <v>8657</v>
      </c>
      <c r="L27" s="84" t="s">
        <v>17</v>
      </c>
      <c r="M27" s="77" t="s">
        <v>8585</v>
      </c>
      <c r="N27" s="70"/>
      <c r="P27" s="70"/>
    </row>
    <row r="28">
      <c r="A28" s="70"/>
      <c r="B28" s="77" t="s">
        <v>5903</v>
      </c>
      <c r="C28" s="87">
        <v>45881.0</v>
      </c>
      <c r="D28" s="75" t="s">
        <v>8658</v>
      </c>
      <c r="E28" s="70"/>
      <c r="F28" s="77" t="s">
        <v>5903</v>
      </c>
      <c r="G28" s="85" t="s">
        <v>8659</v>
      </c>
      <c r="H28" s="74" t="s">
        <v>8660</v>
      </c>
      <c r="I28" s="70"/>
      <c r="J28" s="70"/>
      <c r="K28" s="77" t="s">
        <v>8661</v>
      </c>
      <c r="L28" s="74" t="s">
        <v>8662</v>
      </c>
      <c r="M28" s="77">
        <v>9.0</v>
      </c>
      <c r="N28" s="70"/>
      <c r="P28" s="70"/>
    </row>
    <row r="29">
      <c r="A29" s="70"/>
      <c r="B29" s="77" t="s">
        <v>6000</v>
      </c>
      <c r="C29" s="87">
        <v>45850.0</v>
      </c>
      <c r="D29" s="86" t="s">
        <v>8663</v>
      </c>
      <c r="E29" s="70"/>
      <c r="F29" s="77" t="s">
        <v>6000</v>
      </c>
      <c r="G29" s="87">
        <v>45856.0</v>
      </c>
      <c r="H29" s="86" t="s">
        <v>8664</v>
      </c>
      <c r="I29" s="70"/>
      <c r="J29" s="70"/>
      <c r="K29" s="77" t="s">
        <v>8646</v>
      </c>
      <c r="L29" s="74" t="s">
        <v>8665</v>
      </c>
      <c r="M29" s="77">
        <v>15.0</v>
      </c>
      <c r="N29" s="70"/>
      <c r="P29" s="70"/>
    </row>
    <row r="30">
      <c r="A30" s="70"/>
      <c r="B30" s="77" t="s">
        <v>6134</v>
      </c>
      <c r="C30" s="87">
        <v>45728.0</v>
      </c>
      <c r="D30" s="86" t="s">
        <v>8643</v>
      </c>
      <c r="E30" s="70"/>
      <c r="F30" s="77" t="s">
        <v>6134</v>
      </c>
      <c r="G30" s="85">
        <v>12.0</v>
      </c>
      <c r="H30" s="86" t="s">
        <v>8666</v>
      </c>
      <c r="I30" s="70"/>
      <c r="J30" s="70"/>
      <c r="K30" s="77" t="s">
        <v>8667</v>
      </c>
      <c r="L30" s="74" t="s">
        <v>8668</v>
      </c>
      <c r="M30" s="77">
        <v>8.0</v>
      </c>
      <c r="N30" s="70"/>
      <c r="P30" s="70"/>
    </row>
    <row r="31">
      <c r="A31" s="70"/>
      <c r="B31" s="77" t="s">
        <v>6279</v>
      </c>
      <c r="C31" s="85" t="s">
        <v>8669</v>
      </c>
      <c r="D31" s="74" t="s">
        <v>8670</v>
      </c>
      <c r="E31" s="70"/>
      <c r="F31" s="77" t="s">
        <v>6279</v>
      </c>
      <c r="G31" s="87">
        <v>45766.0</v>
      </c>
      <c r="H31" s="74" t="s">
        <v>8671</v>
      </c>
      <c r="I31" s="70"/>
      <c r="J31" s="70"/>
      <c r="K31" s="77" t="s">
        <v>8652</v>
      </c>
      <c r="L31" s="74" t="s">
        <v>8672</v>
      </c>
      <c r="M31" s="77">
        <v>11.0</v>
      </c>
      <c r="N31" s="70"/>
      <c r="P31" s="70"/>
    </row>
    <row r="32">
      <c r="A32" s="70"/>
      <c r="B32" s="77" t="s">
        <v>6421</v>
      </c>
      <c r="C32" s="87">
        <v>45790.0</v>
      </c>
      <c r="D32" s="86" t="s">
        <v>8673</v>
      </c>
      <c r="E32" s="70"/>
      <c r="F32" s="77" t="s">
        <v>6421</v>
      </c>
      <c r="G32" s="85" t="s">
        <v>8674</v>
      </c>
      <c r="H32" s="74" t="s">
        <v>8671</v>
      </c>
      <c r="I32" s="70"/>
      <c r="J32" s="70"/>
      <c r="K32" s="70"/>
      <c r="L32" s="70"/>
      <c r="M32" s="70"/>
      <c r="N32" s="70"/>
      <c r="O32" s="70"/>
      <c r="P32" s="70"/>
    </row>
    <row r="33">
      <c r="A33" s="70"/>
      <c r="B33" s="77" t="s">
        <v>6549</v>
      </c>
      <c r="C33" s="85" t="s">
        <v>8675</v>
      </c>
      <c r="D33" s="74" t="s">
        <v>8673</v>
      </c>
      <c r="E33" s="70"/>
      <c r="F33" s="77" t="s">
        <v>6549</v>
      </c>
      <c r="G33" s="87">
        <v>45982.0</v>
      </c>
      <c r="H33" s="74" t="s">
        <v>8676</v>
      </c>
      <c r="I33" s="70"/>
      <c r="J33" s="70"/>
      <c r="K33" s="70"/>
      <c r="L33" s="70"/>
      <c r="M33" s="70"/>
      <c r="N33" s="70"/>
      <c r="O33" s="70"/>
      <c r="P33" s="70"/>
    </row>
    <row r="34">
      <c r="A34" s="70"/>
      <c r="B34" s="77" t="s">
        <v>6685</v>
      </c>
      <c r="C34" s="89">
        <v>45849.0</v>
      </c>
      <c r="D34" s="74" t="s">
        <v>8677</v>
      </c>
      <c r="E34" s="70"/>
      <c r="F34" s="77" t="s">
        <v>6685</v>
      </c>
      <c r="G34" s="87">
        <v>45885.0</v>
      </c>
      <c r="H34" s="86" t="s">
        <v>8678</v>
      </c>
      <c r="I34" s="70"/>
      <c r="J34" s="70"/>
      <c r="K34" s="70"/>
      <c r="L34" s="70"/>
      <c r="M34" s="70"/>
      <c r="N34" s="70"/>
      <c r="O34" s="70"/>
      <c r="P34" s="70"/>
    </row>
  </sheetData>
  <mergeCells count="4">
    <mergeCell ref="B1:O1"/>
    <mergeCell ref="B3:H3"/>
    <mergeCell ref="M3:N3"/>
    <mergeCell ref="B21:H21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4.5"/>
    <col customWidth="1" min="3" max="3" width="37.88"/>
  </cols>
  <sheetData>
    <row r="1">
      <c r="A1" s="25" t="e">
        <v>#REF!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4.5"/>
    <col customWidth="1" min="2" max="2" width="15.88"/>
    <col customWidth="1" min="3" max="3" width="37.88"/>
  </cols>
  <sheetData>
    <row r="1">
      <c r="A1" s="25" t="e">
        <v>#REF!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25"/>
    <col customWidth="1" min="2" max="2" width="9.25"/>
    <col customWidth="1" min="5" max="5" width="32.0"/>
    <col customWidth="1" min="6" max="6" width="6.13"/>
    <col customWidth="1" min="7" max="8" width="36.13"/>
  </cols>
  <sheetData>
    <row r="1">
      <c r="A1" s="90"/>
    </row>
    <row r="2">
      <c r="A2" s="91" t="s">
        <v>8679</v>
      </c>
      <c r="B2" s="91" t="s">
        <v>15</v>
      </c>
      <c r="C2" s="91" t="s">
        <v>9</v>
      </c>
      <c r="D2" s="91" t="s">
        <v>5246</v>
      </c>
      <c r="E2" s="91" t="s">
        <v>8680</v>
      </c>
      <c r="F2" s="91" t="s">
        <v>8681</v>
      </c>
      <c r="G2" s="91" t="s">
        <v>8682</v>
      </c>
      <c r="H2" s="91" t="s">
        <v>8683</v>
      </c>
      <c r="I2" s="90"/>
      <c r="J2" s="90"/>
      <c r="K2" s="90"/>
      <c r="L2" s="90"/>
      <c r="M2" s="90"/>
      <c r="N2" s="90"/>
      <c r="O2" s="90"/>
      <c r="P2" s="90"/>
      <c r="Q2" s="90"/>
      <c r="R2" s="90"/>
      <c r="S2" s="90"/>
      <c r="T2" s="90"/>
      <c r="U2" s="90"/>
      <c r="V2" s="90"/>
      <c r="W2" s="90"/>
    </row>
    <row r="3">
      <c r="A3" s="91">
        <v>1.0</v>
      </c>
      <c r="B3" s="92" t="s">
        <v>5372</v>
      </c>
      <c r="C3" s="92" t="s">
        <v>5465</v>
      </c>
      <c r="D3" s="92">
        <v>2.52610338E8</v>
      </c>
      <c r="E3" s="93" t="s">
        <v>5466</v>
      </c>
      <c r="F3" s="92" t="s">
        <v>220</v>
      </c>
      <c r="G3" s="94" t="s">
        <v>8684</v>
      </c>
      <c r="H3" s="94" t="s">
        <v>8685</v>
      </c>
    </row>
    <row r="4">
      <c r="A4" s="91">
        <v>2.0</v>
      </c>
      <c r="B4" s="92" t="s">
        <v>5372</v>
      </c>
      <c r="C4" s="92" t="s">
        <v>5456</v>
      </c>
      <c r="D4" s="92">
        <v>2.5261032E8</v>
      </c>
      <c r="E4" s="93" t="s">
        <v>5457</v>
      </c>
      <c r="F4" s="92" t="s">
        <v>220</v>
      </c>
      <c r="G4" s="94" t="s">
        <v>8686</v>
      </c>
      <c r="H4" s="94" t="s">
        <v>8687</v>
      </c>
    </row>
    <row r="5">
      <c r="A5" s="91">
        <v>3.0</v>
      </c>
      <c r="B5" s="92" t="s">
        <v>5627</v>
      </c>
      <c r="C5" s="92" t="s">
        <v>5688</v>
      </c>
      <c r="D5" s="92">
        <v>2.52610275E8</v>
      </c>
      <c r="E5" s="94" t="s">
        <v>5689</v>
      </c>
      <c r="F5" s="92" t="s">
        <v>220</v>
      </c>
      <c r="G5" s="94" t="s">
        <v>8688</v>
      </c>
      <c r="H5" s="94" t="s">
        <v>8689</v>
      </c>
    </row>
    <row r="6">
      <c r="A6" s="91">
        <v>4.0</v>
      </c>
      <c r="B6" s="92" t="s">
        <v>5627</v>
      </c>
      <c r="C6" s="92" t="s">
        <v>5716</v>
      </c>
      <c r="D6" s="92">
        <v>2.52610378E8</v>
      </c>
      <c r="E6" s="94" t="s">
        <v>5717</v>
      </c>
      <c r="F6" s="92" t="s">
        <v>220</v>
      </c>
      <c r="G6" s="94" t="s">
        <v>8690</v>
      </c>
      <c r="H6" s="94" t="s">
        <v>8691</v>
      </c>
    </row>
    <row r="7">
      <c r="A7" s="91">
        <v>5.0</v>
      </c>
      <c r="B7" s="92" t="s">
        <v>5766</v>
      </c>
      <c r="C7" s="92" t="s">
        <v>5764</v>
      </c>
      <c r="D7" s="92">
        <v>2.52610004E8</v>
      </c>
      <c r="E7" s="94" t="s">
        <v>5765</v>
      </c>
      <c r="F7" s="92" t="s">
        <v>220</v>
      </c>
      <c r="G7" s="94" t="s">
        <v>8692</v>
      </c>
      <c r="H7" s="94" t="s">
        <v>8693</v>
      </c>
    </row>
    <row r="8">
      <c r="A8" s="91">
        <v>6.0</v>
      </c>
      <c r="B8" s="92" t="s">
        <v>5766</v>
      </c>
      <c r="C8" s="92" t="s">
        <v>5835</v>
      </c>
      <c r="D8" s="92">
        <v>2.52610361E8</v>
      </c>
      <c r="E8" s="94" t="s">
        <v>5836</v>
      </c>
      <c r="F8" s="92" t="s">
        <v>220</v>
      </c>
      <c r="G8" s="94" t="s">
        <v>8694</v>
      </c>
      <c r="H8" s="94" t="s">
        <v>8695</v>
      </c>
    </row>
    <row r="9">
      <c r="A9" s="91">
        <v>7.0</v>
      </c>
      <c r="B9" s="92" t="s">
        <v>6000</v>
      </c>
      <c r="C9" s="92" t="s">
        <v>6028</v>
      </c>
      <c r="D9" s="92">
        <v>2.52610144E8</v>
      </c>
      <c r="E9" s="94" t="s">
        <v>6029</v>
      </c>
      <c r="F9" s="92" t="s">
        <v>220</v>
      </c>
      <c r="G9" s="94" t="s">
        <v>8696</v>
      </c>
      <c r="H9" s="94" t="s">
        <v>8697</v>
      </c>
    </row>
    <row r="10">
      <c r="A10" s="91">
        <v>8.0</v>
      </c>
      <c r="B10" s="92" t="s">
        <v>6000</v>
      </c>
      <c r="C10" s="92" t="s">
        <v>6040</v>
      </c>
      <c r="D10" s="92">
        <v>2.52610197E8</v>
      </c>
      <c r="E10" s="94" t="s">
        <v>6041</v>
      </c>
      <c r="F10" s="92" t="s">
        <v>220</v>
      </c>
      <c r="G10" s="94" t="s">
        <v>8698</v>
      </c>
      <c r="H10" s="94" t="s">
        <v>8697</v>
      </c>
    </row>
    <row r="11">
      <c r="A11" s="91">
        <v>9.0</v>
      </c>
      <c r="B11" s="92" t="s">
        <v>6134</v>
      </c>
      <c r="C11" s="92" t="s">
        <v>6208</v>
      </c>
      <c r="D11" s="92">
        <v>2.52610324E8</v>
      </c>
      <c r="E11" s="94" t="s">
        <v>6209</v>
      </c>
      <c r="F11" s="92" t="s">
        <v>220</v>
      </c>
      <c r="G11" s="94" t="s">
        <v>8699</v>
      </c>
      <c r="H11" s="94" t="s">
        <v>8685</v>
      </c>
    </row>
    <row r="12">
      <c r="A12" s="91">
        <v>10.0</v>
      </c>
      <c r="B12" s="92" t="s">
        <v>6134</v>
      </c>
      <c r="C12" s="92" t="s">
        <v>6220</v>
      </c>
      <c r="D12" s="92">
        <v>2.52610353E8</v>
      </c>
      <c r="E12" s="93" t="s">
        <v>6221</v>
      </c>
      <c r="F12" s="92" t="s">
        <v>220</v>
      </c>
      <c r="G12" s="94" t="s">
        <v>8700</v>
      </c>
      <c r="H12" s="94" t="s">
        <v>8685</v>
      </c>
    </row>
    <row r="13">
      <c r="A13" s="91">
        <v>11.0</v>
      </c>
      <c r="B13" s="92" t="s">
        <v>6134</v>
      </c>
      <c r="C13" s="92" t="s">
        <v>6259</v>
      </c>
      <c r="D13" s="92">
        <v>2.5261047E8</v>
      </c>
      <c r="E13" s="93" t="s">
        <v>6260</v>
      </c>
      <c r="F13" s="92" t="s">
        <v>220</v>
      </c>
      <c r="G13" s="94" t="s">
        <v>8701</v>
      </c>
      <c r="H13" s="94" t="s">
        <v>8685</v>
      </c>
    </row>
    <row r="14">
      <c r="A14" s="91">
        <v>12.0</v>
      </c>
      <c r="B14" s="92" t="s">
        <v>6279</v>
      </c>
      <c r="C14" s="92" t="s">
        <v>6277</v>
      </c>
      <c r="D14" s="92">
        <v>2.52610003E8</v>
      </c>
      <c r="E14" s="94" t="s">
        <v>6278</v>
      </c>
      <c r="F14" s="92" t="s">
        <v>220</v>
      </c>
      <c r="G14" s="94" t="s">
        <v>8702</v>
      </c>
      <c r="H14" s="94" t="s">
        <v>8685</v>
      </c>
    </row>
    <row r="15">
      <c r="A15" s="91">
        <v>13.0</v>
      </c>
      <c r="B15" s="92" t="s">
        <v>6421</v>
      </c>
      <c r="C15" s="92" t="s">
        <v>6419</v>
      </c>
      <c r="D15" s="92">
        <v>2.52610001E8</v>
      </c>
      <c r="E15" s="94" t="s">
        <v>6420</v>
      </c>
      <c r="F15" s="92" t="s">
        <v>220</v>
      </c>
      <c r="G15" s="94" t="s">
        <v>8703</v>
      </c>
      <c r="H15" s="94" t="s">
        <v>8695</v>
      </c>
    </row>
    <row r="16">
      <c r="A16" s="91">
        <v>14.0</v>
      </c>
      <c r="B16" s="92" t="s">
        <v>6421</v>
      </c>
      <c r="C16" s="92" t="s">
        <v>6509</v>
      </c>
      <c r="D16" s="92">
        <v>2.52610375E8</v>
      </c>
      <c r="E16" s="94" t="s">
        <v>6510</v>
      </c>
      <c r="F16" s="92" t="s">
        <v>220</v>
      </c>
      <c r="G16" s="94" t="s">
        <v>8704</v>
      </c>
      <c r="H16" s="94" t="s">
        <v>8695</v>
      </c>
    </row>
    <row r="17">
      <c r="A17" s="91">
        <v>15.0</v>
      </c>
      <c r="B17" s="92" t="s">
        <v>6549</v>
      </c>
      <c r="C17" s="92" t="s">
        <v>6632</v>
      </c>
      <c r="D17" s="92">
        <v>2.52610356E8</v>
      </c>
      <c r="E17" s="94" t="s">
        <v>6633</v>
      </c>
      <c r="F17" s="92" t="s">
        <v>220</v>
      </c>
      <c r="G17" s="94" t="s">
        <v>8705</v>
      </c>
      <c r="H17" s="94" t="s">
        <v>8695</v>
      </c>
    </row>
    <row r="18">
      <c r="A18" s="91">
        <v>16.0</v>
      </c>
      <c r="B18" s="92" t="s">
        <v>6685</v>
      </c>
      <c r="C18" s="92" t="s">
        <v>6777</v>
      </c>
      <c r="D18" s="92">
        <v>2.526104E8</v>
      </c>
      <c r="E18" s="94" t="s">
        <v>6778</v>
      </c>
      <c r="F18" s="92" t="s">
        <v>220</v>
      </c>
      <c r="G18" s="94" t="s">
        <v>8706</v>
      </c>
      <c r="H18" s="94" t="s">
        <v>8707</v>
      </c>
    </row>
    <row r="19">
      <c r="A19" s="90"/>
    </row>
    <row r="20">
      <c r="A20" s="90"/>
    </row>
    <row r="21">
      <c r="A21" s="90"/>
    </row>
    <row r="22">
      <c r="A22" s="90"/>
    </row>
    <row r="23">
      <c r="A23" s="90"/>
    </row>
    <row r="24">
      <c r="A24" s="90"/>
    </row>
    <row r="25">
      <c r="A25" s="90"/>
    </row>
    <row r="26">
      <c r="A26" s="90"/>
      <c r="B26" s="25" t="s">
        <v>6685</v>
      </c>
      <c r="C26" s="25">
        <v>3.106961615E9</v>
      </c>
      <c r="D26" s="25">
        <v>2.52610147E8</v>
      </c>
      <c r="E26" s="25" t="s">
        <v>6723</v>
      </c>
      <c r="F26" s="25" t="s">
        <v>220</v>
      </c>
      <c r="G26" s="25" t="s">
        <v>8708</v>
      </c>
      <c r="H26" s="25" t="s">
        <v>8695</v>
      </c>
    </row>
    <row r="27">
      <c r="A27" s="90"/>
    </row>
    <row r="28">
      <c r="A28" s="90"/>
    </row>
    <row r="29">
      <c r="A29" s="90"/>
    </row>
    <row r="30">
      <c r="A30" s="90"/>
    </row>
    <row r="31">
      <c r="A31" s="90"/>
    </row>
    <row r="32">
      <c r="A32" s="90"/>
    </row>
    <row r="33">
      <c r="A33" s="90"/>
    </row>
    <row r="34">
      <c r="A34" s="90"/>
    </row>
    <row r="35">
      <c r="A35" s="90"/>
    </row>
    <row r="36">
      <c r="A36" s="90"/>
    </row>
    <row r="37">
      <c r="A37" s="90"/>
    </row>
    <row r="38">
      <c r="A38" s="90"/>
    </row>
    <row r="39">
      <c r="A39" s="90"/>
    </row>
    <row r="40">
      <c r="A40" s="90"/>
    </row>
    <row r="41">
      <c r="A41" s="90"/>
    </row>
    <row r="42">
      <c r="A42" s="90"/>
    </row>
    <row r="43">
      <c r="A43" s="90"/>
    </row>
    <row r="44">
      <c r="A44" s="90"/>
    </row>
    <row r="45">
      <c r="A45" s="90"/>
    </row>
    <row r="46">
      <c r="A46" s="90"/>
    </row>
    <row r="47">
      <c r="A47" s="90"/>
    </row>
    <row r="48">
      <c r="A48" s="90"/>
    </row>
    <row r="49">
      <c r="A49" s="90"/>
    </row>
    <row r="50">
      <c r="A50" s="90"/>
    </row>
    <row r="51">
      <c r="A51" s="90"/>
    </row>
    <row r="52">
      <c r="A52" s="90"/>
    </row>
    <row r="53">
      <c r="A53" s="90"/>
    </row>
    <row r="54">
      <c r="A54" s="90"/>
    </row>
    <row r="55">
      <c r="A55" s="90"/>
    </row>
    <row r="56">
      <c r="A56" s="90"/>
    </row>
    <row r="57">
      <c r="A57" s="90"/>
    </row>
    <row r="58">
      <c r="A58" s="90"/>
    </row>
    <row r="59">
      <c r="A59" s="90"/>
    </row>
    <row r="60">
      <c r="A60" s="90"/>
    </row>
    <row r="61">
      <c r="A61" s="90"/>
    </row>
    <row r="62">
      <c r="A62" s="90"/>
    </row>
    <row r="63">
      <c r="A63" s="90"/>
    </row>
    <row r="64">
      <c r="A64" s="90"/>
    </row>
    <row r="65">
      <c r="A65" s="90"/>
    </row>
    <row r="66">
      <c r="A66" s="90"/>
    </row>
    <row r="67">
      <c r="A67" s="90"/>
    </row>
    <row r="68">
      <c r="A68" s="90"/>
    </row>
    <row r="69">
      <c r="A69" s="90"/>
    </row>
    <row r="70">
      <c r="A70" s="90"/>
    </row>
    <row r="71">
      <c r="A71" s="90"/>
    </row>
    <row r="72">
      <c r="A72" s="90"/>
    </row>
    <row r="73">
      <c r="A73" s="90"/>
    </row>
    <row r="74">
      <c r="A74" s="90"/>
    </row>
    <row r="75">
      <c r="A75" s="90"/>
    </row>
    <row r="76">
      <c r="A76" s="90"/>
    </row>
    <row r="77">
      <c r="A77" s="90"/>
    </row>
    <row r="78">
      <c r="A78" s="90"/>
    </row>
    <row r="79">
      <c r="A79" s="90"/>
    </row>
    <row r="80">
      <c r="A80" s="90"/>
    </row>
    <row r="81">
      <c r="A81" s="90"/>
    </row>
    <row r="82">
      <c r="A82" s="90"/>
    </row>
    <row r="83">
      <c r="A83" s="90"/>
    </row>
    <row r="84">
      <c r="A84" s="90"/>
    </row>
    <row r="85">
      <c r="A85" s="90"/>
    </row>
    <row r="86">
      <c r="A86" s="90"/>
    </row>
    <row r="87">
      <c r="A87" s="90"/>
    </row>
    <row r="88">
      <c r="A88" s="90"/>
    </row>
    <row r="89">
      <c r="A89" s="90"/>
    </row>
    <row r="90">
      <c r="A90" s="90"/>
    </row>
    <row r="91">
      <c r="A91" s="90"/>
    </row>
    <row r="92">
      <c r="A92" s="90"/>
    </row>
    <row r="93">
      <c r="A93" s="90"/>
    </row>
    <row r="94">
      <c r="A94" s="90"/>
    </row>
    <row r="95">
      <c r="A95" s="90"/>
    </row>
    <row r="96">
      <c r="A96" s="90"/>
    </row>
    <row r="97">
      <c r="A97" s="90"/>
    </row>
    <row r="98">
      <c r="A98" s="90"/>
    </row>
    <row r="99">
      <c r="A99" s="90"/>
    </row>
    <row r="100">
      <c r="A100" s="90"/>
    </row>
    <row r="101">
      <c r="A101" s="90"/>
    </row>
    <row r="102">
      <c r="A102" s="90"/>
    </row>
    <row r="103">
      <c r="A103" s="90"/>
    </row>
    <row r="104">
      <c r="A104" s="90"/>
    </row>
    <row r="105">
      <c r="A105" s="90"/>
    </row>
    <row r="106">
      <c r="A106" s="90"/>
    </row>
    <row r="107">
      <c r="A107" s="90"/>
    </row>
    <row r="108">
      <c r="A108" s="90"/>
    </row>
    <row r="109">
      <c r="A109" s="90"/>
    </row>
    <row r="110">
      <c r="A110" s="90"/>
    </row>
    <row r="111">
      <c r="A111" s="90"/>
    </row>
    <row r="112">
      <c r="A112" s="90"/>
    </row>
    <row r="113">
      <c r="A113" s="90"/>
    </row>
    <row r="114">
      <c r="A114" s="90"/>
    </row>
    <row r="115">
      <c r="A115" s="90"/>
    </row>
    <row r="116">
      <c r="A116" s="90"/>
    </row>
    <row r="117">
      <c r="A117" s="90"/>
    </row>
    <row r="118">
      <c r="A118" s="90"/>
    </row>
    <row r="119">
      <c r="A119" s="90"/>
    </row>
    <row r="120">
      <c r="A120" s="90"/>
    </row>
    <row r="121">
      <c r="A121" s="90"/>
    </row>
    <row r="122">
      <c r="A122" s="90"/>
    </row>
    <row r="123">
      <c r="A123" s="90"/>
    </row>
    <row r="124">
      <c r="A124" s="90"/>
    </row>
    <row r="125">
      <c r="A125" s="90"/>
    </row>
    <row r="126">
      <c r="A126" s="90"/>
    </row>
    <row r="127">
      <c r="A127" s="90"/>
    </row>
    <row r="128">
      <c r="A128" s="90"/>
    </row>
    <row r="129">
      <c r="A129" s="90"/>
    </row>
    <row r="130">
      <c r="A130" s="90"/>
    </row>
    <row r="131">
      <c r="A131" s="90"/>
    </row>
    <row r="132">
      <c r="A132" s="90"/>
    </row>
    <row r="133">
      <c r="A133" s="90"/>
    </row>
    <row r="134">
      <c r="A134" s="90"/>
    </row>
    <row r="135">
      <c r="A135" s="90"/>
    </row>
    <row r="136">
      <c r="A136" s="90"/>
    </row>
    <row r="137">
      <c r="A137" s="90"/>
    </row>
    <row r="138">
      <c r="A138" s="90"/>
    </row>
    <row r="139">
      <c r="A139" s="90"/>
    </row>
    <row r="140">
      <c r="A140" s="90"/>
    </row>
    <row r="141">
      <c r="A141" s="90"/>
    </row>
    <row r="142">
      <c r="A142" s="90"/>
    </row>
    <row r="143">
      <c r="A143" s="90"/>
    </row>
    <row r="144">
      <c r="A144" s="90"/>
    </row>
    <row r="145">
      <c r="A145" s="90"/>
    </row>
    <row r="146">
      <c r="A146" s="90"/>
    </row>
    <row r="147">
      <c r="A147" s="90"/>
    </row>
    <row r="148">
      <c r="A148" s="90"/>
    </row>
    <row r="149">
      <c r="A149" s="90"/>
    </row>
    <row r="150">
      <c r="A150" s="90"/>
    </row>
    <row r="151">
      <c r="A151" s="90"/>
    </row>
    <row r="152">
      <c r="A152" s="90"/>
    </row>
    <row r="153">
      <c r="A153" s="90"/>
    </row>
    <row r="154">
      <c r="A154" s="90"/>
    </row>
    <row r="155">
      <c r="A155" s="90"/>
    </row>
    <row r="156">
      <c r="A156" s="90"/>
    </row>
    <row r="157">
      <c r="A157" s="90"/>
    </row>
    <row r="158">
      <c r="A158" s="90"/>
    </row>
    <row r="159">
      <c r="A159" s="90"/>
    </row>
    <row r="160">
      <c r="A160" s="90"/>
    </row>
    <row r="161">
      <c r="A161" s="90"/>
    </row>
    <row r="162">
      <c r="A162" s="90"/>
    </row>
    <row r="163">
      <c r="A163" s="90"/>
    </row>
    <row r="164">
      <c r="A164" s="90"/>
    </row>
    <row r="165">
      <c r="A165" s="90"/>
    </row>
    <row r="166">
      <c r="A166" s="90"/>
    </row>
    <row r="167">
      <c r="A167" s="90"/>
    </row>
    <row r="168">
      <c r="A168" s="90"/>
    </row>
    <row r="169">
      <c r="A169" s="90"/>
    </row>
    <row r="170">
      <c r="A170" s="90"/>
    </row>
    <row r="171">
      <c r="A171" s="90"/>
    </row>
    <row r="172">
      <c r="A172" s="90"/>
    </row>
    <row r="173">
      <c r="A173" s="90"/>
    </row>
    <row r="174">
      <c r="A174" s="90"/>
    </row>
    <row r="175">
      <c r="A175" s="90"/>
    </row>
    <row r="176">
      <c r="A176" s="90"/>
    </row>
    <row r="177">
      <c r="A177" s="90"/>
    </row>
    <row r="178">
      <c r="A178" s="90"/>
    </row>
    <row r="179">
      <c r="A179" s="90"/>
    </row>
    <row r="180">
      <c r="A180" s="90"/>
    </row>
    <row r="181">
      <c r="A181" s="90"/>
    </row>
    <row r="182">
      <c r="A182" s="90"/>
    </row>
    <row r="183">
      <c r="A183" s="90"/>
    </row>
    <row r="184">
      <c r="A184" s="90"/>
    </row>
    <row r="185">
      <c r="A185" s="90"/>
    </row>
    <row r="186">
      <c r="A186" s="90"/>
    </row>
    <row r="187">
      <c r="A187" s="90"/>
    </row>
    <row r="188">
      <c r="A188" s="90"/>
    </row>
    <row r="189">
      <c r="A189" s="90"/>
    </row>
    <row r="190">
      <c r="A190" s="90"/>
    </row>
    <row r="191">
      <c r="A191" s="90"/>
    </row>
    <row r="192">
      <c r="A192" s="90"/>
    </row>
    <row r="193">
      <c r="A193" s="90"/>
    </row>
    <row r="194">
      <c r="A194" s="90"/>
    </row>
    <row r="195">
      <c r="A195" s="90"/>
    </row>
    <row r="196">
      <c r="A196" s="90"/>
    </row>
    <row r="197">
      <c r="A197" s="90"/>
    </row>
    <row r="198">
      <c r="A198" s="90"/>
    </row>
    <row r="199">
      <c r="A199" s="90"/>
    </row>
    <row r="200">
      <c r="A200" s="90"/>
    </row>
    <row r="201">
      <c r="A201" s="90"/>
    </row>
    <row r="202">
      <c r="A202" s="90"/>
    </row>
    <row r="203">
      <c r="A203" s="90"/>
    </row>
    <row r="204">
      <c r="A204" s="90"/>
    </row>
    <row r="205">
      <c r="A205" s="90"/>
    </row>
    <row r="206">
      <c r="A206" s="90"/>
    </row>
    <row r="207">
      <c r="A207" s="90"/>
    </row>
    <row r="208">
      <c r="A208" s="90"/>
    </row>
    <row r="209">
      <c r="A209" s="90"/>
    </row>
    <row r="210">
      <c r="A210" s="90"/>
    </row>
    <row r="211">
      <c r="A211" s="90"/>
    </row>
    <row r="212">
      <c r="A212" s="90"/>
    </row>
    <row r="213">
      <c r="A213" s="90"/>
    </row>
    <row r="214">
      <c r="A214" s="90"/>
    </row>
    <row r="215">
      <c r="A215" s="90"/>
    </row>
    <row r="216">
      <c r="A216" s="90"/>
    </row>
    <row r="217">
      <c r="A217" s="90"/>
    </row>
    <row r="218">
      <c r="A218" s="90"/>
    </row>
    <row r="219">
      <c r="A219" s="90"/>
    </row>
    <row r="220">
      <c r="A220" s="90"/>
    </row>
    <row r="221">
      <c r="A221" s="90"/>
    </row>
    <row r="222">
      <c r="A222" s="90"/>
    </row>
    <row r="223">
      <c r="A223" s="90"/>
    </row>
    <row r="224">
      <c r="A224" s="90"/>
    </row>
    <row r="225">
      <c r="A225" s="90"/>
    </row>
    <row r="226">
      <c r="A226" s="90"/>
    </row>
    <row r="227">
      <c r="A227" s="90"/>
    </row>
    <row r="228">
      <c r="A228" s="90"/>
    </row>
    <row r="229">
      <c r="A229" s="90"/>
    </row>
    <row r="230">
      <c r="A230" s="90"/>
    </row>
    <row r="231">
      <c r="A231" s="90"/>
    </row>
    <row r="232">
      <c r="A232" s="90"/>
    </row>
    <row r="233">
      <c r="A233" s="90"/>
    </row>
    <row r="234">
      <c r="A234" s="90"/>
    </row>
    <row r="235">
      <c r="A235" s="90"/>
    </row>
    <row r="236">
      <c r="A236" s="90"/>
    </row>
    <row r="237">
      <c r="A237" s="90"/>
    </row>
    <row r="238">
      <c r="A238" s="90"/>
    </row>
    <row r="239">
      <c r="A239" s="90"/>
    </row>
    <row r="240">
      <c r="A240" s="90"/>
    </row>
    <row r="241">
      <c r="A241" s="90"/>
    </row>
    <row r="242">
      <c r="A242" s="90"/>
    </row>
    <row r="243">
      <c r="A243" s="90"/>
    </row>
    <row r="244">
      <c r="A244" s="90"/>
    </row>
    <row r="245">
      <c r="A245" s="90"/>
    </row>
    <row r="246">
      <c r="A246" s="90"/>
    </row>
    <row r="247">
      <c r="A247" s="90"/>
    </row>
    <row r="248">
      <c r="A248" s="90"/>
    </row>
    <row r="249">
      <c r="A249" s="90"/>
    </row>
    <row r="250">
      <c r="A250" s="90"/>
    </row>
    <row r="251">
      <c r="A251" s="90"/>
    </row>
    <row r="252">
      <c r="A252" s="90"/>
    </row>
    <row r="253">
      <c r="A253" s="90"/>
    </row>
    <row r="254">
      <c r="A254" s="90"/>
    </row>
    <row r="255">
      <c r="A255" s="90"/>
    </row>
    <row r="256">
      <c r="A256" s="90"/>
    </row>
    <row r="257">
      <c r="A257" s="90"/>
    </row>
    <row r="258">
      <c r="A258" s="90"/>
    </row>
    <row r="259">
      <c r="A259" s="90"/>
    </row>
    <row r="260">
      <c r="A260" s="90"/>
    </row>
    <row r="261">
      <c r="A261" s="90"/>
    </row>
    <row r="262">
      <c r="A262" s="90"/>
    </row>
    <row r="263">
      <c r="A263" s="90"/>
    </row>
    <row r="264">
      <c r="A264" s="90"/>
    </row>
    <row r="265">
      <c r="A265" s="90"/>
    </row>
    <row r="266">
      <c r="A266" s="90"/>
    </row>
    <row r="267">
      <c r="A267" s="90"/>
    </row>
    <row r="268">
      <c r="A268" s="90"/>
    </row>
    <row r="269">
      <c r="A269" s="90"/>
    </row>
    <row r="270">
      <c r="A270" s="90"/>
    </row>
    <row r="271">
      <c r="A271" s="90"/>
    </row>
    <row r="272">
      <c r="A272" s="90"/>
    </row>
    <row r="273">
      <c r="A273" s="90"/>
    </row>
    <row r="274">
      <c r="A274" s="90"/>
    </row>
    <row r="275">
      <c r="A275" s="90"/>
    </row>
    <row r="276">
      <c r="A276" s="90"/>
    </row>
    <row r="277">
      <c r="A277" s="90"/>
    </row>
    <row r="278">
      <c r="A278" s="90"/>
    </row>
    <row r="279">
      <c r="A279" s="90"/>
    </row>
    <row r="280">
      <c r="A280" s="90"/>
    </row>
    <row r="281">
      <c r="A281" s="90"/>
    </row>
    <row r="282">
      <c r="A282" s="90"/>
    </row>
    <row r="283">
      <c r="A283" s="90"/>
    </row>
    <row r="284">
      <c r="A284" s="90"/>
    </row>
    <row r="285">
      <c r="A285" s="90"/>
    </row>
    <row r="286">
      <c r="A286" s="90"/>
    </row>
    <row r="287">
      <c r="A287" s="90"/>
    </row>
    <row r="288">
      <c r="A288" s="90"/>
    </row>
    <row r="289">
      <c r="A289" s="90"/>
    </row>
    <row r="290">
      <c r="A290" s="90"/>
    </row>
    <row r="291">
      <c r="A291" s="90"/>
    </row>
    <row r="292">
      <c r="A292" s="90"/>
    </row>
    <row r="293">
      <c r="A293" s="90"/>
    </row>
    <row r="294">
      <c r="A294" s="90"/>
    </row>
    <row r="295">
      <c r="A295" s="90"/>
    </row>
    <row r="296">
      <c r="A296" s="90"/>
    </row>
    <row r="297">
      <c r="A297" s="90"/>
    </row>
    <row r="298">
      <c r="A298" s="90"/>
    </row>
    <row r="299">
      <c r="A299" s="90"/>
    </row>
    <row r="300">
      <c r="A300" s="90"/>
    </row>
    <row r="301">
      <c r="A301" s="90"/>
    </row>
    <row r="302">
      <c r="A302" s="90"/>
    </row>
    <row r="303">
      <c r="A303" s="90"/>
    </row>
    <row r="304">
      <c r="A304" s="90"/>
    </row>
    <row r="305">
      <c r="A305" s="90"/>
    </row>
    <row r="306">
      <c r="A306" s="90"/>
    </row>
    <row r="307">
      <c r="A307" s="90"/>
    </row>
    <row r="308">
      <c r="A308" s="90"/>
    </row>
    <row r="309">
      <c r="A309" s="90"/>
    </row>
    <row r="310">
      <c r="A310" s="90"/>
    </row>
    <row r="311">
      <c r="A311" s="90"/>
    </row>
    <row r="312">
      <c r="A312" s="90"/>
    </row>
    <row r="313">
      <c r="A313" s="90"/>
    </row>
    <row r="314">
      <c r="A314" s="90"/>
    </row>
    <row r="315">
      <c r="A315" s="90"/>
    </row>
    <row r="316">
      <c r="A316" s="90"/>
    </row>
    <row r="317">
      <c r="A317" s="90"/>
    </row>
    <row r="318">
      <c r="A318" s="90"/>
    </row>
    <row r="319">
      <c r="A319" s="90"/>
    </row>
    <row r="320">
      <c r="A320" s="90"/>
    </row>
    <row r="321">
      <c r="A321" s="90"/>
    </row>
    <row r="322">
      <c r="A322" s="90"/>
    </row>
    <row r="323">
      <c r="A323" s="90"/>
    </row>
    <row r="324">
      <c r="A324" s="90"/>
    </row>
    <row r="325">
      <c r="A325" s="90"/>
    </row>
    <row r="326">
      <c r="A326" s="90"/>
    </row>
    <row r="327">
      <c r="A327" s="90"/>
    </row>
    <row r="328">
      <c r="A328" s="90"/>
    </row>
    <row r="329">
      <c r="A329" s="90"/>
    </row>
    <row r="330">
      <c r="A330" s="90"/>
    </row>
    <row r="331">
      <c r="A331" s="90"/>
    </row>
    <row r="332">
      <c r="A332" s="90"/>
    </row>
    <row r="333">
      <c r="A333" s="90"/>
    </row>
    <row r="334">
      <c r="A334" s="90"/>
    </row>
    <row r="335">
      <c r="A335" s="90"/>
    </row>
    <row r="336">
      <c r="A336" s="90"/>
    </row>
    <row r="337">
      <c r="A337" s="90"/>
    </row>
    <row r="338">
      <c r="A338" s="90"/>
    </row>
    <row r="339">
      <c r="A339" s="90"/>
    </row>
    <row r="340">
      <c r="A340" s="90"/>
    </row>
    <row r="341">
      <c r="A341" s="90"/>
    </row>
    <row r="342">
      <c r="A342" s="90"/>
    </row>
    <row r="343">
      <c r="A343" s="90"/>
    </row>
    <row r="344">
      <c r="A344" s="90"/>
    </row>
    <row r="345">
      <c r="A345" s="90"/>
    </row>
    <row r="346">
      <c r="A346" s="90"/>
    </row>
    <row r="347">
      <c r="A347" s="90"/>
    </row>
    <row r="348">
      <c r="A348" s="90"/>
    </row>
    <row r="349">
      <c r="A349" s="90"/>
    </row>
    <row r="350">
      <c r="A350" s="90"/>
    </row>
    <row r="351">
      <c r="A351" s="90"/>
    </row>
    <row r="352">
      <c r="A352" s="90"/>
    </row>
    <row r="353">
      <c r="A353" s="90"/>
    </row>
    <row r="354">
      <c r="A354" s="90"/>
    </row>
    <row r="355">
      <c r="A355" s="90"/>
    </row>
    <row r="356">
      <c r="A356" s="90"/>
    </row>
    <row r="357">
      <c r="A357" s="90"/>
    </row>
    <row r="358">
      <c r="A358" s="90"/>
    </row>
    <row r="359">
      <c r="A359" s="90"/>
    </row>
    <row r="360">
      <c r="A360" s="90"/>
    </row>
    <row r="361">
      <c r="A361" s="90"/>
    </row>
    <row r="362">
      <c r="A362" s="90"/>
    </row>
    <row r="363">
      <c r="A363" s="90"/>
    </row>
    <row r="364">
      <c r="A364" s="90"/>
    </row>
    <row r="365">
      <c r="A365" s="90"/>
    </row>
    <row r="366">
      <c r="A366" s="90"/>
    </row>
    <row r="367">
      <c r="A367" s="90"/>
    </row>
    <row r="368">
      <c r="A368" s="90"/>
    </row>
    <row r="369">
      <c r="A369" s="90"/>
    </row>
    <row r="370">
      <c r="A370" s="90"/>
    </row>
    <row r="371">
      <c r="A371" s="90"/>
    </row>
    <row r="372">
      <c r="A372" s="90"/>
    </row>
    <row r="373">
      <c r="A373" s="90"/>
    </row>
    <row r="374">
      <c r="A374" s="90"/>
    </row>
    <row r="375">
      <c r="A375" s="90"/>
    </row>
    <row r="376">
      <c r="A376" s="90"/>
    </row>
    <row r="377">
      <c r="A377" s="90"/>
    </row>
    <row r="378">
      <c r="A378" s="90"/>
    </row>
    <row r="379">
      <c r="A379" s="90"/>
    </row>
    <row r="380">
      <c r="A380" s="90"/>
    </row>
    <row r="381">
      <c r="A381" s="90"/>
    </row>
    <row r="382">
      <c r="A382" s="90"/>
    </row>
    <row r="383">
      <c r="A383" s="90"/>
    </row>
    <row r="384">
      <c r="A384" s="90"/>
    </row>
    <row r="385">
      <c r="A385" s="90"/>
    </row>
    <row r="386">
      <c r="A386" s="90"/>
    </row>
    <row r="387">
      <c r="A387" s="90"/>
    </row>
    <row r="388">
      <c r="A388" s="90"/>
    </row>
    <row r="389">
      <c r="A389" s="90"/>
    </row>
    <row r="390">
      <c r="A390" s="90"/>
    </row>
    <row r="391">
      <c r="A391" s="90"/>
    </row>
    <row r="392">
      <c r="A392" s="90"/>
    </row>
    <row r="393">
      <c r="A393" s="90"/>
    </row>
    <row r="394">
      <c r="A394" s="90"/>
    </row>
    <row r="395">
      <c r="A395" s="90"/>
    </row>
    <row r="396">
      <c r="A396" s="90"/>
    </row>
    <row r="397">
      <c r="A397" s="90"/>
    </row>
    <row r="398">
      <c r="A398" s="90"/>
    </row>
    <row r="399">
      <c r="A399" s="90"/>
    </row>
    <row r="400">
      <c r="A400" s="90"/>
    </row>
    <row r="401">
      <c r="A401" s="90"/>
    </row>
    <row r="402">
      <c r="A402" s="90"/>
    </row>
    <row r="403">
      <c r="A403" s="90"/>
    </row>
    <row r="404">
      <c r="A404" s="90"/>
    </row>
    <row r="405">
      <c r="A405" s="90"/>
    </row>
    <row r="406">
      <c r="A406" s="90"/>
    </row>
    <row r="407">
      <c r="A407" s="90"/>
    </row>
    <row r="408">
      <c r="A408" s="90"/>
    </row>
    <row r="409">
      <c r="A409" s="90"/>
    </row>
    <row r="410">
      <c r="A410" s="90"/>
    </row>
    <row r="411">
      <c r="A411" s="90"/>
    </row>
    <row r="412">
      <c r="A412" s="90"/>
    </row>
    <row r="413">
      <c r="A413" s="90"/>
    </row>
    <row r="414">
      <c r="A414" s="90"/>
    </row>
    <row r="415">
      <c r="A415" s="90"/>
    </row>
    <row r="416">
      <c r="A416" s="90"/>
    </row>
    <row r="417">
      <c r="A417" s="90"/>
    </row>
    <row r="418">
      <c r="A418" s="90"/>
    </row>
    <row r="419">
      <c r="A419" s="90"/>
    </row>
    <row r="420">
      <c r="A420" s="90"/>
    </row>
    <row r="421">
      <c r="A421" s="90"/>
    </row>
    <row r="422">
      <c r="A422" s="90"/>
    </row>
    <row r="423">
      <c r="A423" s="90"/>
    </row>
    <row r="424">
      <c r="A424" s="90"/>
    </row>
    <row r="425">
      <c r="A425" s="90"/>
    </row>
    <row r="426">
      <c r="A426" s="90"/>
    </row>
    <row r="427">
      <c r="A427" s="90"/>
    </row>
    <row r="428">
      <c r="A428" s="90"/>
    </row>
    <row r="429">
      <c r="A429" s="90"/>
    </row>
    <row r="430">
      <c r="A430" s="90"/>
    </row>
    <row r="431">
      <c r="A431" s="90"/>
    </row>
    <row r="432">
      <c r="A432" s="90"/>
    </row>
    <row r="433">
      <c r="A433" s="90"/>
    </row>
    <row r="434">
      <c r="A434" s="90"/>
    </row>
    <row r="435">
      <c r="A435" s="90"/>
    </row>
    <row r="436">
      <c r="A436" s="90"/>
    </row>
    <row r="437">
      <c r="A437" s="90"/>
    </row>
    <row r="438">
      <c r="A438" s="90"/>
    </row>
    <row r="439">
      <c r="A439" s="90"/>
    </row>
    <row r="440">
      <c r="A440" s="90"/>
    </row>
    <row r="441">
      <c r="A441" s="90"/>
    </row>
    <row r="442">
      <c r="A442" s="90"/>
    </row>
    <row r="443">
      <c r="A443" s="90"/>
    </row>
    <row r="444">
      <c r="A444" s="90"/>
    </row>
    <row r="445">
      <c r="A445" s="90"/>
    </row>
    <row r="446">
      <c r="A446" s="90"/>
    </row>
    <row r="447">
      <c r="A447" s="90"/>
    </row>
    <row r="448">
      <c r="A448" s="90"/>
    </row>
    <row r="449">
      <c r="A449" s="90"/>
    </row>
    <row r="450">
      <c r="A450" s="90"/>
    </row>
    <row r="451">
      <c r="A451" s="90"/>
    </row>
    <row r="452">
      <c r="A452" s="90"/>
    </row>
    <row r="453">
      <c r="A453" s="90"/>
    </row>
    <row r="454">
      <c r="A454" s="90"/>
    </row>
    <row r="455">
      <c r="A455" s="90"/>
    </row>
    <row r="456">
      <c r="A456" s="90"/>
    </row>
    <row r="457">
      <c r="A457" s="90"/>
    </row>
    <row r="458">
      <c r="A458" s="90"/>
    </row>
    <row r="459">
      <c r="A459" s="90"/>
    </row>
    <row r="460">
      <c r="A460" s="90"/>
    </row>
    <row r="461">
      <c r="A461" s="90"/>
    </row>
    <row r="462">
      <c r="A462" s="90"/>
    </row>
    <row r="463">
      <c r="A463" s="90"/>
    </row>
    <row r="464">
      <c r="A464" s="90"/>
    </row>
    <row r="465">
      <c r="A465" s="90"/>
    </row>
    <row r="466">
      <c r="A466" s="90"/>
    </row>
    <row r="467">
      <c r="A467" s="90"/>
    </row>
    <row r="468">
      <c r="A468" s="90"/>
    </row>
    <row r="469">
      <c r="A469" s="90"/>
    </row>
    <row r="470">
      <c r="A470" s="90"/>
    </row>
    <row r="471">
      <c r="A471" s="90"/>
    </row>
    <row r="472">
      <c r="A472" s="90"/>
    </row>
    <row r="473">
      <c r="A473" s="90"/>
    </row>
    <row r="474">
      <c r="A474" s="90"/>
    </row>
    <row r="475">
      <c r="A475" s="90"/>
    </row>
    <row r="476">
      <c r="A476" s="90"/>
    </row>
    <row r="477">
      <c r="A477" s="90"/>
    </row>
    <row r="478">
      <c r="A478" s="90"/>
    </row>
    <row r="479">
      <c r="A479" s="90"/>
    </row>
    <row r="480">
      <c r="A480" s="90"/>
    </row>
    <row r="481">
      <c r="A481" s="90"/>
    </row>
    <row r="482">
      <c r="A482" s="90"/>
    </row>
    <row r="483">
      <c r="A483" s="90"/>
    </row>
    <row r="484">
      <c r="A484" s="90"/>
    </row>
    <row r="485">
      <c r="A485" s="90"/>
    </row>
    <row r="486">
      <c r="A486" s="90"/>
    </row>
    <row r="487">
      <c r="A487" s="90"/>
    </row>
    <row r="488">
      <c r="A488" s="90"/>
    </row>
    <row r="489">
      <c r="A489" s="90"/>
    </row>
    <row r="490">
      <c r="A490" s="90"/>
    </row>
    <row r="491">
      <c r="A491" s="90"/>
    </row>
    <row r="492">
      <c r="A492" s="90"/>
    </row>
    <row r="493">
      <c r="A493" s="90"/>
    </row>
    <row r="494">
      <c r="A494" s="90"/>
    </row>
    <row r="495">
      <c r="A495" s="90"/>
    </row>
    <row r="496">
      <c r="A496" s="90"/>
    </row>
    <row r="497">
      <c r="A497" s="90"/>
    </row>
    <row r="498">
      <c r="A498" s="90"/>
    </row>
    <row r="499">
      <c r="A499" s="90"/>
    </row>
    <row r="500">
      <c r="A500" s="90"/>
    </row>
    <row r="501">
      <c r="A501" s="90"/>
    </row>
    <row r="502">
      <c r="A502" s="90"/>
    </row>
    <row r="503">
      <c r="A503" s="90"/>
    </row>
    <row r="504">
      <c r="A504" s="90"/>
    </row>
    <row r="505">
      <c r="A505" s="90"/>
    </row>
    <row r="506">
      <c r="A506" s="90"/>
    </row>
    <row r="507">
      <c r="A507" s="90"/>
    </row>
    <row r="508">
      <c r="A508" s="90"/>
    </row>
    <row r="509">
      <c r="A509" s="90"/>
    </row>
    <row r="510">
      <c r="A510" s="90"/>
    </row>
    <row r="511">
      <c r="A511" s="90"/>
    </row>
    <row r="512">
      <c r="A512" s="90"/>
    </row>
    <row r="513">
      <c r="A513" s="90"/>
    </row>
    <row r="514">
      <c r="A514" s="90"/>
    </row>
    <row r="515">
      <c r="A515" s="90"/>
    </row>
    <row r="516">
      <c r="A516" s="90"/>
    </row>
    <row r="517">
      <c r="A517" s="90"/>
    </row>
    <row r="518">
      <c r="A518" s="90"/>
    </row>
    <row r="519">
      <c r="A519" s="90"/>
    </row>
    <row r="520">
      <c r="A520" s="90"/>
    </row>
    <row r="521">
      <c r="A521" s="90"/>
    </row>
    <row r="522">
      <c r="A522" s="90"/>
    </row>
    <row r="523">
      <c r="A523" s="90"/>
    </row>
    <row r="524">
      <c r="A524" s="90"/>
    </row>
    <row r="525">
      <c r="A525" s="90"/>
    </row>
    <row r="526">
      <c r="A526" s="90"/>
    </row>
    <row r="527">
      <c r="A527" s="90"/>
    </row>
    <row r="528">
      <c r="A528" s="90"/>
    </row>
    <row r="529">
      <c r="A529" s="90"/>
    </row>
    <row r="530">
      <c r="A530" s="90"/>
    </row>
    <row r="531">
      <c r="A531" s="90"/>
    </row>
    <row r="532">
      <c r="A532" s="90"/>
    </row>
    <row r="533">
      <c r="A533" s="90"/>
    </row>
    <row r="534">
      <c r="A534" s="90"/>
    </row>
    <row r="535">
      <c r="A535" s="90"/>
    </row>
    <row r="536">
      <c r="A536" s="90"/>
    </row>
    <row r="537">
      <c r="A537" s="90"/>
    </row>
    <row r="538">
      <c r="A538" s="90"/>
    </row>
    <row r="539">
      <c r="A539" s="90"/>
    </row>
    <row r="540">
      <c r="A540" s="90"/>
    </row>
    <row r="541">
      <c r="A541" s="90"/>
    </row>
    <row r="542">
      <c r="A542" s="90"/>
    </row>
    <row r="543">
      <c r="A543" s="90"/>
    </row>
    <row r="544">
      <c r="A544" s="90"/>
    </row>
    <row r="545">
      <c r="A545" s="90"/>
    </row>
    <row r="546">
      <c r="A546" s="90"/>
    </row>
    <row r="547">
      <c r="A547" s="90"/>
    </row>
    <row r="548">
      <c r="A548" s="90"/>
    </row>
    <row r="549">
      <c r="A549" s="90"/>
    </row>
    <row r="550">
      <c r="A550" s="90"/>
    </row>
    <row r="551">
      <c r="A551" s="90"/>
    </row>
    <row r="552">
      <c r="A552" s="90"/>
    </row>
    <row r="553">
      <c r="A553" s="90"/>
    </row>
    <row r="554">
      <c r="A554" s="90"/>
    </row>
    <row r="555">
      <c r="A555" s="90"/>
    </row>
    <row r="556">
      <c r="A556" s="90"/>
    </row>
    <row r="557">
      <c r="A557" s="90"/>
    </row>
    <row r="558">
      <c r="A558" s="90"/>
    </row>
    <row r="559">
      <c r="A559" s="90"/>
    </row>
    <row r="560">
      <c r="A560" s="90"/>
    </row>
    <row r="561">
      <c r="A561" s="90"/>
    </row>
    <row r="562">
      <c r="A562" s="90"/>
    </row>
    <row r="563">
      <c r="A563" s="90"/>
    </row>
    <row r="564">
      <c r="A564" s="90"/>
    </row>
    <row r="565">
      <c r="A565" s="90"/>
    </row>
    <row r="566">
      <c r="A566" s="90"/>
    </row>
    <row r="567">
      <c r="A567" s="90"/>
    </row>
    <row r="568">
      <c r="A568" s="90"/>
    </row>
    <row r="569">
      <c r="A569" s="90"/>
    </row>
    <row r="570">
      <c r="A570" s="90"/>
    </row>
    <row r="571">
      <c r="A571" s="90"/>
    </row>
    <row r="572">
      <c r="A572" s="90"/>
    </row>
    <row r="573">
      <c r="A573" s="90"/>
    </row>
    <row r="574">
      <c r="A574" s="90"/>
    </row>
    <row r="575">
      <c r="A575" s="90"/>
    </row>
    <row r="576">
      <c r="A576" s="90"/>
    </row>
    <row r="577">
      <c r="A577" s="90"/>
    </row>
    <row r="578">
      <c r="A578" s="90"/>
    </row>
    <row r="579">
      <c r="A579" s="90"/>
    </row>
    <row r="580">
      <c r="A580" s="90"/>
    </row>
    <row r="581">
      <c r="A581" s="90"/>
    </row>
    <row r="582">
      <c r="A582" s="90"/>
    </row>
    <row r="583">
      <c r="A583" s="90"/>
    </row>
    <row r="584">
      <c r="A584" s="90"/>
    </row>
    <row r="585">
      <c r="A585" s="90"/>
    </row>
    <row r="586">
      <c r="A586" s="90"/>
    </row>
    <row r="587">
      <c r="A587" s="90"/>
    </row>
    <row r="588">
      <c r="A588" s="90"/>
    </row>
    <row r="589">
      <c r="A589" s="90"/>
    </row>
    <row r="590">
      <c r="A590" s="90"/>
    </row>
    <row r="591">
      <c r="A591" s="90"/>
    </row>
    <row r="592">
      <c r="A592" s="90"/>
    </row>
    <row r="593">
      <c r="A593" s="90"/>
    </row>
    <row r="594">
      <c r="A594" s="90"/>
    </row>
    <row r="595">
      <c r="A595" s="90"/>
    </row>
    <row r="596">
      <c r="A596" s="90"/>
    </row>
    <row r="597">
      <c r="A597" s="90"/>
    </row>
    <row r="598">
      <c r="A598" s="90"/>
    </row>
    <row r="599">
      <c r="A599" s="90"/>
    </row>
    <row r="600">
      <c r="A600" s="90"/>
    </row>
    <row r="601">
      <c r="A601" s="90"/>
    </row>
    <row r="602">
      <c r="A602" s="90"/>
    </row>
    <row r="603">
      <c r="A603" s="90"/>
    </row>
    <row r="604">
      <c r="A604" s="90"/>
    </row>
    <row r="605">
      <c r="A605" s="90"/>
    </row>
    <row r="606">
      <c r="A606" s="90"/>
    </row>
    <row r="607">
      <c r="A607" s="90"/>
    </row>
    <row r="608">
      <c r="A608" s="90"/>
    </row>
    <row r="609">
      <c r="A609" s="90"/>
    </row>
    <row r="610">
      <c r="A610" s="90"/>
    </row>
    <row r="611">
      <c r="A611" s="90"/>
    </row>
    <row r="612">
      <c r="A612" s="90"/>
    </row>
    <row r="613">
      <c r="A613" s="90"/>
    </row>
    <row r="614">
      <c r="A614" s="90"/>
    </row>
    <row r="615">
      <c r="A615" s="90"/>
    </row>
    <row r="616">
      <c r="A616" s="90"/>
    </row>
    <row r="617">
      <c r="A617" s="90"/>
    </row>
    <row r="618">
      <c r="A618" s="90"/>
    </row>
    <row r="619">
      <c r="A619" s="90"/>
    </row>
    <row r="620">
      <c r="A620" s="90"/>
    </row>
    <row r="621">
      <c r="A621" s="90"/>
    </row>
    <row r="622">
      <c r="A622" s="90"/>
    </row>
    <row r="623">
      <c r="A623" s="90"/>
    </row>
    <row r="624">
      <c r="A624" s="90"/>
    </row>
    <row r="625">
      <c r="A625" s="90"/>
    </row>
    <row r="626">
      <c r="A626" s="90"/>
    </row>
    <row r="627">
      <c r="A627" s="90"/>
    </row>
    <row r="628">
      <c r="A628" s="90"/>
    </row>
    <row r="629">
      <c r="A629" s="90"/>
    </row>
    <row r="630">
      <c r="A630" s="90"/>
    </row>
    <row r="631">
      <c r="A631" s="90"/>
    </row>
    <row r="632">
      <c r="A632" s="90"/>
    </row>
    <row r="633">
      <c r="A633" s="90"/>
    </row>
    <row r="634">
      <c r="A634" s="90"/>
    </row>
    <row r="635">
      <c r="A635" s="90"/>
    </row>
    <row r="636">
      <c r="A636" s="90"/>
    </row>
    <row r="637">
      <c r="A637" s="90"/>
    </row>
    <row r="638">
      <c r="A638" s="90"/>
    </row>
    <row r="639">
      <c r="A639" s="90"/>
    </row>
    <row r="640">
      <c r="A640" s="90"/>
    </row>
    <row r="641">
      <c r="A641" s="90"/>
    </row>
    <row r="642">
      <c r="A642" s="90"/>
    </row>
    <row r="643">
      <c r="A643" s="90"/>
    </row>
    <row r="644">
      <c r="A644" s="90"/>
    </row>
    <row r="645">
      <c r="A645" s="90"/>
    </row>
    <row r="646">
      <c r="A646" s="90"/>
    </row>
    <row r="647">
      <c r="A647" s="90"/>
    </row>
    <row r="648">
      <c r="A648" s="90"/>
    </row>
    <row r="649">
      <c r="A649" s="90"/>
    </row>
    <row r="650">
      <c r="A650" s="90"/>
    </row>
    <row r="651">
      <c r="A651" s="90"/>
    </row>
    <row r="652">
      <c r="A652" s="90"/>
    </row>
    <row r="653">
      <c r="A653" s="90"/>
    </row>
    <row r="654">
      <c r="A654" s="90"/>
    </row>
    <row r="655">
      <c r="A655" s="90"/>
    </row>
    <row r="656">
      <c r="A656" s="90"/>
    </row>
    <row r="657">
      <c r="A657" s="90"/>
    </row>
    <row r="658">
      <c r="A658" s="90"/>
    </row>
    <row r="659">
      <c r="A659" s="90"/>
    </row>
    <row r="660">
      <c r="A660" s="90"/>
    </row>
    <row r="661">
      <c r="A661" s="90"/>
    </row>
    <row r="662">
      <c r="A662" s="90"/>
    </row>
    <row r="663">
      <c r="A663" s="90"/>
    </row>
    <row r="664">
      <c r="A664" s="90"/>
    </row>
    <row r="665">
      <c r="A665" s="90"/>
    </row>
    <row r="666">
      <c r="A666" s="90"/>
    </row>
    <row r="667">
      <c r="A667" s="90"/>
    </row>
    <row r="668">
      <c r="A668" s="90"/>
    </row>
    <row r="669">
      <c r="A669" s="90"/>
    </row>
    <row r="670">
      <c r="A670" s="90"/>
    </row>
    <row r="671">
      <c r="A671" s="90"/>
    </row>
    <row r="672">
      <c r="A672" s="90"/>
    </row>
    <row r="673">
      <c r="A673" s="90"/>
    </row>
    <row r="674">
      <c r="A674" s="90"/>
    </row>
    <row r="675">
      <c r="A675" s="90"/>
    </row>
    <row r="676">
      <c r="A676" s="90"/>
    </row>
    <row r="677">
      <c r="A677" s="90"/>
    </row>
    <row r="678">
      <c r="A678" s="90"/>
    </row>
    <row r="679">
      <c r="A679" s="90"/>
    </row>
    <row r="680">
      <c r="A680" s="90"/>
    </row>
    <row r="681">
      <c r="A681" s="90"/>
    </row>
    <row r="682">
      <c r="A682" s="90"/>
    </row>
    <row r="683">
      <c r="A683" s="90"/>
    </row>
    <row r="684">
      <c r="A684" s="90"/>
    </row>
    <row r="685">
      <c r="A685" s="90"/>
    </row>
    <row r="686">
      <c r="A686" s="90"/>
    </row>
    <row r="687">
      <c r="A687" s="90"/>
    </row>
    <row r="688">
      <c r="A688" s="90"/>
    </row>
    <row r="689">
      <c r="A689" s="90"/>
    </row>
    <row r="690">
      <c r="A690" s="90"/>
    </row>
    <row r="691">
      <c r="A691" s="90"/>
    </row>
    <row r="692">
      <c r="A692" s="90"/>
    </row>
    <row r="693">
      <c r="A693" s="90"/>
    </row>
    <row r="694">
      <c r="A694" s="90"/>
    </row>
    <row r="695">
      <c r="A695" s="90"/>
    </row>
    <row r="696">
      <c r="A696" s="90"/>
    </row>
    <row r="697">
      <c r="A697" s="90"/>
    </row>
    <row r="698">
      <c r="A698" s="90"/>
    </row>
    <row r="699">
      <c r="A699" s="90"/>
    </row>
    <row r="700">
      <c r="A700" s="90"/>
    </row>
    <row r="701">
      <c r="A701" s="90"/>
    </row>
    <row r="702">
      <c r="A702" s="90"/>
    </row>
    <row r="703">
      <c r="A703" s="90"/>
    </row>
    <row r="704">
      <c r="A704" s="90"/>
    </row>
    <row r="705">
      <c r="A705" s="90"/>
    </row>
    <row r="706">
      <c r="A706" s="90"/>
    </row>
    <row r="707">
      <c r="A707" s="90"/>
    </row>
    <row r="708">
      <c r="A708" s="90"/>
    </row>
    <row r="709">
      <c r="A709" s="90"/>
    </row>
    <row r="710">
      <c r="A710" s="90"/>
    </row>
    <row r="711">
      <c r="A711" s="90"/>
    </row>
    <row r="712">
      <c r="A712" s="90"/>
    </row>
    <row r="713">
      <c r="A713" s="90"/>
    </row>
    <row r="714">
      <c r="A714" s="90"/>
    </row>
    <row r="715">
      <c r="A715" s="90"/>
    </row>
    <row r="716">
      <c r="A716" s="90"/>
    </row>
    <row r="717">
      <c r="A717" s="90"/>
    </row>
    <row r="718">
      <c r="A718" s="90"/>
    </row>
    <row r="719">
      <c r="A719" s="90"/>
    </row>
    <row r="720">
      <c r="A720" s="90"/>
    </row>
    <row r="721">
      <c r="A721" s="90"/>
    </row>
    <row r="722">
      <c r="A722" s="90"/>
    </row>
    <row r="723">
      <c r="A723" s="90"/>
    </row>
    <row r="724">
      <c r="A724" s="90"/>
    </row>
    <row r="725">
      <c r="A725" s="90"/>
    </row>
    <row r="726">
      <c r="A726" s="90"/>
    </row>
    <row r="727">
      <c r="A727" s="90"/>
    </row>
    <row r="728">
      <c r="A728" s="90"/>
    </row>
    <row r="729">
      <c r="A729" s="90"/>
    </row>
    <row r="730">
      <c r="A730" s="90"/>
    </row>
    <row r="731">
      <c r="A731" s="90"/>
    </row>
    <row r="732">
      <c r="A732" s="90"/>
    </row>
    <row r="733">
      <c r="A733" s="90"/>
    </row>
    <row r="734">
      <c r="A734" s="90"/>
    </row>
    <row r="735">
      <c r="A735" s="90"/>
    </row>
    <row r="736">
      <c r="A736" s="90"/>
    </row>
    <row r="737">
      <c r="A737" s="90"/>
    </row>
    <row r="738">
      <c r="A738" s="90"/>
    </row>
    <row r="739">
      <c r="A739" s="90"/>
    </row>
    <row r="740">
      <c r="A740" s="90"/>
    </row>
    <row r="741">
      <c r="A741" s="90"/>
    </row>
    <row r="742">
      <c r="A742" s="90"/>
    </row>
    <row r="743">
      <c r="A743" s="90"/>
    </row>
    <row r="744">
      <c r="A744" s="90"/>
    </row>
    <row r="745">
      <c r="A745" s="90"/>
    </row>
    <row r="746">
      <c r="A746" s="90"/>
    </row>
    <row r="747">
      <c r="A747" s="90"/>
    </row>
    <row r="748">
      <c r="A748" s="90"/>
    </row>
    <row r="749">
      <c r="A749" s="90"/>
    </row>
    <row r="750">
      <c r="A750" s="90"/>
    </row>
    <row r="751">
      <c r="A751" s="90"/>
    </row>
    <row r="752">
      <c r="A752" s="90"/>
    </row>
    <row r="753">
      <c r="A753" s="90"/>
    </row>
    <row r="754">
      <c r="A754" s="90"/>
    </row>
    <row r="755">
      <c r="A755" s="90"/>
    </row>
    <row r="756">
      <c r="A756" s="90"/>
    </row>
    <row r="757">
      <c r="A757" s="90"/>
    </row>
    <row r="758">
      <c r="A758" s="90"/>
    </row>
    <row r="759">
      <c r="A759" s="90"/>
    </row>
    <row r="760">
      <c r="A760" s="90"/>
    </row>
    <row r="761">
      <c r="A761" s="90"/>
    </row>
    <row r="762">
      <c r="A762" s="90"/>
    </row>
    <row r="763">
      <c r="A763" s="90"/>
    </row>
    <row r="764">
      <c r="A764" s="90"/>
    </row>
    <row r="765">
      <c r="A765" s="90"/>
    </row>
    <row r="766">
      <c r="A766" s="90"/>
    </row>
    <row r="767">
      <c r="A767" s="90"/>
    </row>
    <row r="768">
      <c r="A768" s="90"/>
    </row>
    <row r="769">
      <c r="A769" s="90"/>
    </row>
    <row r="770">
      <c r="A770" s="90"/>
    </row>
    <row r="771">
      <c r="A771" s="90"/>
    </row>
    <row r="772">
      <c r="A772" s="90"/>
    </row>
    <row r="773">
      <c r="A773" s="90"/>
    </row>
    <row r="774">
      <c r="A774" s="90"/>
    </row>
    <row r="775">
      <c r="A775" s="90"/>
    </row>
    <row r="776">
      <c r="A776" s="90"/>
    </row>
    <row r="777">
      <c r="A777" s="90"/>
    </row>
    <row r="778">
      <c r="A778" s="90"/>
    </row>
    <row r="779">
      <c r="A779" s="90"/>
    </row>
    <row r="780">
      <c r="A780" s="90"/>
    </row>
    <row r="781">
      <c r="A781" s="90"/>
    </row>
    <row r="782">
      <c r="A782" s="90"/>
    </row>
    <row r="783">
      <c r="A783" s="90"/>
    </row>
    <row r="784">
      <c r="A784" s="90"/>
    </row>
    <row r="785">
      <c r="A785" s="90"/>
    </row>
    <row r="786">
      <c r="A786" s="90"/>
    </row>
    <row r="787">
      <c r="A787" s="90"/>
    </row>
    <row r="788">
      <c r="A788" s="90"/>
    </row>
    <row r="789">
      <c r="A789" s="90"/>
    </row>
    <row r="790">
      <c r="A790" s="90"/>
    </row>
    <row r="791">
      <c r="A791" s="90"/>
    </row>
    <row r="792">
      <c r="A792" s="90"/>
    </row>
    <row r="793">
      <c r="A793" s="90"/>
    </row>
    <row r="794">
      <c r="A794" s="90"/>
    </row>
    <row r="795">
      <c r="A795" s="90"/>
    </row>
    <row r="796">
      <c r="A796" s="90"/>
    </row>
    <row r="797">
      <c r="A797" s="90"/>
    </row>
    <row r="798">
      <c r="A798" s="90"/>
    </row>
    <row r="799">
      <c r="A799" s="90"/>
    </row>
    <row r="800">
      <c r="A800" s="90"/>
    </row>
    <row r="801">
      <c r="A801" s="90"/>
    </row>
    <row r="802">
      <c r="A802" s="90"/>
    </row>
    <row r="803">
      <c r="A803" s="90"/>
    </row>
    <row r="804">
      <c r="A804" s="90"/>
    </row>
    <row r="805">
      <c r="A805" s="90"/>
    </row>
    <row r="806">
      <c r="A806" s="90"/>
    </row>
    <row r="807">
      <c r="A807" s="90"/>
    </row>
    <row r="808">
      <c r="A808" s="90"/>
    </row>
    <row r="809">
      <c r="A809" s="90"/>
    </row>
    <row r="810">
      <c r="A810" s="90"/>
    </row>
    <row r="811">
      <c r="A811" s="90"/>
    </row>
    <row r="812">
      <c r="A812" s="90"/>
    </row>
    <row r="813">
      <c r="A813" s="90"/>
    </row>
    <row r="814">
      <c r="A814" s="90"/>
    </row>
    <row r="815">
      <c r="A815" s="90"/>
    </row>
    <row r="816">
      <c r="A816" s="90"/>
    </row>
    <row r="817">
      <c r="A817" s="90"/>
    </row>
    <row r="818">
      <c r="A818" s="90"/>
    </row>
    <row r="819">
      <c r="A819" s="90"/>
    </row>
    <row r="820">
      <c r="A820" s="90"/>
    </row>
    <row r="821">
      <c r="A821" s="90"/>
    </row>
    <row r="822">
      <c r="A822" s="90"/>
    </row>
    <row r="823">
      <c r="A823" s="90"/>
    </row>
    <row r="824">
      <c r="A824" s="90"/>
    </row>
    <row r="825">
      <c r="A825" s="90"/>
    </row>
    <row r="826">
      <c r="A826" s="90"/>
    </row>
    <row r="827">
      <c r="A827" s="90"/>
    </row>
    <row r="828">
      <c r="A828" s="90"/>
    </row>
    <row r="829">
      <c r="A829" s="90"/>
    </row>
    <row r="830">
      <c r="A830" s="90"/>
    </row>
    <row r="831">
      <c r="A831" s="90"/>
    </row>
    <row r="832">
      <c r="A832" s="90"/>
    </row>
    <row r="833">
      <c r="A833" s="90"/>
    </row>
    <row r="834">
      <c r="A834" s="90"/>
    </row>
    <row r="835">
      <c r="A835" s="90"/>
    </row>
    <row r="836">
      <c r="A836" s="90"/>
    </row>
    <row r="837">
      <c r="A837" s="90"/>
    </row>
    <row r="838">
      <c r="A838" s="90"/>
    </row>
    <row r="839">
      <c r="A839" s="90"/>
    </row>
    <row r="840">
      <c r="A840" s="90"/>
    </row>
    <row r="841">
      <c r="A841" s="90"/>
    </row>
    <row r="842">
      <c r="A842" s="90"/>
    </row>
    <row r="843">
      <c r="A843" s="90"/>
    </row>
    <row r="844">
      <c r="A844" s="90"/>
    </row>
    <row r="845">
      <c r="A845" s="90"/>
    </row>
    <row r="846">
      <c r="A846" s="90"/>
    </row>
    <row r="847">
      <c r="A847" s="90"/>
    </row>
    <row r="848">
      <c r="A848" s="90"/>
    </row>
    <row r="849">
      <c r="A849" s="90"/>
    </row>
    <row r="850">
      <c r="A850" s="90"/>
    </row>
    <row r="851">
      <c r="A851" s="90"/>
    </row>
    <row r="852">
      <c r="A852" s="90"/>
    </row>
    <row r="853">
      <c r="A853" s="90"/>
    </row>
    <row r="854">
      <c r="A854" s="90"/>
    </row>
    <row r="855">
      <c r="A855" s="90"/>
    </row>
    <row r="856">
      <c r="A856" s="90"/>
    </row>
    <row r="857">
      <c r="A857" s="90"/>
    </row>
    <row r="858">
      <c r="A858" s="90"/>
    </row>
    <row r="859">
      <c r="A859" s="90"/>
    </row>
    <row r="860">
      <c r="A860" s="90"/>
    </row>
    <row r="861">
      <c r="A861" s="90"/>
    </row>
    <row r="862">
      <c r="A862" s="90"/>
    </row>
    <row r="863">
      <c r="A863" s="90"/>
    </row>
    <row r="864">
      <c r="A864" s="90"/>
    </row>
    <row r="865">
      <c r="A865" s="90"/>
    </row>
    <row r="866">
      <c r="A866" s="90"/>
    </row>
    <row r="867">
      <c r="A867" s="90"/>
    </row>
    <row r="868">
      <c r="A868" s="90"/>
    </row>
    <row r="869">
      <c r="A869" s="90"/>
    </row>
    <row r="870">
      <c r="A870" s="90"/>
    </row>
    <row r="871">
      <c r="A871" s="90"/>
    </row>
    <row r="872">
      <c r="A872" s="90"/>
    </row>
    <row r="873">
      <c r="A873" s="90"/>
    </row>
    <row r="874">
      <c r="A874" s="90"/>
    </row>
    <row r="875">
      <c r="A875" s="90"/>
    </row>
    <row r="876">
      <c r="A876" s="90"/>
    </row>
    <row r="877">
      <c r="A877" s="90"/>
    </row>
    <row r="878">
      <c r="A878" s="90"/>
    </row>
    <row r="879">
      <c r="A879" s="90"/>
    </row>
    <row r="880">
      <c r="A880" s="90"/>
    </row>
    <row r="881">
      <c r="A881" s="90"/>
    </row>
    <row r="882">
      <c r="A882" s="90"/>
    </row>
    <row r="883">
      <c r="A883" s="90"/>
    </row>
    <row r="884">
      <c r="A884" s="90"/>
    </row>
    <row r="885">
      <c r="A885" s="90"/>
    </row>
    <row r="886">
      <c r="A886" s="90"/>
    </row>
    <row r="887">
      <c r="A887" s="90"/>
    </row>
    <row r="888">
      <c r="A888" s="90"/>
    </row>
    <row r="889">
      <c r="A889" s="90"/>
    </row>
    <row r="890">
      <c r="A890" s="90"/>
    </row>
    <row r="891">
      <c r="A891" s="90"/>
    </row>
    <row r="892">
      <c r="A892" s="90"/>
    </row>
    <row r="893">
      <c r="A893" s="90"/>
    </row>
    <row r="894">
      <c r="A894" s="90"/>
    </row>
    <row r="895">
      <c r="A895" s="90"/>
    </row>
    <row r="896">
      <c r="A896" s="90"/>
    </row>
    <row r="897">
      <c r="A897" s="90"/>
    </row>
    <row r="898">
      <c r="A898" s="90"/>
    </row>
    <row r="899">
      <c r="A899" s="90"/>
    </row>
    <row r="900">
      <c r="A900" s="90"/>
    </row>
    <row r="901">
      <c r="A901" s="90"/>
    </row>
    <row r="902">
      <c r="A902" s="90"/>
    </row>
    <row r="903">
      <c r="A903" s="90"/>
    </row>
    <row r="904">
      <c r="A904" s="90"/>
    </row>
    <row r="905">
      <c r="A905" s="90"/>
    </row>
    <row r="906">
      <c r="A906" s="90"/>
    </row>
    <row r="907">
      <c r="A907" s="90"/>
    </row>
    <row r="908">
      <c r="A908" s="90"/>
    </row>
    <row r="909">
      <c r="A909" s="90"/>
    </row>
    <row r="910">
      <c r="A910" s="90"/>
    </row>
    <row r="911">
      <c r="A911" s="90"/>
    </row>
    <row r="912">
      <c r="A912" s="90"/>
    </row>
    <row r="913">
      <c r="A913" s="90"/>
    </row>
    <row r="914">
      <c r="A914" s="90"/>
    </row>
    <row r="915">
      <c r="A915" s="90"/>
    </row>
    <row r="916">
      <c r="A916" s="90"/>
    </row>
    <row r="917">
      <c r="A917" s="90"/>
    </row>
    <row r="918">
      <c r="A918" s="90"/>
    </row>
    <row r="919">
      <c r="A919" s="90"/>
    </row>
    <row r="920">
      <c r="A920" s="90"/>
    </row>
    <row r="921">
      <c r="A921" s="90"/>
    </row>
    <row r="922">
      <c r="A922" s="90"/>
    </row>
    <row r="923">
      <c r="A923" s="90"/>
    </row>
    <row r="924">
      <c r="A924" s="90"/>
    </row>
    <row r="925">
      <c r="A925" s="90"/>
    </row>
    <row r="926">
      <c r="A926" s="90"/>
    </row>
    <row r="927">
      <c r="A927" s="90"/>
    </row>
    <row r="928">
      <c r="A928" s="90"/>
    </row>
    <row r="929">
      <c r="A929" s="90"/>
    </row>
    <row r="930">
      <c r="A930" s="90"/>
    </row>
    <row r="931">
      <c r="A931" s="90"/>
    </row>
    <row r="932">
      <c r="A932" s="90"/>
    </row>
    <row r="933">
      <c r="A933" s="90"/>
    </row>
    <row r="934">
      <c r="A934" s="90"/>
    </row>
    <row r="935">
      <c r="A935" s="90"/>
    </row>
    <row r="936">
      <c r="A936" s="90"/>
    </row>
    <row r="937">
      <c r="A937" s="90"/>
    </row>
    <row r="938">
      <c r="A938" s="90"/>
    </row>
    <row r="939">
      <c r="A939" s="90"/>
    </row>
    <row r="940">
      <c r="A940" s="90"/>
    </row>
    <row r="941">
      <c r="A941" s="90"/>
    </row>
    <row r="942">
      <c r="A942" s="90"/>
    </row>
    <row r="943">
      <c r="A943" s="90"/>
    </row>
    <row r="944">
      <c r="A944" s="90"/>
    </row>
    <row r="945">
      <c r="A945" s="90"/>
    </row>
    <row r="946">
      <c r="A946" s="90"/>
    </row>
    <row r="947">
      <c r="A947" s="90"/>
    </row>
    <row r="948">
      <c r="A948" s="90"/>
    </row>
    <row r="949">
      <c r="A949" s="90"/>
    </row>
    <row r="950">
      <c r="A950" s="90"/>
    </row>
    <row r="951">
      <c r="A951" s="90"/>
    </row>
    <row r="952">
      <c r="A952" s="90"/>
    </row>
    <row r="953">
      <c r="A953" s="90"/>
    </row>
    <row r="954">
      <c r="A954" s="90"/>
    </row>
    <row r="955">
      <c r="A955" s="90"/>
    </row>
    <row r="956">
      <c r="A956" s="90"/>
    </row>
    <row r="957">
      <c r="A957" s="90"/>
    </row>
    <row r="958">
      <c r="A958" s="90"/>
    </row>
    <row r="959">
      <c r="A959" s="90"/>
    </row>
    <row r="960">
      <c r="A960" s="90"/>
    </row>
    <row r="961">
      <c r="A961" s="90"/>
    </row>
    <row r="962">
      <c r="A962" s="90"/>
    </row>
    <row r="963">
      <c r="A963" s="90"/>
    </row>
    <row r="964">
      <c r="A964" s="90"/>
    </row>
    <row r="965">
      <c r="A965" s="90"/>
    </row>
    <row r="966">
      <c r="A966" s="90"/>
    </row>
    <row r="967">
      <c r="A967" s="90"/>
    </row>
    <row r="968">
      <c r="A968" s="90"/>
    </row>
    <row r="969">
      <c r="A969" s="90"/>
    </row>
    <row r="970">
      <c r="A970" s="90"/>
    </row>
    <row r="971">
      <c r="A971" s="90"/>
    </row>
    <row r="972">
      <c r="A972" s="90"/>
    </row>
    <row r="973">
      <c r="A973" s="90"/>
    </row>
    <row r="974">
      <c r="A974" s="90"/>
    </row>
    <row r="975">
      <c r="A975" s="90"/>
    </row>
    <row r="976">
      <c r="A976" s="90"/>
    </row>
    <row r="977">
      <c r="A977" s="90"/>
    </row>
    <row r="978">
      <c r="A978" s="90"/>
    </row>
    <row r="979">
      <c r="A979" s="90"/>
    </row>
    <row r="980">
      <c r="A980" s="90"/>
    </row>
    <row r="981">
      <c r="A981" s="90"/>
    </row>
    <row r="982">
      <c r="A982" s="90"/>
    </row>
    <row r="983">
      <c r="A983" s="90"/>
    </row>
    <row r="984">
      <c r="A984" s="90"/>
    </row>
    <row r="985">
      <c r="A985" s="90"/>
    </row>
    <row r="986">
      <c r="A986" s="90"/>
    </row>
    <row r="987">
      <c r="A987" s="90"/>
    </row>
    <row r="988">
      <c r="A988" s="90"/>
    </row>
    <row r="989">
      <c r="A989" s="90"/>
    </row>
    <row r="990">
      <c r="A990" s="90"/>
    </row>
    <row r="991">
      <c r="A991" s="90"/>
    </row>
    <row r="992">
      <c r="A992" s="90"/>
    </row>
    <row r="993">
      <c r="A993" s="90"/>
    </row>
    <row r="994">
      <c r="A994" s="90"/>
    </row>
    <row r="995">
      <c r="A995" s="90"/>
    </row>
    <row r="996">
      <c r="A996" s="90"/>
    </row>
    <row r="997">
      <c r="A997" s="90"/>
    </row>
    <row r="998">
      <c r="A998" s="90"/>
    </row>
    <row r="999">
      <c r="A999" s="90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6.75"/>
    <col customWidth="1" min="5" max="5" width="22.38"/>
    <col customWidth="1" min="6" max="6" width="5.0"/>
    <col customWidth="1" min="7" max="7" width="48.5"/>
    <col customWidth="1" min="8" max="8" width="33.25"/>
  </cols>
  <sheetData>
    <row r="2">
      <c r="A2" s="91" t="s">
        <v>8679</v>
      </c>
      <c r="B2" s="91" t="s">
        <v>15</v>
      </c>
      <c r="C2" s="91" t="s">
        <v>9</v>
      </c>
      <c r="D2" s="91" t="s">
        <v>5246</v>
      </c>
      <c r="E2" s="91" t="s">
        <v>8680</v>
      </c>
      <c r="F2" s="91" t="s">
        <v>8681</v>
      </c>
      <c r="G2" s="91" t="s">
        <v>8682</v>
      </c>
      <c r="H2" s="91" t="s">
        <v>8683</v>
      </c>
      <c r="I2" s="90"/>
      <c r="J2" s="90"/>
      <c r="K2" s="90"/>
      <c r="L2" s="90"/>
      <c r="M2" s="90"/>
      <c r="N2" s="90"/>
      <c r="O2" s="90"/>
      <c r="P2" s="90"/>
      <c r="Q2" s="90"/>
      <c r="R2" s="90"/>
      <c r="S2" s="90"/>
      <c r="T2" s="90"/>
      <c r="U2" s="90"/>
      <c r="V2" s="90"/>
      <c r="W2" s="90"/>
    </row>
    <row r="3">
      <c r="A3" s="91">
        <v>1.0</v>
      </c>
      <c r="B3" s="95" t="s">
        <v>5249</v>
      </c>
      <c r="C3" s="92" t="s">
        <v>5275</v>
      </c>
      <c r="D3" s="92">
        <v>2.52610122E8</v>
      </c>
      <c r="E3" s="94" t="s">
        <v>5276</v>
      </c>
      <c r="F3" s="92" t="s">
        <v>227</v>
      </c>
      <c r="G3" s="94" t="s">
        <v>8709</v>
      </c>
      <c r="H3" s="94" t="s">
        <v>8695</v>
      </c>
    </row>
    <row r="4">
      <c r="A4" s="91">
        <v>2.0</v>
      </c>
      <c r="B4" s="95" t="s">
        <v>5249</v>
      </c>
      <c r="C4" s="92" t="s">
        <v>5353</v>
      </c>
      <c r="D4" s="92">
        <v>2.52610477E8</v>
      </c>
      <c r="E4" s="94" t="s">
        <v>5354</v>
      </c>
      <c r="F4" s="92" t="s">
        <v>227</v>
      </c>
      <c r="G4" s="94" t="s">
        <v>8710</v>
      </c>
      <c r="H4" s="94" t="s">
        <v>8695</v>
      </c>
    </row>
    <row r="5">
      <c r="A5" s="91">
        <v>3.0</v>
      </c>
      <c r="B5" s="95" t="s">
        <v>5372</v>
      </c>
      <c r="C5" s="92" t="s">
        <v>5388</v>
      </c>
      <c r="D5" s="92">
        <v>2.52610052E8</v>
      </c>
      <c r="E5" s="93" t="s">
        <v>5389</v>
      </c>
      <c r="F5" s="92" t="s">
        <v>227</v>
      </c>
      <c r="G5" s="94" t="s">
        <v>8711</v>
      </c>
      <c r="H5" s="94" t="s">
        <v>8712</v>
      </c>
    </row>
    <row r="6">
      <c r="A6" s="91">
        <v>4.0</v>
      </c>
      <c r="B6" s="95" t="s">
        <v>5372</v>
      </c>
      <c r="C6" s="92" t="s">
        <v>5480</v>
      </c>
      <c r="D6" s="92">
        <v>2.52610434E8</v>
      </c>
      <c r="E6" s="94" t="s">
        <v>5481</v>
      </c>
      <c r="F6" s="92" t="s">
        <v>227</v>
      </c>
      <c r="G6" s="94" t="s">
        <v>8713</v>
      </c>
      <c r="H6" s="94" t="s">
        <v>8685</v>
      </c>
    </row>
    <row r="7">
      <c r="A7" s="91">
        <v>5.0</v>
      </c>
      <c r="B7" s="95" t="s">
        <v>5627</v>
      </c>
      <c r="C7" s="92" t="s">
        <v>5746</v>
      </c>
      <c r="D7" s="92">
        <v>2.52610514E8</v>
      </c>
      <c r="E7" s="94" t="s">
        <v>5747</v>
      </c>
      <c r="F7" s="92" t="s">
        <v>227</v>
      </c>
      <c r="G7" s="94" t="s">
        <v>8714</v>
      </c>
      <c r="H7" s="94" t="s">
        <v>8691</v>
      </c>
    </row>
    <row r="8">
      <c r="A8" s="91">
        <v>6.0</v>
      </c>
      <c r="B8" s="95" t="s">
        <v>5766</v>
      </c>
      <c r="C8" s="92" t="s">
        <v>5772</v>
      </c>
      <c r="D8" s="92">
        <v>2.52610022E8</v>
      </c>
      <c r="E8" s="94" t="s">
        <v>5773</v>
      </c>
      <c r="F8" s="92" t="s">
        <v>227</v>
      </c>
      <c r="G8" s="94" t="s">
        <v>8715</v>
      </c>
      <c r="H8" s="94" t="s">
        <v>8695</v>
      </c>
    </row>
    <row r="9">
      <c r="A9" s="91">
        <v>7.0</v>
      </c>
      <c r="B9" s="95" t="s">
        <v>5903</v>
      </c>
      <c r="C9" s="92" t="s">
        <v>5931</v>
      </c>
      <c r="D9" s="92">
        <v>2.52610195E8</v>
      </c>
      <c r="E9" s="94" t="s">
        <v>5932</v>
      </c>
      <c r="F9" s="92" t="s">
        <v>227</v>
      </c>
      <c r="G9" s="94" t="s">
        <v>8716</v>
      </c>
      <c r="H9" s="94" t="s">
        <v>8717</v>
      </c>
    </row>
    <row r="10">
      <c r="A10" s="91">
        <v>8.0</v>
      </c>
      <c r="B10" s="95" t="s">
        <v>6421</v>
      </c>
      <c r="C10" s="92" t="s">
        <v>6464</v>
      </c>
      <c r="D10" s="92">
        <v>2.52610165E8</v>
      </c>
      <c r="E10" s="94" t="s">
        <v>6465</v>
      </c>
      <c r="F10" s="92" t="s">
        <v>227</v>
      </c>
      <c r="G10" s="94" t="s">
        <v>8718</v>
      </c>
      <c r="H10" s="94" t="s">
        <v>8719</v>
      </c>
    </row>
    <row r="11">
      <c r="A11" s="91">
        <v>9.0</v>
      </c>
      <c r="B11" s="95" t="s">
        <v>6421</v>
      </c>
      <c r="C11" s="92" t="s">
        <v>6482</v>
      </c>
      <c r="D11" s="92">
        <v>2.52610235E8</v>
      </c>
      <c r="E11" s="94" t="s">
        <v>6483</v>
      </c>
      <c r="F11" s="92" t="s">
        <v>227</v>
      </c>
      <c r="G11" s="94" t="s">
        <v>8720</v>
      </c>
      <c r="H11" s="94" t="s">
        <v>8721</v>
      </c>
    </row>
    <row r="12">
      <c r="A12" s="91">
        <v>10.0</v>
      </c>
      <c r="B12" s="95" t="s">
        <v>6549</v>
      </c>
      <c r="C12" s="92" t="s">
        <v>6568</v>
      </c>
      <c r="D12" s="92">
        <v>2.52610098E8</v>
      </c>
      <c r="E12" s="94" t="s">
        <v>6569</v>
      </c>
      <c r="F12" s="92" t="s">
        <v>227</v>
      </c>
      <c r="G12" s="94" t="s">
        <v>8722</v>
      </c>
      <c r="H12" s="94" t="s">
        <v>8695</v>
      </c>
    </row>
    <row r="13">
      <c r="A13" s="91">
        <v>11.0</v>
      </c>
      <c r="B13" s="95" t="s">
        <v>6685</v>
      </c>
      <c r="C13" s="92" t="s">
        <v>6710</v>
      </c>
      <c r="D13" s="92">
        <v>2.52610106E8</v>
      </c>
      <c r="E13" s="94" t="s">
        <v>6711</v>
      </c>
      <c r="F13" s="96" t="s">
        <v>227</v>
      </c>
      <c r="G13" s="94" t="s">
        <v>8723</v>
      </c>
      <c r="H13" s="94" t="s">
        <v>8707</v>
      </c>
    </row>
    <row r="14">
      <c r="A14" s="91">
        <v>12.0</v>
      </c>
      <c r="B14" s="95" t="s">
        <v>6685</v>
      </c>
      <c r="C14" s="92" t="s">
        <v>6774</v>
      </c>
      <c r="D14" s="92">
        <v>2.52610391E8</v>
      </c>
      <c r="E14" s="94" t="s">
        <v>6775</v>
      </c>
      <c r="F14" s="92" t="s">
        <v>227</v>
      </c>
      <c r="G14" s="94" t="s">
        <v>8724</v>
      </c>
      <c r="H14" s="94" t="s">
        <v>8695</v>
      </c>
    </row>
    <row r="15">
      <c r="A15" s="91">
        <v>13.0</v>
      </c>
      <c r="B15" s="95" t="s">
        <v>6685</v>
      </c>
      <c r="C15" s="92" t="s">
        <v>6795</v>
      </c>
      <c r="D15" s="92">
        <v>2.5261049E8</v>
      </c>
      <c r="E15" s="94" t="s">
        <v>6796</v>
      </c>
      <c r="F15" s="92" t="s">
        <v>227</v>
      </c>
      <c r="G15" s="94" t="s">
        <v>8725</v>
      </c>
      <c r="H15" s="94" t="s">
        <v>8726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13"/>
    <col customWidth="1" min="2" max="2" width="6.38"/>
    <col customWidth="1" min="5" max="5" width="21.88"/>
    <col customWidth="1" min="6" max="6" width="5.13"/>
    <col customWidth="1" min="7" max="7" width="31.13"/>
    <col customWidth="1" min="8" max="8" width="26.5"/>
  </cols>
  <sheetData>
    <row r="1">
      <c r="B1" s="90"/>
    </row>
    <row r="2">
      <c r="A2" s="91" t="s">
        <v>8679</v>
      </c>
      <c r="B2" s="91" t="s">
        <v>15</v>
      </c>
      <c r="C2" s="91" t="s">
        <v>9</v>
      </c>
      <c r="D2" s="91" t="s">
        <v>5246</v>
      </c>
      <c r="E2" s="91" t="s">
        <v>8680</v>
      </c>
      <c r="F2" s="91" t="s">
        <v>8681</v>
      </c>
      <c r="G2" s="91" t="s">
        <v>8682</v>
      </c>
      <c r="H2" s="91" t="s">
        <v>8683</v>
      </c>
      <c r="I2" s="90"/>
      <c r="J2" s="90"/>
      <c r="K2" s="90"/>
      <c r="L2" s="90"/>
      <c r="M2" s="90"/>
      <c r="N2" s="90"/>
      <c r="O2" s="90"/>
      <c r="P2" s="90"/>
      <c r="Q2" s="90"/>
      <c r="R2" s="90"/>
      <c r="S2" s="90"/>
      <c r="T2" s="90"/>
      <c r="U2" s="90"/>
      <c r="V2" s="90"/>
      <c r="W2" s="90"/>
    </row>
    <row r="3">
      <c r="A3" s="91">
        <v>1.0</v>
      </c>
      <c r="B3" s="95" t="s">
        <v>5372</v>
      </c>
      <c r="C3" s="92" t="s">
        <v>5375</v>
      </c>
      <c r="D3" s="92">
        <v>2.52610023E8</v>
      </c>
      <c r="E3" s="93" t="s">
        <v>5376</v>
      </c>
      <c r="F3" s="92" t="s">
        <v>227</v>
      </c>
      <c r="G3" s="94" t="s">
        <v>8727</v>
      </c>
      <c r="H3" s="94" t="s">
        <v>8685</v>
      </c>
    </row>
    <row r="4">
      <c r="A4" s="91">
        <v>2.0</v>
      </c>
      <c r="B4" s="95" t="s">
        <v>5627</v>
      </c>
      <c r="C4" s="92" t="s">
        <v>5643</v>
      </c>
      <c r="D4" s="92">
        <v>2.52610056E8</v>
      </c>
      <c r="E4" s="94" t="s">
        <v>5644</v>
      </c>
      <c r="F4" s="92" t="s">
        <v>227</v>
      </c>
      <c r="G4" s="94" t="s">
        <v>8728</v>
      </c>
      <c r="H4" s="94" t="s">
        <v>8691</v>
      </c>
    </row>
    <row r="5">
      <c r="A5" s="91">
        <v>3.0</v>
      </c>
      <c r="B5" s="95" t="s">
        <v>5766</v>
      </c>
      <c r="C5" s="92" t="s">
        <v>5782</v>
      </c>
      <c r="D5" s="92">
        <v>2.52610043E8</v>
      </c>
      <c r="E5" s="94" t="s">
        <v>5783</v>
      </c>
      <c r="F5" s="92" t="s">
        <v>227</v>
      </c>
      <c r="G5" s="94" t="s">
        <v>8729</v>
      </c>
      <c r="H5" s="94" t="s">
        <v>8695</v>
      </c>
    </row>
    <row r="6">
      <c r="A6" s="91">
        <v>4.0</v>
      </c>
      <c r="B6" s="95" t="s">
        <v>5766</v>
      </c>
      <c r="C6" s="92" t="s">
        <v>5808</v>
      </c>
      <c r="D6" s="92">
        <v>2.52610205E8</v>
      </c>
      <c r="E6" s="94" t="s">
        <v>5809</v>
      </c>
      <c r="F6" s="92" t="s">
        <v>227</v>
      </c>
      <c r="G6" s="94" t="s">
        <v>8730</v>
      </c>
      <c r="H6" s="94" t="s">
        <v>8731</v>
      </c>
    </row>
    <row r="7">
      <c r="A7" s="91">
        <v>5.0</v>
      </c>
      <c r="B7" s="95" t="s">
        <v>5766</v>
      </c>
      <c r="C7" s="92" t="s">
        <v>5854</v>
      </c>
      <c r="D7" s="92">
        <v>2.52610412E8</v>
      </c>
      <c r="E7" s="94" t="s">
        <v>5855</v>
      </c>
      <c r="F7" s="92" t="s">
        <v>227</v>
      </c>
      <c r="G7" s="94" t="s">
        <v>8732</v>
      </c>
      <c r="H7" s="94" t="s">
        <v>8695</v>
      </c>
    </row>
    <row r="8">
      <c r="A8" s="91">
        <v>6.0</v>
      </c>
      <c r="B8" s="95" t="s">
        <v>5766</v>
      </c>
      <c r="C8" s="92" t="s">
        <v>5860</v>
      </c>
      <c r="D8" s="92">
        <v>2.52610427E8</v>
      </c>
      <c r="E8" s="94" t="s">
        <v>5861</v>
      </c>
      <c r="F8" s="92" t="s">
        <v>227</v>
      </c>
      <c r="G8" s="94" t="s">
        <v>8733</v>
      </c>
      <c r="H8" s="94" t="s">
        <v>8695</v>
      </c>
    </row>
    <row r="9">
      <c r="A9" s="91">
        <v>7.0</v>
      </c>
      <c r="B9" s="95" t="s">
        <v>6000</v>
      </c>
      <c r="C9" s="92" t="s">
        <v>6100</v>
      </c>
      <c r="D9" s="92">
        <v>2.52610464E8</v>
      </c>
      <c r="E9" s="94" t="s">
        <v>6101</v>
      </c>
      <c r="F9" s="92" t="s">
        <v>227</v>
      </c>
      <c r="G9" s="94" t="s">
        <v>8734</v>
      </c>
      <c r="H9" s="94" t="s">
        <v>8697</v>
      </c>
    </row>
    <row r="10">
      <c r="A10" s="91">
        <v>8.0</v>
      </c>
      <c r="B10" s="95" t="s">
        <v>6134</v>
      </c>
      <c r="C10" s="92" t="s">
        <v>6171</v>
      </c>
      <c r="D10" s="92">
        <v>2.5261016E8</v>
      </c>
      <c r="E10" s="94" t="s">
        <v>6172</v>
      </c>
      <c r="F10" s="92" t="s">
        <v>227</v>
      </c>
      <c r="G10" s="94" t="s">
        <v>8735</v>
      </c>
      <c r="H10" s="94" t="s">
        <v>8685</v>
      </c>
    </row>
    <row r="11">
      <c r="A11" s="91">
        <v>9.0</v>
      </c>
      <c r="B11" s="95" t="s">
        <v>6134</v>
      </c>
      <c r="C11" s="92" t="s">
        <v>6186</v>
      </c>
      <c r="D11" s="92">
        <v>2.52610203E8</v>
      </c>
      <c r="E11" s="93" t="s">
        <v>6187</v>
      </c>
      <c r="F11" s="92" t="s">
        <v>227</v>
      </c>
      <c r="G11" s="94" t="s">
        <v>8736</v>
      </c>
      <c r="H11" s="94" t="s">
        <v>8685</v>
      </c>
    </row>
    <row r="12">
      <c r="A12" s="91">
        <v>10.0</v>
      </c>
      <c r="B12" s="95" t="s">
        <v>6279</v>
      </c>
      <c r="C12" s="92" t="s">
        <v>6401</v>
      </c>
      <c r="D12" s="92">
        <v>2.52610473E8</v>
      </c>
      <c r="E12" s="94" t="s">
        <v>6402</v>
      </c>
      <c r="F12" s="96" t="s">
        <v>227</v>
      </c>
      <c r="G12" s="94" t="s">
        <v>8737</v>
      </c>
      <c r="H12" s="94" t="s">
        <v>8685</v>
      </c>
    </row>
    <row r="13">
      <c r="A13" s="91">
        <v>11.0</v>
      </c>
      <c r="B13" s="95" t="s">
        <v>6421</v>
      </c>
      <c r="C13" s="92" t="s">
        <v>6427</v>
      </c>
      <c r="D13" s="92">
        <v>2.52610014E8</v>
      </c>
      <c r="E13" s="93" t="s">
        <v>6428</v>
      </c>
      <c r="F13" s="92" t="s">
        <v>227</v>
      </c>
      <c r="G13" s="94" t="s">
        <v>8738</v>
      </c>
      <c r="H13" s="94" t="s">
        <v>8739</v>
      </c>
    </row>
    <row r="14">
      <c r="A14" s="91">
        <v>12.0</v>
      </c>
      <c r="B14" s="95" t="s">
        <v>6549</v>
      </c>
      <c r="C14" s="92" t="s">
        <v>6644</v>
      </c>
      <c r="D14" s="92">
        <v>2.52610388E8</v>
      </c>
      <c r="E14" s="94" t="s">
        <v>6645</v>
      </c>
      <c r="F14" s="92" t="s">
        <v>227</v>
      </c>
      <c r="G14" s="94" t="s">
        <v>8740</v>
      </c>
      <c r="H14" s="94" t="s">
        <v>8741</v>
      </c>
    </row>
    <row r="15">
      <c r="A15" s="91">
        <v>13.0</v>
      </c>
      <c r="B15" s="95" t="s">
        <v>6549</v>
      </c>
      <c r="C15" s="92" t="s">
        <v>6647</v>
      </c>
      <c r="D15" s="92">
        <v>2.52610417E8</v>
      </c>
      <c r="E15" s="94" t="s">
        <v>6648</v>
      </c>
      <c r="F15" s="92" t="s">
        <v>227</v>
      </c>
      <c r="G15" s="94" t="s">
        <v>8738</v>
      </c>
      <c r="H15" s="94" t="s">
        <v>8695</v>
      </c>
    </row>
    <row r="16">
      <c r="A16" s="91">
        <v>14.0</v>
      </c>
      <c r="B16" s="95" t="s">
        <v>6549</v>
      </c>
      <c r="C16" s="92" t="s">
        <v>6671</v>
      </c>
      <c r="D16" s="92">
        <v>2.52610545E8</v>
      </c>
      <c r="E16" s="94" t="s">
        <v>6672</v>
      </c>
      <c r="F16" s="92" t="s">
        <v>227</v>
      </c>
      <c r="G16" s="94" t="s">
        <v>8738</v>
      </c>
      <c r="H16" s="94" t="s">
        <v>8742</v>
      </c>
    </row>
    <row r="17">
      <c r="B17" s="90"/>
    </row>
    <row r="18">
      <c r="B18" s="90"/>
    </row>
    <row r="19">
      <c r="B19" s="90"/>
    </row>
    <row r="20">
      <c r="B20" s="90"/>
    </row>
    <row r="21">
      <c r="B21" s="90"/>
    </row>
    <row r="22">
      <c r="B22" s="90"/>
    </row>
    <row r="23">
      <c r="B23" s="90"/>
    </row>
    <row r="24">
      <c r="B24" s="90"/>
    </row>
    <row r="25">
      <c r="B25" s="90"/>
    </row>
    <row r="26">
      <c r="B26" s="90"/>
    </row>
    <row r="27">
      <c r="B27" s="90"/>
    </row>
    <row r="28">
      <c r="B28" s="90"/>
    </row>
    <row r="29">
      <c r="B29" s="90"/>
    </row>
    <row r="30">
      <c r="B30" s="90"/>
    </row>
    <row r="31">
      <c r="B31" s="90"/>
    </row>
    <row r="32">
      <c r="B32" s="90"/>
    </row>
    <row r="33">
      <c r="B33" s="90"/>
    </row>
    <row r="34">
      <c r="B34" s="90"/>
    </row>
    <row r="35">
      <c r="B35" s="90"/>
    </row>
    <row r="36">
      <c r="B36" s="90"/>
    </row>
    <row r="37">
      <c r="B37" s="90"/>
    </row>
    <row r="38">
      <c r="B38" s="90"/>
    </row>
    <row r="39">
      <c r="B39" s="90"/>
    </row>
    <row r="40">
      <c r="B40" s="90"/>
    </row>
    <row r="41">
      <c r="B41" s="90"/>
    </row>
    <row r="42">
      <c r="B42" s="90"/>
    </row>
    <row r="43">
      <c r="B43" s="90"/>
    </row>
    <row r="44">
      <c r="B44" s="90"/>
    </row>
    <row r="45">
      <c r="B45" s="90"/>
    </row>
    <row r="46">
      <c r="B46" s="90"/>
    </row>
    <row r="47">
      <c r="B47" s="90"/>
    </row>
    <row r="48">
      <c r="B48" s="90"/>
    </row>
    <row r="49">
      <c r="B49" s="90"/>
    </row>
    <row r="50">
      <c r="B50" s="90"/>
    </row>
    <row r="51">
      <c r="B51" s="90"/>
    </row>
    <row r="52">
      <c r="B52" s="90"/>
    </row>
    <row r="53">
      <c r="B53" s="90"/>
    </row>
    <row r="54">
      <c r="B54" s="90"/>
    </row>
    <row r="55">
      <c r="B55" s="90"/>
    </row>
    <row r="56">
      <c r="B56" s="90"/>
    </row>
    <row r="57">
      <c r="B57" s="90"/>
    </row>
    <row r="58">
      <c r="B58" s="90"/>
    </row>
    <row r="59">
      <c r="B59" s="90"/>
    </row>
    <row r="60">
      <c r="B60" s="90"/>
    </row>
    <row r="61">
      <c r="B61" s="90"/>
    </row>
    <row r="62">
      <c r="B62" s="90"/>
    </row>
    <row r="63">
      <c r="B63" s="90"/>
    </row>
    <row r="64">
      <c r="B64" s="90"/>
    </row>
    <row r="65">
      <c r="B65" s="90"/>
    </row>
    <row r="66">
      <c r="B66" s="90"/>
    </row>
    <row r="67">
      <c r="B67" s="90"/>
    </row>
    <row r="68">
      <c r="B68" s="90"/>
    </row>
    <row r="69">
      <c r="B69" s="90"/>
    </row>
    <row r="70">
      <c r="B70" s="90"/>
    </row>
    <row r="71">
      <c r="B71" s="90"/>
    </row>
    <row r="72">
      <c r="B72" s="90"/>
    </row>
    <row r="73">
      <c r="B73" s="90"/>
    </row>
    <row r="74">
      <c r="B74" s="90"/>
    </row>
    <row r="75">
      <c r="B75" s="90"/>
    </row>
    <row r="76">
      <c r="B76" s="90"/>
    </row>
    <row r="77">
      <c r="B77" s="90"/>
    </row>
    <row r="78">
      <c r="B78" s="90"/>
    </row>
    <row r="79">
      <c r="B79" s="90"/>
    </row>
    <row r="80">
      <c r="B80" s="90"/>
    </row>
    <row r="81">
      <c r="B81" s="90"/>
    </row>
    <row r="82">
      <c r="B82" s="90"/>
    </row>
    <row r="83">
      <c r="B83" s="90"/>
    </row>
    <row r="84">
      <c r="B84" s="90"/>
    </row>
    <row r="85">
      <c r="B85" s="90"/>
    </row>
    <row r="86">
      <c r="B86" s="90"/>
    </row>
    <row r="87">
      <c r="B87" s="90"/>
    </row>
    <row r="88">
      <c r="B88" s="90"/>
    </row>
    <row r="89">
      <c r="B89" s="90"/>
    </row>
    <row r="90">
      <c r="B90" s="90"/>
    </row>
    <row r="91">
      <c r="B91" s="90"/>
    </row>
    <row r="92">
      <c r="B92" s="90"/>
    </row>
    <row r="93">
      <c r="B93" s="90"/>
    </row>
    <row r="94">
      <c r="B94" s="90"/>
    </row>
    <row r="95">
      <c r="B95" s="90"/>
    </row>
    <row r="96">
      <c r="B96" s="90"/>
    </row>
    <row r="97">
      <c r="B97" s="90"/>
    </row>
    <row r="98">
      <c r="B98" s="90"/>
    </row>
    <row r="99">
      <c r="B99" s="90"/>
    </row>
    <row r="100">
      <c r="B100" s="90"/>
    </row>
    <row r="101">
      <c r="B101" s="90"/>
    </row>
    <row r="102">
      <c r="B102" s="90"/>
    </row>
    <row r="103">
      <c r="B103" s="90"/>
    </row>
    <row r="104">
      <c r="B104" s="90"/>
    </row>
    <row r="105">
      <c r="B105" s="90"/>
    </row>
    <row r="106">
      <c r="B106" s="90"/>
    </row>
    <row r="107">
      <c r="B107" s="90"/>
    </row>
    <row r="108">
      <c r="B108" s="90"/>
    </row>
    <row r="109">
      <c r="B109" s="90"/>
    </row>
    <row r="110">
      <c r="B110" s="90"/>
    </row>
    <row r="111">
      <c r="B111" s="90"/>
    </row>
    <row r="112">
      <c r="B112" s="90"/>
    </row>
    <row r="113">
      <c r="B113" s="90"/>
    </row>
    <row r="114">
      <c r="B114" s="90"/>
    </row>
    <row r="115">
      <c r="B115" s="90"/>
    </row>
    <row r="116">
      <c r="B116" s="90"/>
    </row>
    <row r="117">
      <c r="B117" s="90"/>
    </row>
    <row r="118">
      <c r="B118" s="90"/>
    </row>
    <row r="119">
      <c r="B119" s="90"/>
    </row>
    <row r="120">
      <c r="B120" s="90"/>
    </row>
    <row r="121">
      <c r="B121" s="90"/>
    </row>
    <row r="122">
      <c r="B122" s="90"/>
    </row>
    <row r="123">
      <c r="B123" s="90"/>
    </row>
    <row r="124">
      <c r="B124" s="90"/>
    </row>
    <row r="125">
      <c r="B125" s="90"/>
    </row>
    <row r="126">
      <c r="B126" s="90"/>
    </row>
    <row r="127">
      <c r="B127" s="90"/>
    </row>
    <row r="128">
      <c r="B128" s="90"/>
    </row>
    <row r="129">
      <c r="B129" s="90"/>
    </row>
    <row r="130">
      <c r="B130" s="90"/>
    </row>
    <row r="131">
      <c r="B131" s="90"/>
    </row>
    <row r="132">
      <c r="B132" s="90"/>
    </row>
    <row r="133">
      <c r="B133" s="90"/>
    </row>
    <row r="134">
      <c r="B134" s="90"/>
    </row>
    <row r="135">
      <c r="B135" s="90"/>
    </row>
    <row r="136">
      <c r="B136" s="90"/>
    </row>
    <row r="137">
      <c r="B137" s="90"/>
    </row>
    <row r="138">
      <c r="B138" s="90"/>
    </row>
    <row r="139">
      <c r="B139" s="90"/>
    </row>
    <row r="140">
      <c r="B140" s="90"/>
    </row>
    <row r="141">
      <c r="B141" s="90"/>
    </row>
    <row r="142">
      <c r="B142" s="90"/>
    </row>
    <row r="143">
      <c r="B143" s="90"/>
    </row>
    <row r="144">
      <c r="B144" s="90"/>
    </row>
    <row r="145">
      <c r="B145" s="90"/>
    </row>
    <row r="146">
      <c r="B146" s="90"/>
    </row>
    <row r="147">
      <c r="B147" s="90"/>
    </row>
    <row r="148">
      <c r="B148" s="90"/>
    </row>
    <row r="149">
      <c r="B149" s="90"/>
    </row>
    <row r="150">
      <c r="B150" s="90"/>
    </row>
    <row r="151">
      <c r="B151" s="90"/>
    </row>
    <row r="152">
      <c r="B152" s="90"/>
    </row>
    <row r="153">
      <c r="B153" s="90"/>
    </row>
    <row r="154">
      <c r="B154" s="90"/>
    </row>
    <row r="155">
      <c r="B155" s="90"/>
    </row>
    <row r="156">
      <c r="B156" s="90"/>
    </row>
    <row r="157">
      <c r="B157" s="90"/>
    </row>
    <row r="158">
      <c r="B158" s="90"/>
    </row>
    <row r="159">
      <c r="B159" s="90"/>
    </row>
    <row r="160">
      <c r="B160" s="90"/>
    </row>
    <row r="161">
      <c r="B161" s="90"/>
    </row>
    <row r="162">
      <c r="B162" s="90"/>
    </row>
    <row r="163">
      <c r="B163" s="90"/>
    </row>
    <row r="164">
      <c r="B164" s="90"/>
    </row>
    <row r="165">
      <c r="B165" s="90"/>
    </row>
    <row r="166">
      <c r="B166" s="90"/>
    </row>
    <row r="167">
      <c r="B167" s="90"/>
    </row>
    <row r="168">
      <c r="B168" s="90"/>
    </row>
    <row r="169">
      <c r="B169" s="90"/>
    </row>
    <row r="170">
      <c r="B170" s="90"/>
    </row>
    <row r="171">
      <c r="B171" s="90"/>
    </row>
    <row r="172">
      <c r="B172" s="90"/>
    </row>
    <row r="173">
      <c r="B173" s="90"/>
    </row>
    <row r="174">
      <c r="B174" s="90"/>
    </row>
    <row r="175">
      <c r="B175" s="90"/>
    </row>
    <row r="176">
      <c r="B176" s="90"/>
    </row>
    <row r="177">
      <c r="B177" s="90"/>
    </row>
    <row r="178">
      <c r="B178" s="90"/>
    </row>
    <row r="179">
      <c r="B179" s="90"/>
    </row>
    <row r="180">
      <c r="B180" s="90"/>
    </row>
    <row r="181">
      <c r="B181" s="90"/>
    </row>
    <row r="182">
      <c r="B182" s="90"/>
    </row>
    <row r="183">
      <c r="B183" s="90"/>
    </row>
    <row r="184">
      <c r="B184" s="90"/>
    </row>
    <row r="185">
      <c r="B185" s="90"/>
    </row>
    <row r="186">
      <c r="B186" s="90"/>
    </row>
    <row r="187">
      <c r="B187" s="90"/>
    </row>
    <row r="188">
      <c r="B188" s="90"/>
    </row>
    <row r="189">
      <c r="B189" s="90"/>
    </row>
    <row r="190">
      <c r="B190" s="90"/>
    </row>
    <row r="191">
      <c r="B191" s="90"/>
    </row>
    <row r="192">
      <c r="B192" s="90"/>
    </row>
    <row r="193">
      <c r="B193" s="90"/>
    </row>
    <row r="194">
      <c r="B194" s="90"/>
    </row>
    <row r="195">
      <c r="B195" s="90"/>
    </row>
    <row r="196">
      <c r="B196" s="90"/>
    </row>
    <row r="197">
      <c r="B197" s="90"/>
    </row>
    <row r="198">
      <c r="B198" s="90"/>
    </row>
    <row r="199">
      <c r="B199" s="90"/>
    </row>
    <row r="200">
      <c r="B200" s="90"/>
    </row>
    <row r="201">
      <c r="B201" s="90"/>
    </row>
    <row r="202">
      <c r="B202" s="90"/>
    </row>
    <row r="203">
      <c r="B203" s="90"/>
    </row>
    <row r="204">
      <c r="B204" s="90"/>
    </row>
    <row r="205">
      <c r="B205" s="90"/>
    </row>
    <row r="206">
      <c r="B206" s="90"/>
    </row>
    <row r="207">
      <c r="B207" s="90"/>
    </row>
    <row r="208">
      <c r="B208" s="90"/>
    </row>
    <row r="209">
      <c r="B209" s="90"/>
    </row>
    <row r="210">
      <c r="B210" s="90"/>
    </row>
    <row r="211">
      <c r="B211" s="90"/>
    </row>
    <row r="212">
      <c r="B212" s="90"/>
    </row>
    <row r="213">
      <c r="B213" s="90"/>
    </row>
    <row r="214">
      <c r="B214" s="90"/>
    </row>
    <row r="215">
      <c r="B215" s="90"/>
    </row>
    <row r="216">
      <c r="B216" s="90"/>
    </row>
    <row r="217">
      <c r="B217" s="90"/>
    </row>
    <row r="218">
      <c r="B218" s="90"/>
    </row>
    <row r="219">
      <c r="B219" s="90"/>
    </row>
    <row r="220">
      <c r="B220" s="90"/>
    </row>
    <row r="221">
      <c r="B221" s="90"/>
    </row>
    <row r="222">
      <c r="B222" s="90"/>
    </row>
    <row r="223">
      <c r="B223" s="90"/>
    </row>
    <row r="224">
      <c r="B224" s="90"/>
    </row>
    <row r="225">
      <c r="B225" s="90"/>
    </row>
    <row r="226">
      <c r="B226" s="90"/>
    </row>
    <row r="227">
      <c r="B227" s="90"/>
    </row>
    <row r="228">
      <c r="B228" s="90"/>
    </row>
    <row r="229">
      <c r="B229" s="90"/>
    </row>
    <row r="230">
      <c r="B230" s="90"/>
    </row>
    <row r="231">
      <c r="B231" s="90"/>
    </row>
    <row r="232">
      <c r="B232" s="90"/>
    </row>
    <row r="233">
      <c r="B233" s="90"/>
    </row>
    <row r="234">
      <c r="B234" s="90"/>
    </row>
    <row r="235">
      <c r="B235" s="90"/>
    </row>
    <row r="236">
      <c r="B236" s="90"/>
    </row>
    <row r="237">
      <c r="B237" s="90"/>
    </row>
    <row r="238">
      <c r="B238" s="90"/>
    </row>
    <row r="239">
      <c r="B239" s="90"/>
    </row>
    <row r="240">
      <c r="B240" s="90"/>
    </row>
    <row r="241">
      <c r="B241" s="90"/>
    </row>
    <row r="242">
      <c r="B242" s="90"/>
    </row>
    <row r="243">
      <c r="B243" s="90"/>
    </row>
    <row r="244">
      <c r="B244" s="90"/>
    </row>
    <row r="245">
      <c r="B245" s="90"/>
    </row>
    <row r="246">
      <c r="B246" s="90"/>
    </row>
    <row r="247">
      <c r="B247" s="90"/>
    </row>
    <row r="248">
      <c r="B248" s="90"/>
    </row>
    <row r="249">
      <c r="B249" s="90"/>
    </row>
    <row r="250">
      <c r="B250" s="90"/>
    </row>
    <row r="251">
      <c r="B251" s="90"/>
    </row>
    <row r="252">
      <c r="B252" s="90"/>
    </row>
    <row r="253">
      <c r="B253" s="90"/>
    </row>
    <row r="254">
      <c r="B254" s="90"/>
    </row>
    <row r="255">
      <c r="B255" s="90"/>
    </row>
    <row r="256">
      <c r="B256" s="90"/>
    </row>
    <row r="257">
      <c r="B257" s="90"/>
    </row>
    <row r="258">
      <c r="B258" s="90"/>
    </row>
    <row r="259">
      <c r="B259" s="90"/>
    </row>
    <row r="260">
      <c r="B260" s="90"/>
    </row>
    <row r="261">
      <c r="B261" s="90"/>
    </row>
    <row r="262">
      <c r="B262" s="90"/>
    </row>
    <row r="263">
      <c r="B263" s="90"/>
    </row>
    <row r="264">
      <c r="B264" s="90"/>
    </row>
    <row r="265">
      <c r="B265" s="90"/>
    </row>
    <row r="266">
      <c r="B266" s="90"/>
    </row>
    <row r="267">
      <c r="B267" s="90"/>
    </row>
    <row r="268">
      <c r="B268" s="90"/>
    </row>
    <row r="269">
      <c r="B269" s="90"/>
    </row>
    <row r="270">
      <c r="B270" s="90"/>
    </row>
    <row r="271">
      <c r="B271" s="90"/>
    </row>
    <row r="272">
      <c r="B272" s="90"/>
    </row>
    <row r="273">
      <c r="B273" s="90"/>
    </row>
    <row r="274">
      <c r="B274" s="90"/>
    </row>
    <row r="275">
      <c r="B275" s="90"/>
    </row>
    <row r="276">
      <c r="B276" s="90"/>
    </row>
    <row r="277">
      <c r="B277" s="90"/>
    </row>
    <row r="278">
      <c r="B278" s="90"/>
    </row>
    <row r="279">
      <c r="B279" s="90"/>
    </row>
    <row r="280">
      <c r="B280" s="90"/>
    </row>
    <row r="281">
      <c r="B281" s="90"/>
    </row>
    <row r="282">
      <c r="B282" s="90"/>
    </row>
    <row r="283">
      <c r="B283" s="90"/>
    </row>
    <row r="284">
      <c r="B284" s="90"/>
    </row>
    <row r="285">
      <c r="B285" s="90"/>
    </row>
    <row r="286">
      <c r="B286" s="90"/>
    </row>
    <row r="287">
      <c r="B287" s="90"/>
    </row>
    <row r="288">
      <c r="B288" s="90"/>
    </row>
    <row r="289">
      <c r="B289" s="90"/>
    </row>
    <row r="290">
      <c r="B290" s="90"/>
    </row>
    <row r="291">
      <c r="B291" s="90"/>
    </row>
    <row r="292">
      <c r="B292" s="90"/>
    </row>
    <row r="293">
      <c r="B293" s="90"/>
    </row>
    <row r="294">
      <c r="B294" s="90"/>
    </row>
    <row r="295">
      <c r="B295" s="90"/>
    </row>
    <row r="296">
      <c r="B296" s="90"/>
    </row>
    <row r="297">
      <c r="B297" s="90"/>
    </row>
    <row r="298">
      <c r="B298" s="90"/>
    </row>
    <row r="299">
      <c r="B299" s="90"/>
    </row>
    <row r="300">
      <c r="B300" s="90"/>
    </row>
    <row r="301">
      <c r="B301" s="90"/>
    </row>
    <row r="302">
      <c r="B302" s="90"/>
    </row>
    <row r="303">
      <c r="B303" s="90"/>
    </row>
    <row r="304">
      <c r="B304" s="90"/>
    </row>
    <row r="305">
      <c r="B305" s="90"/>
    </row>
    <row r="306">
      <c r="B306" s="90"/>
    </row>
    <row r="307">
      <c r="B307" s="90"/>
    </row>
    <row r="308">
      <c r="B308" s="90"/>
    </row>
    <row r="309">
      <c r="B309" s="90"/>
    </row>
    <row r="310">
      <c r="B310" s="90"/>
    </row>
    <row r="311">
      <c r="B311" s="90"/>
    </row>
    <row r="312">
      <c r="B312" s="90"/>
    </row>
    <row r="313">
      <c r="B313" s="90"/>
    </row>
    <row r="314">
      <c r="B314" s="90"/>
    </row>
    <row r="315">
      <c r="B315" s="90"/>
    </row>
    <row r="316">
      <c r="B316" s="90"/>
    </row>
    <row r="317">
      <c r="B317" s="90"/>
    </row>
    <row r="318">
      <c r="B318" s="90"/>
    </row>
    <row r="319">
      <c r="B319" s="90"/>
    </row>
    <row r="320">
      <c r="B320" s="90"/>
    </row>
    <row r="321">
      <c r="B321" s="90"/>
    </row>
    <row r="322">
      <c r="B322" s="90"/>
    </row>
    <row r="323">
      <c r="B323" s="90"/>
    </row>
    <row r="324">
      <c r="B324" s="90"/>
    </row>
    <row r="325">
      <c r="B325" s="90"/>
    </row>
    <row r="326">
      <c r="B326" s="90"/>
    </row>
    <row r="327">
      <c r="B327" s="90"/>
    </row>
    <row r="328">
      <c r="B328" s="90"/>
    </row>
    <row r="329">
      <c r="B329" s="90"/>
    </row>
    <row r="330">
      <c r="B330" s="90"/>
    </row>
    <row r="331">
      <c r="B331" s="90"/>
    </row>
    <row r="332">
      <c r="B332" s="90"/>
    </row>
    <row r="333">
      <c r="B333" s="90"/>
    </row>
    <row r="334">
      <c r="B334" s="90"/>
    </row>
    <row r="335">
      <c r="B335" s="90"/>
    </row>
    <row r="336">
      <c r="B336" s="90"/>
    </row>
    <row r="337">
      <c r="B337" s="90"/>
    </row>
    <row r="338">
      <c r="B338" s="90"/>
    </row>
    <row r="339">
      <c r="B339" s="90"/>
    </row>
    <row r="340">
      <c r="B340" s="90"/>
    </row>
    <row r="341">
      <c r="B341" s="90"/>
    </row>
    <row r="342">
      <c r="B342" s="90"/>
    </row>
    <row r="343">
      <c r="B343" s="90"/>
    </row>
    <row r="344">
      <c r="B344" s="90"/>
    </row>
    <row r="345">
      <c r="B345" s="90"/>
    </row>
    <row r="346">
      <c r="B346" s="90"/>
    </row>
    <row r="347">
      <c r="B347" s="90"/>
    </row>
    <row r="348">
      <c r="B348" s="90"/>
    </row>
    <row r="349">
      <c r="B349" s="90"/>
    </row>
    <row r="350">
      <c r="B350" s="90"/>
    </row>
    <row r="351">
      <c r="B351" s="90"/>
    </row>
    <row r="352">
      <c r="B352" s="90"/>
    </row>
    <row r="353">
      <c r="B353" s="90"/>
    </row>
    <row r="354">
      <c r="B354" s="90"/>
    </row>
    <row r="355">
      <c r="B355" s="90"/>
    </row>
    <row r="356">
      <c r="B356" s="90"/>
    </row>
    <row r="357">
      <c r="B357" s="90"/>
    </row>
    <row r="358">
      <c r="B358" s="90"/>
    </row>
    <row r="359">
      <c r="B359" s="90"/>
    </row>
    <row r="360">
      <c r="B360" s="90"/>
    </row>
    <row r="361">
      <c r="B361" s="90"/>
    </row>
    <row r="362">
      <c r="B362" s="90"/>
    </row>
    <row r="363">
      <c r="B363" s="90"/>
    </row>
    <row r="364">
      <c r="B364" s="90"/>
    </row>
    <row r="365">
      <c r="B365" s="90"/>
    </row>
    <row r="366">
      <c r="B366" s="90"/>
    </row>
    <row r="367">
      <c r="B367" s="90"/>
    </row>
    <row r="368">
      <c r="B368" s="90"/>
    </row>
    <row r="369">
      <c r="B369" s="90"/>
    </row>
    <row r="370">
      <c r="B370" s="90"/>
    </row>
    <row r="371">
      <c r="B371" s="90"/>
    </row>
    <row r="372">
      <c r="B372" s="90"/>
    </row>
    <row r="373">
      <c r="B373" s="90"/>
    </row>
    <row r="374">
      <c r="B374" s="90"/>
    </row>
    <row r="375">
      <c r="B375" s="90"/>
    </row>
    <row r="376">
      <c r="B376" s="90"/>
    </row>
    <row r="377">
      <c r="B377" s="90"/>
    </row>
    <row r="378">
      <c r="B378" s="90"/>
    </row>
    <row r="379">
      <c r="B379" s="90"/>
    </row>
    <row r="380">
      <c r="B380" s="90"/>
    </row>
    <row r="381">
      <c r="B381" s="90"/>
    </row>
    <row r="382">
      <c r="B382" s="90"/>
    </row>
    <row r="383">
      <c r="B383" s="90"/>
    </row>
    <row r="384">
      <c r="B384" s="90"/>
    </row>
    <row r="385">
      <c r="B385" s="90"/>
    </row>
    <row r="386">
      <c r="B386" s="90"/>
    </row>
    <row r="387">
      <c r="B387" s="90"/>
    </row>
    <row r="388">
      <c r="B388" s="90"/>
    </row>
    <row r="389">
      <c r="B389" s="90"/>
    </row>
    <row r="390">
      <c r="B390" s="90"/>
    </row>
    <row r="391">
      <c r="B391" s="90"/>
    </row>
    <row r="392">
      <c r="B392" s="90"/>
    </row>
    <row r="393">
      <c r="B393" s="90"/>
    </row>
    <row r="394">
      <c r="B394" s="90"/>
    </row>
    <row r="395">
      <c r="B395" s="90"/>
    </row>
    <row r="396">
      <c r="B396" s="90"/>
    </row>
    <row r="397">
      <c r="B397" s="90"/>
    </row>
    <row r="398">
      <c r="B398" s="90"/>
    </row>
    <row r="399">
      <c r="B399" s="90"/>
    </row>
    <row r="400">
      <c r="B400" s="90"/>
    </row>
    <row r="401">
      <c r="B401" s="90"/>
    </row>
    <row r="402">
      <c r="B402" s="90"/>
    </row>
    <row r="403">
      <c r="B403" s="90"/>
    </row>
    <row r="404">
      <c r="B404" s="90"/>
    </row>
    <row r="405">
      <c r="B405" s="90"/>
    </row>
    <row r="406">
      <c r="B406" s="90"/>
    </row>
    <row r="407">
      <c r="B407" s="90"/>
    </row>
    <row r="408">
      <c r="B408" s="90"/>
    </row>
    <row r="409">
      <c r="B409" s="90"/>
    </row>
    <row r="410">
      <c r="B410" s="90"/>
    </row>
    <row r="411">
      <c r="B411" s="90"/>
    </row>
    <row r="412">
      <c r="B412" s="90"/>
    </row>
    <row r="413">
      <c r="B413" s="90"/>
    </row>
    <row r="414">
      <c r="B414" s="90"/>
    </row>
    <row r="415">
      <c r="B415" s="90"/>
    </row>
    <row r="416">
      <c r="B416" s="90"/>
    </row>
    <row r="417">
      <c r="B417" s="90"/>
    </row>
    <row r="418">
      <c r="B418" s="90"/>
    </row>
    <row r="419">
      <c r="B419" s="90"/>
    </row>
    <row r="420">
      <c r="B420" s="90"/>
    </row>
    <row r="421">
      <c r="B421" s="90"/>
    </row>
    <row r="422">
      <c r="B422" s="90"/>
    </row>
    <row r="423">
      <c r="B423" s="90"/>
    </row>
    <row r="424">
      <c r="B424" s="90"/>
    </row>
    <row r="425">
      <c r="B425" s="90"/>
    </row>
    <row r="426">
      <c r="B426" s="90"/>
    </row>
    <row r="427">
      <c r="B427" s="90"/>
    </row>
    <row r="428">
      <c r="B428" s="90"/>
    </row>
    <row r="429">
      <c r="B429" s="90"/>
    </row>
    <row r="430">
      <c r="B430" s="90"/>
    </row>
    <row r="431">
      <c r="B431" s="90"/>
    </row>
    <row r="432">
      <c r="B432" s="90"/>
    </row>
    <row r="433">
      <c r="B433" s="90"/>
    </row>
    <row r="434">
      <c r="B434" s="90"/>
    </row>
    <row r="435">
      <c r="B435" s="90"/>
    </row>
    <row r="436">
      <c r="B436" s="90"/>
    </row>
    <row r="437">
      <c r="B437" s="90"/>
    </row>
    <row r="438">
      <c r="B438" s="90"/>
    </row>
    <row r="439">
      <c r="B439" s="90"/>
    </row>
    <row r="440">
      <c r="B440" s="90"/>
    </row>
    <row r="441">
      <c r="B441" s="90"/>
    </row>
    <row r="442">
      <c r="B442" s="90"/>
    </row>
    <row r="443">
      <c r="B443" s="90"/>
    </row>
    <row r="444">
      <c r="B444" s="90"/>
    </row>
    <row r="445">
      <c r="B445" s="90"/>
    </row>
    <row r="446">
      <c r="B446" s="90"/>
    </row>
    <row r="447">
      <c r="B447" s="90"/>
    </row>
    <row r="448">
      <c r="B448" s="90"/>
    </row>
    <row r="449">
      <c r="B449" s="90"/>
    </row>
    <row r="450">
      <c r="B450" s="90"/>
    </row>
    <row r="451">
      <c r="B451" s="90"/>
    </row>
    <row r="452">
      <c r="B452" s="90"/>
    </row>
    <row r="453">
      <c r="B453" s="90"/>
    </row>
    <row r="454">
      <c r="B454" s="90"/>
    </row>
    <row r="455">
      <c r="B455" s="90"/>
    </row>
    <row r="456">
      <c r="B456" s="90"/>
    </row>
    <row r="457">
      <c r="B457" s="90"/>
    </row>
    <row r="458">
      <c r="B458" s="90"/>
    </row>
    <row r="459">
      <c r="B459" s="90"/>
    </row>
    <row r="460">
      <c r="B460" s="90"/>
    </row>
    <row r="461">
      <c r="B461" s="90"/>
    </row>
    <row r="462">
      <c r="B462" s="90"/>
    </row>
    <row r="463">
      <c r="B463" s="90"/>
    </row>
    <row r="464">
      <c r="B464" s="90"/>
    </row>
    <row r="465">
      <c r="B465" s="90"/>
    </row>
    <row r="466">
      <c r="B466" s="90"/>
    </row>
    <row r="467">
      <c r="B467" s="90"/>
    </row>
    <row r="468">
      <c r="B468" s="90"/>
    </row>
    <row r="469">
      <c r="B469" s="90"/>
    </row>
    <row r="470">
      <c r="B470" s="90"/>
    </row>
    <row r="471">
      <c r="B471" s="90"/>
    </row>
    <row r="472">
      <c r="B472" s="90"/>
    </row>
    <row r="473">
      <c r="B473" s="90"/>
    </row>
    <row r="474">
      <c r="B474" s="90"/>
    </row>
    <row r="475">
      <c r="B475" s="90"/>
    </row>
    <row r="476">
      <c r="B476" s="90"/>
    </row>
    <row r="477">
      <c r="B477" s="90"/>
    </row>
    <row r="478">
      <c r="B478" s="90"/>
    </row>
    <row r="479">
      <c r="B479" s="90"/>
    </row>
    <row r="480">
      <c r="B480" s="90"/>
    </row>
    <row r="481">
      <c r="B481" s="90"/>
    </row>
    <row r="482">
      <c r="B482" s="90"/>
    </row>
    <row r="483">
      <c r="B483" s="90"/>
    </row>
    <row r="484">
      <c r="B484" s="90"/>
    </row>
    <row r="485">
      <c r="B485" s="90"/>
    </row>
    <row r="486">
      <c r="B486" s="90"/>
    </row>
    <row r="487">
      <c r="B487" s="90"/>
    </row>
    <row r="488">
      <c r="B488" s="90"/>
    </row>
    <row r="489">
      <c r="B489" s="90"/>
    </row>
    <row r="490">
      <c r="B490" s="90"/>
    </row>
    <row r="491">
      <c r="B491" s="90"/>
    </row>
    <row r="492">
      <c r="B492" s="90"/>
    </row>
    <row r="493">
      <c r="B493" s="90"/>
    </row>
    <row r="494">
      <c r="B494" s="90"/>
    </row>
    <row r="495">
      <c r="B495" s="90"/>
    </row>
    <row r="496">
      <c r="B496" s="90"/>
    </row>
    <row r="497">
      <c r="B497" s="90"/>
    </row>
    <row r="498">
      <c r="B498" s="90"/>
    </row>
    <row r="499">
      <c r="B499" s="90"/>
    </row>
    <row r="500">
      <c r="B500" s="90"/>
    </row>
    <row r="501">
      <c r="B501" s="90"/>
    </row>
    <row r="502">
      <c r="B502" s="90"/>
    </row>
    <row r="503">
      <c r="B503" s="90"/>
    </row>
    <row r="504">
      <c r="B504" s="90"/>
    </row>
    <row r="505">
      <c r="B505" s="90"/>
    </row>
    <row r="506">
      <c r="B506" s="90"/>
    </row>
    <row r="507">
      <c r="B507" s="90"/>
    </row>
    <row r="508">
      <c r="B508" s="90"/>
    </row>
    <row r="509">
      <c r="B509" s="90"/>
    </row>
    <row r="510">
      <c r="B510" s="90"/>
    </row>
    <row r="511">
      <c r="B511" s="90"/>
    </row>
    <row r="512">
      <c r="B512" s="90"/>
    </row>
    <row r="513">
      <c r="B513" s="90"/>
    </row>
    <row r="514">
      <c r="B514" s="90"/>
    </row>
    <row r="515">
      <c r="B515" s="90"/>
    </row>
    <row r="516">
      <c r="B516" s="90"/>
    </row>
    <row r="517">
      <c r="B517" s="90"/>
    </row>
    <row r="518">
      <c r="B518" s="90"/>
    </row>
    <row r="519">
      <c r="B519" s="90"/>
    </row>
    <row r="520">
      <c r="B520" s="90"/>
    </row>
    <row r="521">
      <c r="B521" s="90"/>
    </row>
    <row r="522">
      <c r="B522" s="90"/>
    </row>
    <row r="523">
      <c r="B523" s="90"/>
    </row>
    <row r="524">
      <c r="B524" s="90"/>
    </row>
    <row r="525">
      <c r="B525" s="90"/>
    </row>
    <row r="526">
      <c r="B526" s="90"/>
    </row>
    <row r="527">
      <c r="B527" s="90"/>
    </row>
    <row r="528">
      <c r="B528" s="90"/>
    </row>
    <row r="529">
      <c r="B529" s="90"/>
    </row>
    <row r="530">
      <c r="B530" s="90"/>
    </row>
    <row r="531">
      <c r="B531" s="90"/>
    </row>
    <row r="532">
      <c r="B532" s="90"/>
    </row>
    <row r="533">
      <c r="B533" s="90"/>
    </row>
    <row r="534">
      <c r="B534" s="90"/>
    </row>
    <row r="535">
      <c r="B535" s="90"/>
    </row>
    <row r="536">
      <c r="B536" s="90"/>
    </row>
    <row r="537">
      <c r="B537" s="90"/>
    </row>
    <row r="538">
      <c r="B538" s="90"/>
    </row>
    <row r="539">
      <c r="B539" s="90"/>
    </row>
    <row r="540">
      <c r="B540" s="90"/>
    </row>
    <row r="541">
      <c r="B541" s="90"/>
    </row>
    <row r="542">
      <c r="B542" s="90"/>
    </row>
    <row r="543">
      <c r="B543" s="90"/>
    </row>
    <row r="544">
      <c r="B544" s="90"/>
    </row>
    <row r="545">
      <c r="B545" s="90"/>
    </row>
    <row r="546">
      <c r="B546" s="90"/>
    </row>
    <row r="547">
      <c r="B547" s="90"/>
    </row>
    <row r="548">
      <c r="B548" s="90"/>
    </row>
    <row r="549">
      <c r="B549" s="90"/>
    </row>
    <row r="550">
      <c r="B550" s="90"/>
    </row>
    <row r="551">
      <c r="B551" s="90"/>
    </row>
    <row r="552">
      <c r="B552" s="90"/>
    </row>
    <row r="553">
      <c r="B553" s="90"/>
    </row>
    <row r="554">
      <c r="B554" s="90"/>
    </row>
    <row r="555">
      <c r="B555" s="90"/>
    </row>
    <row r="556">
      <c r="B556" s="90"/>
    </row>
    <row r="557">
      <c r="B557" s="90"/>
    </row>
    <row r="558">
      <c r="B558" s="90"/>
    </row>
    <row r="559">
      <c r="B559" s="90"/>
    </row>
    <row r="560">
      <c r="B560" s="90"/>
    </row>
    <row r="561">
      <c r="B561" s="90"/>
    </row>
    <row r="562">
      <c r="B562" s="90"/>
    </row>
    <row r="563">
      <c r="B563" s="90"/>
    </row>
    <row r="564">
      <c r="B564" s="90"/>
    </row>
    <row r="565">
      <c r="B565" s="90"/>
    </row>
    <row r="566">
      <c r="B566" s="90"/>
    </row>
    <row r="567">
      <c r="B567" s="90"/>
    </row>
    <row r="568">
      <c r="B568" s="90"/>
    </row>
    <row r="569">
      <c r="B569" s="90"/>
    </row>
    <row r="570">
      <c r="B570" s="90"/>
    </row>
    <row r="571">
      <c r="B571" s="90"/>
    </row>
    <row r="572">
      <c r="B572" s="90"/>
    </row>
    <row r="573">
      <c r="B573" s="90"/>
    </row>
    <row r="574">
      <c r="B574" s="90"/>
    </row>
    <row r="575">
      <c r="B575" s="90"/>
    </row>
    <row r="576">
      <c r="B576" s="90"/>
    </row>
    <row r="577">
      <c r="B577" s="90"/>
    </row>
    <row r="578">
      <c r="B578" s="90"/>
    </row>
    <row r="579">
      <c r="B579" s="90"/>
    </row>
    <row r="580">
      <c r="B580" s="90"/>
    </row>
    <row r="581">
      <c r="B581" s="90"/>
    </row>
    <row r="582">
      <c r="B582" s="90"/>
    </row>
    <row r="583">
      <c r="B583" s="90"/>
    </row>
    <row r="584">
      <c r="B584" s="90"/>
    </row>
    <row r="585">
      <c r="B585" s="90"/>
    </row>
    <row r="586">
      <c r="B586" s="90"/>
    </row>
    <row r="587">
      <c r="B587" s="90"/>
    </row>
    <row r="588">
      <c r="B588" s="90"/>
    </row>
    <row r="589">
      <c r="B589" s="90"/>
    </row>
    <row r="590">
      <c r="B590" s="90"/>
    </row>
    <row r="591">
      <c r="B591" s="90"/>
    </row>
    <row r="592">
      <c r="B592" s="90"/>
    </row>
    <row r="593">
      <c r="B593" s="90"/>
    </row>
    <row r="594">
      <c r="B594" s="90"/>
    </row>
    <row r="595">
      <c r="B595" s="90"/>
    </row>
    <row r="596">
      <c r="B596" s="90"/>
    </row>
    <row r="597">
      <c r="B597" s="90"/>
    </row>
    <row r="598">
      <c r="B598" s="90"/>
    </row>
    <row r="599">
      <c r="B599" s="90"/>
    </row>
    <row r="600">
      <c r="B600" s="90"/>
    </row>
    <row r="601">
      <c r="B601" s="90"/>
    </row>
    <row r="602">
      <c r="B602" s="90"/>
    </row>
    <row r="603">
      <c r="B603" s="90"/>
    </row>
    <row r="604">
      <c r="B604" s="90"/>
    </row>
    <row r="605">
      <c r="B605" s="90"/>
    </row>
    <row r="606">
      <c r="B606" s="90"/>
    </row>
    <row r="607">
      <c r="B607" s="90"/>
    </row>
    <row r="608">
      <c r="B608" s="90"/>
    </row>
    <row r="609">
      <c r="B609" s="90"/>
    </row>
    <row r="610">
      <c r="B610" s="90"/>
    </row>
    <row r="611">
      <c r="B611" s="90"/>
    </row>
    <row r="612">
      <c r="B612" s="90"/>
    </row>
    <row r="613">
      <c r="B613" s="90"/>
    </row>
    <row r="614">
      <c r="B614" s="90"/>
    </row>
    <row r="615">
      <c r="B615" s="90"/>
    </row>
    <row r="616">
      <c r="B616" s="90"/>
    </row>
    <row r="617">
      <c r="B617" s="90"/>
    </row>
    <row r="618">
      <c r="B618" s="90"/>
    </row>
    <row r="619">
      <c r="B619" s="90"/>
    </row>
    <row r="620">
      <c r="B620" s="90"/>
    </row>
    <row r="621">
      <c r="B621" s="90"/>
    </row>
    <row r="622">
      <c r="B622" s="90"/>
    </row>
    <row r="623">
      <c r="B623" s="90"/>
    </row>
    <row r="624">
      <c r="B624" s="90"/>
    </row>
    <row r="625">
      <c r="B625" s="90"/>
    </row>
    <row r="626">
      <c r="B626" s="90"/>
    </row>
    <row r="627">
      <c r="B627" s="90"/>
    </row>
    <row r="628">
      <c r="B628" s="90"/>
    </row>
    <row r="629">
      <c r="B629" s="90"/>
    </row>
    <row r="630">
      <c r="B630" s="90"/>
    </row>
    <row r="631">
      <c r="B631" s="90"/>
    </row>
    <row r="632">
      <c r="B632" s="90"/>
    </row>
    <row r="633">
      <c r="B633" s="90"/>
    </row>
    <row r="634">
      <c r="B634" s="90"/>
    </row>
    <row r="635">
      <c r="B635" s="90"/>
    </row>
    <row r="636">
      <c r="B636" s="90"/>
    </row>
    <row r="637">
      <c r="B637" s="90"/>
    </row>
    <row r="638">
      <c r="B638" s="90"/>
    </row>
    <row r="639">
      <c r="B639" s="90"/>
    </row>
    <row r="640">
      <c r="B640" s="90"/>
    </row>
    <row r="641">
      <c r="B641" s="90"/>
    </row>
    <row r="642">
      <c r="B642" s="90"/>
    </row>
    <row r="643">
      <c r="B643" s="90"/>
    </row>
    <row r="644">
      <c r="B644" s="90"/>
    </row>
    <row r="645">
      <c r="B645" s="90"/>
    </row>
    <row r="646">
      <c r="B646" s="90"/>
    </row>
    <row r="647">
      <c r="B647" s="90"/>
    </row>
    <row r="648">
      <c r="B648" s="90"/>
    </row>
    <row r="649">
      <c r="B649" s="90"/>
    </row>
    <row r="650">
      <c r="B650" s="90"/>
    </row>
    <row r="651">
      <c r="B651" s="90"/>
    </row>
    <row r="652">
      <c r="B652" s="90"/>
    </row>
    <row r="653">
      <c r="B653" s="90"/>
    </row>
    <row r="654">
      <c r="B654" s="90"/>
    </row>
    <row r="655">
      <c r="B655" s="90"/>
    </row>
    <row r="656">
      <c r="B656" s="90"/>
    </row>
    <row r="657">
      <c r="B657" s="90"/>
    </row>
    <row r="658">
      <c r="B658" s="90"/>
    </row>
    <row r="659">
      <c r="B659" s="90"/>
    </row>
    <row r="660">
      <c r="B660" s="90"/>
    </row>
    <row r="661">
      <c r="B661" s="90"/>
    </row>
    <row r="662">
      <c r="B662" s="90"/>
    </row>
    <row r="663">
      <c r="B663" s="90"/>
    </row>
    <row r="664">
      <c r="B664" s="90"/>
    </row>
    <row r="665">
      <c r="B665" s="90"/>
    </row>
    <row r="666">
      <c r="B666" s="90"/>
    </row>
    <row r="667">
      <c r="B667" s="90"/>
    </row>
    <row r="668">
      <c r="B668" s="90"/>
    </row>
    <row r="669">
      <c r="B669" s="90"/>
    </row>
    <row r="670">
      <c r="B670" s="90"/>
    </row>
    <row r="671">
      <c r="B671" s="90"/>
    </row>
    <row r="672">
      <c r="B672" s="90"/>
    </row>
    <row r="673">
      <c r="B673" s="90"/>
    </row>
    <row r="674">
      <c r="B674" s="90"/>
    </row>
    <row r="675">
      <c r="B675" s="90"/>
    </row>
    <row r="676">
      <c r="B676" s="90"/>
    </row>
    <row r="677">
      <c r="B677" s="90"/>
    </row>
    <row r="678">
      <c r="B678" s="90"/>
    </row>
    <row r="679">
      <c r="B679" s="90"/>
    </row>
    <row r="680">
      <c r="B680" s="90"/>
    </row>
    <row r="681">
      <c r="B681" s="90"/>
    </row>
    <row r="682">
      <c r="B682" s="90"/>
    </row>
    <row r="683">
      <c r="B683" s="90"/>
    </row>
    <row r="684">
      <c r="B684" s="90"/>
    </row>
    <row r="685">
      <c r="B685" s="90"/>
    </row>
    <row r="686">
      <c r="B686" s="90"/>
    </row>
    <row r="687">
      <c r="B687" s="90"/>
    </row>
    <row r="688">
      <c r="B688" s="90"/>
    </row>
    <row r="689">
      <c r="B689" s="90"/>
    </row>
    <row r="690">
      <c r="B690" s="90"/>
    </row>
    <row r="691">
      <c r="B691" s="90"/>
    </row>
    <row r="692">
      <c r="B692" s="90"/>
    </row>
    <row r="693">
      <c r="B693" s="90"/>
    </row>
    <row r="694">
      <c r="B694" s="90"/>
    </row>
    <row r="695">
      <c r="B695" s="90"/>
    </row>
    <row r="696">
      <c r="B696" s="90"/>
    </row>
    <row r="697">
      <c r="B697" s="90"/>
    </row>
    <row r="698">
      <c r="B698" s="90"/>
    </row>
    <row r="699">
      <c r="B699" s="90"/>
    </row>
    <row r="700">
      <c r="B700" s="90"/>
    </row>
    <row r="701">
      <c r="B701" s="90"/>
    </row>
    <row r="702">
      <c r="B702" s="90"/>
    </row>
    <row r="703">
      <c r="B703" s="90"/>
    </row>
    <row r="704">
      <c r="B704" s="90"/>
    </row>
    <row r="705">
      <c r="B705" s="90"/>
    </row>
    <row r="706">
      <c r="B706" s="90"/>
    </row>
    <row r="707">
      <c r="B707" s="90"/>
    </row>
    <row r="708">
      <c r="B708" s="90"/>
    </row>
    <row r="709">
      <c r="B709" s="90"/>
    </row>
    <row r="710">
      <c r="B710" s="90"/>
    </row>
    <row r="711">
      <c r="B711" s="90"/>
    </row>
    <row r="712">
      <c r="B712" s="90"/>
    </row>
    <row r="713">
      <c r="B713" s="90"/>
    </row>
    <row r="714">
      <c r="B714" s="90"/>
    </row>
    <row r="715">
      <c r="B715" s="90"/>
    </row>
    <row r="716">
      <c r="B716" s="90"/>
    </row>
    <row r="717">
      <c r="B717" s="90"/>
    </row>
    <row r="718">
      <c r="B718" s="90"/>
    </row>
    <row r="719">
      <c r="B719" s="90"/>
    </row>
    <row r="720">
      <c r="B720" s="90"/>
    </row>
    <row r="721">
      <c r="B721" s="90"/>
    </row>
    <row r="722">
      <c r="B722" s="90"/>
    </row>
    <row r="723">
      <c r="B723" s="90"/>
    </row>
    <row r="724">
      <c r="B724" s="90"/>
    </row>
    <row r="725">
      <c r="B725" s="90"/>
    </row>
    <row r="726">
      <c r="B726" s="90"/>
    </row>
    <row r="727">
      <c r="B727" s="90"/>
    </row>
    <row r="728">
      <c r="B728" s="90"/>
    </row>
    <row r="729">
      <c r="B729" s="90"/>
    </row>
    <row r="730">
      <c r="B730" s="90"/>
    </row>
    <row r="731">
      <c r="B731" s="90"/>
    </row>
    <row r="732">
      <c r="B732" s="90"/>
    </row>
    <row r="733">
      <c r="B733" s="90"/>
    </row>
    <row r="734">
      <c r="B734" s="90"/>
    </row>
    <row r="735">
      <c r="B735" s="90"/>
    </row>
    <row r="736">
      <c r="B736" s="90"/>
    </row>
    <row r="737">
      <c r="B737" s="90"/>
    </row>
    <row r="738">
      <c r="B738" s="90"/>
    </row>
    <row r="739">
      <c r="B739" s="90"/>
    </row>
    <row r="740">
      <c r="B740" s="90"/>
    </row>
    <row r="741">
      <c r="B741" s="90"/>
    </row>
    <row r="742">
      <c r="B742" s="90"/>
    </row>
    <row r="743">
      <c r="B743" s="90"/>
    </row>
    <row r="744">
      <c r="B744" s="90"/>
    </row>
    <row r="745">
      <c r="B745" s="90"/>
    </row>
    <row r="746">
      <c r="B746" s="90"/>
    </row>
    <row r="747">
      <c r="B747" s="90"/>
    </row>
    <row r="748">
      <c r="B748" s="90"/>
    </row>
    <row r="749">
      <c r="B749" s="90"/>
    </row>
    <row r="750">
      <c r="B750" s="90"/>
    </row>
    <row r="751">
      <c r="B751" s="90"/>
    </row>
    <row r="752">
      <c r="B752" s="90"/>
    </row>
    <row r="753">
      <c r="B753" s="90"/>
    </row>
    <row r="754">
      <c r="B754" s="90"/>
    </row>
    <row r="755">
      <c r="B755" s="90"/>
    </row>
    <row r="756">
      <c r="B756" s="90"/>
    </row>
    <row r="757">
      <c r="B757" s="90"/>
    </row>
    <row r="758">
      <c r="B758" s="90"/>
    </row>
    <row r="759">
      <c r="B759" s="90"/>
    </row>
    <row r="760">
      <c r="B760" s="90"/>
    </row>
    <row r="761">
      <c r="B761" s="90"/>
    </row>
    <row r="762">
      <c r="B762" s="90"/>
    </row>
    <row r="763">
      <c r="B763" s="90"/>
    </row>
    <row r="764">
      <c r="B764" s="90"/>
    </row>
    <row r="765">
      <c r="B765" s="90"/>
    </row>
    <row r="766">
      <c r="B766" s="90"/>
    </row>
    <row r="767">
      <c r="B767" s="90"/>
    </row>
    <row r="768">
      <c r="B768" s="90"/>
    </row>
    <row r="769">
      <c r="B769" s="90"/>
    </row>
    <row r="770">
      <c r="B770" s="90"/>
    </row>
    <row r="771">
      <c r="B771" s="90"/>
    </row>
    <row r="772">
      <c r="B772" s="90"/>
    </row>
    <row r="773">
      <c r="B773" s="90"/>
    </row>
    <row r="774">
      <c r="B774" s="90"/>
    </row>
    <row r="775">
      <c r="B775" s="90"/>
    </row>
    <row r="776">
      <c r="B776" s="90"/>
    </row>
    <row r="777">
      <c r="B777" s="90"/>
    </row>
    <row r="778">
      <c r="B778" s="90"/>
    </row>
    <row r="779">
      <c r="B779" s="90"/>
    </row>
    <row r="780">
      <c r="B780" s="90"/>
    </row>
    <row r="781">
      <c r="B781" s="90"/>
    </row>
    <row r="782">
      <c r="B782" s="90"/>
    </row>
    <row r="783">
      <c r="B783" s="90"/>
    </row>
    <row r="784">
      <c r="B784" s="90"/>
    </row>
    <row r="785">
      <c r="B785" s="90"/>
    </row>
    <row r="786">
      <c r="B786" s="90"/>
    </row>
    <row r="787">
      <c r="B787" s="90"/>
    </row>
    <row r="788">
      <c r="B788" s="90"/>
    </row>
    <row r="789">
      <c r="B789" s="90"/>
    </row>
    <row r="790">
      <c r="B790" s="90"/>
    </row>
    <row r="791">
      <c r="B791" s="90"/>
    </row>
    <row r="792">
      <c r="B792" s="90"/>
    </row>
    <row r="793">
      <c r="B793" s="90"/>
    </row>
    <row r="794">
      <c r="B794" s="90"/>
    </row>
    <row r="795">
      <c r="B795" s="90"/>
    </row>
    <row r="796">
      <c r="B796" s="90"/>
    </row>
    <row r="797">
      <c r="B797" s="90"/>
    </row>
    <row r="798">
      <c r="B798" s="90"/>
    </row>
    <row r="799">
      <c r="B799" s="90"/>
    </row>
    <row r="800">
      <c r="B800" s="90"/>
    </row>
    <row r="801">
      <c r="B801" s="90"/>
    </row>
    <row r="802">
      <c r="B802" s="90"/>
    </row>
    <row r="803">
      <c r="B803" s="90"/>
    </row>
    <row r="804">
      <c r="B804" s="90"/>
    </row>
    <row r="805">
      <c r="B805" s="90"/>
    </row>
    <row r="806">
      <c r="B806" s="90"/>
    </row>
    <row r="807">
      <c r="B807" s="90"/>
    </row>
    <row r="808">
      <c r="B808" s="90"/>
    </row>
    <row r="809">
      <c r="B809" s="90"/>
    </row>
    <row r="810">
      <c r="B810" s="90"/>
    </row>
    <row r="811">
      <c r="B811" s="90"/>
    </row>
    <row r="812">
      <c r="B812" s="90"/>
    </row>
    <row r="813">
      <c r="B813" s="90"/>
    </row>
    <row r="814">
      <c r="B814" s="90"/>
    </row>
    <row r="815">
      <c r="B815" s="90"/>
    </row>
    <row r="816">
      <c r="B816" s="90"/>
    </row>
    <row r="817">
      <c r="B817" s="90"/>
    </row>
    <row r="818">
      <c r="B818" s="90"/>
    </row>
    <row r="819">
      <c r="B819" s="90"/>
    </row>
    <row r="820">
      <c r="B820" s="90"/>
    </row>
    <row r="821">
      <c r="B821" s="90"/>
    </row>
    <row r="822">
      <c r="B822" s="90"/>
    </row>
    <row r="823">
      <c r="B823" s="90"/>
    </row>
    <row r="824">
      <c r="B824" s="90"/>
    </row>
    <row r="825">
      <c r="B825" s="90"/>
    </row>
    <row r="826">
      <c r="B826" s="90"/>
    </row>
    <row r="827">
      <c r="B827" s="90"/>
    </row>
    <row r="828">
      <c r="B828" s="90"/>
    </row>
    <row r="829">
      <c r="B829" s="90"/>
    </row>
    <row r="830">
      <c r="B830" s="90"/>
    </row>
    <row r="831">
      <c r="B831" s="90"/>
    </row>
    <row r="832">
      <c r="B832" s="90"/>
    </row>
    <row r="833">
      <c r="B833" s="90"/>
    </row>
    <row r="834">
      <c r="B834" s="90"/>
    </row>
    <row r="835">
      <c r="B835" s="90"/>
    </row>
    <row r="836">
      <c r="B836" s="90"/>
    </row>
    <row r="837">
      <c r="B837" s="90"/>
    </row>
    <row r="838">
      <c r="B838" s="90"/>
    </row>
    <row r="839">
      <c r="B839" s="90"/>
    </row>
    <row r="840">
      <c r="B840" s="90"/>
    </row>
    <row r="841">
      <c r="B841" s="90"/>
    </row>
    <row r="842">
      <c r="B842" s="90"/>
    </row>
    <row r="843">
      <c r="B843" s="90"/>
    </row>
    <row r="844">
      <c r="B844" s="90"/>
    </row>
    <row r="845">
      <c r="B845" s="90"/>
    </row>
    <row r="846">
      <c r="B846" s="90"/>
    </row>
    <row r="847">
      <c r="B847" s="90"/>
    </row>
    <row r="848">
      <c r="B848" s="90"/>
    </row>
    <row r="849">
      <c r="B849" s="90"/>
    </row>
    <row r="850">
      <c r="B850" s="90"/>
    </row>
    <row r="851">
      <c r="B851" s="90"/>
    </row>
    <row r="852">
      <c r="B852" s="90"/>
    </row>
    <row r="853">
      <c r="B853" s="90"/>
    </row>
    <row r="854">
      <c r="B854" s="90"/>
    </row>
    <row r="855">
      <c r="B855" s="90"/>
    </row>
    <row r="856">
      <c r="B856" s="90"/>
    </row>
    <row r="857">
      <c r="B857" s="90"/>
    </row>
    <row r="858">
      <c r="B858" s="90"/>
    </row>
    <row r="859">
      <c r="B859" s="90"/>
    </row>
    <row r="860">
      <c r="B860" s="90"/>
    </row>
    <row r="861">
      <c r="B861" s="90"/>
    </row>
    <row r="862">
      <c r="B862" s="90"/>
    </row>
    <row r="863">
      <c r="B863" s="90"/>
    </row>
    <row r="864">
      <c r="B864" s="90"/>
    </row>
    <row r="865">
      <c r="B865" s="90"/>
    </row>
    <row r="866">
      <c r="B866" s="90"/>
    </row>
    <row r="867">
      <c r="B867" s="90"/>
    </row>
    <row r="868">
      <c r="B868" s="90"/>
    </row>
    <row r="869">
      <c r="B869" s="90"/>
    </row>
    <row r="870">
      <c r="B870" s="90"/>
    </row>
    <row r="871">
      <c r="B871" s="90"/>
    </row>
    <row r="872">
      <c r="B872" s="90"/>
    </row>
    <row r="873">
      <c r="B873" s="90"/>
    </row>
    <row r="874">
      <c r="B874" s="90"/>
    </row>
    <row r="875">
      <c r="B875" s="90"/>
    </row>
    <row r="876">
      <c r="B876" s="90"/>
    </row>
    <row r="877">
      <c r="B877" s="90"/>
    </row>
    <row r="878">
      <c r="B878" s="90"/>
    </row>
    <row r="879">
      <c r="B879" s="90"/>
    </row>
    <row r="880">
      <c r="B880" s="90"/>
    </row>
    <row r="881">
      <c r="B881" s="90"/>
    </row>
    <row r="882">
      <c r="B882" s="90"/>
    </row>
    <row r="883">
      <c r="B883" s="90"/>
    </row>
    <row r="884">
      <c r="B884" s="90"/>
    </row>
    <row r="885">
      <c r="B885" s="90"/>
    </row>
    <row r="886">
      <c r="B886" s="90"/>
    </row>
    <row r="887">
      <c r="B887" s="90"/>
    </row>
    <row r="888">
      <c r="B888" s="90"/>
    </row>
    <row r="889">
      <c r="B889" s="90"/>
    </row>
    <row r="890">
      <c r="B890" s="90"/>
    </row>
    <row r="891">
      <c r="B891" s="90"/>
    </row>
    <row r="892">
      <c r="B892" s="90"/>
    </row>
    <row r="893">
      <c r="B893" s="90"/>
    </row>
    <row r="894">
      <c r="B894" s="90"/>
    </row>
    <row r="895">
      <c r="B895" s="90"/>
    </row>
    <row r="896">
      <c r="B896" s="90"/>
    </row>
    <row r="897">
      <c r="B897" s="90"/>
    </row>
    <row r="898">
      <c r="B898" s="90"/>
    </row>
    <row r="899">
      <c r="B899" s="90"/>
    </row>
    <row r="900">
      <c r="B900" s="90"/>
    </row>
    <row r="901">
      <c r="B901" s="90"/>
    </row>
    <row r="902">
      <c r="B902" s="90"/>
    </row>
    <row r="903">
      <c r="B903" s="90"/>
    </row>
    <row r="904">
      <c r="B904" s="90"/>
    </row>
    <row r="905">
      <c r="B905" s="90"/>
    </row>
    <row r="906">
      <c r="B906" s="90"/>
    </row>
    <row r="907">
      <c r="B907" s="90"/>
    </row>
    <row r="908">
      <c r="B908" s="90"/>
    </row>
    <row r="909">
      <c r="B909" s="90"/>
    </row>
    <row r="910">
      <c r="B910" s="90"/>
    </row>
    <row r="911">
      <c r="B911" s="90"/>
    </row>
    <row r="912">
      <c r="B912" s="90"/>
    </row>
    <row r="913">
      <c r="B913" s="90"/>
    </row>
    <row r="914">
      <c r="B914" s="90"/>
    </row>
    <row r="915">
      <c r="B915" s="90"/>
    </row>
    <row r="916">
      <c r="B916" s="90"/>
    </row>
    <row r="917">
      <c r="B917" s="90"/>
    </row>
    <row r="918">
      <c r="B918" s="90"/>
    </row>
    <row r="919">
      <c r="B919" s="90"/>
    </row>
    <row r="920">
      <c r="B920" s="90"/>
    </row>
    <row r="921">
      <c r="B921" s="90"/>
    </row>
    <row r="922">
      <c r="B922" s="90"/>
    </row>
    <row r="923">
      <c r="B923" s="90"/>
    </row>
    <row r="924">
      <c r="B924" s="90"/>
    </row>
    <row r="925">
      <c r="B925" s="90"/>
    </row>
    <row r="926">
      <c r="B926" s="90"/>
    </row>
    <row r="927">
      <c r="B927" s="90"/>
    </row>
    <row r="928">
      <c r="B928" s="90"/>
    </row>
    <row r="929">
      <c r="B929" s="90"/>
    </row>
    <row r="930">
      <c r="B930" s="90"/>
    </row>
    <row r="931">
      <c r="B931" s="90"/>
    </row>
    <row r="932">
      <c r="B932" s="90"/>
    </row>
    <row r="933">
      <c r="B933" s="90"/>
    </row>
    <row r="934">
      <c r="B934" s="90"/>
    </row>
    <row r="935">
      <c r="B935" s="90"/>
    </row>
    <row r="936">
      <c r="B936" s="90"/>
    </row>
    <row r="937">
      <c r="B937" s="90"/>
    </row>
    <row r="938">
      <c r="B938" s="90"/>
    </row>
    <row r="939">
      <c r="B939" s="90"/>
    </row>
    <row r="940">
      <c r="B940" s="90"/>
    </row>
    <row r="941">
      <c r="B941" s="90"/>
    </row>
    <row r="942">
      <c r="B942" s="90"/>
    </row>
    <row r="943">
      <c r="B943" s="90"/>
    </row>
    <row r="944">
      <c r="B944" s="90"/>
    </row>
    <row r="945">
      <c r="B945" s="90"/>
    </row>
    <row r="946">
      <c r="B946" s="90"/>
    </row>
    <row r="947">
      <c r="B947" s="90"/>
    </row>
    <row r="948">
      <c r="B948" s="90"/>
    </row>
    <row r="949">
      <c r="B949" s="90"/>
    </row>
    <row r="950">
      <c r="B950" s="90"/>
    </row>
    <row r="951">
      <c r="B951" s="90"/>
    </row>
    <row r="952">
      <c r="B952" s="90"/>
    </row>
    <row r="953">
      <c r="B953" s="90"/>
    </row>
    <row r="954">
      <c r="B954" s="90"/>
    </row>
    <row r="955">
      <c r="B955" s="90"/>
    </row>
    <row r="956">
      <c r="B956" s="90"/>
    </row>
    <row r="957">
      <c r="B957" s="90"/>
    </row>
    <row r="958">
      <c r="B958" s="90"/>
    </row>
    <row r="959">
      <c r="B959" s="90"/>
    </row>
    <row r="960">
      <c r="B960" s="90"/>
    </row>
    <row r="961">
      <c r="B961" s="90"/>
    </row>
    <row r="962">
      <c r="B962" s="90"/>
    </row>
    <row r="963">
      <c r="B963" s="90"/>
    </row>
    <row r="964">
      <c r="B964" s="90"/>
    </row>
    <row r="965">
      <c r="B965" s="90"/>
    </row>
    <row r="966">
      <c r="B966" s="90"/>
    </row>
    <row r="967">
      <c r="B967" s="90"/>
    </row>
    <row r="968">
      <c r="B968" s="90"/>
    </row>
    <row r="969">
      <c r="B969" s="90"/>
    </row>
    <row r="970">
      <c r="B970" s="90"/>
    </row>
    <row r="971">
      <c r="B971" s="90"/>
    </row>
    <row r="972">
      <c r="B972" s="90"/>
    </row>
    <row r="973">
      <c r="B973" s="90"/>
    </row>
    <row r="974">
      <c r="B974" s="90"/>
    </row>
    <row r="975">
      <c r="B975" s="90"/>
    </row>
    <row r="976">
      <c r="B976" s="90"/>
    </row>
    <row r="977">
      <c r="B977" s="90"/>
    </row>
    <row r="978">
      <c r="B978" s="90"/>
    </row>
    <row r="979">
      <c r="B979" s="90"/>
    </row>
    <row r="980">
      <c r="B980" s="90"/>
    </row>
    <row r="981">
      <c r="B981" s="90"/>
    </row>
    <row r="982">
      <c r="B982" s="90"/>
    </row>
    <row r="983">
      <c r="B983" s="90"/>
    </row>
    <row r="984">
      <c r="B984" s="90"/>
    </row>
    <row r="985">
      <c r="B985" s="90"/>
    </row>
    <row r="986">
      <c r="B986" s="90"/>
    </row>
    <row r="987">
      <c r="B987" s="90"/>
    </row>
    <row r="988">
      <c r="B988" s="90"/>
    </row>
    <row r="989">
      <c r="B989" s="90"/>
    </row>
    <row r="990">
      <c r="B990" s="90"/>
    </row>
    <row r="991">
      <c r="B991" s="90"/>
    </row>
    <row r="992">
      <c r="B992" s="90"/>
    </row>
    <row r="993">
      <c r="B993" s="90"/>
    </row>
    <row r="994">
      <c r="B994" s="90"/>
    </row>
    <row r="995">
      <c r="B995" s="90"/>
    </row>
    <row r="996">
      <c r="B996" s="90"/>
    </row>
    <row r="997">
      <c r="B997" s="90"/>
    </row>
    <row r="998">
      <c r="B998" s="90"/>
    </row>
    <row r="999">
      <c r="B999" s="90"/>
    </row>
    <row r="1000">
      <c r="B1000" s="90"/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15.0"/>
    <col customWidth="1" min="7" max="7" width="16.0"/>
  </cols>
  <sheetData>
    <row r="1">
      <c r="A1" s="97" t="s">
        <v>8743</v>
      </c>
      <c r="B1" s="98"/>
      <c r="C1" s="98"/>
      <c r="D1" s="98"/>
      <c r="E1" s="98"/>
      <c r="F1" s="98"/>
      <c r="G1" s="98"/>
      <c r="H1" s="98"/>
      <c r="I1" s="98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</row>
    <row r="2">
      <c r="A2" s="99" t="s">
        <v>8744</v>
      </c>
      <c r="B2" s="100"/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00"/>
      <c r="N2" s="100"/>
      <c r="O2" s="100"/>
      <c r="P2" s="100"/>
      <c r="Q2" s="100"/>
      <c r="R2" s="100"/>
      <c r="S2" s="100"/>
      <c r="T2" s="101"/>
    </row>
    <row r="3">
      <c r="A3" s="102" t="s">
        <v>8745</v>
      </c>
      <c r="B3" s="103"/>
      <c r="C3" s="103"/>
      <c r="D3" s="103"/>
      <c r="E3" s="103"/>
      <c r="F3" s="103"/>
      <c r="G3" s="103"/>
      <c r="H3" s="103"/>
      <c r="I3" s="103"/>
      <c r="J3" s="103"/>
      <c r="K3" s="103"/>
      <c r="L3" s="103"/>
      <c r="M3" s="103"/>
      <c r="N3" s="103"/>
      <c r="O3" s="103"/>
      <c r="P3" s="103"/>
      <c r="Q3" s="103"/>
      <c r="R3" s="103"/>
      <c r="S3" s="103"/>
      <c r="T3" s="104"/>
    </row>
    <row r="4">
      <c r="A4" s="105" t="s">
        <v>8746</v>
      </c>
      <c r="B4" s="106"/>
      <c r="C4" s="106"/>
      <c r="D4" s="106"/>
      <c r="E4" s="106"/>
      <c r="F4" s="106"/>
      <c r="G4" s="106"/>
      <c r="H4" s="106"/>
      <c r="I4" s="106"/>
      <c r="J4" s="106"/>
      <c r="K4" s="106"/>
      <c r="L4" s="106"/>
      <c r="M4" s="106"/>
      <c r="N4" s="106"/>
      <c r="O4" s="106"/>
      <c r="P4" s="106"/>
      <c r="Q4" s="106"/>
      <c r="R4" s="106"/>
      <c r="S4" s="106"/>
      <c r="T4" s="107"/>
    </row>
    <row r="5">
      <c r="A5" s="108" t="s">
        <v>8747</v>
      </c>
      <c r="B5" s="109"/>
      <c r="C5" s="109"/>
      <c r="D5" s="109"/>
      <c r="E5" s="109"/>
      <c r="F5" s="109"/>
      <c r="G5" s="109"/>
      <c r="H5" s="109"/>
      <c r="I5" s="106"/>
      <c r="J5" s="110"/>
      <c r="K5" s="110"/>
      <c r="L5" s="110"/>
      <c r="M5" s="110"/>
      <c r="N5" s="110"/>
      <c r="O5" s="110"/>
      <c r="P5" s="110"/>
      <c r="Q5" s="110"/>
      <c r="R5" s="110"/>
      <c r="S5" s="110"/>
      <c r="T5" s="110"/>
    </row>
    <row r="6">
      <c r="A6" s="111" t="s">
        <v>8748</v>
      </c>
      <c r="B6" s="111" t="s">
        <v>9</v>
      </c>
      <c r="C6" s="111" t="s">
        <v>5246</v>
      </c>
      <c r="D6" s="111" t="s">
        <v>8680</v>
      </c>
      <c r="E6" s="112" t="s">
        <v>13</v>
      </c>
      <c r="F6" s="113" t="s">
        <v>8749</v>
      </c>
      <c r="G6" s="113" t="s">
        <v>8750</v>
      </c>
      <c r="H6" s="114" t="s">
        <v>217</v>
      </c>
      <c r="I6" s="106"/>
      <c r="J6" s="106"/>
      <c r="K6" s="106"/>
      <c r="L6" s="106"/>
      <c r="M6" s="106"/>
      <c r="N6" s="106"/>
      <c r="O6" s="106"/>
      <c r="P6" s="106"/>
      <c r="Q6" s="106"/>
      <c r="R6" s="106"/>
      <c r="S6" s="106"/>
      <c r="T6" s="106"/>
      <c r="U6" s="106"/>
    </row>
    <row r="7">
      <c r="A7" s="115"/>
      <c r="B7" s="115"/>
      <c r="C7" s="115"/>
      <c r="D7" s="115"/>
      <c r="E7" s="116"/>
      <c r="F7" s="117"/>
      <c r="G7" s="117"/>
      <c r="H7" s="118"/>
      <c r="I7" s="106"/>
      <c r="J7" s="106"/>
      <c r="K7" s="106"/>
      <c r="L7" s="106"/>
      <c r="M7" s="106"/>
      <c r="N7" s="106"/>
      <c r="O7" s="106"/>
      <c r="P7" s="106"/>
      <c r="Q7" s="106"/>
      <c r="R7" s="106"/>
      <c r="S7" s="106"/>
      <c r="T7" s="106"/>
      <c r="U7" s="106"/>
    </row>
    <row r="8">
      <c r="A8" s="119"/>
      <c r="B8" s="119"/>
      <c r="C8" s="119"/>
      <c r="D8" s="119"/>
      <c r="E8" s="120"/>
      <c r="F8" s="121"/>
      <c r="G8" s="121"/>
      <c r="H8" s="122"/>
      <c r="I8" s="106"/>
      <c r="J8" s="106"/>
      <c r="K8" s="106"/>
      <c r="L8" s="106"/>
      <c r="M8" s="106"/>
      <c r="N8" s="106"/>
      <c r="O8" s="106"/>
      <c r="P8" s="106"/>
      <c r="Q8" s="106"/>
      <c r="R8" s="106"/>
      <c r="S8" s="106"/>
      <c r="T8" s="106"/>
      <c r="U8" s="106"/>
    </row>
    <row r="9">
      <c r="A9" s="123">
        <v>1.0</v>
      </c>
      <c r="B9" s="92" t="s">
        <v>6897</v>
      </c>
      <c r="C9" s="124">
        <v>2.42510005E8</v>
      </c>
      <c r="D9" s="94" t="s">
        <v>8751</v>
      </c>
      <c r="E9" s="125" t="s">
        <v>5249</v>
      </c>
      <c r="F9" s="126">
        <f>COUNTIFS('Database Presensi SCC'!$B:$B, "*"&amp;IF(B11&lt;&gt;"", B11, C11)&amp;"*", 'Database Presensi SCC'!$C:$C, "Hadir")</f>
        <v>0</v>
      </c>
      <c r="G9" s="126">
        <f>IFERROR(__xludf.DUMMYFUNCTION("COUNTUNIQUEIFS('Database Presensi SCC'!$K:$K, 'Database Presensi SCC'!$H:$H, E11)"),0.0)</f>
        <v>0</v>
      </c>
      <c r="H9" s="126">
        <f t="shared" ref="H9:H44" si="1">IFERROR(F11/G11, 0)</f>
        <v>0</v>
      </c>
      <c r="I9" s="106"/>
      <c r="J9" s="106"/>
      <c r="K9" s="106"/>
      <c r="L9" s="106"/>
      <c r="M9" s="106"/>
      <c r="N9" s="106"/>
      <c r="O9" s="106"/>
      <c r="P9" s="106"/>
      <c r="Q9" s="106"/>
      <c r="R9" s="106"/>
      <c r="S9" s="106"/>
      <c r="T9" s="106"/>
      <c r="U9" s="106"/>
    </row>
    <row r="10">
      <c r="A10" s="123">
        <v>2.0</v>
      </c>
      <c r="B10" s="94" t="s">
        <v>7637</v>
      </c>
      <c r="C10" s="124">
        <v>2.4251002E8</v>
      </c>
      <c r="D10" s="94" t="s">
        <v>8752</v>
      </c>
      <c r="E10" s="125" t="s">
        <v>5249</v>
      </c>
      <c r="F10" s="126">
        <f>COUNTIFS('Database Presensi SCC'!$B:$B, "*"&amp;IF(B12&lt;&gt;"", B12, C12)&amp;"*", 'Database Presensi SCC'!$C:$C, "Hadir")</f>
        <v>0</v>
      </c>
      <c r="G10" s="126">
        <f>IFERROR(__xludf.DUMMYFUNCTION("COUNTUNIQUEIFS('Database Presensi SCC'!$K:$K, 'Database Presensi SCC'!$H:$H, E12)"),0.0)</f>
        <v>0</v>
      </c>
      <c r="H10" s="126">
        <f t="shared" si="1"/>
        <v>0</v>
      </c>
      <c r="I10" s="106"/>
      <c r="J10" s="106"/>
      <c r="K10" s="106"/>
      <c r="L10" s="106"/>
      <c r="M10" s="106"/>
      <c r="N10" s="106"/>
      <c r="O10" s="106"/>
      <c r="P10" s="106"/>
      <c r="Q10" s="106"/>
      <c r="R10" s="106"/>
      <c r="S10" s="106"/>
      <c r="T10" s="106"/>
      <c r="U10" s="106"/>
    </row>
    <row r="11">
      <c r="A11" s="123">
        <v>3.0</v>
      </c>
      <c r="B11" s="92" t="s">
        <v>6828</v>
      </c>
      <c r="C11" s="124">
        <v>2.42510031E8</v>
      </c>
      <c r="D11" s="94" t="s">
        <v>8753</v>
      </c>
      <c r="E11" s="125" t="s">
        <v>5249</v>
      </c>
      <c r="F11" s="126">
        <f>COUNTIFS('Database Presensi SCC'!$B:$B, "*"&amp;IF(B13&lt;&gt;"", B13, C13)&amp;"*", 'Database Presensi SCC'!$C:$C, "Hadir")</f>
        <v>0</v>
      </c>
      <c r="G11" s="126">
        <f>IFERROR(__xludf.DUMMYFUNCTION("COUNTUNIQUEIFS('Database Presensi SCC'!$K:$K, 'Database Presensi SCC'!$H:$H, E13)"),0.0)</f>
        <v>0</v>
      </c>
      <c r="H11" s="126">
        <f t="shared" si="1"/>
        <v>0</v>
      </c>
      <c r="I11" s="106"/>
      <c r="J11" s="106"/>
      <c r="K11" s="106"/>
      <c r="L11" s="106"/>
      <c r="M11" s="106"/>
      <c r="N11" s="106"/>
      <c r="O11" s="106"/>
      <c r="P11" s="106"/>
      <c r="Q11" s="106"/>
      <c r="R11" s="106"/>
      <c r="S11" s="106"/>
      <c r="T11" s="106"/>
      <c r="U11" s="106"/>
    </row>
    <row r="12">
      <c r="A12" s="123">
        <v>4.0</v>
      </c>
      <c r="B12" s="92" t="s">
        <v>6831</v>
      </c>
      <c r="C12" s="124">
        <v>2.42510069E8</v>
      </c>
      <c r="D12" s="94" t="s">
        <v>8754</v>
      </c>
      <c r="E12" s="125" t="s">
        <v>5249</v>
      </c>
      <c r="F12" s="126">
        <f>COUNTIFS('Database Presensi SCC'!$B:$B, "*"&amp;IF(B14&lt;&gt;"", B14, C14)&amp;"*", 'Database Presensi SCC'!$C:$C, "Hadir")</f>
        <v>0</v>
      </c>
      <c r="G12" s="126">
        <f>IFERROR(__xludf.DUMMYFUNCTION("COUNTUNIQUEIFS('Database Presensi SCC'!$K:$K, 'Database Presensi SCC'!$H:$H, E14)"),0.0)</f>
        <v>0</v>
      </c>
      <c r="H12" s="126">
        <f t="shared" si="1"/>
        <v>0</v>
      </c>
      <c r="I12" s="106"/>
      <c r="J12" s="106"/>
      <c r="K12" s="106"/>
      <c r="L12" s="106"/>
      <c r="M12" s="106"/>
      <c r="N12" s="106"/>
      <c r="O12" s="106"/>
      <c r="P12" s="106"/>
      <c r="Q12" s="106"/>
      <c r="R12" s="106"/>
      <c r="S12" s="106"/>
      <c r="T12" s="106"/>
      <c r="U12" s="106"/>
    </row>
    <row r="13">
      <c r="A13" s="123">
        <v>5.0</v>
      </c>
      <c r="B13" s="94" t="s">
        <v>7281</v>
      </c>
      <c r="C13" s="124">
        <v>2.42510074E8</v>
      </c>
      <c r="D13" s="94" t="s">
        <v>8755</v>
      </c>
      <c r="E13" s="125" t="s">
        <v>5249</v>
      </c>
      <c r="F13" s="126">
        <f>COUNTIFS('Database Presensi SCC'!$B:$B, "*"&amp;IF(B15&lt;&gt;"", B15, C15)&amp;"*", 'Database Presensi SCC'!$C:$C, "Hadir")</f>
        <v>0</v>
      </c>
      <c r="G13" s="126">
        <f>IFERROR(__xludf.DUMMYFUNCTION("COUNTUNIQUEIFS('Database Presensi SCC'!$K:$K, 'Database Presensi SCC'!$H:$H, E15)"),0.0)</f>
        <v>0</v>
      </c>
      <c r="H13" s="126">
        <f t="shared" si="1"/>
        <v>0</v>
      </c>
      <c r="I13" s="106"/>
      <c r="J13" s="106"/>
      <c r="K13" s="106"/>
      <c r="L13" s="106"/>
      <c r="M13" s="106"/>
      <c r="N13" s="106"/>
      <c r="O13" s="106"/>
      <c r="P13" s="106"/>
      <c r="Q13" s="106"/>
      <c r="R13" s="106"/>
      <c r="S13" s="106"/>
      <c r="T13" s="106"/>
      <c r="U13" s="106"/>
    </row>
    <row r="14">
      <c r="A14" s="123">
        <v>6.0</v>
      </c>
      <c r="B14" s="94" t="s">
        <v>6834</v>
      </c>
      <c r="C14" s="124">
        <v>2.42510095E8</v>
      </c>
      <c r="D14" s="94" t="s">
        <v>8756</v>
      </c>
      <c r="E14" s="125" t="s">
        <v>5249</v>
      </c>
      <c r="F14" s="126">
        <f>COUNTIFS('Database Presensi SCC'!$B:$B, "*"&amp;IF(B16&lt;&gt;"", B16, C16)&amp;"*", 'Database Presensi SCC'!$C:$C, "Hadir")</f>
        <v>0</v>
      </c>
      <c r="G14" s="126">
        <f>IFERROR(__xludf.DUMMYFUNCTION("COUNTUNIQUEIFS('Database Presensi SCC'!$K:$K, 'Database Presensi SCC'!$H:$H, E16)"),0.0)</f>
        <v>0</v>
      </c>
      <c r="H14" s="126">
        <f t="shared" si="1"/>
        <v>0</v>
      </c>
      <c r="I14" s="106"/>
      <c r="J14" s="106"/>
      <c r="K14" s="106"/>
      <c r="L14" s="106"/>
      <c r="M14" s="106"/>
      <c r="N14" s="106"/>
      <c r="O14" s="106"/>
      <c r="P14" s="106"/>
      <c r="Q14" s="106"/>
      <c r="R14" s="106"/>
      <c r="S14" s="106"/>
      <c r="T14" s="106"/>
      <c r="U14" s="106"/>
    </row>
    <row r="15">
      <c r="A15" s="123">
        <v>7.0</v>
      </c>
      <c r="B15" s="94" t="s">
        <v>7208</v>
      </c>
      <c r="C15" s="124">
        <v>2.42510096E8</v>
      </c>
      <c r="D15" s="94" t="s">
        <v>8757</v>
      </c>
      <c r="E15" s="125" t="s">
        <v>5249</v>
      </c>
      <c r="F15" s="126">
        <f>COUNTIFS('Database Presensi SCC'!$B:$B, "*"&amp;IF(B17&lt;&gt;"", B17, C17)&amp;"*", 'Database Presensi SCC'!$C:$C, "Hadir")</f>
        <v>0</v>
      </c>
      <c r="G15" s="126">
        <f>IFERROR(__xludf.DUMMYFUNCTION("COUNTUNIQUEIFS('Database Presensi SCC'!$K:$K, 'Database Presensi SCC'!$H:$H, E17)"),0.0)</f>
        <v>0</v>
      </c>
      <c r="H15" s="126">
        <f t="shared" si="1"/>
        <v>0</v>
      </c>
      <c r="I15" s="106"/>
      <c r="J15" s="106"/>
      <c r="K15" s="106"/>
      <c r="L15" s="106"/>
      <c r="M15" s="106"/>
      <c r="N15" s="106"/>
      <c r="O15" s="106"/>
      <c r="P15" s="106"/>
      <c r="Q15" s="106"/>
      <c r="R15" s="106"/>
      <c r="S15" s="106"/>
      <c r="T15" s="106"/>
      <c r="U15" s="106"/>
    </row>
    <row r="16">
      <c r="A16" s="123">
        <v>8.0</v>
      </c>
      <c r="B16" s="94" t="s">
        <v>8758</v>
      </c>
      <c r="C16" s="124">
        <v>2.42510114E8</v>
      </c>
      <c r="D16" s="94" t="s">
        <v>8759</v>
      </c>
      <c r="E16" s="125" t="s">
        <v>5249</v>
      </c>
      <c r="F16" s="126">
        <f>COUNTIFS('Database Presensi SCC'!$B:$B, "*"&amp;IF(B18&lt;&gt;"", B18, C18)&amp;"*", 'Database Presensi SCC'!$C:$C, "Hadir")</f>
        <v>0</v>
      </c>
      <c r="G16" s="126">
        <f>IFERROR(__xludf.DUMMYFUNCTION("COUNTUNIQUEIFS('Database Presensi SCC'!$K:$K, 'Database Presensi SCC'!$H:$H, E18)"),0.0)</f>
        <v>0</v>
      </c>
      <c r="H16" s="126">
        <f t="shared" si="1"/>
        <v>0</v>
      </c>
      <c r="I16" s="106"/>
      <c r="J16" s="106"/>
      <c r="K16" s="106"/>
      <c r="L16" s="106"/>
      <c r="M16" s="106"/>
      <c r="N16" s="106"/>
      <c r="O16" s="106"/>
      <c r="P16" s="106"/>
      <c r="Q16" s="106"/>
      <c r="R16" s="106"/>
      <c r="S16" s="106"/>
      <c r="T16" s="106"/>
      <c r="U16" s="106"/>
    </row>
    <row r="17">
      <c r="A17" s="123">
        <v>9.0</v>
      </c>
      <c r="B17" s="94" t="s">
        <v>7291</v>
      </c>
      <c r="C17" s="124">
        <v>2.42510124E8</v>
      </c>
      <c r="D17" s="94" t="s">
        <v>8760</v>
      </c>
      <c r="E17" s="125" t="s">
        <v>5249</v>
      </c>
      <c r="F17" s="126">
        <f>COUNTIFS('Database Presensi SCC'!$B:$B, "*"&amp;IF(B19&lt;&gt;"", B19, C19)&amp;"*", 'Database Presensi SCC'!$C:$C, "Hadir")</f>
        <v>0</v>
      </c>
      <c r="G17" s="126">
        <f>IFERROR(__xludf.DUMMYFUNCTION("COUNTUNIQUEIFS('Database Presensi SCC'!$K:$K, 'Database Presensi SCC'!$H:$H, E19)"),0.0)</f>
        <v>0</v>
      </c>
      <c r="H17" s="126">
        <f t="shared" si="1"/>
        <v>0</v>
      </c>
      <c r="I17" s="106"/>
      <c r="J17" s="106"/>
      <c r="K17" s="106"/>
      <c r="L17" s="106"/>
      <c r="M17" s="106"/>
      <c r="N17" s="106"/>
      <c r="O17" s="106"/>
      <c r="P17" s="106"/>
      <c r="Q17" s="106"/>
      <c r="R17" s="106"/>
      <c r="S17" s="106"/>
      <c r="T17" s="106"/>
      <c r="U17" s="106"/>
    </row>
    <row r="18">
      <c r="A18" s="123">
        <v>10.0</v>
      </c>
      <c r="B18" s="94" t="s">
        <v>7576</v>
      </c>
      <c r="C18" s="124">
        <v>2.42510132E8</v>
      </c>
      <c r="D18" s="94" t="s">
        <v>8761</v>
      </c>
      <c r="E18" s="125" t="s">
        <v>5249</v>
      </c>
      <c r="F18" s="126">
        <f>COUNTIFS('Database Presensi SCC'!$B:$B, "*"&amp;IF(B20&lt;&gt;"", B20, C20)&amp;"*", 'Database Presensi SCC'!$C:$C, "Hadir")</f>
        <v>0</v>
      </c>
      <c r="G18" s="126">
        <f>IFERROR(__xludf.DUMMYFUNCTION("COUNTUNIQUEIFS('Database Presensi SCC'!$K:$K, 'Database Presensi SCC'!$H:$H, E20)"),0.0)</f>
        <v>0</v>
      </c>
      <c r="H18" s="126">
        <f t="shared" si="1"/>
        <v>0</v>
      </c>
      <c r="I18" s="106"/>
      <c r="J18" s="106"/>
      <c r="K18" s="106"/>
      <c r="L18" s="106"/>
      <c r="M18" s="106"/>
      <c r="N18" s="106"/>
      <c r="O18" s="106"/>
      <c r="P18" s="106"/>
      <c r="Q18" s="106"/>
      <c r="R18" s="106"/>
      <c r="S18" s="106"/>
      <c r="T18" s="106"/>
      <c r="U18" s="106"/>
    </row>
    <row r="19">
      <c r="A19" s="123">
        <v>11.0</v>
      </c>
      <c r="B19" s="94" t="s">
        <v>7580</v>
      </c>
      <c r="C19" s="124">
        <v>2.4251014E8</v>
      </c>
      <c r="D19" s="94" t="s">
        <v>8762</v>
      </c>
      <c r="E19" s="125" t="s">
        <v>5249</v>
      </c>
      <c r="F19" s="126">
        <f>COUNTIFS('Database Presensi SCC'!$B:$B, "*"&amp;IF(B21&lt;&gt;"", B21, C21)&amp;"*", 'Database Presensi SCC'!$C:$C, "Hadir")</f>
        <v>0</v>
      </c>
      <c r="G19" s="126">
        <f>IFERROR(__xludf.DUMMYFUNCTION("COUNTUNIQUEIFS('Database Presensi SCC'!$K:$K, 'Database Presensi SCC'!$H:$H, E21)"),0.0)</f>
        <v>0</v>
      </c>
      <c r="H19" s="126">
        <f t="shared" si="1"/>
        <v>0</v>
      </c>
      <c r="I19" s="106"/>
      <c r="J19" s="106"/>
      <c r="K19" s="106"/>
      <c r="L19" s="106"/>
      <c r="M19" s="106"/>
      <c r="N19" s="106"/>
      <c r="O19" s="106"/>
      <c r="P19" s="106"/>
      <c r="Q19" s="106"/>
      <c r="R19" s="106"/>
      <c r="S19" s="106"/>
      <c r="T19" s="106"/>
      <c r="U19" s="106"/>
    </row>
    <row r="20">
      <c r="A20" s="123">
        <v>12.0</v>
      </c>
      <c r="B20" s="94" t="s">
        <v>7582</v>
      </c>
      <c r="C20" s="124">
        <v>2.42510145E8</v>
      </c>
      <c r="D20" s="94" t="s">
        <v>8763</v>
      </c>
      <c r="E20" s="125" t="s">
        <v>5249</v>
      </c>
      <c r="F20" s="126">
        <f>COUNTIFS('Database Presensi SCC'!$B:$B, "*"&amp;IF(B22&lt;&gt;"", B22, C22)&amp;"*", 'Database Presensi SCC'!$C:$C, "Hadir")</f>
        <v>0</v>
      </c>
      <c r="G20" s="126">
        <f>IFERROR(__xludf.DUMMYFUNCTION("COUNTUNIQUEIFS('Database Presensi SCC'!$K:$K, 'Database Presensi SCC'!$H:$H, E22)"),0.0)</f>
        <v>0</v>
      </c>
      <c r="H20" s="126">
        <f t="shared" si="1"/>
        <v>0</v>
      </c>
      <c r="I20" s="106"/>
      <c r="J20" s="106"/>
      <c r="K20" s="106"/>
      <c r="L20" s="106"/>
      <c r="M20" s="106"/>
      <c r="N20" s="106"/>
      <c r="O20" s="106"/>
      <c r="P20" s="106"/>
      <c r="Q20" s="106"/>
      <c r="R20" s="106"/>
      <c r="S20" s="106"/>
      <c r="T20" s="106"/>
      <c r="U20" s="106"/>
    </row>
    <row r="21">
      <c r="A21" s="123">
        <v>13.0</v>
      </c>
      <c r="B21" s="92" t="s">
        <v>7514</v>
      </c>
      <c r="C21" s="124">
        <v>2.42510174E8</v>
      </c>
      <c r="D21" s="94" t="s">
        <v>8764</v>
      </c>
      <c r="E21" s="125" t="s">
        <v>5249</v>
      </c>
      <c r="F21" s="126">
        <f>COUNTIFS('Database Presensi SCC'!$B:$B, "*"&amp;IF(B23&lt;&gt;"", B23, C23)&amp;"*", 'Database Presensi SCC'!$C:$C, "Hadir")</f>
        <v>0</v>
      </c>
      <c r="G21" s="126">
        <f>IFERROR(__xludf.DUMMYFUNCTION("COUNTUNIQUEIFS('Database Presensi SCC'!$K:$K, 'Database Presensi SCC'!$H:$H, E23)"),0.0)</f>
        <v>0</v>
      </c>
      <c r="H21" s="126">
        <f t="shared" si="1"/>
        <v>0</v>
      </c>
      <c r="I21" s="106"/>
      <c r="J21" s="106"/>
      <c r="K21" s="106"/>
      <c r="L21" s="106"/>
      <c r="M21" s="106"/>
      <c r="N21" s="106"/>
      <c r="O21" s="106"/>
      <c r="P21" s="106"/>
      <c r="Q21" s="106"/>
      <c r="R21" s="106"/>
      <c r="S21" s="106"/>
      <c r="T21" s="106"/>
      <c r="U21" s="106"/>
    </row>
    <row r="22">
      <c r="A22" s="123">
        <v>14.0</v>
      </c>
      <c r="B22" s="94" t="s">
        <v>7437</v>
      </c>
      <c r="C22" s="124">
        <v>2.42510181E8</v>
      </c>
      <c r="D22" s="94" t="s">
        <v>8765</v>
      </c>
      <c r="E22" s="125" t="s">
        <v>5249</v>
      </c>
      <c r="F22" s="126">
        <f>COUNTIFS('Database Presensi SCC'!$B:$B, "*"&amp;IF(B24&lt;&gt;"", B24, C24)&amp;"*", 'Database Presensi SCC'!$C:$C, "Hadir")</f>
        <v>0</v>
      </c>
      <c r="G22" s="126">
        <f>IFERROR(__xludf.DUMMYFUNCTION("COUNTUNIQUEIFS('Database Presensi SCC'!$K:$K, 'Database Presensi SCC'!$H:$H, E24)"),0.0)</f>
        <v>0</v>
      </c>
      <c r="H22" s="126">
        <f t="shared" si="1"/>
        <v>0</v>
      </c>
      <c r="I22" s="106"/>
      <c r="J22" s="106"/>
      <c r="K22" s="106"/>
      <c r="L22" s="106"/>
      <c r="M22" s="106"/>
      <c r="N22" s="106"/>
      <c r="O22" s="106"/>
      <c r="P22" s="106"/>
      <c r="Q22" s="106"/>
      <c r="R22" s="106"/>
      <c r="S22" s="106"/>
      <c r="T22" s="106"/>
      <c r="U22" s="106"/>
    </row>
    <row r="23">
      <c r="A23" s="123">
        <v>15.0</v>
      </c>
      <c r="B23" s="94" t="s">
        <v>6850</v>
      </c>
      <c r="C23" s="124">
        <v>2.42510183E8</v>
      </c>
      <c r="D23" s="94" t="s">
        <v>8766</v>
      </c>
      <c r="E23" s="125" t="s">
        <v>5249</v>
      </c>
      <c r="F23" s="126">
        <f>COUNTIFS('Database Presensi SCC'!$B:$B, "*"&amp;IF(B25&lt;&gt;"", B25, C25)&amp;"*", 'Database Presensi SCC'!$C:$C, "Hadir")</f>
        <v>0</v>
      </c>
      <c r="G23" s="126">
        <f>IFERROR(__xludf.DUMMYFUNCTION("COUNTUNIQUEIFS('Database Presensi SCC'!$K:$K, 'Database Presensi SCC'!$H:$H, E25)"),0.0)</f>
        <v>0</v>
      </c>
      <c r="H23" s="126">
        <f t="shared" si="1"/>
        <v>0</v>
      </c>
      <c r="I23" s="106"/>
      <c r="J23" s="106"/>
      <c r="K23" s="106"/>
      <c r="L23" s="106"/>
      <c r="M23" s="106"/>
      <c r="N23" s="106"/>
      <c r="O23" s="106"/>
      <c r="P23" s="106"/>
      <c r="Q23" s="106"/>
      <c r="R23" s="106"/>
      <c r="S23" s="106"/>
      <c r="T23" s="106"/>
      <c r="U23" s="106"/>
    </row>
    <row r="24">
      <c r="A24" s="123">
        <v>16.0</v>
      </c>
      <c r="B24" s="94" t="s">
        <v>7080</v>
      </c>
      <c r="C24" s="124">
        <v>2.42510185E8</v>
      </c>
      <c r="D24" s="94" t="s">
        <v>8767</v>
      </c>
      <c r="E24" s="125" t="s">
        <v>5249</v>
      </c>
      <c r="F24" s="126">
        <f>COUNTIFS('Database Presensi SCC'!$B:$B, "*"&amp;IF(B26&lt;&gt;"", B26, C26)&amp;"*", 'Database Presensi SCC'!$C:$C, "Hadir")</f>
        <v>0</v>
      </c>
      <c r="G24" s="126">
        <f>IFERROR(__xludf.DUMMYFUNCTION("COUNTUNIQUEIFS('Database Presensi SCC'!$K:$K, 'Database Presensi SCC'!$H:$H, E26)"),0.0)</f>
        <v>0</v>
      </c>
      <c r="H24" s="126">
        <f t="shared" si="1"/>
        <v>0</v>
      </c>
      <c r="I24" s="106"/>
      <c r="J24" s="106"/>
      <c r="K24" s="106"/>
      <c r="L24" s="106"/>
      <c r="M24" s="106"/>
      <c r="N24" s="106"/>
      <c r="O24" s="106"/>
      <c r="P24" s="106"/>
      <c r="Q24" s="106"/>
      <c r="R24" s="106"/>
      <c r="S24" s="106"/>
      <c r="T24" s="106"/>
      <c r="U24" s="106"/>
    </row>
    <row r="25">
      <c r="A25" s="123">
        <v>17.0</v>
      </c>
      <c r="B25" s="94" t="s">
        <v>6855</v>
      </c>
      <c r="C25" s="124">
        <v>2.42510189E8</v>
      </c>
      <c r="D25" s="94" t="s">
        <v>8768</v>
      </c>
      <c r="E25" s="125" t="s">
        <v>5249</v>
      </c>
      <c r="F25" s="126">
        <f>COUNTIFS('Database Presensi SCC'!$B:$B, "*"&amp;IF(B27&lt;&gt;"", B27, C27)&amp;"*", 'Database Presensi SCC'!$C:$C, "Hadir")</f>
        <v>0</v>
      </c>
      <c r="G25" s="126">
        <f>IFERROR(__xludf.DUMMYFUNCTION("COUNTUNIQUEIFS('Database Presensi SCC'!$K:$K, 'Database Presensi SCC'!$H:$H, E27)"),0.0)</f>
        <v>0</v>
      </c>
      <c r="H25" s="126">
        <f t="shared" si="1"/>
        <v>0</v>
      </c>
      <c r="I25" s="106"/>
      <c r="J25" s="106"/>
      <c r="K25" s="106"/>
      <c r="L25" s="106"/>
      <c r="M25" s="106"/>
      <c r="N25" s="106"/>
      <c r="O25" s="106"/>
      <c r="P25" s="106"/>
      <c r="Q25" s="106"/>
      <c r="R25" s="106"/>
      <c r="S25" s="106"/>
      <c r="T25" s="106"/>
      <c r="U25" s="106"/>
    </row>
    <row r="26">
      <c r="A26" s="123">
        <v>18.0</v>
      </c>
      <c r="B26" s="94" t="s">
        <v>7598</v>
      </c>
      <c r="C26" s="124">
        <v>2.42510194E8</v>
      </c>
      <c r="D26" s="94" t="s">
        <v>8769</v>
      </c>
      <c r="E26" s="125" t="s">
        <v>5249</v>
      </c>
      <c r="F26" s="126">
        <f>COUNTIFS('Database Presensi SCC'!$B:$B, "*"&amp;IF(B28&lt;&gt;"", B28, C28)&amp;"*", 'Database Presensi SCC'!$C:$C, "Hadir")</f>
        <v>0</v>
      </c>
      <c r="G26" s="126">
        <f>IFERROR(__xludf.DUMMYFUNCTION("COUNTUNIQUEIFS('Database Presensi SCC'!$K:$K, 'Database Presensi SCC'!$H:$H, E28)"),0.0)</f>
        <v>0</v>
      </c>
      <c r="H26" s="126">
        <f t="shared" si="1"/>
        <v>0</v>
      </c>
      <c r="I26" s="106"/>
      <c r="J26" s="106"/>
      <c r="K26" s="106"/>
      <c r="L26" s="106"/>
      <c r="M26" s="106"/>
      <c r="N26" s="106"/>
      <c r="O26" s="106"/>
      <c r="P26" s="106"/>
      <c r="Q26" s="106"/>
      <c r="R26" s="106"/>
      <c r="S26" s="106"/>
      <c r="T26" s="106"/>
      <c r="U26" s="106"/>
    </row>
    <row r="27">
      <c r="A27" s="123">
        <v>19.0</v>
      </c>
      <c r="B27" s="92" t="s">
        <v>7604</v>
      </c>
      <c r="C27" s="124">
        <v>2.42510218E8</v>
      </c>
      <c r="D27" s="94" t="s">
        <v>8770</v>
      </c>
      <c r="E27" s="125" t="s">
        <v>5249</v>
      </c>
      <c r="F27" s="126">
        <f>COUNTIFS('Database Presensi SCC'!$B:$B, "*"&amp;IF(B29&lt;&gt;"", B29, C29)&amp;"*", 'Database Presensi SCC'!$C:$C, "Hadir")</f>
        <v>0</v>
      </c>
      <c r="G27" s="126">
        <f>IFERROR(__xludf.DUMMYFUNCTION("COUNTUNIQUEIFS('Database Presensi SCC'!$K:$K, 'Database Presensi SCC'!$H:$H, E29)"),0.0)</f>
        <v>0</v>
      </c>
      <c r="H27" s="126">
        <f t="shared" si="1"/>
        <v>0</v>
      </c>
      <c r="I27" s="106"/>
      <c r="J27" s="106"/>
      <c r="K27" s="106"/>
      <c r="L27" s="106"/>
      <c r="M27" s="106"/>
      <c r="N27" s="106"/>
      <c r="O27" s="106"/>
      <c r="P27" s="106"/>
      <c r="Q27" s="106"/>
      <c r="R27" s="106"/>
      <c r="S27" s="106"/>
      <c r="T27" s="106"/>
      <c r="U27" s="106"/>
    </row>
    <row r="28">
      <c r="A28" s="123">
        <v>20.0</v>
      </c>
      <c r="B28" s="92" t="s">
        <v>7520</v>
      </c>
      <c r="C28" s="124">
        <v>2.42510224E8</v>
      </c>
      <c r="D28" s="94" t="s">
        <v>8771</v>
      </c>
      <c r="E28" s="125" t="s">
        <v>5249</v>
      </c>
      <c r="F28" s="126">
        <f>COUNTIFS('Database Presensi SCC'!$B:$B, "*"&amp;IF(B30&lt;&gt;"", B30, C30)&amp;"*", 'Database Presensi SCC'!$C:$C, "Hadir")</f>
        <v>0</v>
      </c>
      <c r="G28" s="126">
        <f>IFERROR(__xludf.DUMMYFUNCTION("COUNTUNIQUEIFS('Database Presensi SCC'!$K:$K, 'Database Presensi SCC'!$H:$H, E30)"),0.0)</f>
        <v>0</v>
      </c>
      <c r="H28" s="126">
        <f t="shared" si="1"/>
        <v>0</v>
      </c>
      <c r="I28" s="106"/>
      <c r="J28" s="106"/>
      <c r="K28" s="106"/>
      <c r="L28" s="106"/>
      <c r="M28" s="106"/>
      <c r="N28" s="106"/>
      <c r="O28" s="106"/>
      <c r="P28" s="106"/>
      <c r="Q28" s="106"/>
      <c r="R28" s="106"/>
      <c r="S28" s="106"/>
      <c r="T28" s="106"/>
      <c r="U28" s="106"/>
    </row>
    <row r="29">
      <c r="A29" s="123">
        <v>21.0</v>
      </c>
      <c r="B29" s="94" t="s">
        <v>7234</v>
      </c>
      <c r="C29" s="124">
        <v>2.42510248E8</v>
      </c>
      <c r="D29" s="94" t="s">
        <v>8772</v>
      </c>
      <c r="E29" s="125" t="s">
        <v>5249</v>
      </c>
      <c r="F29" s="126">
        <f>COUNTIFS('Database Presensi SCC'!$B:$B, "*"&amp;IF(B31&lt;&gt;"", B31, C31)&amp;"*", 'Database Presensi SCC'!$C:$C, "Hadir")</f>
        <v>0</v>
      </c>
      <c r="G29" s="126">
        <f>IFERROR(__xludf.DUMMYFUNCTION("COUNTUNIQUEIFS('Database Presensi SCC'!$K:$K, 'Database Presensi SCC'!$H:$H, E31)"),0.0)</f>
        <v>0</v>
      </c>
      <c r="H29" s="126">
        <f t="shared" si="1"/>
        <v>0</v>
      </c>
      <c r="I29" s="106"/>
      <c r="J29" s="106"/>
      <c r="K29" s="106"/>
      <c r="L29" s="106"/>
      <c r="M29" s="106"/>
      <c r="N29" s="106"/>
      <c r="O29" s="106"/>
      <c r="P29" s="106"/>
      <c r="Q29" s="106"/>
      <c r="R29" s="106"/>
      <c r="S29" s="106"/>
      <c r="T29" s="106"/>
      <c r="U29" s="106"/>
    </row>
    <row r="30">
      <c r="A30" s="123">
        <v>22.0</v>
      </c>
      <c r="B30" s="94" t="s">
        <v>8773</v>
      </c>
      <c r="C30" s="124">
        <v>2.42510257E8</v>
      </c>
      <c r="D30" s="94" t="s">
        <v>8774</v>
      </c>
      <c r="E30" s="125" t="s">
        <v>5249</v>
      </c>
      <c r="F30" s="126">
        <f>COUNTIFS('Database Presensi SCC'!$B:$B, "*"&amp;IF(B32&lt;&gt;"", B32, C32)&amp;"*", 'Database Presensi SCC'!$C:$C, "Hadir")</f>
        <v>0</v>
      </c>
      <c r="G30" s="126">
        <f>IFERROR(__xludf.DUMMYFUNCTION("COUNTUNIQUEIFS('Database Presensi SCC'!$K:$K, 'Database Presensi SCC'!$H:$H, E32)"),0.0)</f>
        <v>0</v>
      </c>
      <c r="H30" s="126">
        <f t="shared" si="1"/>
        <v>0</v>
      </c>
      <c r="I30" s="106"/>
      <c r="J30" s="106"/>
      <c r="K30" s="106"/>
      <c r="L30" s="106"/>
      <c r="M30" s="106"/>
      <c r="N30" s="106"/>
      <c r="O30" s="106"/>
      <c r="P30" s="106"/>
      <c r="Q30" s="106"/>
      <c r="R30" s="106"/>
      <c r="S30" s="106"/>
      <c r="T30" s="106"/>
      <c r="U30" s="106"/>
    </row>
    <row r="31">
      <c r="A31" s="123">
        <v>23.0</v>
      </c>
      <c r="B31" s="94" t="s">
        <v>6938</v>
      </c>
      <c r="C31" s="124">
        <v>2.42510274E8</v>
      </c>
      <c r="D31" s="94" t="s">
        <v>8775</v>
      </c>
      <c r="E31" s="125" t="s">
        <v>5249</v>
      </c>
      <c r="F31" s="126">
        <f>COUNTIFS('Database Presensi SCC'!$B:$B, "*"&amp;IF(B33&lt;&gt;"", B33, C33)&amp;"*", 'Database Presensi SCC'!$C:$C, "Hadir")</f>
        <v>0</v>
      </c>
      <c r="G31" s="126">
        <f>IFERROR(__xludf.DUMMYFUNCTION("COUNTUNIQUEIFS('Database Presensi SCC'!$K:$K, 'Database Presensi SCC'!$H:$H, E33)"),0.0)</f>
        <v>0</v>
      </c>
      <c r="H31" s="126">
        <f t="shared" si="1"/>
        <v>0</v>
      </c>
      <c r="I31" s="106"/>
      <c r="J31" s="106"/>
      <c r="K31" s="106"/>
      <c r="L31" s="106"/>
      <c r="M31" s="106"/>
      <c r="N31" s="106"/>
      <c r="O31" s="106"/>
      <c r="P31" s="106"/>
      <c r="Q31" s="106"/>
      <c r="R31" s="106"/>
      <c r="S31" s="106"/>
      <c r="T31" s="106"/>
      <c r="U31" s="106"/>
    </row>
    <row r="32">
      <c r="A32" s="123">
        <v>24.0</v>
      </c>
      <c r="B32" s="94" t="s">
        <v>7394</v>
      </c>
      <c r="C32" s="124">
        <v>2.42510288E8</v>
      </c>
      <c r="D32" s="94" t="s">
        <v>8776</v>
      </c>
      <c r="E32" s="125" t="s">
        <v>5249</v>
      </c>
      <c r="F32" s="126">
        <f>COUNTIFS('Database Presensi SCC'!$B:$B, "*"&amp;IF(B34&lt;&gt;"", B34, C34)&amp;"*", 'Database Presensi SCC'!$C:$C, "Hadir")</f>
        <v>0</v>
      </c>
      <c r="G32" s="126">
        <f>IFERROR(__xludf.DUMMYFUNCTION("COUNTUNIQUEIFS('Database Presensi SCC'!$K:$K, 'Database Presensi SCC'!$H:$H, E34)"),0.0)</f>
        <v>0</v>
      </c>
      <c r="H32" s="126">
        <f t="shared" si="1"/>
        <v>0</v>
      </c>
      <c r="I32" s="106"/>
      <c r="J32" s="106"/>
      <c r="K32" s="106"/>
      <c r="L32" s="106"/>
      <c r="M32" s="106"/>
      <c r="N32" s="106"/>
      <c r="O32" s="106"/>
      <c r="P32" s="106"/>
      <c r="Q32" s="106"/>
      <c r="R32" s="106"/>
      <c r="S32" s="106"/>
      <c r="T32" s="106"/>
      <c r="U32" s="106"/>
    </row>
    <row r="33">
      <c r="A33" s="123">
        <v>25.0</v>
      </c>
      <c r="B33" s="94" t="s">
        <v>6942</v>
      </c>
      <c r="C33" s="124">
        <v>2.42510304E8</v>
      </c>
      <c r="D33" s="94" t="s">
        <v>8777</v>
      </c>
      <c r="E33" s="125" t="s">
        <v>5249</v>
      </c>
      <c r="F33" s="126">
        <f>COUNTIFS('Database Presensi SCC'!$B:$B, "*"&amp;IF(B35&lt;&gt;"", B35, C35)&amp;"*", 'Database Presensi SCC'!$C:$C, "Hadir")</f>
        <v>0</v>
      </c>
      <c r="G33" s="126">
        <f>IFERROR(__xludf.DUMMYFUNCTION("COUNTUNIQUEIFS('Database Presensi SCC'!$K:$K, 'Database Presensi SCC'!$H:$H, E35)"),0.0)</f>
        <v>0</v>
      </c>
      <c r="H33" s="126">
        <f t="shared" si="1"/>
        <v>0</v>
      </c>
      <c r="I33" s="106"/>
      <c r="J33" s="106"/>
      <c r="K33" s="106"/>
      <c r="L33" s="106"/>
      <c r="M33" s="106"/>
      <c r="N33" s="106"/>
      <c r="O33" s="106"/>
      <c r="P33" s="106"/>
      <c r="Q33" s="106"/>
      <c r="R33" s="106"/>
      <c r="S33" s="106"/>
      <c r="T33" s="106"/>
      <c r="U33" s="106"/>
    </row>
    <row r="34">
      <c r="A34" s="123">
        <v>26.0</v>
      </c>
      <c r="B34" s="94" t="s">
        <v>7315</v>
      </c>
      <c r="C34" s="124">
        <v>2.42510305E8</v>
      </c>
      <c r="D34" s="94" t="s">
        <v>8778</v>
      </c>
      <c r="E34" s="125" t="s">
        <v>5249</v>
      </c>
      <c r="F34" s="126">
        <f>COUNTIFS('Database Presensi SCC'!$B:$B, "*"&amp;IF(B36&lt;&gt;"", B36, C36)&amp;"*", 'Database Presensi SCC'!$C:$C, "Hadir")</f>
        <v>0</v>
      </c>
      <c r="G34" s="126">
        <f>IFERROR(__xludf.DUMMYFUNCTION("COUNTUNIQUEIFS('Database Presensi SCC'!$K:$K, 'Database Presensi SCC'!$H:$H, E36)"),0.0)</f>
        <v>0</v>
      </c>
      <c r="H34" s="126">
        <f t="shared" si="1"/>
        <v>0</v>
      </c>
      <c r="I34" s="106"/>
      <c r="J34" s="106"/>
      <c r="K34" s="106"/>
      <c r="L34" s="106"/>
      <c r="M34" s="106"/>
      <c r="N34" s="106"/>
      <c r="O34" s="106"/>
      <c r="P34" s="106"/>
      <c r="Q34" s="106"/>
      <c r="R34" s="106"/>
      <c r="S34" s="106"/>
      <c r="T34" s="106"/>
      <c r="U34" s="106"/>
    </row>
    <row r="35">
      <c r="A35" s="123">
        <v>27.0</v>
      </c>
      <c r="B35" s="94" t="s">
        <v>7398</v>
      </c>
      <c r="C35" s="124">
        <v>2.42510309E8</v>
      </c>
      <c r="D35" s="94" t="s">
        <v>8779</v>
      </c>
      <c r="E35" s="125" t="s">
        <v>5249</v>
      </c>
      <c r="F35" s="126">
        <f>COUNTIFS('Database Presensi SCC'!$B:$B, "*"&amp;IF(B37&lt;&gt;"", B37, C37)&amp;"*", 'Database Presensi SCC'!$C:$C, "Hadir")</f>
        <v>0</v>
      </c>
      <c r="G35" s="126">
        <f>IFERROR(__xludf.DUMMYFUNCTION("COUNTUNIQUEIFS('Database Presensi SCC'!$K:$K, 'Database Presensi SCC'!$H:$H, E37)"),0.0)</f>
        <v>0</v>
      </c>
      <c r="H35" s="126">
        <f t="shared" si="1"/>
        <v>0</v>
      </c>
      <c r="I35" s="106"/>
      <c r="J35" s="106"/>
      <c r="K35" s="106"/>
      <c r="L35" s="106"/>
      <c r="M35" s="106"/>
      <c r="N35" s="106"/>
      <c r="O35" s="106"/>
      <c r="P35" s="106"/>
      <c r="Q35" s="106"/>
      <c r="R35" s="106"/>
      <c r="S35" s="106"/>
      <c r="T35" s="106"/>
      <c r="U35" s="106"/>
    </row>
    <row r="36">
      <c r="A36" s="123">
        <v>28.0</v>
      </c>
      <c r="B36" s="94" t="s">
        <v>7618</v>
      </c>
      <c r="C36" s="124">
        <v>2.42510339E8</v>
      </c>
      <c r="D36" s="94" t="s">
        <v>8780</v>
      </c>
      <c r="E36" s="125" t="s">
        <v>5249</v>
      </c>
      <c r="F36" s="126">
        <f>COUNTIFS('Database Presensi SCC'!$B:$B, "*"&amp;IF(B38&lt;&gt;"", B38, C38)&amp;"*", 'Database Presensi SCC'!$C:$C, "Hadir")</f>
        <v>0</v>
      </c>
      <c r="G36" s="126">
        <f>IFERROR(__xludf.DUMMYFUNCTION("COUNTUNIQUEIFS('Database Presensi SCC'!$K:$K, 'Database Presensi SCC'!$H:$H, E38)"),0.0)</f>
        <v>0</v>
      </c>
      <c r="H36" s="126">
        <f t="shared" si="1"/>
        <v>0</v>
      </c>
      <c r="I36" s="106"/>
      <c r="J36" s="106"/>
      <c r="K36" s="106"/>
      <c r="L36" s="106"/>
      <c r="M36" s="106"/>
      <c r="N36" s="106"/>
      <c r="O36" s="106"/>
      <c r="P36" s="106"/>
      <c r="Q36" s="106"/>
      <c r="R36" s="106"/>
      <c r="S36" s="106"/>
      <c r="T36" s="106"/>
      <c r="U36" s="106"/>
    </row>
    <row r="37">
      <c r="A37" s="123">
        <v>29.0</v>
      </c>
      <c r="B37" s="94" t="s">
        <v>7104</v>
      </c>
      <c r="C37" s="124">
        <v>2.42510341E8</v>
      </c>
      <c r="D37" s="94" t="s">
        <v>8781</v>
      </c>
      <c r="E37" s="125" t="s">
        <v>5249</v>
      </c>
      <c r="F37" s="126">
        <f>COUNTIFS('Database Presensi SCC'!$B:$B, "*"&amp;IF(B39&lt;&gt;"", B39, C39)&amp;"*", 'Database Presensi SCC'!$C:$C, "Hadir")</f>
        <v>0</v>
      </c>
      <c r="G37" s="126">
        <f>IFERROR(__xludf.DUMMYFUNCTION("COUNTUNIQUEIFS('Database Presensi SCC'!$K:$K, 'Database Presensi SCC'!$H:$H, E39)"),0.0)</f>
        <v>0</v>
      </c>
      <c r="H37" s="126">
        <f t="shared" si="1"/>
        <v>0</v>
      </c>
      <c r="I37" s="106"/>
      <c r="J37" s="106"/>
      <c r="K37" s="106"/>
      <c r="L37" s="106"/>
      <c r="M37" s="106"/>
      <c r="N37" s="106"/>
      <c r="O37" s="106"/>
      <c r="P37" s="106"/>
      <c r="Q37" s="106"/>
      <c r="R37" s="106"/>
      <c r="S37" s="106"/>
      <c r="T37" s="106"/>
      <c r="U37" s="106"/>
    </row>
    <row r="38">
      <c r="A38" s="123">
        <v>30.0</v>
      </c>
      <c r="B38" s="94" t="s">
        <v>7110</v>
      </c>
      <c r="C38" s="124">
        <v>2.42510349E8</v>
      </c>
      <c r="D38" s="94" t="s">
        <v>8782</v>
      </c>
      <c r="E38" s="125" t="s">
        <v>5249</v>
      </c>
      <c r="F38" s="126">
        <f>COUNTIFS('Database Presensi SCC'!$B:$B, "*"&amp;IF(B40&lt;&gt;"", B40, C40)&amp;"*", 'Database Presensi SCC'!$C:$C, "Hadir")</f>
        <v>0</v>
      </c>
      <c r="G38" s="126">
        <f>IFERROR(__xludf.DUMMYFUNCTION("COUNTUNIQUEIFS('Database Presensi SCC'!$K:$K, 'Database Presensi SCC'!$H:$H, E40)"),0.0)</f>
        <v>0</v>
      </c>
      <c r="H38" s="126">
        <f t="shared" si="1"/>
        <v>0</v>
      </c>
      <c r="I38" s="106"/>
      <c r="J38" s="106"/>
      <c r="K38" s="106"/>
      <c r="L38" s="106"/>
      <c r="M38" s="106"/>
      <c r="N38" s="106"/>
      <c r="O38" s="106"/>
      <c r="P38" s="106"/>
      <c r="Q38" s="106"/>
      <c r="R38" s="106"/>
      <c r="S38" s="106"/>
      <c r="T38" s="106"/>
      <c r="U38" s="106"/>
    </row>
    <row r="39">
      <c r="A39" s="123">
        <v>31.0</v>
      </c>
      <c r="B39" s="94" t="s">
        <v>7475</v>
      </c>
      <c r="C39" s="124">
        <v>2.42510352E8</v>
      </c>
      <c r="D39" s="94" t="s">
        <v>8783</v>
      </c>
      <c r="E39" s="125" t="s">
        <v>5249</v>
      </c>
      <c r="F39" s="126">
        <f>COUNTIFS('Database Presensi SCC'!$B:$B, "*"&amp;IF(B41&lt;&gt;"", B41, C41)&amp;"*", 'Database Presensi SCC'!$C:$C, "Hadir")</f>
        <v>0</v>
      </c>
      <c r="G39" s="126">
        <f>IFERROR(__xludf.DUMMYFUNCTION("COUNTUNIQUEIFS('Database Presensi SCC'!$K:$K, 'Database Presensi SCC'!$H:$H, E41)"),0.0)</f>
        <v>0</v>
      </c>
      <c r="H39" s="126">
        <f t="shared" si="1"/>
        <v>0</v>
      </c>
      <c r="I39" s="106"/>
      <c r="J39" s="106"/>
      <c r="K39" s="106"/>
      <c r="L39" s="106"/>
      <c r="M39" s="106"/>
      <c r="N39" s="106"/>
      <c r="O39" s="106"/>
      <c r="P39" s="106"/>
      <c r="Q39" s="106"/>
      <c r="R39" s="106"/>
      <c r="S39" s="106"/>
      <c r="T39" s="106"/>
      <c r="U39" s="106"/>
    </row>
    <row r="40">
      <c r="A40" s="123">
        <v>32.0</v>
      </c>
      <c r="B40" s="94" t="s">
        <v>7541</v>
      </c>
      <c r="C40" s="124">
        <v>2.42510361E8</v>
      </c>
      <c r="D40" s="94" t="s">
        <v>8784</v>
      </c>
      <c r="E40" s="125" t="s">
        <v>5249</v>
      </c>
      <c r="F40" s="126">
        <f>COUNTIFS('Database Presensi SCC'!$B:$B, "*"&amp;IF(B42&lt;&gt;"", B42, C42)&amp;"*", 'Database Presensi SCC'!$C:$C, "Hadir")</f>
        <v>0</v>
      </c>
      <c r="G40" s="126">
        <f>IFERROR(__xludf.DUMMYFUNCTION("COUNTUNIQUEIFS('Database Presensi SCC'!$K:$K, 'Database Presensi SCC'!$H:$H, E42)"),0.0)</f>
        <v>0</v>
      </c>
      <c r="H40" s="126">
        <f t="shared" si="1"/>
        <v>0</v>
      </c>
      <c r="I40" s="106"/>
      <c r="J40" s="106"/>
      <c r="K40" s="106"/>
      <c r="L40" s="106"/>
      <c r="M40" s="106"/>
      <c r="N40" s="106"/>
      <c r="O40" s="106"/>
      <c r="P40" s="106"/>
      <c r="Q40" s="106"/>
      <c r="R40" s="106"/>
      <c r="S40" s="106"/>
      <c r="T40" s="106"/>
      <c r="U40" s="106"/>
    </row>
    <row r="41">
      <c r="A41" s="123">
        <v>33.0</v>
      </c>
      <c r="B41" s="94" t="s">
        <v>6965</v>
      </c>
      <c r="C41" s="124">
        <v>2.42510387E8</v>
      </c>
      <c r="D41" s="94" t="s">
        <v>8785</v>
      </c>
      <c r="E41" s="125" t="s">
        <v>5249</v>
      </c>
      <c r="F41" s="126">
        <f>COUNTIFS('Database Presensi SCC'!$B:$B, "*"&amp;IF(B43&lt;&gt;"", B43, C43)&amp;"*", 'Database Presensi SCC'!$C:$C, "Hadir")</f>
        <v>0</v>
      </c>
      <c r="G41" s="126">
        <f>IFERROR(__xludf.DUMMYFUNCTION("COUNTUNIQUEIFS('Database Presensi SCC'!$K:$K, 'Database Presensi SCC'!$H:$H, E43)"),0.0)</f>
        <v>0</v>
      </c>
      <c r="H41" s="126">
        <f t="shared" si="1"/>
        <v>0</v>
      </c>
      <c r="I41" s="106"/>
      <c r="J41" s="106"/>
      <c r="K41" s="106"/>
      <c r="L41" s="106"/>
      <c r="M41" s="106"/>
      <c r="N41" s="106"/>
      <c r="O41" s="106"/>
      <c r="P41" s="106"/>
      <c r="Q41" s="106"/>
      <c r="R41" s="106"/>
      <c r="S41" s="106"/>
      <c r="T41" s="106"/>
      <c r="U41" s="106"/>
    </row>
    <row r="42">
      <c r="A42" s="123">
        <v>34.0</v>
      </c>
      <c r="B42" s="94" t="s">
        <v>7327</v>
      </c>
      <c r="C42" s="124">
        <v>2.42510397E8</v>
      </c>
      <c r="D42" s="94" t="s">
        <v>8786</v>
      </c>
      <c r="E42" s="125" t="s">
        <v>5249</v>
      </c>
      <c r="F42" s="126">
        <f>COUNTIFS('Database Presensi SCC'!$B:$B, "*"&amp;IF(B44&lt;&gt;"", B44, C44)&amp;"*", 'Database Presensi SCC'!$C:$C, "Hadir")</f>
        <v>0</v>
      </c>
      <c r="G42" s="126">
        <f>IFERROR(__xludf.DUMMYFUNCTION("COUNTUNIQUEIFS('Database Presensi SCC'!$K:$K, 'Database Presensi SCC'!$H:$H, E44)"),0.0)</f>
        <v>0</v>
      </c>
      <c r="H42" s="126">
        <f t="shared" si="1"/>
        <v>0</v>
      </c>
      <c r="I42" s="106"/>
      <c r="J42" s="106"/>
      <c r="K42" s="106"/>
      <c r="L42" s="106"/>
      <c r="M42" s="106"/>
      <c r="N42" s="106"/>
      <c r="O42" s="106"/>
      <c r="P42" s="106"/>
      <c r="Q42" s="106"/>
      <c r="R42" s="106"/>
      <c r="S42" s="106"/>
      <c r="T42" s="106"/>
      <c r="U42" s="106"/>
    </row>
    <row r="43">
      <c r="A43" s="123">
        <v>35.0</v>
      </c>
      <c r="B43" s="94" t="s">
        <v>7408</v>
      </c>
      <c r="C43" s="124">
        <v>2.42510398E8</v>
      </c>
      <c r="D43" s="94" t="s">
        <v>8787</v>
      </c>
      <c r="E43" s="125" t="s">
        <v>5249</v>
      </c>
      <c r="F43" s="126">
        <f>COUNTIFS('Database Presensi SCC'!$B:$B, "*"&amp;IF(B45&lt;&gt;"", B45, C45)&amp;"*", 'Database Presensi SCC'!$C:$C, "Hadir")</f>
        <v>0</v>
      </c>
      <c r="G43" s="126">
        <f>IFERROR(__xludf.DUMMYFUNCTION("COUNTUNIQUEIFS('Database Presensi SCC'!$K:$K, 'Database Presensi SCC'!$H:$H, E45)"),0.0)</f>
        <v>0</v>
      </c>
      <c r="H43" s="126">
        <f t="shared" si="1"/>
        <v>0</v>
      </c>
      <c r="I43" s="106"/>
      <c r="J43" s="106"/>
      <c r="K43" s="106"/>
      <c r="L43" s="106"/>
      <c r="M43" s="106"/>
      <c r="N43" s="106"/>
      <c r="O43" s="106"/>
      <c r="P43" s="106"/>
      <c r="Q43" s="106"/>
      <c r="R43" s="106"/>
      <c r="S43" s="106"/>
      <c r="T43" s="106"/>
      <c r="U43" s="106"/>
    </row>
    <row r="44">
      <c r="A44" s="123">
        <v>36.0</v>
      </c>
      <c r="B44" s="94" t="s">
        <v>6895</v>
      </c>
      <c r="C44" s="124">
        <v>2.42510432E8</v>
      </c>
      <c r="D44" s="94" t="s">
        <v>8788</v>
      </c>
      <c r="E44" s="125" t="s">
        <v>5249</v>
      </c>
      <c r="F44" s="126">
        <f>COUNTIFS('Database Presensi SCC'!$B:$B, "*"&amp;IF(B46&lt;&gt;"", B46, C46)&amp;"*", 'Database Presensi SCC'!$C:$C, "Hadir")</f>
        <v>0</v>
      </c>
      <c r="G44" s="126">
        <f>IFERROR(__xludf.DUMMYFUNCTION("COUNTUNIQUEIFS('Database Presensi SCC'!$K:$K, 'Database Presensi SCC'!$H:$H, E46)"),0.0)</f>
        <v>0</v>
      </c>
      <c r="H44" s="126">
        <f t="shared" si="1"/>
        <v>0</v>
      </c>
      <c r="I44" s="106"/>
      <c r="J44" s="106"/>
      <c r="K44" s="106"/>
      <c r="L44" s="106"/>
      <c r="M44" s="106"/>
      <c r="N44" s="106"/>
      <c r="O44" s="106"/>
      <c r="P44" s="106"/>
      <c r="Q44" s="106"/>
      <c r="R44" s="106"/>
      <c r="S44" s="106"/>
      <c r="T44" s="106"/>
      <c r="U44" s="106"/>
    </row>
    <row r="45">
      <c r="A45" s="123">
        <v>37.0</v>
      </c>
      <c r="B45" s="127"/>
      <c r="C45" s="127"/>
      <c r="D45" s="127"/>
      <c r="E45" s="127"/>
      <c r="F45" s="128"/>
      <c r="G45" s="128"/>
      <c r="H45" s="128"/>
      <c r="I45" s="106"/>
      <c r="J45" s="106"/>
      <c r="K45" s="106"/>
      <c r="L45" s="106"/>
      <c r="M45" s="106"/>
      <c r="N45" s="106"/>
      <c r="O45" s="106"/>
      <c r="P45" s="106"/>
      <c r="Q45" s="106"/>
      <c r="R45" s="106"/>
      <c r="S45" s="106"/>
      <c r="T45" s="106"/>
      <c r="U45" s="106"/>
    </row>
    <row r="46">
      <c r="A46" s="123">
        <v>38.0</v>
      </c>
      <c r="B46" s="127"/>
      <c r="C46" s="127"/>
      <c r="D46" s="127"/>
      <c r="E46" s="127"/>
      <c r="F46" s="128"/>
      <c r="G46" s="128"/>
      <c r="H46" s="128"/>
      <c r="I46" s="106"/>
      <c r="J46" s="106"/>
      <c r="K46" s="106"/>
      <c r="L46" s="106"/>
      <c r="M46" s="106"/>
      <c r="N46" s="106"/>
      <c r="O46" s="106"/>
      <c r="P46" s="106"/>
      <c r="Q46" s="106"/>
      <c r="R46" s="106"/>
      <c r="S46" s="106"/>
      <c r="T46" s="106"/>
      <c r="U46" s="106"/>
    </row>
    <row r="47">
      <c r="A47" s="129"/>
      <c r="B47" s="130" t="s">
        <v>8789</v>
      </c>
      <c r="C47" s="129"/>
      <c r="D47" s="131">
        <f>COUNTIF(E9:E49,"L")</f>
        <v>0</v>
      </c>
      <c r="E47" s="129"/>
      <c r="F47" s="129"/>
      <c r="G47" s="129"/>
      <c r="H47" s="129"/>
      <c r="I47" s="129"/>
      <c r="J47" s="129"/>
      <c r="K47" s="129"/>
      <c r="L47" s="129"/>
      <c r="M47" s="129"/>
      <c r="N47" s="129"/>
      <c r="O47" s="129"/>
      <c r="P47" s="129"/>
      <c r="Q47" s="129"/>
      <c r="R47" s="129"/>
      <c r="S47" s="129"/>
      <c r="T47" s="129"/>
    </row>
    <row r="48">
      <c r="A48" s="129"/>
      <c r="B48" s="130" t="s">
        <v>8790</v>
      </c>
      <c r="C48" s="129"/>
      <c r="D48" s="131">
        <f>COUNTIF(E9:E49,"P")</f>
        <v>0</v>
      </c>
      <c r="E48" s="129"/>
      <c r="F48" s="129"/>
      <c r="G48" s="129"/>
      <c r="H48" s="129"/>
      <c r="I48" s="129"/>
      <c r="J48" s="129"/>
      <c r="K48" s="132" t="s">
        <v>8791</v>
      </c>
      <c r="L48" s="133"/>
      <c r="M48" s="133"/>
      <c r="N48" s="133"/>
      <c r="O48" s="133"/>
      <c r="P48" s="133"/>
      <c r="Q48" s="133"/>
      <c r="R48" s="133"/>
      <c r="S48" s="133"/>
      <c r="T48" s="134"/>
    </row>
    <row r="49">
      <c r="A49" s="129"/>
      <c r="B49" s="130" t="s">
        <v>8792</v>
      </c>
      <c r="C49" s="129"/>
      <c r="D49" s="131">
        <f>D47+D48</f>
        <v>0</v>
      </c>
      <c r="E49" s="129"/>
      <c r="F49" s="129"/>
      <c r="G49" s="129"/>
      <c r="H49" s="129"/>
      <c r="I49" s="129"/>
      <c r="J49" s="129"/>
      <c r="K49" s="132" t="s">
        <v>8793</v>
      </c>
      <c r="L49" s="133"/>
      <c r="M49" s="133"/>
      <c r="N49" s="133"/>
      <c r="O49" s="133"/>
      <c r="P49" s="133"/>
      <c r="Q49" s="133"/>
      <c r="R49" s="133"/>
      <c r="S49" s="133"/>
      <c r="T49" s="134"/>
    </row>
    <row r="50">
      <c r="A50" s="97" t="s">
        <v>8743</v>
      </c>
      <c r="B50" s="98"/>
      <c r="C50" s="98"/>
      <c r="D50" s="98"/>
      <c r="E50" s="98"/>
      <c r="F50" s="98"/>
      <c r="G50" s="98"/>
      <c r="H50" s="97"/>
      <c r="I50" s="97"/>
      <c r="J50" s="97"/>
      <c r="K50" s="97"/>
      <c r="L50" s="97"/>
      <c r="M50" s="97"/>
      <c r="N50" s="97"/>
      <c r="O50" s="97"/>
      <c r="P50" s="97"/>
      <c r="Q50" s="97"/>
      <c r="R50" s="97"/>
      <c r="S50" s="97"/>
      <c r="T50" s="97"/>
    </row>
    <row r="51">
      <c r="A51" s="135" t="s">
        <v>8744</v>
      </c>
      <c r="B51" s="136"/>
      <c r="C51" s="136"/>
      <c r="D51" s="136"/>
      <c r="E51" s="136"/>
      <c r="F51" s="136"/>
      <c r="G51" s="136"/>
      <c r="H51" s="136"/>
      <c r="I51" s="136"/>
      <c r="J51" s="136"/>
      <c r="K51" s="136"/>
      <c r="L51" s="136"/>
      <c r="M51" s="136"/>
      <c r="N51" s="136"/>
      <c r="O51" s="136"/>
      <c r="P51" s="136"/>
      <c r="Q51" s="136"/>
      <c r="R51" s="136"/>
      <c r="S51" s="136"/>
      <c r="T51" s="137"/>
    </row>
    <row r="52">
      <c r="A52" s="102" t="s">
        <v>8745</v>
      </c>
      <c r="B52" s="103"/>
      <c r="C52" s="103"/>
      <c r="D52" s="103"/>
      <c r="E52" s="103"/>
      <c r="F52" s="103"/>
      <c r="G52" s="103"/>
      <c r="H52" s="103"/>
      <c r="I52" s="103"/>
      <c r="J52" s="103"/>
      <c r="K52" s="103"/>
      <c r="L52" s="103"/>
      <c r="M52" s="103"/>
      <c r="N52" s="103"/>
      <c r="O52" s="103"/>
      <c r="P52" s="103"/>
      <c r="Q52" s="103"/>
      <c r="R52" s="103"/>
      <c r="S52" s="103"/>
      <c r="T52" s="104"/>
    </row>
    <row r="53">
      <c r="A53" s="105" t="s">
        <v>8794</v>
      </c>
      <c r="B53" s="106"/>
      <c r="C53" s="106"/>
      <c r="D53" s="106"/>
      <c r="E53" s="106"/>
      <c r="F53" s="106"/>
      <c r="G53" s="106"/>
      <c r="H53" s="106"/>
      <c r="I53" s="106"/>
      <c r="J53" s="106"/>
      <c r="K53" s="106"/>
      <c r="L53" s="106"/>
      <c r="M53" s="106"/>
      <c r="N53" s="106"/>
      <c r="O53" s="106"/>
      <c r="P53" s="106"/>
      <c r="Q53" s="106"/>
      <c r="R53" s="106"/>
      <c r="S53" s="106"/>
      <c r="T53" s="107"/>
    </row>
    <row r="54">
      <c r="A54" s="108" t="s">
        <v>8795</v>
      </c>
      <c r="B54" s="109"/>
      <c r="C54" s="109"/>
      <c r="D54" s="109"/>
      <c r="E54" s="109"/>
      <c r="F54" s="110"/>
      <c r="G54" s="110"/>
      <c r="H54" s="110"/>
      <c r="I54" s="110"/>
      <c r="J54" s="110"/>
      <c r="K54" s="110"/>
      <c r="L54" s="110"/>
      <c r="M54" s="110"/>
      <c r="N54" s="110"/>
      <c r="O54" s="110"/>
      <c r="P54" s="110"/>
      <c r="Q54" s="110"/>
      <c r="R54" s="110"/>
      <c r="S54" s="110"/>
      <c r="T54" s="110"/>
    </row>
    <row r="55">
      <c r="A55" s="111" t="s">
        <v>8748</v>
      </c>
      <c r="B55" s="111" t="s">
        <v>9</v>
      </c>
      <c r="C55" s="111" t="s">
        <v>5246</v>
      </c>
      <c r="D55" s="111" t="s">
        <v>8680</v>
      </c>
      <c r="E55" s="138" t="s">
        <v>13</v>
      </c>
      <c r="F55" s="113" t="s">
        <v>8749</v>
      </c>
      <c r="G55" s="113" t="s">
        <v>8750</v>
      </c>
      <c r="H55" s="114" t="s">
        <v>217</v>
      </c>
      <c r="I55" s="106"/>
      <c r="J55" s="106"/>
      <c r="K55" s="106"/>
      <c r="L55" s="106"/>
      <c r="M55" s="106"/>
      <c r="N55" s="106"/>
      <c r="O55" s="106"/>
      <c r="P55" s="106"/>
      <c r="Q55" s="106"/>
      <c r="R55" s="106"/>
      <c r="S55" s="106"/>
      <c r="T55" s="106"/>
      <c r="U55" s="106"/>
    </row>
    <row r="56">
      <c r="A56" s="115"/>
      <c r="B56" s="115"/>
      <c r="C56" s="115"/>
      <c r="D56" s="115"/>
      <c r="E56" s="139"/>
      <c r="F56" s="117"/>
      <c r="G56" s="117"/>
      <c r="H56" s="118"/>
      <c r="I56" s="106"/>
      <c r="J56" s="106"/>
      <c r="K56" s="106"/>
      <c r="L56" s="106"/>
      <c r="M56" s="106"/>
      <c r="N56" s="106"/>
      <c r="O56" s="106"/>
      <c r="P56" s="106"/>
      <c r="Q56" s="106"/>
      <c r="R56" s="106"/>
      <c r="S56" s="106"/>
      <c r="T56" s="106"/>
      <c r="U56" s="106"/>
    </row>
    <row r="57">
      <c r="A57" s="119"/>
      <c r="B57" s="119"/>
      <c r="C57" s="119"/>
      <c r="D57" s="119"/>
      <c r="E57" s="140"/>
      <c r="F57" s="121"/>
      <c r="G57" s="121"/>
      <c r="H57" s="122"/>
      <c r="I57" s="106"/>
      <c r="J57" s="106"/>
      <c r="K57" s="106"/>
      <c r="L57" s="106"/>
      <c r="M57" s="106"/>
      <c r="N57" s="106"/>
      <c r="O57" s="106"/>
      <c r="P57" s="106"/>
      <c r="Q57" s="106"/>
      <c r="R57" s="106"/>
      <c r="S57" s="106"/>
      <c r="T57" s="106"/>
      <c r="U57" s="106"/>
    </row>
    <row r="58">
      <c r="A58" s="123">
        <v>1.0</v>
      </c>
      <c r="B58" s="94" t="s">
        <v>7123</v>
      </c>
      <c r="C58" s="124">
        <v>2.42510014E8</v>
      </c>
      <c r="D58" s="94" t="s">
        <v>8796</v>
      </c>
      <c r="E58" s="125" t="s">
        <v>5372</v>
      </c>
      <c r="F58" s="126">
        <f>COUNTIFS('Database Presensi SCC'!$B:$B, "*"&amp;IF(B60&lt;&gt;"", B60, C60)&amp;"*", 'Database Presensi SCC'!$C:$C, "Hadir")</f>
        <v>0</v>
      </c>
      <c r="G58" s="126">
        <f>IFERROR(__xludf.DUMMYFUNCTION("COUNTUNIQUEIFS('Database Presensi SCC'!$K:$K, 'Database Presensi SCC'!$H:$H, E60)"),0.0)</f>
        <v>0</v>
      </c>
      <c r="H58" s="126">
        <f t="shared" ref="H58:H93" si="2">IFERROR(F60/G60, 0)</f>
        <v>0</v>
      </c>
      <c r="I58" s="106"/>
      <c r="J58" s="106"/>
      <c r="K58" s="106"/>
      <c r="L58" s="106"/>
      <c r="M58" s="106"/>
      <c r="N58" s="106"/>
      <c r="O58" s="106"/>
      <c r="P58" s="106"/>
      <c r="Q58" s="106"/>
      <c r="R58" s="106"/>
      <c r="S58" s="106"/>
      <c r="T58" s="106"/>
      <c r="U58" s="106"/>
    </row>
    <row r="59">
      <c r="A59" s="123">
        <v>2.0</v>
      </c>
      <c r="B59" s="94" t="s">
        <v>8797</v>
      </c>
      <c r="C59" s="124">
        <v>2.42510038E8</v>
      </c>
      <c r="D59" s="94" t="s">
        <v>8798</v>
      </c>
      <c r="E59" s="125" t="s">
        <v>5372</v>
      </c>
      <c r="F59" s="126">
        <f>COUNTIFS('Database Presensi SCC'!$B:$B, "*"&amp;IF(B61&lt;&gt;"", B61, C61)&amp;"*", 'Database Presensi SCC'!$C:$C, "Hadir")</f>
        <v>0</v>
      </c>
      <c r="G59" s="126">
        <f>IFERROR(__xludf.DUMMYFUNCTION("COUNTUNIQUEIFS('Database Presensi SCC'!$K:$K, 'Database Presensi SCC'!$H:$H, E61)"),0.0)</f>
        <v>0</v>
      </c>
      <c r="H59" s="126">
        <f t="shared" si="2"/>
        <v>0</v>
      </c>
      <c r="I59" s="106"/>
      <c r="J59" s="106"/>
      <c r="K59" s="106"/>
      <c r="L59" s="106"/>
      <c r="M59" s="106"/>
      <c r="N59" s="106"/>
      <c r="O59" s="106"/>
      <c r="P59" s="106"/>
      <c r="Q59" s="106"/>
      <c r="R59" s="106"/>
      <c r="S59" s="106"/>
      <c r="T59" s="106"/>
      <c r="U59" s="106"/>
    </row>
    <row r="60">
      <c r="A60" s="123">
        <v>3.0</v>
      </c>
      <c r="B60" s="94" t="s">
        <v>7350</v>
      </c>
      <c r="C60" s="124">
        <v>2.42510053E8</v>
      </c>
      <c r="D60" s="94" t="s">
        <v>8799</v>
      </c>
      <c r="E60" s="125" t="s">
        <v>5372</v>
      </c>
      <c r="F60" s="126">
        <f>COUNTIFS('Database Presensi SCC'!$B:$B, "*"&amp;IF(B62&lt;&gt;"", B62, C62)&amp;"*", 'Database Presensi SCC'!$C:$C, "Hadir")</f>
        <v>0</v>
      </c>
      <c r="G60" s="126">
        <f>IFERROR(__xludf.DUMMYFUNCTION("COUNTUNIQUEIFS('Database Presensi SCC'!$K:$K, 'Database Presensi SCC'!$H:$H, E62)"),0.0)</f>
        <v>0</v>
      </c>
      <c r="H60" s="126">
        <f t="shared" si="2"/>
        <v>0</v>
      </c>
      <c r="I60" s="106"/>
      <c r="J60" s="106"/>
      <c r="K60" s="106"/>
      <c r="L60" s="106"/>
      <c r="M60" s="106"/>
      <c r="N60" s="106"/>
      <c r="O60" s="106"/>
      <c r="P60" s="106"/>
      <c r="Q60" s="106"/>
      <c r="R60" s="106"/>
      <c r="S60" s="106"/>
      <c r="T60" s="106"/>
      <c r="U60" s="106"/>
    </row>
    <row r="61">
      <c r="A61" s="123">
        <v>4.0</v>
      </c>
      <c r="B61" s="94" t="s">
        <v>7202</v>
      </c>
      <c r="C61" s="124">
        <v>2.42510066E8</v>
      </c>
      <c r="D61" s="94" t="s">
        <v>8800</v>
      </c>
      <c r="E61" s="125" t="s">
        <v>5372</v>
      </c>
      <c r="F61" s="126">
        <f>COUNTIFS('Database Presensi SCC'!$B:$B, "*"&amp;IF(B63&lt;&gt;"", B63, C63)&amp;"*", 'Database Presensi SCC'!$C:$C, "Hadir")</f>
        <v>0</v>
      </c>
      <c r="G61" s="126">
        <f>IFERROR(__xludf.DUMMYFUNCTION("COUNTUNIQUEIFS('Database Presensi SCC'!$K:$K, 'Database Presensi SCC'!$H:$H, E63)"),0.0)</f>
        <v>0</v>
      </c>
      <c r="H61" s="126">
        <f t="shared" si="2"/>
        <v>0</v>
      </c>
      <c r="I61" s="106"/>
      <c r="J61" s="106"/>
      <c r="K61" s="106"/>
      <c r="L61" s="106"/>
      <c r="M61" s="106"/>
      <c r="N61" s="106"/>
      <c r="O61" s="106"/>
      <c r="P61" s="106"/>
      <c r="Q61" s="106"/>
      <c r="R61" s="106"/>
      <c r="S61" s="106"/>
      <c r="T61" s="106"/>
      <c r="U61" s="106"/>
    </row>
    <row r="62">
      <c r="A62" s="123">
        <v>5.0</v>
      </c>
      <c r="B62" s="94" t="s">
        <v>7568</v>
      </c>
      <c r="C62" s="124">
        <v>2.4251008E8</v>
      </c>
      <c r="D62" s="94" t="s">
        <v>8801</v>
      </c>
      <c r="E62" s="125" t="s">
        <v>5372</v>
      </c>
      <c r="F62" s="126">
        <f>COUNTIFS('Database Presensi SCC'!$B:$B, "*"&amp;IF(B64&lt;&gt;"", B64, C64)&amp;"*", 'Database Presensi SCC'!$C:$C, "Hadir")</f>
        <v>0</v>
      </c>
      <c r="G62" s="126">
        <f>IFERROR(__xludf.DUMMYFUNCTION("COUNTUNIQUEIFS('Database Presensi SCC'!$K:$K, 'Database Presensi SCC'!$H:$H, E64)"),0.0)</f>
        <v>0</v>
      </c>
      <c r="H62" s="126">
        <f t="shared" si="2"/>
        <v>0</v>
      </c>
      <c r="I62" s="106"/>
      <c r="J62" s="106"/>
      <c r="K62" s="106"/>
      <c r="L62" s="106"/>
      <c r="M62" s="106"/>
      <c r="N62" s="106"/>
      <c r="O62" s="106"/>
      <c r="P62" s="106"/>
      <c r="Q62" s="106"/>
      <c r="R62" s="106"/>
      <c r="S62" s="106"/>
      <c r="T62" s="106"/>
      <c r="U62" s="106"/>
    </row>
    <row r="63">
      <c r="A63" s="123">
        <v>6.0</v>
      </c>
      <c r="B63" s="94" t="s">
        <v>7643</v>
      </c>
      <c r="C63" s="124">
        <v>2.42510089E8</v>
      </c>
      <c r="D63" s="94" t="s">
        <v>8802</v>
      </c>
      <c r="E63" s="125" t="s">
        <v>5372</v>
      </c>
      <c r="F63" s="126">
        <f>COUNTIFS('Database Presensi SCC'!$B:$B, "*"&amp;IF(B65&lt;&gt;"", B65, C65)&amp;"*", 'Database Presensi SCC'!$C:$C, "Hadir")</f>
        <v>0</v>
      </c>
      <c r="G63" s="126">
        <f>IFERROR(__xludf.DUMMYFUNCTION("COUNTUNIQUEIFS('Database Presensi SCC'!$K:$K, 'Database Presensi SCC'!$H:$H, E65)"),0.0)</f>
        <v>0</v>
      </c>
      <c r="H63" s="126">
        <f t="shared" si="2"/>
        <v>0</v>
      </c>
      <c r="I63" s="106"/>
      <c r="J63" s="106"/>
      <c r="K63" s="106"/>
      <c r="L63" s="106"/>
      <c r="M63" s="106"/>
      <c r="N63" s="106"/>
      <c r="O63" s="106"/>
      <c r="P63" s="106"/>
      <c r="Q63" s="106"/>
      <c r="R63" s="106"/>
      <c r="S63" s="106"/>
      <c r="T63" s="106"/>
      <c r="U63" s="106"/>
    </row>
    <row r="64">
      <c r="A64" s="123">
        <v>7.0</v>
      </c>
      <c r="B64" s="94" t="s">
        <v>7504</v>
      </c>
      <c r="C64" s="124">
        <v>2.425101E8</v>
      </c>
      <c r="D64" s="94" t="s">
        <v>8803</v>
      </c>
      <c r="E64" s="125" t="s">
        <v>5372</v>
      </c>
      <c r="F64" s="126">
        <f>COUNTIFS('Database Presensi SCC'!$B:$B, "*"&amp;IF(B66&lt;&gt;"", B66, C66)&amp;"*", 'Database Presensi SCC'!$C:$C, "Hadir")</f>
        <v>0</v>
      </c>
      <c r="G64" s="126">
        <f>IFERROR(__xludf.DUMMYFUNCTION("COUNTUNIQUEIFS('Database Presensi SCC'!$K:$K, 'Database Presensi SCC'!$H:$H, E66)"),0.0)</f>
        <v>0</v>
      </c>
      <c r="H64" s="126">
        <f t="shared" si="2"/>
        <v>0</v>
      </c>
      <c r="I64" s="106"/>
      <c r="J64" s="106"/>
      <c r="K64" s="106"/>
      <c r="L64" s="106"/>
      <c r="M64" s="106"/>
      <c r="N64" s="106"/>
      <c r="O64" s="106"/>
      <c r="P64" s="106"/>
      <c r="Q64" s="106"/>
      <c r="R64" s="106"/>
      <c r="S64" s="106"/>
      <c r="T64" s="106"/>
      <c r="U64" s="106"/>
    </row>
    <row r="65">
      <c r="A65" s="123">
        <v>8.0</v>
      </c>
      <c r="B65" s="94" t="s">
        <v>7429</v>
      </c>
      <c r="C65" s="124">
        <v>2.42510103E8</v>
      </c>
      <c r="D65" s="94" t="s">
        <v>8804</v>
      </c>
      <c r="E65" s="125" t="s">
        <v>5372</v>
      </c>
      <c r="F65" s="126">
        <f>COUNTIFS('Database Presensi SCC'!$B:$B, "*"&amp;IF(B67&lt;&gt;"", B67, C67)&amp;"*", 'Database Presensi SCC'!$C:$C, "Hadir")</f>
        <v>0</v>
      </c>
      <c r="G65" s="126">
        <f>IFERROR(__xludf.DUMMYFUNCTION("COUNTUNIQUEIFS('Database Presensi SCC'!$K:$K, 'Database Presensi SCC'!$H:$H, E67)"),0.0)</f>
        <v>0</v>
      </c>
      <c r="H65" s="126">
        <f t="shared" si="2"/>
        <v>0</v>
      </c>
      <c r="I65" s="106"/>
      <c r="J65" s="106"/>
      <c r="K65" s="106"/>
      <c r="L65" s="106"/>
      <c r="M65" s="106"/>
      <c r="N65" s="106"/>
      <c r="O65" s="106"/>
      <c r="P65" s="106"/>
      <c r="Q65" s="106"/>
      <c r="R65" s="106"/>
      <c r="S65" s="106"/>
      <c r="T65" s="106"/>
      <c r="U65" s="106"/>
    </row>
    <row r="66">
      <c r="A66" s="123">
        <v>9.0</v>
      </c>
      <c r="B66" s="94" t="s">
        <v>7289</v>
      </c>
      <c r="C66" s="124">
        <v>2.42510121E8</v>
      </c>
      <c r="D66" s="94" t="s">
        <v>8805</v>
      </c>
      <c r="E66" s="125" t="s">
        <v>5372</v>
      </c>
      <c r="F66" s="126">
        <f>COUNTIFS('Database Presensi SCC'!$B:$B, "*"&amp;IF(B68&lt;&gt;"", B68, C68)&amp;"*", 'Database Presensi SCC'!$C:$C, "Hadir")</f>
        <v>0</v>
      </c>
      <c r="G66" s="126">
        <f>IFERROR(__xludf.DUMMYFUNCTION("COUNTUNIQUEIFS('Database Presensi SCC'!$K:$K, 'Database Presensi SCC'!$H:$H, E68)"),0.0)</f>
        <v>0</v>
      </c>
      <c r="H66" s="126">
        <f t="shared" si="2"/>
        <v>0</v>
      </c>
      <c r="I66" s="106"/>
      <c r="J66" s="106"/>
      <c r="K66" s="106"/>
      <c r="L66" s="106"/>
      <c r="M66" s="106"/>
      <c r="N66" s="106"/>
      <c r="O66" s="106"/>
      <c r="P66" s="106"/>
      <c r="Q66" s="106"/>
      <c r="R66" s="106"/>
      <c r="S66" s="106"/>
      <c r="T66" s="106"/>
      <c r="U66" s="106"/>
    </row>
    <row r="67">
      <c r="A67" s="123">
        <v>10.0</v>
      </c>
      <c r="B67" s="94" t="s">
        <v>7574</v>
      </c>
      <c r="C67" s="124">
        <v>2.42510122E8</v>
      </c>
      <c r="D67" s="94" t="s">
        <v>8806</v>
      </c>
      <c r="E67" s="125" t="s">
        <v>5372</v>
      </c>
      <c r="F67" s="126">
        <f>COUNTIFS('Database Presensi SCC'!$B:$B, "*"&amp;IF(B69&lt;&gt;"", B69, C69)&amp;"*", 'Database Presensi SCC'!$C:$C, "Hadir")</f>
        <v>0</v>
      </c>
      <c r="G67" s="126">
        <f>IFERROR(__xludf.DUMMYFUNCTION("COUNTUNIQUEIFS('Database Presensi SCC'!$K:$K, 'Database Presensi SCC'!$H:$H, E69)"),0.0)</f>
        <v>0</v>
      </c>
      <c r="H67" s="126">
        <f t="shared" si="2"/>
        <v>0</v>
      </c>
      <c r="I67" s="106"/>
      <c r="J67" s="106"/>
      <c r="K67" s="106"/>
      <c r="L67" s="106"/>
      <c r="M67" s="106"/>
      <c r="N67" s="106"/>
      <c r="O67" s="106"/>
      <c r="P67" s="106"/>
      <c r="Q67" s="106"/>
      <c r="R67" s="106"/>
      <c r="S67" s="106"/>
      <c r="T67" s="106"/>
      <c r="U67" s="106"/>
    </row>
    <row r="68">
      <c r="A68" s="123">
        <v>11.0</v>
      </c>
      <c r="B68" s="94" t="s">
        <v>7216</v>
      </c>
      <c r="C68" s="124">
        <v>2.4251013E8</v>
      </c>
      <c r="D68" s="94" t="s">
        <v>8807</v>
      </c>
      <c r="E68" s="125" t="s">
        <v>5372</v>
      </c>
      <c r="F68" s="126">
        <f>COUNTIFS('Database Presensi SCC'!$B:$B, "*"&amp;IF(B70&lt;&gt;"", B70, C70)&amp;"*", 'Database Presensi SCC'!$C:$C, "Hadir")</f>
        <v>0</v>
      </c>
      <c r="G68" s="126">
        <f>IFERROR(__xludf.DUMMYFUNCTION("COUNTUNIQUEIFS('Database Presensi SCC'!$K:$K, 'Database Presensi SCC'!$H:$H, E70)"),0.0)</f>
        <v>0</v>
      </c>
      <c r="H68" s="126">
        <f t="shared" si="2"/>
        <v>0</v>
      </c>
      <c r="I68" s="106"/>
      <c r="J68" s="106"/>
      <c r="K68" s="106"/>
      <c r="L68" s="106"/>
      <c r="M68" s="106"/>
      <c r="N68" s="106"/>
      <c r="O68" s="106"/>
      <c r="P68" s="106"/>
      <c r="Q68" s="106"/>
      <c r="R68" s="106"/>
      <c r="S68" s="106"/>
      <c r="T68" s="106"/>
      <c r="U68" s="106"/>
    </row>
    <row r="69">
      <c r="A69" s="123">
        <v>12.0</v>
      </c>
      <c r="B69" s="94" t="s">
        <v>6986</v>
      </c>
      <c r="C69" s="124">
        <v>2.42510136E8</v>
      </c>
      <c r="D69" s="94" t="s">
        <v>8808</v>
      </c>
      <c r="E69" s="125" t="s">
        <v>5372</v>
      </c>
      <c r="F69" s="126">
        <f>COUNTIFS('Database Presensi SCC'!$B:$B, "*"&amp;IF(B71&lt;&gt;"", B71, C71)&amp;"*", 'Database Presensi SCC'!$C:$C, "Hadir")</f>
        <v>0</v>
      </c>
      <c r="G69" s="126">
        <f>IFERROR(__xludf.DUMMYFUNCTION("COUNTUNIQUEIFS('Database Presensi SCC'!$K:$K, 'Database Presensi SCC'!$H:$H, E71)"),0.0)</f>
        <v>0</v>
      </c>
      <c r="H69" s="126">
        <f t="shared" si="2"/>
        <v>0</v>
      </c>
      <c r="I69" s="106"/>
      <c r="J69" s="106"/>
      <c r="K69" s="106"/>
      <c r="L69" s="106"/>
      <c r="M69" s="106"/>
      <c r="N69" s="106"/>
      <c r="O69" s="106"/>
      <c r="P69" s="106"/>
      <c r="Q69" s="106"/>
      <c r="R69" s="106"/>
      <c r="S69" s="106"/>
      <c r="T69" s="106"/>
      <c r="U69" s="106"/>
    </row>
    <row r="70">
      <c r="A70" s="123">
        <v>13.0</v>
      </c>
      <c r="B70" s="94" t="s">
        <v>6920</v>
      </c>
      <c r="C70" s="124">
        <v>2.42510141E8</v>
      </c>
      <c r="D70" s="94" t="s">
        <v>8809</v>
      </c>
      <c r="E70" s="125" t="s">
        <v>5372</v>
      </c>
      <c r="F70" s="126">
        <f>COUNTIFS('Database Presensi SCC'!$B:$B, "*"&amp;IF(B72&lt;&gt;"", B72, C72)&amp;"*", 'Database Presensi SCC'!$C:$C, "Hadir")</f>
        <v>0</v>
      </c>
      <c r="G70" s="126">
        <f>IFERROR(__xludf.DUMMYFUNCTION("COUNTUNIQUEIFS('Database Presensi SCC'!$K:$K, 'Database Presensi SCC'!$H:$H, E72)"),0.0)</f>
        <v>0</v>
      </c>
      <c r="H70" s="126">
        <f t="shared" si="2"/>
        <v>0</v>
      </c>
      <c r="I70" s="106"/>
      <c r="J70" s="106"/>
      <c r="K70" s="106"/>
      <c r="L70" s="106"/>
      <c r="M70" s="106"/>
      <c r="N70" s="106"/>
      <c r="O70" s="106"/>
      <c r="P70" s="106"/>
      <c r="Q70" s="106"/>
      <c r="R70" s="106"/>
      <c r="S70" s="106"/>
      <c r="T70" s="106"/>
      <c r="U70" s="106"/>
    </row>
    <row r="71">
      <c r="A71" s="123">
        <v>14.0</v>
      </c>
      <c r="B71" s="94" t="s">
        <v>7220</v>
      </c>
      <c r="C71" s="124">
        <v>2.42510158E8</v>
      </c>
      <c r="D71" s="94" t="s">
        <v>8810</v>
      </c>
      <c r="E71" s="125" t="s">
        <v>5372</v>
      </c>
      <c r="F71" s="126">
        <f>COUNTIFS('Database Presensi SCC'!$B:$B, "*"&amp;IF(B73&lt;&gt;"", B73, C73)&amp;"*", 'Database Presensi SCC'!$C:$C, "Hadir")</f>
        <v>0</v>
      </c>
      <c r="G71" s="126">
        <f>IFERROR(__xludf.DUMMYFUNCTION("COUNTUNIQUEIFS('Database Presensi SCC'!$K:$K, 'Database Presensi SCC'!$H:$H, E73)"),0.0)</f>
        <v>0</v>
      </c>
      <c r="H71" s="126">
        <f t="shared" si="2"/>
        <v>0</v>
      </c>
      <c r="I71" s="106"/>
      <c r="J71" s="106"/>
      <c r="K71" s="106"/>
      <c r="L71" s="106"/>
      <c r="M71" s="106"/>
      <c r="N71" s="106"/>
      <c r="O71" s="106"/>
      <c r="P71" s="106"/>
      <c r="Q71" s="106"/>
      <c r="R71" s="106"/>
      <c r="S71" s="106"/>
      <c r="T71" s="106"/>
      <c r="U71" s="106"/>
    </row>
    <row r="72">
      <c r="A72" s="123">
        <v>15.0</v>
      </c>
      <c r="B72" s="94" t="s">
        <v>7435</v>
      </c>
      <c r="C72" s="124">
        <v>2.42510175E8</v>
      </c>
      <c r="D72" s="94" t="s">
        <v>8811</v>
      </c>
      <c r="E72" s="125" t="s">
        <v>5372</v>
      </c>
      <c r="F72" s="126">
        <f>COUNTIFS('Database Presensi SCC'!$B:$B, "*"&amp;IF(B74&lt;&gt;"", B74, C74)&amp;"*", 'Database Presensi SCC'!$C:$C, "Hadir")</f>
        <v>0</v>
      </c>
      <c r="G72" s="126">
        <f>IFERROR(__xludf.DUMMYFUNCTION("COUNTUNIQUEIFS('Database Presensi SCC'!$K:$K, 'Database Presensi SCC'!$H:$H, E74)"),0.0)</f>
        <v>0</v>
      </c>
      <c r="H72" s="126">
        <f t="shared" si="2"/>
        <v>0</v>
      </c>
      <c r="I72" s="106"/>
      <c r="J72" s="106"/>
      <c r="K72" s="106"/>
      <c r="L72" s="106"/>
      <c r="M72" s="106"/>
      <c r="N72" s="106"/>
      <c r="O72" s="106"/>
      <c r="P72" s="106"/>
      <c r="Q72" s="106"/>
      <c r="R72" s="106"/>
      <c r="S72" s="106"/>
      <c r="T72" s="106"/>
      <c r="U72" s="106"/>
    </row>
    <row r="73">
      <c r="A73" s="123">
        <v>16.0</v>
      </c>
      <c r="B73" s="92" t="s">
        <v>8812</v>
      </c>
      <c r="C73" s="124">
        <v>2.42510179E8</v>
      </c>
      <c r="D73" s="94" t="s">
        <v>8813</v>
      </c>
      <c r="E73" s="125" t="s">
        <v>5372</v>
      </c>
      <c r="F73" s="126">
        <f>COUNTIFS('Database Presensi SCC'!$B:$B, "*"&amp;IF(B75&lt;&gt;"", B75, C75)&amp;"*", 'Database Presensi SCC'!$C:$C, "Hadir")</f>
        <v>0</v>
      </c>
      <c r="G73" s="126">
        <f>IFERROR(__xludf.DUMMYFUNCTION("COUNTUNIQUEIFS('Database Presensi SCC'!$K:$K, 'Database Presensi SCC'!$H:$H, E75)"),0.0)</f>
        <v>0</v>
      </c>
      <c r="H73" s="126">
        <f t="shared" si="2"/>
        <v>0</v>
      </c>
      <c r="I73" s="106"/>
      <c r="J73" s="106"/>
      <c r="K73" s="106"/>
      <c r="L73" s="106"/>
      <c r="M73" s="106"/>
      <c r="N73" s="106"/>
      <c r="O73" s="106"/>
      <c r="P73" s="106"/>
      <c r="Q73" s="106"/>
      <c r="R73" s="106"/>
      <c r="S73" s="106"/>
      <c r="T73" s="106"/>
      <c r="U73" s="106"/>
    </row>
    <row r="74">
      <c r="A74" s="123">
        <v>17.0</v>
      </c>
      <c r="B74" s="94" t="s">
        <v>7378</v>
      </c>
      <c r="C74" s="124">
        <v>2.4251019E8</v>
      </c>
      <c r="D74" s="94" t="s">
        <v>8814</v>
      </c>
      <c r="E74" s="125" t="s">
        <v>5372</v>
      </c>
      <c r="F74" s="126">
        <f>COUNTIFS('Database Presensi SCC'!$B:$B, "*"&amp;IF(B76&lt;&gt;"", B76, C76)&amp;"*", 'Database Presensi SCC'!$C:$C, "Hadir")</f>
        <v>0</v>
      </c>
      <c r="G74" s="126">
        <f>IFERROR(__xludf.DUMMYFUNCTION("COUNTUNIQUEIFS('Database Presensi SCC'!$K:$K, 'Database Presensi SCC'!$H:$H, E76)"),0.0)</f>
        <v>0</v>
      </c>
      <c r="H74" s="126">
        <f t="shared" si="2"/>
        <v>0</v>
      </c>
      <c r="I74" s="106"/>
      <c r="J74" s="106"/>
      <c r="K74" s="106"/>
      <c r="L74" s="106"/>
      <c r="M74" s="106"/>
      <c r="N74" s="106"/>
      <c r="O74" s="106"/>
      <c r="P74" s="106"/>
      <c r="Q74" s="106"/>
      <c r="R74" s="106"/>
      <c r="S74" s="106"/>
      <c r="T74" s="106"/>
      <c r="U74" s="106"/>
    </row>
    <row r="75">
      <c r="A75" s="123">
        <v>18.0</v>
      </c>
      <c r="B75" s="94" t="s">
        <v>7082</v>
      </c>
      <c r="C75" s="124">
        <v>2.42510191E8</v>
      </c>
      <c r="D75" s="94" t="s">
        <v>8815</v>
      </c>
      <c r="E75" s="125" t="s">
        <v>5372</v>
      </c>
      <c r="F75" s="126">
        <f>COUNTIFS('Database Presensi SCC'!$B:$B, "*"&amp;IF(B77&lt;&gt;"", B77, C77)&amp;"*", 'Database Presensi SCC'!$C:$C, "Hadir")</f>
        <v>0</v>
      </c>
      <c r="G75" s="126">
        <f>IFERROR(__xludf.DUMMYFUNCTION("COUNTUNIQUEIFS('Database Presensi SCC'!$K:$K, 'Database Presensi SCC'!$H:$H, E77)"),0.0)</f>
        <v>0</v>
      </c>
      <c r="H75" s="126">
        <f t="shared" si="2"/>
        <v>0</v>
      </c>
      <c r="I75" s="106"/>
      <c r="J75" s="106"/>
      <c r="K75" s="106"/>
      <c r="L75" s="106"/>
      <c r="M75" s="106"/>
      <c r="N75" s="106"/>
      <c r="O75" s="106"/>
      <c r="P75" s="106"/>
      <c r="Q75" s="106"/>
      <c r="R75" s="106"/>
      <c r="S75" s="106"/>
      <c r="T75" s="106"/>
      <c r="U75" s="106"/>
    </row>
    <row r="76">
      <c r="A76" s="123">
        <v>19.0</v>
      </c>
      <c r="B76" s="92" t="s">
        <v>7667</v>
      </c>
      <c r="C76" s="124">
        <v>2.42510195E8</v>
      </c>
      <c r="D76" s="94" t="s">
        <v>8816</v>
      </c>
      <c r="E76" s="125" t="s">
        <v>5372</v>
      </c>
      <c r="F76" s="126">
        <f>COUNTIFS('Database Presensi SCC'!$B:$B, "*"&amp;IF(B78&lt;&gt;"", B78, C78)&amp;"*", 'Database Presensi SCC'!$C:$C, "Hadir")</f>
        <v>0</v>
      </c>
      <c r="G76" s="126">
        <f>IFERROR(__xludf.DUMMYFUNCTION("COUNTUNIQUEIFS('Database Presensi SCC'!$K:$K, 'Database Presensi SCC'!$H:$H, E78)"),0.0)</f>
        <v>0</v>
      </c>
      <c r="H76" s="126">
        <f t="shared" si="2"/>
        <v>0</v>
      </c>
      <c r="I76" s="106"/>
      <c r="J76" s="106"/>
      <c r="K76" s="106"/>
      <c r="L76" s="106"/>
      <c r="M76" s="106"/>
      <c r="N76" s="106"/>
      <c r="O76" s="106"/>
      <c r="P76" s="106"/>
      <c r="Q76" s="106"/>
      <c r="R76" s="106"/>
      <c r="S76" s="106"/>
      <c r="T76" s="106"/>
      <c r="U76" s="106"/>
    </row>
    <row r="77">
      <c r="A77" s="123">
        <v>20.0</v>
      </c>
      <c r="B77" s="94" t="s">
        <v>7677</v>
      </c>
      <c r="C77" s="124">
        <v>2.42510229E8</v>
      </c>
      <c r="D77" s="94" t="s">
        <v>8817</v>
      </c>
      <c r="E77" s="125" t="s">
        <v>5372</v>
      </c>
      <c r="F77" s="126">
        <f>COUNTIFS('Database Presensi SCC'!$B:$B, "*"&amp;IF(B79&lt;&gt;"", B79, C79)&amp;"*", 'Database Presensi SCC'!$C:$C, "Hadir")</f>
        <v>0</v>
      </c>
      <c r="G77" s="126">
        <f>IFERROR(__xludf.DUMMYFUNCTION("COUNTUNIQUEIFS('Database Presensi SCC'!$K:$K, 'Database Presensi SCC'!$H:$H, E79)"),0.0)</f>
        <v>0</v>
      </c>
      <c r="H77" s="126">
        <f t="shared" si="2"/>
        <v>0</v>
      </c>
      <c r="I77" s="106"/>
      <c r="J77" s="106"/>
      <c r="K77" s="106"/>
      <c r="L77" s="106"/>
      <c r="M77" s="106"/>
      <c r="N77" s="106"/>
      <c r="O77" s="106"/>
      <c r="P77" s="106"/>
      <c r="Q77" s="106"/>
      <c r="R77" s="106"/>
      <c r="S77" s="106"/>
      <c r="T77" s="106"/>
      <c r="U77" s="106"/>
    </row>
    <row r="78">
      <c r="A78" s="123">
        <v>21.0</v>
      </c>
      <c r="B78" s="94" t="s">
        <v>7447</v>
      </c>
      <c r="C78" s="124">
        <v>2.4251024E8</v>
      </c>
      <c r="D78" s="94" t="s">
        <v>8818</v>
      </c>
      <c r="E78" s="125" t="s">
        <v>5372</v>
      </c>
      <c r="F78" s="126">
        <f>COUNTIFS('Database Presensi SCC'!$B:$B, "*"&amp;IF(B80&lt;&gt;"", B80, C80)&amp;"*", 'Database Presensi SCC'!$C:$C, "Hadir")</f>
        <v>0</v>
      </c>
      <c r="G78" s="126">
        <f>IFERROR(__xludf.DUMMYFUNCTION("COUNTUNIQUEIFS('Database Presensi SCC'!$K:$K, 'Database Presensi SCC'!$H:$H, E80)"),0.0)</f>
        <v>0</v>
      </c>
      <c r="H78" s="126">
        <f t="shared" si="2"/>
        <v>0</v>
      </c>
      <c r="I78" s="106"/>
      <c r="J78" s="106"/>
      <c r="K78" s="106"/>
      <c r="L78" s="106"/>
      <c r="M78" s="106"/>
      <c r="N78" s="106"/>
      <c r="O78" s="106"/>
      <c r="P78" s="106"/>
      <c r="Q78" s="106"/>
      <c r="R78" s="106"/>
      <c r="S78" s="106"/>
      <c r="T78" s="106"/>
      <c r="U78" s="106"/>
    </row>
    <row r="79">
      <c r="A79" s="123">
        <v>22.0</v>
      </c>
      <c r="B79" s="94" t="s">
        <v>7451</v>
      </c>
      <c r="C79" s="124">
        <v>2.42510252E8</v>
      </c>
      <c r="D79" s="94" t="s">
        <v>8819</v>
      </c>
      <c r="E79" s="125" t="s">
        <v>5372</v>
      </c>
      <c r="F79" s="126">
        <f>COUNTIFS('Database Presensi SCC'!$B:$B, "*"&amp;IF(B81&lt;&gt;"", B81, C81)&amp;"*", 'Database Presensi SCC'!$C:$C, "Hadir")</f>
        <v>0</v>
      </c>
      <c r="G79" s="126">
        <f>IFERROR(__xludf.DUMMYFUNCTION("COUNTUNIQUEIFS('Database Presensi SCC'!$K:$K, 'Database Presensi SCC'!$H:$H, E81)"),0.0)</f>
        <v>0</v>
      </c>
      <c r="H79" s="126">
        <f t="shared" si="2"/>
        <v>0</v>
      </c>
      <c r="I79" s="106"/>
      <c r="J79" s="106"/>
      <c r="K79" s="106"/>
      <c r="L79" s="106"/>
      <c r="M79" s="106"/>
      <c r="N79" s="106"/>
      <c r="O79" s="106"/>
      <c r="P79" s="106"/>
      <c r="Q79" s="106"/>
      <c r="R79" s="106"/>
      <c r="S79" s="106"/>
      <c r="T79" s="106"/>
      <c r="U79" s="106"/>
    </row>
    <row r="80">
      <c r="A80" s="123">
        <v>23.0</v>
      </c>
      <c r="B80" s="94" t="s">
        <v>7461</v>
      </c>
      <c r="C80" s="124">
        <v>2.42510266E8</v>
      </c>
      <c r="D80" s="94" t="s">
        <v>8820</v>
      </c>
      <c r="E80" s="125" t="s">
        <v>5372</v>
      </c>
      <c r="F80" s="126">
        <f>COUNTIFS('Database Presensi SCC'!$B:$B, "*"&amp;IF(B82&lt;&gt;"", B82, C82)&amp;"*", 'Database Presensi SCC'!$C:$C, "Hadir")</f>
        <v>0</v>
      </c>
      <c r="G80" s="126">
        <f>IFERROR(__xludf.DUMMYFUNCTION("COUNTUNIQUEIFS('Database Presensi SCC'!$K:$K, 'Database Presensi SCC'!$H:$H, E82)"),0.0)</f>
        <v>0</v>
      </c>
      <c r="H80" s="126">
        <f t="shared" si="2"/>
        <v>0</v>
      </c>
      <c r="I80" s="106"/>
      <c r="J80" s="106"/>
      <c r="K80" s="106"/>
      <c r="L80" s="106"/>
      <c r="M80" s="106"/>
      <c r="N80" s="106"/>
      <c r="O80" s="106"/>
      <c r="P80" s="106"/>
      <c r="Q80" s="106"/>
      <c r="R80" s="106"/>
      <c r="S80" s="106"/>
      <c r="T80" s="106"/>
      <c r="U80" s="106"/>
    </row>
    <row r="81">
      <c r="A81" s="123">
        <v>24.0</v>
      </c>
      <c r="B81" s="94" t="s">
        <v>7309</v>
      </c>
      <c r="C81" s="124">
        <v>2.4251027E8</v>
      </c>
      <c r="D81" s="94" t="s">
        <v>8821</v>
      </c>
      <c r="E81" s="125" t="s">
        <v>5372</v>
      </c>
      <c r="F81" s="126">
        <f>COUNTIFS('Database Presensi SCC'!$B:$B, "*"&amp;IF(B83&lt;&gt;"", B83, C83)&amp;"*", 'Database Presensi SCC'!$C:$C, "Hadir")</f>
        <v>0</v>
      </c>
      <c r="G81" s="126">
        <f>IFERROR(__xludf.DUMMYFUNCTION("COUNTUNIQUEIFS('Database Presensi SCC'!$K:$K, 'Database Presensi SCC'!$H:$H, E83)"),0.0)</f>
        <v>0</v>
      </c>
      <c r="H81" s="126">
        <f t="shared" si="2"/>
        <v>0</v>
      </c>
      <c r="I81" s="106"/>
      <c r="J81" s="106"/>
      <c r="K81" s="106"/>
      <c r="L81" s="106"/>
      <c r="M81" s="106"/>
      <c r="N81" s="106"/>
      <c r="O81" s="106"/>
      <c r="P81" s="106"/>
      <c r="Q81" s="106"/>
      <c r="R81" s="106"/>
      <c r="S81" s="106"/>
      <c r="T81" s="106"/>
      <c r="U81" s="106"/>
    </row>
    <row r="82">
      <c r="A82" s="123">
        <v>25.0</v>
      </c>
      <c r="B82" s="94" t="s">
        <v>6868</v>
      </c>
      <c r="C82" s="124">
        <v>2.42510281E8</v>
      </c>
      <c r="D82" s="94" t="s">
        <v>8822</v>
      </c>
      <c r="E82" s="125" t="s">
        <v>5372</v>
      </c>
      <c r="F82" s="126">
        <f>COUNTIFS('Database Presensi SCC'!$B:$B, "*"&amp;IF(B84&lt;&gt;"", B84, C84)&amp;"*", 'Database Presensi SCC'!$C:$C, "Hadir")</f>
        <v>0</v>
      </c>
      <c r="G82" s="126">
        <f>IFERROR(__xludf.DUMMYFUNCTION("COUNTUNIQUEIFS('Database Presensi SCC'!$K:$K, 'Database Presensi SCC'!$H:$H, E84)"),0.0)</f>
        <v>0</v>
      </c>
      <c r="H82" s="126">
        <f t="shared" si="2"/>
        <v>0</v>
      </c>
      <c r="I82" s="106"/>
      <c r="J82" s="106"/>
      <c r="K82" s="106"/>
      <c r="L82" s="106"/>
      <c r="M82" s="106"/>
      <c r="N82" s="106"/>
      <c r="O82" s="106"/>
      <c r="P82" s="106"/>
      <c r="Q82" s="106"/>
      <c r="R82" s="106"/>
      <c r="S82" s="106"/>
      <c r="T82" s="106"/>
      <c r="U82" s="106"/>
    </row>
    <row r="83">
      <c r="A83" s="123">
        <v>26.0</v>
      </c>
      <c r="B83" s="94" t="s">
        <v>7396</v>
      </c>
      <c r="C83" s="124">
        <v>2.42510296E8</v>
      </c>
      <c r="D83" s="94" t="s">
        <v>8823</v>
      </c>
      <c r="E83" s="125" t="s">
        <v>5372</v>
      </c>
      <c r="F83" s="126">
        <f>COUNTIFS('Database Presensi SCC'!$B:$B, "*"&amp;IF(B85&lt;&gt;"", B85, C85)&amp;"*", 'Database Presensi SCC'!$C:$C, "Hadir")</f>
        <v>0</v>
      </c>
      <c r="G83" s="126">
        <f>IFERROR(__xludf.DUMMYFUNCTION("COUNTUNIQUEIFS('Database Presensi SCC'!$K:$K, 'Database Presensi SCC'!$H:$H, E85)"),0.0)</f>
        <v>0</v>
      </c>
      <c r="H83" s="126">
        <f t="shared" si="2"/>
        <v>0</v>
      </c>
      <c r="I83" s="106"/>
      <c r="J83" s="106"/>
      <c r="K83" s="106"/>
      <c r="L83" s="106"/>
      <c r="M83" s="106"/>
      <c r="N83" s="106"/>
      <c r="O83" s="106"/>
      <c r="P83" s="106"/>
      <c r="Q83" s="106"/>
      <c r="R83" s="106"/>
      <c r="S83" s="106"/>
      <c r="T83" s="106"/>
      <c r="U83" s="106"/>
    </row>
    <row r="84">
      <c r="A84" s="123">
        <v>27.0</v>
      </c>
      <c r="B84" s="94" t="s">
        <v>6948</v>
      </c>
      <c r="C84" s="124">
        <v>2.4251031E8</v>
      </c>
      <c r="D84" s="94" t="s">
        <v>8824</v>
      </c>
      <c r="E84" s="125" t="s">
        <v>5372</v>
      </c>
      <c r="F84" s="126">
        <f>COUNTIFS('Database Presensi SCC'!$B:$B, "*"&amp;IF(B86&lt;&gt;"", B86, C86)&amp;"*", 'Database Presensi SCC'!$C:$C, "Hadir")</f>
        <v>0</v>
      </c>
      <c r="G84" s="126">
        <f>IFERROR(__xludf.DUMMYFUNCTION("COUNTUNIQUEIFS('Database Presensi SCC'!$K:$K, 'Database Presensi SCC'!$H:$H, E86)"),0.0)</f>
        <v>0</v>
      </c>
      <c r="H84" s="126">
        <f t="shared" si="2"/>
        <v>0</v>
      </c>
      <c r="I84" s="106"/>
      <c r="J84" s="106"/>
      <c r="K84" s="106"/>
      <c r="L84" s="106"/>
      <c r="M84" s="106"/>
      <c r="N84" s="106"/>
      <c r="O84" s="106"/>
      <c r="P84" s="106"/>
      <c r="Q84" s="106"/>
      <c r="R84" s="106"/>
      <c r="S84" s="106"/>
      <c r="T84" s="106"/>
      <c r="U84" s="106"/>
    </row>
    <row r="85">
      <c r="A85" s="123">
        <v>28.0</v>
      </c>
      <c r="B85" s="92" t="s">
        <v>7693</v>
      </c>
      <c r="C85" s="124">
        <v>2.42510316E8</v>
      </c>
      <c r="D85" s="94" t="s">
        <v>8825</v>
      </c>
      <c r="E85" s="125" t="s">
        <v>5372</v>
      </c>
      <c r="F85" s="126">
        <f>COUNTIFS('Database Presensi SCC'!$B:$B, "*"&amp;IF(B87&lt;&gt;"", B87, C87)&amp;"*", 'Database Presensi SCC'!$C:$C, "Hadir")</f>
        <v>0</v>
      </c>
      <c r="G85" s="126">
        <f>IFERROR(__xludf.DUMMYFUNCTION("COUNTUNIQUEIFS('Database Presensi SCC'!$K:$K, 'Database Presensi SCC'!$H:$H, E87)"),0.0)</f>
        <v>0</v>
      </c>
      <c r="H85" s="126">
        <f t="shared" si="2"/>
        <v>0</v>
      </c>
      <c r="I85" s="106"/>
      <c r="J85" s="106"/>
      <c r="K85" s="106"/>
      <c r="L85" s="106"/>
      <c r="M85" s="106"/>
      <c r="N85" s="106"/>
      <c r="O85" s="106"/>
      <c r="P85" s="106"/>
      <c r="Q85" s="106"/>
      <c r="R85" s="106"/>
      <c r="S85" s="106"/>
      <c r="T85" s="106"/>
      <c r="U85" s="106"/>
    </row>
    <row r="86">
      <c r="A86" s="123">
        <v>29.0</v>
      </c>
      <c r="B86" s="94" t="s">
        <v>7533</v>
      </c>
      <c r="C86" s="124">
        <v>2.42510322E8</v>
      </c>
      <c r="D86" s="94" t="s">
        <v>8826</v>
      </c>
      <c r="E86" s="125" t="s">
        <v>5372</v>
      </c>
      <c r="F86" s="126">
        <f>COUNTIFS('Database Presensi SCC'!$B:$B, "*"&amp;IF(B88&lt;&gt;"", B88, C88)&amp;"*", 'Database Presensi SCC'!$C:$C, "Hadir")</f>
        <v>0</v>
      </c>
      <c r="G86" s="126">
        <f>IFERROR(__xludf.DUMMYFUNCTION("COUNTUNIQUEIFS('Database Presensi SCC'!$K:$K, 'Database Presensi SCC'!$H:$H, E88)"),0.0)</f>
        <v>0</v>
      </c>
      <c r="H86" s="126">
        <f t="shared" si="2"/>
        <v>0</v>
      </c>
      <c r="I86" s="106"/>
      <c r="J86" s="106"/>
      <c r="K86" s="106"/>
      <c r="L86" s="106"/>
      <c r="M86" s="106"/>
      <c r="N86" s="106"/>
      <c r="O86" s="106"/>
      <c r="P86" s="106"/>
      <c r="Q86" s="106"/>
      <c r="R86" s="106"/>
      <c r="S86" s="106"/>
      <c r="T86" s="106"/>
      <c r="U86" s="106"/>
    </row>
    <row r="87">
      <c r="A87" s="123">
        <v>30.0</v>
      </c>
      <c r="B87" s="92" t="s">
        <v>7471</v>
      </c>
      <c r="C87" s="124">
        <v>2.42510337E8</v>
      </c>
      <c r="D87" s="94" t="s">
        <v>8827</v>
      </c>
      <c r="E87" s="125" t="s">
        <v>5372</v>
      </c>
      <c r="F87" s="126">
        <f>COUNTIFS('Database Presensi SCC'!$B:$B, "*"&amp;IF(B89&lt;&gt;"", B89, C89)&amp;"*", 'Database Presensi SCC'!$C:$C, "Hadir")</f>
        <v>0</v>
      </c>
      <c r="G87" s="126">
        <f>IFERROR(__xludf.DUMMYFUNCTION("COUNTUNIQUEIFS('Database Presensi SCC'!$K:$K, 'Database Presensi SCC'!$H:$H, E89)"),0.0)</f>
        <v>0</v>
      </c>
      <c r="H87" s="126">
        <f t="shared" si="2"/>
        <v>0</v>
      </c>
      <c r="I87" s="106"/>
      <c r="J87" s="106"/>
      <c r="K87" s="106"/>
      <c r="L87" s="106"/>
      <c r="M87" s="106"/>
      <c r="N87" s="106"/>
      <c r="O87" s="106"/>
      <c r="P87" s="106"/>
      <c r="Q87" s="106"/>
      <c r="R87" s="106"/>
      <c r="S87" s="106"/>
      <c r="T87" s="106"/>
      <c r="U87" s="106"/>
    </row>
    <row r="88">
      <c r="A88" s="123">
        <v>31.0</v>
      </c>
      <c r="B88" s="94" t="s">
        <v>7250</v>
      </c>
      <c r="C88" s="124">
        <v>2.42510358E8</v>
      </c>
      <c r="D88" s="94" t="s">
        <v>8828</v>
      </c>
      <c r="E88" s="125" t="s">
        <v>5372</v>
      </c>
      <c r="F88" s="126">
        <f>COUNTIFS('Database Presensi SCC'!$B:$B, "*"&amp;IF(B90&lt;&gt;"", B90, C90)&amp;"*", 'Database Presensi SCC'!$C:$C, "Hadir")</f>
        <v>0</v>
      </c>
      <c r="G88" s="126">
        <f>IFERROR(__xludf.DUMMYFUNCTION("COUNTUNIQUEIFS('Database Presensi SCC'!$K:$K, 'Database Presensi SCC'!$H:$H, E90)"),0.0)</f>
        <v>0</v>
      </c>
      <c r="H88" s="126">
        <f t="shared" si="2"/>
        <v>0</v>
      </c>
      <c r="I88" s="106"/>
      <c r="J88" s="106"/>
      <c r="K88" s="106"/>
      <c r="L88" s="106"/>
      <c r="M88" s="106"/>
      <c r="N88" s="106"/>
      <c r="O88" s="106"/>
      <c r="P88" s="106"/>
      <c r="Q88" s="106"/>
      <c r="R88" s="106"/>
      <c r="S88" s="106"/>
      <c r="T88" s="106"/>
      <c r="U88" s="106"/>
    </row>
    <row r="89">
      <c r="A89" s="123">
        <v>32.0</v>
      </c>
      <c r="B89" s="94" t="s">
        <v>6963</v>
      </c>
      <c r="C89" s="124">
        <v>2.42510377E8</v>
      </c>
      <c r="D89" s="94" t="s">
        <v>8829</v>
      </c>
      <c r="E89" s="125" t="s">
        <v>5372</v>
      </c>
      <c r="F89" s="126">
        <f>COUNTIFS('Database Presensi SCC'!$B:$B, "*"&amp;IF(B91&lt;&gt;"", B91, C91)&amp;"*", 'Database Presensi SCC'!$C:$C, "Hadir")</f>
        <v>0</v>
      </c>
      <c r="G89" s="126">
        <f>IFERROR(__xludf.DUMMYFUNCTION("COUNTUNIQUEIFS('Database Presensi SCC'!$K:$K, 'Database Presensi SCC'!$H:$H, E91)"),0.0)</f>
        <v>0</v>
      </c>
      <c r="H89" s="126">
        <f t="shared" si="2"/>
        <v>0</v>
      </c>
      <c r="I89" s="106"/>
      <c r="J89" s="106"/>
      <c r="K89" s="106"/>
      <c r="L89" s="106"/>
      <c r="M89" s="106"/>
      <c r="N89" s="106"/>
      <c r="O89" s="106"/>
      <c r="P89" s="106"/>
      <c r="Q89" s="106"/>
      <c r="R89" s="106"/>
      <c r="S89" s="106"/>
      <c r="T89" s="106"/>
      <c r="U89" s="106"/>
    </row>
    <row r="90">
      <c r="A90" s="123">
        <v>33.0</v>
      </c>
      <c r="B90" s="94" t="s">
        <v>7543</v>
      </c>
      <c r="C90" s="124">
        <v>2.42510381E8</v>
      </c>
      <c r="D90" s="94" t="s">
        <v>8830</v>
      </c>
      <c r="E90" s="125" t="s">
        <v>5372</v>
      </c>
      <c r="F90" s="126">
        <f>COUNTIFS('Database Presensi SCC'!$B:$B, "*"&amp;IF(B92&lt;&gt;"", B92, C92)&amp;"*", 'Database Presensi SCC'!$C:$C, "Hadir")</f>
        <v>0</v>
      </c>
      <c r="G90" s="126">
        <f>IFERROR(__xludf.DUMMYFUNCTION("COUNTUNIQUEIFS('Database Presensi SCC'!$K:$K, 'Database Presensi SCC'!$H:$H, E92)"),0.0)</f>
        <v>0</v>
      </c>
      <c r="H90" s="126">
        <f t="shared" si="2"/>
        <v>0</v>
      </c>
      <c r="I90" s="106"/>
      <c r="J90" s="106"/>
      <c r="K90" s="106"/>
      <c r="L90" s="106"/>
      <c r="M90" s="106"/>
      <c r="N90" s="106"/>
      <c r="O90" s="106"/>
      <c r="P90" s="106"/>
      <c r="Q90" s="106"/>
      <c r="R90" s="106"/>
      <c r="S90" s="106"/>
      <c r="T90" s="106"/>
      <c r="U90" s="106"/>
    </row>
    <row r="91">
      <c r="A91" s="123">
        <v>34.0</v>
      </c>
      <c r="B91" s="92" t="s">
        <v>7549</v>
      </c>
      <c r="C91" s="124">
        <v>2.42510401E8</v>
      </c>
      <c r="D91" s="94" t="s">
        <v>8831</v>
      </c>
      <c r="E91" s="125" t="s">
        <v>5372</v>
      </c>
      <c r="F91" s="126">
        <f>COUNTIFS('Database Presensi SCC'!$B:$B, "*"&amp;IF(B93&lt;&gt;"", B93, C93)&amp;"*", 'Database Presensi SCC'!$C:$C, "Hadir")</f>
        <v>0</v>
      </c>
      <c r="G91" s="126">
        <f>IFERROR(__xludf.DUMMYFUNCTION("COUNTUNIQUEIFS('Database Presensi SCC'!$K:$K, 'Database Presensi SCC'!$H:$H, E93)"),0.0)</f>
        <v>0</v>
      </c>
      <c r="H91" s="126">
        <f t="shared" si="2"/>
        <v>0</v>
      </c>
      <c r="I91" s="106"/>
      <c r="J91" s="106"/>
      <c r="K91" s="106"/>
      <c r="L91" s="106"/>
      <c r="M91" s="106"/>
      <c r="N91" s="106"/>
      <c r="O91" s="106"/>
      <c r="P91" s="106"/>
      <c r="Q91" s="106"/>
      <c r="R91" s="106"/>
      <c r="S91" s="106"/>
      <c r="T91" s="106"/>
      <c r="U91" s="106"/>
    </row>
    <row r="92">
      <c r="A92" s="123">
        <v>35.0</v>
      </c>
      <c r="B92" s="94" t="s">
        <v>6971</v>
      </c>
      <c r="C92" s="124">
        <v>2.42510412E8</v>
      </c>
      <c r="D92" s="94" t="s">
        <v>8832</v>
      </c>
      <c r="E92" s="125" t="s">
        <v>5372</v>
      </c>
      <c r="F92" s="126">
        <f>COUNTIFS('Database Presensi SCC'!$B:$B, "*"&amp;IF(B94&lt;&gt;"", B94, C94)&amp;"*", 'Database Presensi SCC'!$C:$C, "Hadir")</f>
        <v>0</v>
      </c>
      <c r="G92" s="126">
        <f>IFERROR(__xludf.DUMMYFUNCTION("COUNTUNIQUEIFS('Database Presensi SCC'!$K:$K, 'Database Presensi SCC'!$H:$H, E94)"),0.0)</f>
        <v>0</v>
      </c>
      <c r="H92" s="126">
        <f t="shared" si="2"/>
        <v>0</v>
      </c>
      <c r="I92" s="106"/>
      <c r="J92" s="106"/>
      <c r="K92" s="106"/>
      <c r="L92" s="106"/>
      <c r="M92" s="106"/>
      <c r="N92" s="106"/>
      <c r="O92" s="106"/>
      <c r="P92" s="106"/>
      <c r="Q92" s="106"/>
      <c r="R92" s="106"/>
      <c r="S92" s="106"/>
      <c r="T92" s="106"/>
      <c r="U92" s="106"/>
    </row>
    <row r="93">
      <c r="A93" s="123">
        <v>36.0</v>
      </c>
      <c r="B93" s="94" t="s">
        <v>7483</v>
      </c>
      <c r="C93" s="124">
        <v>2.42510429E8</v>
      </c>
      <c r="D93" s="94" t="s">
        <v>8833</v>
      </c>
      <c r="E93" s="125" t="s">
        <v>5372</v>
      </c>
      <c r="F93" s="126">
        <f>COUNTIFS('Database Presensi SCC'!$B:$B, "*"&amp;IF(B95&lt;&gt;"", B95, C95)&amp;"*", 'Database Presensi SCC'!$C:$C, "Hadir")</f>
        <v>0</v>
      </c>
      <c r="G93" s="126">
        <f>IFERROR(__xludf.DUMMYFUNCTION("COUNTUNIQUEIFS('Database Presensi SCC'!$K:$K, 'Database Presensi SCC'!$H:$H, E95)"),0.0)</f>
        <v>0</v>
      </c>
      <c r="H93" s="126">
        <f t="shared" si="2"/>
        <v>0</v>
      </c>
      <c r="I93" s="106"/>
      <c r="J93" s="106"/>
      <c r="K93" s="106"/>
      <c r="L93" s="106"/>
      <c r="M93" s="106"/>
      <c r="N93" s="106"/>
      <c r="O93" s="106"/>
      <c r="P93" s="106"/>
      <c r="Q93" s="106"/>
      <c r="R93" s="106"/>
      <c r="S93" s="106"/>
      <c r="T93" s="106"/>
      <c r="U93" s="106"/>
    </row>
    <row r="94">
      <c r="A94" s="123">
        <v>37.0</v>
      </c>
      <c r="B94" s="127"/>
      <c r="C94" s="127"/>
      <c r="D94" s="127"/>
      <c r="E94" s="127"/>
      <c r="F94" s="128"/>
      <c r="G94" s="128"/>
      <c r="H94" s="128"/>
      <c r="I94" s="106"/>
      <c r="J94" s="106"/>
      <c r="K94" s="106"/>
      <c r="L94" s="106"/>
      <c r="M94" s="106"/>
      <c r="N94" s="106"/>
      <c r="O94" s="106"/>
      <c r="P94" s="106"/>
      <c r="Q94" s="106"/>
      <c r="R94" s="106"/>
      <c r="S94" s="106"/>
      <c r="T94" s="106"/>
      <c r="U94" s="106"/>
    </row>
    <row r="95">
      <c r="A95" s="123">
        <v>38.0</v>
      </c>
      <c r="B95" s="127"/>
      <c r="C95" s="127"/>
      <c r="D95" s="127"/>
      <c r="E95" s="127"/>
      <c r="F95" s="128"/>
      <c r="G95" s="128"/>
      <c r="H95" s="128"/>
      <c r="I95" s="106"/>
      <c r="J95" s="106"/>
      <c r="K95" s="106"/>
      <c r="L95" s="106"/>
      <c r="M95" s="106"/>
      <c r="N95" s="106"/>
      <c r="O95" s="106"/>
      <c r="P95" s="106"/>
      <c r="Q95" s="106"/>
      <c r="R95" s="106"/>
      <c r="S95" s="106"/>
      <c r="T95" s="106"/>
      <c r="U95" s="106"/>
    </row>
    <row r="96">
      <c r="A96" s="129"/>
      <c r="B96" s="130" t="s">
        <v>8789</v>
      </c>
      <c r="C96" s="129"/>
      <c r="D96" s="131">
        <f>COUNTIF(E58:E95,"L")</f>
        <v>0</v>
      </c>
      <c r="E96" s="129"/>
      <c r="F96" s="129"/>
      <c r="G96" s="129"/>
      <c r="H96" s="129"/>
      <c r="I96" s="129"/>
      <c r="J96" s="129"/>
      <c r="K96" s="129"/>
      <c r="L96" s="129"/>
      <c r="M96" s="129"/>
      <c r="N96" s="129"/>
      <c r="O96" s="129"/>
      <c r="P96" s="129"/>
      <c r="Q96" s="129"/>
      <c r="R96" s="129"/>
      <c r="S96" s="129"/>
      <c r="T96" s="129"/>
    </row>
    <row r="97">
      <c r="A97" s="129"/>
      <c r="B97" s="130" t="s">
        <v>8790</v>
      </c>
      <c r="C97" s="129"/>
      <c r="D97" s="131">
        <f>COUNTIF(E58:E95,"P")</f>
        <v>0</v>
      </c>
      <c r="E97" s="129"/>
      <c r="F97" s="129"/>
      <c r="G97" s="129"/>
      <c r="H97" s="129"/>
      <c r="I97" s="129"/>
      <c r="J97" s="129"/>
      <c r="K97" s="132" t="s">
        <v>8791</v>
      </c>
      <c r="L97" s="133"/>
      <c r="M97" s="133"/>
      <c r="N97" s="133"/>
      <c r="O97" s="133"/>
      <c r="P97" s="133"/>
      <c r="Q97" s="133"/>
      <c r="R97" s="133"/>
      <c r="S97" s="133"/>
      <c r="T97" s="134"/>
    </row>
    <row r="98">
      <c r="A98" s="129"/>
      <c r="B98" s="130" t="s">
        <v>8792</v>
      </c>
      <c r="C98" s="129"/>
      <c r="D98" s="131">
        <f>D96+D97</f>
        <v>0</v>
      </c>
      <c r="E98" s="129"/>
      <c r="F98" s="129"/>
      <c r="G98" s="129"/>
      <c r="H98" s="129"/>
      <c r="I98" s="129"/>
      <c r="J98" s="129"/>
      <c r="K98" s="132" t="s">
        <v>8793</v>
      </c>
      <c r="L98" s="133"/>
      <c r="M98" s="133"/>
      <c r="N98" s="133"/>
      <c r="O98" s="133"/>
      <c r="P98" s="133"/>
      <c r="Q98" s="133"/>
      <c r="R98" s="133"/>
      <c r="S98" s="133"/>
      <c r="T98" s="134"/>
    </row>
    <row r="99">
      <c r="A99" s="129"/>
      <c r="B99" s="129"/>
      <c r="C99" s="129"/>
      <c r="D99" s="129"/>
      <c r="E99" s="129"/>
      <c r="F99" s="129"/>
      <c r="G99" s="129"/>
      <c r="H99" s="129"/>
      <c r="I99" s="129"/>
      <c r="J99" s="129"/>
      <c r="K99" s="129"/>
      <c r="L99" s="129"/>
      <c r="M99" s="129"/>
      <c r="N99" s="129"/>
      <c r="O99" s="129"/>
      <c r="P99" s="129"/>
      <c r="Q99" s="129"/>
      <c r="R99" s="129"/>
      <c r="S99" s="129"/>
      <c r="T99" s="129"/>
    </row>
    <row r="100">
      <c r="A100" s="129"/>
      <c r="B100" s="129"/>
      <c r="C100" s="129"/>
      <c r="D100" s="129"/>
      <c r="E100" s="129"/>
      <c r="F100" s="129"/>
      <c r="G100" s="129"/>
      <c r="H100" s="129"/>
      <c r="I100" s="129"/>
      <c r="J100" s="129"/>
      <c r="K100" s="141"/>
      <c r="L100" s="141"/>
      <c r="M100" s="141"/>
      <c r="N100" s="141"/>
      <c r="O100" s="141"/>
      <c r="P100" s="141"/>
      <c r="Q100" s="141"/>
      <c r="R100" s="141"/>
      <c r="S100" s="141"/>
      <c r="T100" s="141"/>
    </row>
    <row r="101">
      <c r="A101" s="97" t="s">
        <v>8743</v>
      </c>
      <c r="B101" s="97"/>
      <c r="C101" s="97"/>
      <c r="D101" s="97"/>
      <c r="E101" s="97"/>
      <c r="F101" s="97"/>
      <c r="G101" s="97"/>
      <c r="H101" s="97"/>
      <c r="I101" s="97"/>
      <c r="J101" s="97"/>
      <c r="K101" s="97"/>
      <c r="L101" s="97"/>
      <c r="M101" s="97"/>
      <c r="N101" s="97"/>
      <c r="O101" s="97"/>
      <c r="P101" s="97"/>
      <c r="Q101" s="97"/>
      <c r="R101" s="97"/>
      <c r="S101" s="97"/>
      <c r="T101" s="97"/>
    </row>
    <row r="102">
      <c r="A102" s="135" t="s">
        <v>8744</v>
      </c>
      <c r="B102" s="136"/>
      <c r="C102" s="136"/>
      <c r="D102" s="136"/>
      <c r="E102" s="136"/>
      <c r="F102" s="136"/>
      <c r="G102" s="136"/>
      <c r="H102" s="136"/>
      <c r="I102" s="136"/>
      <c r="J102" s="136"/>
      <c r="K102" s="136"/>
      <c r="L102" s="136"/>
      <c r="M102" s="136"/>
      <c r="N102" s="136"/>
      <c r="O102" s="136"/>
      <c r="P102" s="136"/>
      <c r="Q102" s="136"/>
      <c r="R102" s="136"/>
      <c r="S102" s="136"/>
      <c r="T102" s="137"/>
    </row>
    <row r="103">
      <c r="A103" s="102" t="s">
        <v>8745</v>
      </c>
      <c r="B103" s="103"/>
      <c r="C103" s="103"/>
      <c r="D103" s="103"/>
      <c r="E103" s="103"/>
      <c r="F103" s="103"/>
      <c r="G103" s="103"/>
      <c r="H103" s="103"/>
      <c r="I103" s="103"/>
      <c r="J103" s="103"/>
      <c r="K103" s="103"/>
      <c r="L103" s="103"/>
      <c r="M103" s="103"/>
      <c r="N103" s="103"/>
      <c r="O103" s="103"/>
      <c r="P103" s="103"/>
      <c r="Q103" s="103"/>
      <c r="R103" s="103"/>
      <c r="S103" s="103"/>
      <c r="T103" s="104"/>
    </row>
    <row r="104">
      <c r="A104" s="105" t="s">
        <v>8834</v>
      </c>
      <c r="B104" s="106"/>
      <c r="C104" s="106"/>
      <c r="D104" s="106"/>
      <c r="E104" s="106"/>
      <c r="F104" s="106"/>
      <c r="G104" s="106"/>
      <c r="H104" s="106"/>
      <c r="I104" s="106"/>
      <c r="J104" s="106"/>
      <c r="K104" s="106"/>
      <c r="L104" s="106"/>
      <c r="M104" s="106"/>
      <c r="N104" s="106"/>
      <c r="O104" s="106"/>
      <c r="P104" s="106"/>
      <c r="Q104" s="106"/>
      <c r="R104" s="106"/>
      <c r="S104" s="106"/>
      <c r="T104" s="107"/>
    </row>
    <row r="105">
      <c r="A105" s="108" t="s">
        <v>8835</v>
      </c>
      <c r="B105" s="109"/>
      <c r="C105" s="109"/>
      <c r="D105" s="109"/>
      <c r="E105" s="109"/>
      <c r="F105" s="110"/>
      <c r="G105" s="110"/>
      <c r="H105" s="110"/>
      <c r="I105" s="110"/>
      <c r="J105" s="110"/>
      <c r="K105" s="110"/>
      <c r="L105" s="110"/>
      <c r="M105" s="110"/>
      <c r="N105" s="110"/>
      <c r="O105" s="110"/>
      <c r="P105" s="110"/>
      <c r="Q105" s="110"/>
      <c r="R105" s="110"/>
      <c r="S105" s="110"/>
      <c r="T105" s="110"/>
    </row>
    <row r="106">
      <c r="A106" s="111" t="s">
        <v>8748</v>
      </c>
      <c r="B106" s="111" t="s">
        <v>9</v>
      </c>
      <c r="C106" s="111" t="s">
        <v>5246</v>
      </c>
      <c r="D106" s="111" t="s">
        <v>8680</v>
      </c>
      <c r="E106" s="138" t="s">
        <v>13</v>
      </c>
      <c r="F106" s="113" t="s">
        <v>8749</v>
      </c>
      <c r="G106" s="113" t="s">
        <v>8750</v>
      </c>
      <c r="H106" s="114" t="s">
        <v>217</v>
      </c>
      <c r="I106" s="106"/>
      <c r="J106" s="106"/>
      <c r="K106" s="106"/>
      <c r="L106" s="106"/>
      <c r="M106" s="106"/>
      <c r="N106" s="106"/>
      <c r="O106" s="106"/>
      <c r="P106" s="106"/>
      <c r="Q106" s="106"/>
      <c r="R106" s="106"/>
      <c r="S106" s="106"/>
      <c r="T106" s="106"/>
      <c r="U106" s="106"/>
    </row>
    <row r="107">
      <c r="A107" s="115"/>
      <c r="B107" s="115"/>
      <c r="C107" s="115"/>
      <c r="D107" s="115"/>
      <c r="E107" s="139"/>
      <c r="F107" s="117"/>
      <c r="G107" s="117"/>
      <c r="H107" s="118"/>
      <c r="I107" s="106"/>
      <c r="J107" s="106"/>
      <c r="K107" s="106"/>
      <c r="L107" s="106"/>
      <c r="M107" s="106"/>
      <c r="N107" s="106"/>
      <c r="O107" s="106"/>
      <c r="P107" s="106"/>
      <c r="Q107" s="106"/>
      <c r="R107" s="106"/>
      <c r="S107" s="106"/>
      <c r="T107" s="106"/>
      <c r="U107" s="106"/>
    </row>
    <row r="108">
      <c r="A108" s="119"/>
      <c r="B108" s="119"/>
      <c r="C108" s="119"/>
      <c r="D108" s="119"/>
      <c r="E108" s="140"/>
      <c r="F108" s="121"/>
      <c r="G108" s="121"/>
      <c r="H108" s="122"/>
      <c r="I108" s="106"/>
      <c r="J108" s="106"/>
      <c r="K108" s="106"/>
      <c r="L108" s="106"/>
      <c r="M108" s="106"/>
      <c r="N108" s="106"/>
      <c r="O108" s="106"/>
      <c r="P108" s="106"/>
      <c r="Q108" s="106"/>
      <c r="R108" s="106"/>
      <c r="S108" s="106"/>
      <c r="T108" s="106"/>
      <c r="U108" s="106"/>
    </row>
    <row r="109">
      <c r="A109" s="123">
        <v>1.0</v>
      </c>
      <c r="B109" s="94" t="s">
        <v>6973</v>
      </c>
      <c r="C109" s="124">
        <v>2.4251001E8</v>
      </c>
      <c r="D109" s="94" t="s">
        <v>8836</v>
      </c>
      <c r="E109" s="125" t="s">
        <v>5506</v>
      </c>
      <c r="F109" s="126">
        <f>COUNTIFS('Database Presensi SCC'!$B:$B, "*"&amp;IF(B111&lt;&gt;"", B111, C111)&amp;"*", 'Database Presensi SCC'!$C:$C, "Hadir")</f>
        <v>0</v>
      </c>
      <c r="G109" s="126">
        <f>IFERROR(__xludf.DUMMYFUNCTION("COUNTUNIQUEIFS('Database Presensi SCC'!$K:$K, 'Database Presensi SCC'!$H:$H, E111)"),0.0)</f>
        <v>0</v>
      </c>
      <c r="H109" s="126">
        <f t="shared" ref="H109:H144" si="3">IFERROR(F111/G111, 0)</f>
        <v>0</v>
      </c>
      <c r="I109" s="106"/>
      <c r="J109" s="106"/>
      <c r="K109" s="106"/>
      <c r="L109" s="106"/>
      <c r="M109" s="106"/>
      <c r="N109" s="106"/>
      <c r="O109" s="106"/>
      <c r="P109" s="106"/>
      <c r="Q109" s="106"/>
      <c r="R109" s="106"/>
      <c r="S109" s="106"/>
      <c r="T109" s="106"/>
      <c r="U109" s="106"/>
    </row>
    <row r="110">
      <c r="A110" s="123">
        <v>2.0</v>
      </c>
      <c r="B110" s="94" t="s">
        <v>7635</v>
      </c>
      <c r="C110" s="124">
        <v>2.42510016E8</v>
      </c>
      <c r="D110" s="94" t="s">
        <v>8837</v>
      </c>
      <c r="E110" s="125" t="s">
        <v>5506</v>
      </c>
      <c r="F110" s="126">
        <f>COUNTIFS('Database Presensi SCC'!$B:$B, "*"&amp;IF(B112&lt;&gt;"", B112, C112)&amp;"*", 'Database Presensi SCC'!$C:$C, "Hadir")</f>
        <v>0</v>
      </c>
      <c r="G110" s="126">
        <f>IFERROR(__xludf.DUMMYFUNCTION("COUNTUNIQUEIFS('Database Presensi SCC'!$K:$K, 'Database Presensi SCC'!$H:$H, E112)"),0.0)</f>
        <v>0</v>
      </c>
      <c r="H110" s="126">
        <f t="shared" si="3"/>
        <v>0</v>
      </c>
      <c r="I110" s="106"/>
      <c r="J110" s="106"/>
      <c r="K110" s="106"/>
      <c r="L110" s="106"/>
      <c r="M110" s="106"/>
      <c r="N110" s="106"/>
      <c r="O110" s="106"/>
      <c r="P110" s="106"/>
      <c r="Q110" s="106"/>
      <c r="R110" s="106"/>
      <c r="S110" s="106"/>
      <c r="T110" s="106"/>
      <c r="U110" s="106"/>
    </row>
    <row r="111">
      <c r="A111" s="123">
        <v>3.0</v>
      </c>
      <c r="B111" s="94" t="s">
        <v>7492</v>
      </c>
      <c r="C111" s="124">
        <v>2.42510043E8</v>
      </c>
      <c r="D111" s="94" t="s">
        <v>8838</v>
      </c>
      <c r="E111" s="125" t="s">
        <v>5506</v>
      </c>
      <c r="F111" s="126">
        <f>COUNTIFS('Database Presensi SCC'!$B:$B, "*"&amp;IF(B113&lt;&gt;"", B113, C113)&amp;"*", 'Database Presensi SCC'!$C:$C, "Hadir")</f>
        <v>0</v>
      </c>
      <c r="G111" s="126">
        <f>IFERROR(__xludf.DUMMYFUNCTION("COUNTUNIQUEIFS('Database Presensi SCC'!$K:$K, 'Database Presensi SCC'!$H:$H, E113)"),0.0)</f>
        <v>0</v>
      </c>
      <c r="H111" s="126">
        <f t="shared" si="3"/>
        <v>0</v>
      </c>
      <c r="I111" s="106"/>
      <c r="J111" s="106"/>
      <c r="K111" s="106"/>
      <c r="L111" s="106"/>
      <c r="M111" s="106"/>
      <c r="N111" s="106"/>
      <c r="O111" s="106"/>
      <c r="P111" s="106"/>
      <c r="Q111" s="106"/>
      <c r="R111" s="106"/>
      <c r="S111" s="106"/>
      <c r="T111" s="106"/>
      <c r="U111" s="106"/>
    </row>
    <row r="112">
      <c r="A112" s="123">
        <v>4.0</v>
      </c>
      <c r="B112" s="94" t="s">
        <v>7421</v>
      </c>
      <c r="C112" s="124">
        <v>2.42510051E8</v>
      </c>
      <c r="D112" s="94" t="s">
        <v>8839</v>
      </c>
      <c r="E112" s="125" t="s">
        <v>5506</v>
      </c>
      <c r="F112" s="126">
        <f>COUNTIFS('Database Presensi SCC'!$B:$B, "*"&amp;IF(B114&lt;&gt;"", B114, C114)&amp;"*", 'Database Presensi SCC'!$C:$C, "Hadir")</f>
        <v>0</v>
      </c>
      <c r="G112" s="126">
        <f>IFERROR(__xludf.DUMMYFUNCTION("COUNTUNIQUEIFS('Database Presensi SCC'!$K:$K, 'Database Presensi SCC'!$H:$H, E114)"),0.0)</f>
        <v>0</v>
      </c>
      <c r="H112" s="126">
        <f t="shared" si="3"/>
        <v>0</v>
      </c>
      <c r="I112" s="106"/>
      <c r="J112" s="106"/>
      <c r="K112" s="106"/>
      <c r="L112" s="106"/>
      <c r="M112" s="106"/>
      <c r="N112" s="106"/>
      <c r="O112" s="106"/>
      <c r="P112" s="106"/>
      <c r="Q112" s="106"/>
      <c r="R112" s="106"/>
      <c r="S112" s="106"/>
      <c r="T112" s="106"/>
      <c r="U112" s="106"/>
    </row>
    <row r="113">
      <c r="A113" s="123">
        <v>5.0</v>
      </c>
      <c r="B113" s="92" t="s">
        <v>7639</v>
      </c>
      <c r="C113" s="124">
        <v>2.4251006E8</v>
      </c>
      <c r="D113" s="94" t="s">
        <v>8840</v>
      </c>
      <c r="E113" s="125" t="s">
        <v>5506</v>
      </c>
      <c r="F113" s="126">
        <f>COUNTIFS('Database Presensi SCC'!$B:$B, "*"&amp;IF(B115&lt;&gt;"", B115, C115)&amp;"*", 'Database Presensi SCC'!$C:$C, "Hadir")</f>
        <v>0</v>
      </c>
      <c r="G113" s="126">
        <f>IFERROR(__xludf.DUMMYFUNCTION("COUNTUNIQUEIFS('Database Presensi SCC'!$K:$K, 'Database Presensi SCC'!$H:$H, E115)"),0.0)</f>
        <v>0</v>
      </c>
      <c r="H113" s="126">
        <f t="shared" si="3"/>
        <v>0</v>
      </c>
      <c r="I113" s="106"/>
      <c r="J113" s="106"/>
      <c r="K113" s="106"/>
      <c r="L113" s="106"/>
      <c r="M113" s="106"/>
      <c r="N113" s="106"/>
      <c r="O113" s="106"/>
      <c r="P113" s="106"/>
      <c r="Q113" s="106"/>
      <c r="R113" s="106"/>
      <c r="S113" s="106"/>
      <c r="T113" s="106"/>
      <c r="U113" s="106"/>
    </row>
    <row r="114">
      <c r="A114" s="142">
        <v>6.0</v>
      </c>
      <c r="B114" s="94" t="s">
        <v>7354</v>
      </c>
      <c r="C114" s="124">
        <v>2.42510067E8</v>
      </c>
      <c r="D114" s="94" t="s">
        <v>8841</v>
      </c>
      <c r="E114" s="125" t="s">
        <v>5506</v>
      </c>
      <c r="F114" s="126">
        <f>COUNTIFS('Database Presensi SCC'!$B:$B, "*"&amp;IF(B116&lt;&gt;"", B116, C116)&amp;"*", 'Database Presensi SCC'!$C:$C, "Hadir")</f>
        <v>0</v>
      </c>
      <c r="G114" s="126">
        <f>IFERROR(__xludf.DUMMYFUNCTION("COUNTUNIQUEIFS('Database Presensi SCC'!$K:$K, 'Database Presensi SCC'!$H:$H, E116)"),0.0)</f>
        <v>0</v>
      </c>
      <c r="H114" s="126">
        <f t="shared" si="3"/>
        <v>0</v>
      </c>
      <c r="I114" s="106"/>
      <c r="J114" s="106"/>
      <c r="K114" s="106"/>
      <c r="L114" s="106"/>
      <c r="M114" s="106"/>
      <c r="N114" s="106"/>
      <c r="O114" s="106"/>
      <c r="P114" s="106"/>
      <c r="Q114" s="106"/>
      <c r="R114" s="106"/>
      <c r="S114" s="106"/>
      <c r="T114" s="106"/>
      <c r="U114" s="106"/>
    </row>
    <row r="115">
      <c r="A115" s="123">
        <v>7.0</v>
      </c>
      <c r="B115" s="94" t="s">
        <v>7356</v>
      </c>
      <c r="C115" s="124">
        <v>2.42510068E8</v>
      </c>
      <c r="D115" s="94" t="s">
        <v>8842</v>
      </c>
      <c r="E115" s="125" t="s">
        <v>5506</v>
      </c>
      <c r="F115" s="126">
        <f>COUNTIFS('Database Presensi SCC'!$B:$B, "*"&amp;IF(B117&lt;&gt;"", B117, C117)&amp;"*", 'Database Presensi SCC'!$C:$C, "Hadir")</f>
        <v>0</v>
      </c>
      <c r="G115" s="126">
        <f>IFERROR(__xludf.DUMMYFUNCTION("COUNTUNIQUEIFS('Database Presensi SCC'!$K:$K, 'Database Presensi SCC'!$H:$H, E117)"),0.0)</f>
        <v>0</v>
      </c>
      <c r="H115" s="126">
        <f t="shared" si="3"/>
        <v>0</v>
      </c>
      <c r="I115" s="106"/>
      <c r="J115" s="106"/>
      <c r="K115" s="106"/>
      <c r="L115" s="106"/>
      <c r="M115" s="106"/>
      <c r="N115" s="106"/>
      <c r="O115" s="106"/>
      <c r="P115" s="106"/>
      <c r="Q115" s="106"/>
      <c r="R115" s="106"/>
      <c r="S115" s="106"/>
      <c r="T115" s="106"/>
      <c r="U115" s="106"/>
    </row>
    <row r="116">
      <c r="A116" s="123">
        <v>8.0</v>
      </c>
      <c r="B116" s="94" t="s">
        <v>7496</v>
      </c>
      <c r="C116" s="124">
        <v>2.42510075E8</v>
      </c>
      <c r="D116" s="94" t="s">
        <v>8843</v>
      </c>
      <c r="E116" s="125" t="s">
        <v>5506</v>
      </c>
      <c r="F116" s="126">
        <f>COUNTIFS('Database Presensi SCC'!$B:$B, "*"&amp;IF(B118&lt;&gt;"", B118, C118)&amp;"*", 'Database Presensi SCC'!$C:$C, "Hadir")</f>
        <v>0</v>
      </c>
      <c r="G116" s="126">
        <f>IFERROR(__xludf.DUMMYFUNCTION("COUNTUNIQUEIFS('Database Presensi SCC'!$K:$K, 'Database Presensi SCC'!$H:$H, E118)"),0.0)</f>
        <v>0</v>
      </c>
      <c r="H116" s="126">
        <f t="shared" si="3"/>
        <v>0</v>
      </c>
      <c r="I116" s="106"/>
      <c r="J116" s="106"/>
      <c r="K116" s="106"/>
      <c r="L116" s="106"/>
      <c r="M116" s="106"/>
      <c r="N116" s="106"/>
      <c r="O116" s="106"/>
      <c r="P116" s="106"/>
      <c r="Q116" s="106"/>
      <c r="R116" s="106"/>
      <c r="S116" s="106"/>
      <c r="T116" s="106"/>
      <c r="U116" s="106"/>
    </row>
    <row r="117">
      <c r="A117" s="123">
        <v>9.0</v>
      </c>
      <c r="B117" s="94" t="s">
        <v>7360</v>
      </c>
      <c r="C117" s="124">
        <v>2.42510081E8</v>
      </c>
      <c r="D117" s="94" t="s">
        <v>8844</v>
      </c>
      <c r="E117" s="125" t="s">
        <v>5506</v>
      </c>
      <c r="F117" s="126">
        <f>COUNTIFS('Database Presensi SCC'!$B:$B, "*"&amp;IF(B119&lt;&gt;"", B119, C119)&amp;"*", 'Database Presensi SCC'!$C:$C, "Hadir")</f>
        <v>0</v>
      </c>
      <c r="G117" s="126">
        <f>IFERROR(__xludf.DUMMYFUNCTION("COUNTUNIQUEIFS('Database Presensi SCC'!$K:$K, 'Database Presensi SCC'!$H:$H, E119)"),0.0)</f>
        <v>0</v>
      </c>
      <c r="H117" s="126">
        <f t="shared" si="3"/>
        <v>0</v>
      </c>
      <c r="I117" s="106"/>
      <c r="J117" s="106"/>
      <c r="K117" s="106"/>
      <c r="L117" s="106"/>
      <c r="M117" s="106"/>
      <c r="N117" s="106"/>
      <c r="O117" s="106"/>
      <c r="P117" s="106"/>
      <c r="Q117" s="106"/>
      <c r="R117" s="106"/>
      <c r="S117" s="106"/>
      <c r="T117" s="106"/>
      <c r="U117" s="106"/>
    </row>
    <row r="118">
      <c r="A118" s="123">
        <v>10.0</v>
      </c>
      <c r="B118" s="94" t="s">
        <v>7285</v>
      </c>
      <c r="C118" s="124">
        <v>2.42510092E8</v>
      </c>
      <c r="D118" s="94" t="s">
        <v>8845</v>
      </c>
      <c r="E118" s="125" t="s">
        <v>5506</v>
      </c>
      <c r="F118" s="126">
        <f>COUNTIFS('Database Presensi SCC'!$B:$B, "*"&amp;IF(B120&lt;&gt;"", B120, C120)&amp;"*", 'Database Presensi SCC'!$C:$C, "Hadir")</f>
        <v>0</v>
      </c>
      <c r="G118" s="126">
        <f>IFERROR(__xludf.DUMMYFUNCTION("COUNTUNIQUEIFS('Database Presensi SCC'!$K:$K, 'Database Presensi SCC'!$H:$H, E120)"),0.0)</f>
        <v>0</v>
      </c>
      <c r="H118" s="126">
        <f t="shared" si="3"/>
        <v>0</v>
      </c>
      <c r="I118" s="106"/>
      <c r="J118" s="106"/>
      <c r="K118" s="106"/>
      <c r="L118" s="106"/>
      <c r="M118" s="106"/>
      <c r="N118" s="106"/>
      <c r="O118" s="106"/>
      <c r="P118" s="106"/>
      <c r="Q118" s="106"/>
      <c r="R118" s="106"/>
      <c r="S118" s="106"/>
      <c r="T118" s="106"/>
      <c r="U118" s="106"/>
    </row>
    <row r="119">
      <c r="A119" s="123">
        <v>11.0</v>
      </c>
      <c r="B119" s="94" t="s">
        <v>7212</v>
      </c>
      <c r="C119" s="124">
        <v>2.42510101E8</v>
      </c>
      <c r="D119" s="94" t="s">
        <v>8846</v>
      </c>
      <c r="E119" s="125" t="s">
        <v>5506</v>
      </c>
      <c r="F119" s="126">
        <f>COUNTIFS('Database Presensi SCC'!$B:$B, "*"&amp;IF(B121&lt;&gt;"", B121, C121)&amp;"*", 'Database Presensi SCC'!$C:$C, "Hadir")</f>
        <v>0</v>
      </c>
      <c r="G119" s="126">
        <f>IFERROR(__xludf.DUMMYFUNCTION("COUNTUNIQUEIFS('Database Presensi SCC'!$K:$K, 'Database Presensi SCC'!$H:$H, E121)"),0.0)</f>
        <v>0</v>
      </c>
      <c r="H119" s="126">
        <f t="shared" si="3"/>
        <v>0</v>
      </c>
      <c r="I119" s="106"/>
      <c r="J119" s="106"/>
      <c r="K119" s="106"/>
      <c r="L119" s="106"/>
      <c r="M119" s="106"/>
      <c r="N119" s="106"/>
      <c r="O119" s="106"/>
      <c r="P119" s="106"/>
      <c r="Q119" s="106"/>
      <c r="R119" s="106"/>
      <c r="S119" s="106"/>
      <c r="T119" s="106"/>
      <c r="U119" s="106"/>
    </row>
    <row r="120">
      <c r="A120" s="123">
        <v>12.0</v>
      </c>
      <c r="B120" s="94" t="s">
        <v>7060</v>
      </c>
      <c r="C120" s="124">
        <v>2.42510102E8</v>
      </c>
      <c r="D120" s="94" t="s">
        <v>8847</v>
      </c>
      <c r="E120" s="125" t="s">
        <v>5506</v>
      </c>
      <c r="F120" s="126">
        <f>COUNTIFS('Database Presensi SCC'!$B:$B, "*"&amp;IF(B122&lt;&gt;"", B122, C122)&amp;"*", 'Database Presensi SCC'!$C:$C, "Hadir")</f>
        <v>0</v>
      </c>
      <c r="G120" s="126">
        <f>IFERROR(__xludf.DUMMYFUNCTION("COUNTUNIQUEIFS('Database Presensi SCC'!$K:$K, 'Database Presensi SCC'!$H:$H, E122)"),0.0)</f>
        <v>0</v>
      </c>
      <c r="H120" s="126">
        <f t="shared" si="3"/>
        <v>0</v>
      </c>
      <c r="I120" s="106"/>
      <c r="J120" s="106"/>
      <c r="K120" s="106"/>
      <c r="L120" s="106"/>
      <c r="M120" s="106"/>
      <c r="N120" s="106"/>
      <c r="O120" s="106"/>
      <c r="P120" s="106"/>
      <c r="Q120" s="106"/>
      <c r="R120" s="106"/>
      <c r="S120" s="106"/>
      <c r="T120" s="106"/>
      <c r="U120" s="106"/>
    </row>
    <row r="121">
      <c r="A121" s="123">
        <v>13.0</v>
      </c>
      <c r="B121" s="94" t="s">
        <v>7062</v>
      </c>
      <c r="C121" s="124">
        <v>2.42510133E8</v>
      </c>
      <c r="D121" s="94" t="s">
        <v>8848</v>
      </c>
      <c r="E121" s="125" t="s">
        <v>5506</v>
      </c>
      <c r="F121" s="126">
        <f>COUNTIFS('Database Presensi SCC'!$B:$B, "*"&amp;IF(B123&lt;&gt;"", B123, C123)&amp;"*", 'Database Presensi SCC'!$C:$C, "Hadir")</f>
        <v>0</v>
      </c>
      <c r="G121" s="126">
        <f>IFERROR(__xludf.DUMMYFUNCTION("COUNTUNIQUEIFS('Database Presensi SCC'!$K:$K, 'Database Presensi SCC'!$H:$H, E123)"),0.0)</f>
        <v>0</v>
      </c>
      <c r="H121" s="126">
        <f t="shared" si="3"/>
        <v>0</v>
      </c>
      <c r="I121" s="106"/>
      <c r="J121" s="106"/>
      <c r="K121" s="106"/>
      <c r="L121" s="106"/>
      <c r="M121" s="106"/>
      <c r="N121" s="106"/>
      <c r="O121" s="106"/>
      <c r="P121" s="106"/>
      <c r="Q121" s="106"/>
      <c r="R121" s="106"/>
      <c r="S121" s="106"/>
      <c r="T121" s="106"/>
      <c r="U121" s="106"/>
    </row>
    <row r="122">
      <c r="A122" s="123">
        <v>14.0</v>
      </c>
      <c r="B122" s="94" t="s">
        <v>7295</v>
      </c>
      <c r="C122" s="124">
        <v>2.42510143E8</v>
      </c>
      <c r="D122" s="94" t="s">
        <v>8849</v>
      </c>
      <c r="E122" s="125" t="s">
        <v>5506</v>
      </c>
      <c r="F122" s="126">
        <f>COUNTIFS('Database Presensi SCC'!$B:$B, "*"&amp;IF(B124&lt;&gt;"", B124, C124)&amp;"*", 'Database Presensi SCC'!$C:$C, "Hadir")</f>
        <v>0</v>
      </c>
      <c r="G122" s="126">
        <f>IFERROR(__xludf.DUMMYFUNCTION("COUNTUNIQUEIFS('Database Presensi SCC'!$K:$K, 'Database Presensi SCC'!$H:$H, E124)"),0.0)</f>
        <v>0</v>
      </c>
      <c r="H122" s="126">
        <f t="shared" si="3"/>
        <v>0</v>
      </c>
      <c r="I122" s="106"/>
      <c r="J122" s="106"/>
      <c r="K122" s="106"/>
      <c r="L122" s="106"/>
      <c r="M122" s="106"/>
      <c r="N122" s="106"/>
      <c r="O122" s="106"/>
      <c r="P122" s="106"/>
      <c r="Q122" s="106"/>
      <c r="R122" s="106"/>
      <c r="S122" s="106"/>
      <c r="T122" s="106"/>
      <c r="U122" s="106"/>
    </row>
    <row r="123">
      <c r="A123" s="123">
        <v>15.0</v>
      </c>
      <c r="B123" s="94" t="s">
        <v>7657</v>
      </c>
      <c r="C123" s="124">
        <v>2.42510147E8</v>
      </c>
      <c r="D123" s="94" t="s">
        <v>8850</v>
      </c>
      <c r="E123" s="125" t="s">
        <v>5506</v>
      </c>
      <c r="F123" s="126">
        <f>COUNTIFS('Database Presensi SCC'!$B:$B, "*"&amp;IF(B125&lt;&gt;"", B125, C125)&amp;"*", 'Database Presensi SCC'!$C:$C, "Hadir")</f>
        <v>0</v>
      </c>
      <c r="G123" s="126">
        <f>IFERROR(__xludf.DUMMYFUNCTION("COUNTUNIQUEIFS('Database Presensi SCC'!$K:$K, 'Database Presensi SCC'!$H:$H, E125)"),0.0)</f>
        <v>0</v>
      </c>
      <c r="H123" s="126">
        <f t="shared" si="3"/>
        <v>0</v>
      </c>
      <c r="I123" s="106"/>
      <c r="J123" s="106"/>
      <c r="K123" s="106"/>
      <c r="L123" s="106"/>
      <c r="M123" s="106"/>
      <c r="N123" s="106"/>
      <c r="O123" s="106"/>
      <c r="P123" s="106"/>
      <c r="Q123" s="106"/>
      <c r="R123" s="106"/>
      <c r="S123" s="106"/>
      <c r="T123" s="106"/>
      <c r="U123" s="106"/>
    </row>
    <row r="124">
      <c r="A124" s="123">
        <v>16.0</v>
      </c>
      <c r="B124" s="94" t="s">
        <v>8851</v>
      </c>
      <c r="C124" s="124">
        <v>2.42510159E8</v>
      </c>
      <c r="D124" s="94" t="s">
        <v>8852</v>
      </c>
      <c r="E124" s="125" t="s">
        <v>5506</v>
      </c>
      <c r="F124" s="126">
        <f>COUNTIFS('Database Presensi SCC'!$B:$B, "*"&amp;IF(B126&lt;&gt;"", B126, C126)&amp;"*", 'Database Presensi SCC'!$C:$C, "Hadir")</f>
        <v>0</v>
      </c>
      <c r="G124" s="126">
        <f>IFERROR(__xludf.DUMMYFUNCTION("COUNTUNIQUEIFS('Database Presensi SCC'!$K:$K, 'Database Presensi SCC'!$H:$H, E126)"),0.0)</f>
        <v>0</v>
      </c>
      <c r="H124" s="126">
        <f t="shared" si="3"/>
        <v>0</v>
      </c>
      <c r="I124" s="106"/>
      <c r="J124" s="106"/>
      <c r="K124" s="106"/>
      <c r="L124" s="106"/>
      <c r="M124" s="106"/>
      <c r="N124" s="106"/>
      <c r="O124" s="106"/>
      <c r="P124" s="106"/>
      <c r="Q124" s="106"/>
      <c r="R124" s="106"/>
      <c r="S124" s="106"/>
      <c r="T124" s="106"/>
      <c r="U124" s="106"/>
    </row>
    <row r="125">
      <c r="A125" s="123">
        <v>17.0</v>
      </c>
      <c r="B125" s="94" t="s">
        <v>6928</v>
      </c>
      <c r="C125" s="124">
        <v>2.4251016E8</v>
      </c>
      <c r="D125" s="94" t="s">
        <v>8853</v>
      </c>
      <c r="E125" s="125" t="s">
        <v>5506</v>
      </c>
      <c r="F125" s="126">
        <f>COUNTIFS('Database Presensi SCC'!$B:$B, "*"&amp;IF(B127&lt;&gt;"", B127, C127)&amp;"*", 'Database Presensi SCC'!$C:$C, "Hadir")</f>
        <v>0</v>
      </c>
      <c r="G125" s="126">
        <f>IFERROR(__xludf.DUMMYFUNCTION("COUNTUNIQUEIFS('Database Presensi SCC'!$K:$K, 'Database Presensi SCC'!$H:$H, E127)"),0.0)</f>
        <v>0</v>
      </c>
      <c r="H125" s="126">
        <f t="shared" si="3"/>
        <v>0</v>
      </c>
      <c r="I125" s="106"/>
      <c r="J125" s="106"/>
      <c r="K125" s="106"/>
      <c r="L125" s="106"/>
      <c r="M125" s="106"/>
      <c r="N125" s="106"/>
      <c r="O125" s="106"/>
      <c r="P125" s="106"/>
      <c r="Q125" s="106"/>
      <c r="R125" s="106"/>
      <c r="S125" s="106"/>
      <c r="T125" s="106"/>
      <c r="U125" s="106"/>
    </row>
    <row r="126">
      <c r="A126" s="123">
        <v>18.0</v>
      </c>
      <c r="B126" s="94" t="s">
        <v>7226</v>
      </c>
      <c r="C126" s="124">
        <v>2.42510186E8</v>
      </c>
      <c r="D126" s="94" t="s">
        <v>8854</v>
      </c>
      <c r="E126" s="125" t="s">
        <v>5506</v>
      </c>
      <c r="F126" s="126">
        <f>COUNTIFS('Database Presensi SCC'!$B:$B, "*"&amp;IF(B128&lt;&gt;"", B128, C128)&amp;"*", 'Database Presensi SCC'!$C:$C, "Hadir")</f>
        <v>0</v>
      </c>
      <c r="G126" s="126">
        <f>IFERROR(__xludf.DUMMYFUNCTION("COUNTUNIQUEIFS('Database Presensi SCC'!$K:$K, 'Database Presensi SCC'!$H:$H, E128)"),0.0)</f>
        <v>0</v>
      </c>
      <c r="H126" s="126">
        <f t="shared" si="3"/>
        <v>0</v>
      </c>
      <c r="I126" s="106"/>
      <c r="J126" s="106"/>
      <c r="K126" s="106"/>
      <c r="L126" s="106"/>
      <c r="M126" s="106"/>
      <c r="N126" s="106"/>
      <c r="O126" s="106"/>
      <c r="P126" s="106"/>
      <c r="Q126" s="106"/>
      <c r="R126" s="106"/>
      <c r="S126" s="106"/>
      <c r="T126" s="106"/>
      <c r="U126" s="106"/>
    </row>
    <row r="127">
      <c r="A127" s="123">
        <v>19.0</v>
      </c>
      <c r="B127" s="92" t="s">
        <v>7086</v>
      </c>
      <c r="C127" s="124">
        <v>2.42510207E8</v>
      </c>
      <c r="D127" s="94" t="s">
        <v>8855</v>
      </c>
      <c r="E127" s="125" t="s">
        <v>5506</v>
      </c>
      <c r="F127" s="126">
        <f>COUNTIFS('Database Presensi SCC'!$B:$B, "*"&amp;IF(B129&lt;&gt;"", B129, C129)&amp;"*", 'Database Presensi SCC'!$C:$C, "Hadir")</f>
        <v>0</v>
      </c>
      <c r="G127" s="126">
        <f>IFERROR(__xludf.DUMMYFUNCTION("COUNTUNIQUEIFS('Database Presensi SCC'!$K:$K, 'Database Presensi SCC'!$H:$H, E129)"),0.0)</f>
        <v>0</v>
      </c>
      <c r="H127" s="126">
        <f t="shared" si="3"/>
        <v>0</v>
      </c>
      <c r="I127" s="106"/>
      <c r="J127" s="106"/>
      <c r="K127" s="106"/>
      <c r="L127" s="106"/>
      <c r="M127" s="106"/>
      <c r="N127" s="106"/>
      <c r="O127" s="106"/>
      <c r="P127" s="106"/>
      <c r="Q127" s="106"/>
      <c r="R127" s="106"/>
      <c r="S127" s="106"/>
      <c r="T127" s="106"/>
      <c r="U127" s="106"/>
    </row>
    <row r="128">
      <c r="A128" s="123">
        <v>20.0</v>
      </c>
      <c r="B128" s="94" t="s">
        <v>6998</v>
      </c>
      <c r="C128" s="124">
        <v>2.42510213E8</v>
      </c>
      <c r="D128" s="94" t="s">
        <v>8856</v>
      </c>
      <c r="E128" s="125" t="s">
        <v>5506</v>
      </c>
      <c r="F128" s="126">
        <f>COUNTIFS('Database Presensi SCC'!$B:$B, "*"&amp;IF(B130&lt;&gt;"", B130, C130)&amp;"*", 'Database Presensi SCC'!$C:$C, "Hadir")</f>
        <v>0</v>
      </c>
      <c r="G128" s="126">
        <f>IFERROR(__xludf.DUMMYFUNCTION("COUNTUNIQUEIFS('Database Presensi SCC'!$K:$K, 'Database Presensi SCC'!$H:$H, E130)"),0.0)</f>
        <v>0</v>
      </c>
      <c r="H128" s="126">
        <f t="shared" si="3"/>
        <v>0</v>
      </c>
      <c r="I128" s="106"/>
      <c r="J128" s="106"/>
      <c r="K128" s="106"/>
      <c r="L128" s="106"/>
      <c r="M128" s="106"/>
      <c r="N128" s="106"/>
      <c r="O128" s="106"/>
      <c r="P128" s="106"/>
      <c r="Q128" s="106"/>
      <c r="R128" s="106"/>
      <c r="S128" s="106"/>
      <c r="T128" s="106"/>
      <c r="U128" s="106"/>
    </row>
    <row r="129">
      <c r="A129" s="123">
        <v>21.0</v>
      </c>
      <c r="B129" s="92" t="s">
        <v>7000</v>
      </c>
      <c r="C129" s="124">
        <v>2.42510216E8</v>
      </c>
      <c r="D129" s="94" t="s">
        <v>8857</v>
      </c>
      <c r="E129" s="125" t="s">
        <v>5506</v>
      </c>
      <c r="F129" s="126">
        <f>COUNTIFS('Database Presensi SCC'!$B:$B, "*"&amp;IF(B131&lt;&gt;"", B131, C131)&amp;"*", 'Database Presensi SCC'!$C:$C, "Hadir")</f>
        <v>0</v>
      </c>
      <c r="G129" s="126">
        <f>IFERROR(__xludf.DUMMYFUNCTION("COUNTUNIQUEIFS('Database Presensi SCC'!$K:$K, 'Database Presensi SCC'!$H:$H, E131)"),0.0)</f>
        <v>0</v>
      </c>
      <c r="H129" s="126">
        <f t="shared" si="3"/>
        <v>0</v>
      </c>
      <c r="I129" s="106"/>
      <c r="J129" s="106"/>
      <c r="K129" s="106"/>
      <c r="L129" s="106"/>
      <c r="M129" s="106"/>
      <c r="N129" s="106"/>
      <c r="O129" s="106"/>
      <c r="P129" s="106"/>
      <c r="Q129" s="106"/>
      <c r="R129" s="106"/>
      <c r="S129" s="106"/>
      <c r="T129" s="106"/>
      <c r="U129" s="106"/>
    </row>
    <row r="130">
      <c r="A130" s="123">
        <v>22.0</v>
      </c>
      <c r="B130" s="94" t="s">
        <v>7671</v>
      </c>
      <c r="C130" s="124">
        <v>2.42510219E8</v>
      </c>
      <c r="D130" s="94" t="s">
        <v>8858</v>
      </c>
      <c r="E130" s="125" t="s">
        <v>5506</v>
      </c>
      <c r="F130" s="126">
        <f>COUNTIFS('Database Presensi SCC'!$B:$B, "*"&amp;IF(B132&lt;&gt;"", B132, C132)&amp;"*", 'Database Presensi SCC'!$C:$C, "Hadir")</f>
        <v>0</v>
      </c>
      <c r="G130" s="126">
        <f>IFERROR(__xludf.DUMMYFUNCTION("COUNTUNIQUEIFS('Database Presensi SCC'!$K:$K, 'Database Presensi SCC'!$H:$H, E132)"),0.0)</f>
        <v>0</v>
      </c>
      <c r="H130" s="126">
        <f t="shared" si="3"/>
        <v>0</v>
      </c>
      <c r="I130" s="106"/>
      <c r="J130" s="106"/>
      <c r="K130" s="106"/>
      <c r="L130" s="106"/>
      <c r="M130" s="106"/>
      <c r="N130" s="106"/>
      <c r="O130" s="106"/>
      <c r="P130" s="106"/>
      <c r="Q130" s="106"/>
      <c r="R130" s="106"/>
      <c r="S130" s="106"/>
      <c r="T130" s="106"/>
      <c r="U130" s="106"/>
    </row>
    <row r="131">
      <c r="A131" s="123">
        <v>23.0</v>
      </c>
      <c r="B131" s="94" t="s">
        <v>7673</v>
      </c>
      <c r="C131" s="124">
        <v>2.42510223E8</v>
      </c>
      <c r="D131" s="94" t="s">
        <v>8859</v>
      </c>
      <c r="E131" s="125" t="s">
        <v>5506</v>
      </c>
      <c r="F131" s="126">
        <f>COUNTIFS('Database Presensi SCC'!$B:$B, "*"&amp;IF(B133&lt;&gt;"", B133, C133)&amp;"*", 'Database Presensi SCC'!$C:$C, "Hadir")</f>
        <v>0</v>
      </c>
      <c r="G131" s="126">
        <f>IFERROR(__xludf.DUMMYFUNCTION("COUNTUNIQUEIFS('Database Presensi SCC'!$K:$K, 'Database Presensi SCC'!$H:$H, E133)"),0.0)</f>
        <v>0</v>
      </c>
      <c r="H131" s="126">
        <f t="shared" si="3"/>
        <v>0</v>
      </c>
      <c r="I131" s="106"/>
      <c r="J131" s="106"/>
      <c r="K131" s="106"/>
      <c r="L131" s="106"/>
      <c r="M131" s="106"/>
      <c r="N131" s="106"/>
      <c r="O131" s="106"/>
      <c r="P131" s="106"/>
      <c r="Q131" s="106"/>
      <c r="R131" s="106"/>
      <c r="S131" s="106"/>
      <c r="T131" s="106"/>
      <c r="U131" s="106"/>
    </row>
    <row r="132">
      <c r="A132" s="123">
        <v>24.0</v>
      </c>
      <c r="B132" s="94" t="s">
        <v>7151</v>
      </c>
      <c r="C132" s="124">
        <v>2.42510251E8</v>
      </c>
      <c r="D132" s="94" t="s">
        <v>8860</v>
      </c>
      <c r="E132" s="125" t="s">
        <v>5506</v>
      </c>
      <c r="F132" s="126">
        <f>COUNTIFS('Database Presensi SCC'!$B:$B, "*"&amp;IF(B134&lt;&gt;"", B134, C134)&amp;"*", 'Database Presensi SCC'!$C:$C, "Hadir")</f>
        <v>0</v>
      </c>
      <c r="G132" s="126">
        <f>IFERROR(__xludf.DUMMYFUNCTION("COUNTUNIQUEIFS('Database Presensi SCC'!$K:$K, 'Database Presensi SCC'!$H:$H, E134)"),0.0)</f>
        <v>0</v>
      </c>
      <c r="H132" s="126">
        <f t="shared" si="3"/>
        <v>0</v>
      </c>
      <c r="I132" s="106"/>
      <c r="J132" s="106"/>
      <c r="K132" s="106"/>
      <c r="L132" s="106"/>
      <c r="M132" s="106"/>
      <c r="N132" s="106"/>
      <c r="O132" s="106"/>
      <c r="P132" s="106"/>
      <c r="Q132" s="106"/>
      <c r="R132" s="106"/>
      <c r="S132" s="106"/>
      <c r="T132" s="106"/>
      <c r="U132" s="106"/>
    </row>
    <row r="133">
      <c r="A133" s="123">
        <v>25.0</v>
      </c>
      <c r="B133" s="94" t="s">
        <v>7092</v>
      </c>
      <c r="C133" s="124">
        <v>2.42510254E8</v>
      </c>
      <c r="D133" s="94" t="s">
        <v>8861</v>
      </c>
      <c r="E133" s="125" t="s">
        <v>5506</v>
      </c>
      <c r="F133" s="126">
        <f>COUNTIFS('Database Presensi SCC'!$B:$B, "*"&amp;IF(B135&lt;&gt;"", B135, C135)&amp;"*", 'Database Presensi SCC'!$C:$C, "Hadir")</f>
        <v>0</v>
      </c>
      <c r="G133" s="126">
        <f>IFERROR(__xludf.DUMMYFUNCTION("COUNTUNIQUEIFS('Database Presensi SCC'!$K:$K, 'Database Presensi SCC'!$H:$H, E135)"),0.0)</f>
        <v>0</v>
      </c>
      <c r="H133" s="126">
        <f t="shared" si="3"/>
        <v>0</v>
      </c>
      <c r="I133" s="106"/>
      <c r="J133" s="106"/>
      <c r="K133" s="106"/>
      <c r="L133" s="106"/>
      <c r="M133" s="106"/>
      <c r="N133" s="106"/>
      <c r="O133" s="106"/>
      <c r="P133" s="106"/>
      <c r="Q133" s="106"/>
      <c r="R133" s="106"/>
      <c r="S133" s="106"/>
      <c r="T133" s="106"/>
      <c r="U133" s="106"/>
    </row>
    <row r="134">
      <c r="A134" s="123">
        <v>26.0</v>
      </c>
      <c r="B134" s="94" t="s">
        <v>7689</v>
      </c>
      <c r="C134" s="124">
        <v>2.42510276E8</v>
      </c>
      <c r="D134" s="94" t="s">
        <v>8862</v>
      </c>
      <c r="E134" s="125" t="s">
        <v>5506</v>
      </c>
      <c r="F134" s="126">
        <f>COUNTIFS('Database Presensi SCC'!$B:$B, "*"&amp;IF(B136&lt;&gt;"", B136, C136)&amp;"*", 'Database Presensi SCC'!$C:$C, "Hadir")</f>
        <v>0</v>
      </c>
      <c r="G134" s="126">
        <f>IFERROR(__xludf.DUMMYFUNCTION("COUNTUNIQUEIFS('Database Presensi SCC'!$K:$K, 'Database Presensi SCC'!$H:$H, E136)"),0.0)</f>
        <v>0</v>
      </c>
      <c r="H134" s="126">
        <f t="shared" si="3"/>
        <v>0</v>
      </c>
      <c r="I134" s="106"/>
      <c r="J134" s="106"/>
      <c r="K134" s="106"/>
      <c r="L134" s="106"/>
      <c r="M134" s="106"/>
      <c r="N134" s="106"/>
      <c r="O134" s="106"/>
      <c r="P134" s="106"/>
      <c r="Q134" s="106"/>
      <c r="R134" s="106"/>
      <c r="S134" s="106"/>
      <c r="T134" s="106"/>
      <c r="U134" s="106"/>
    </row>
    <row r="135">
      <c r="A135" s="123">
        <v>27.0</v>
      </c>
      <c r="B135" s="94" t="s">
        <v>7528</v>
      </c>
      <c r="C135" s="124">
        <v>2.42510279E8</v>
      </c>
      <c r="D135" s="94" t="s">
        <v>8863</v>
      </c>
      <c r="E135" s="125" t="s">
        <v>5506</v>
      </c>
      <c r="F135" s="126">
        <f>COUNTIFS('Database Presensi SCC'!$B:$B, "*"&amp;IF(B137&lt;&gt;"", B137, C137)&amp;"*", 'Database Presensi SCC'!$C:$C, "Hadir")</f>
        <v>0</v>
      </c>
      <c r="G135" s="126">
        <f>IFERROR(__xludf.DUMMYFUNCTION("COUNTUNIQUEIFS('Database Presensi SCC'!$K:$K, 'Database Presensi SCC'!$H:$H, E137)"),0.0)</f>
        <v>0</v>
      </c>
      <c r="H135" s="126">
        <f t="shared" si="3"/>
        <v>0</v>
      </c>
      <c r="I135" s="106"/>
      <c r="J135" s="106"/>
      <c r="K135" s="106"/>
      <c r="L135" s="106"/>
      <c r="M135" s="106"/>
      <c r="N135" s="106"/>
      <c r="O135" s="106"/>
      <c r="P135" s="106"/>
      <c r="Q135" s="106"/>
      <c r="R135" s="106"/>
      <c r="S135" s="106"/>
      <c r="T135" s="106"/>
      <c r="U135" s="106"/>
    </row>
    <row r="136">
      <c r="A136" s="123">
        <v>28.0</v>
      </c>
      <c r="B136" s="94" t="s">
        <v>7165</v>
      </c>
      <c r="C136" s="124">
        <v>2.42510303E8</v>
      </c>
      <c r="D136" s="94" t="s">
        <v>8864</v>
      </c>
      <c r="E136" s="125" t="s">
        <v>5506</v>
      </c>
      <c r="F136" s="126">
        <f>COUNTIFS('Database Presensi SCC'!$B:$B, "*"&amp;IF(B138&lt;&gt;"", B138, C138)&amp;"*", 'Database Presensi SCC'!$C:$C, "Hadir")</f>
        <v>0</v>
      </c>
      <c r="G136" s="126">
        <f>IFERROR(__xludf.DUMMYFUNCTION("COUNTUNIQUEIFS('Database Presensi SCC'!$K:$K, 'Database Presensi SCC'!$H:$H, E138)"),0.0)</f>
        <v>0</v>
      </c>
      <c r="H136" s="126">
        <f t="shared" si="3"/>
        <v>0</v>
      </c>
      <c r="I136" s="106"/>
      <c r="J136" s="106"/>
      <c r="K136" s="106"/>
      <c r="L136" s="106"/>
      <c r="M136" s="106"/>
      <c r="N136" s="106"/>
      <c r="O136" s="106"/>
      <c r="P136" s="106"/>
      <c r="Q136" s="106"/>
      <c r="R136" s="106"/>
      <c r="S136" s="106"/>
      <c r="T136" s="106"/>
      <c r="U136" s="106"/>
    </row>
    <row r="137">
      <c r="A137" s="123">
        <v>29.0</v>
      </c>
      <c r="B137" s="94" t="s">
        <v>6878</v>
      </c>
      <c r="C137" s="124">
        <v>2.42510336E8</v>
      </c>
      <c r="D137" s="94" t="s">
        <v>8865</v>
      </c>
      <c r="E137" s="125" t="s">
        <v>5506</v>
      </c>
      <c r="F137" s="126">
        <f>COUNTIFS('Database Presensi SCC'!$B:$B, "*"&amp;IF(B139&lt;&gt;"", B139, C139)&amp;"*", 'Database Presensi SCC'!$C:$C, "Hadir")</f>
        <v>0</v>
      </c>
      <c r="G137" s="126">
        <f>IFERROR(__xludf.DUMMYFUNCTION("COUNTUNIQUEIFS('Database Presensi SCC'!$K:$K, 'Database Presensi SCC'!$H:$H, E139)"),0.0)</f>
        <v>0</v>
      </c>
      <c r="H137" s="126">
        <f t="shared" si="3"/>
        <v>0</v>
      </c>
      <c r="I137" s="106"/>
      <c r="J137" s="106"/>
      <c r="K137" s="106"/>
      <c r="L137" s="106"/>
      <c r="M137" s="106"/>
      <c r="N137" s="106"/>
      <c r="O137" s="106"/>
      <c r="P137" s="106"/>
      <c r="Q137" s="106"/>
      <c r="R137" s="106"/>
      <c r="S137" s="106"/>
      <c r="T137" s="106"/>
      <c r="U137" s="106"/>
    </row>
    <row r="138">
      <c r="A138" s="123">
        <v>30.0</v>
      </c>
      <c r="B138" s="94" t="s">
        <v>7537</v>
      </c>
      <c r="C138" s="124">
        <v>2.42510344E8</v>
      </c>
      <c r="D138" s="94" t="s">
        <v>8866</v>
      </c>
      <c r="E138" s="125" t="s">
        <v>5506</v>
      </c>
      <c r="F138" s="126">
        <f>COUNTIFS('Database Presensi SCC'!$B:$B, "*"&amp;IF(B140&lt;&gt;"", B140, C140)&amp;"*", 'Database Presensi SCC'!$C:$C, "Hadir")</f>
        <v>0</v>
      </c>
      <c r="G138" s="126">
        <f>IFERROR(__xludf.DUMMYFUNCTION("COUNTUNIQUEIFS('Database Presensi SCC'!$K:$K, 'Database Presensi SCC'!$H:$H, E140)"),0.0)</f>
        <v>0</v>
      </c>
      <c r="H138" s="126">
        <f t="shared" si="3"/>
        <v>0</v>
      </c>
      <c r="I138" s="106"/>
      <c r="J138" s="106"/>
      <c r="K138" s="106"/>
      <c r="L138" s="106"/>
      <c r="M138" s="106"/>
      <c r="N138" s="106"/>
      <c r="O138" s="106"/>
      <c r="P138" s="106"/>
      <c r="Q138" s="106"/>
      <c r="R138" s="106"/>
      <c r="S138" s="106"/>
      <c r="T138" s="106"/>
      <c r="U138" s="106"/>
    </row>
    <row r="139">
      <c r="A139" s="123">
        <v>31.0</v>
      </c>
      <c r="B139" s="94" t="s">
        <v>7252</v>
      </c>
      <c r="C139" s="124">
        <v>2.42510359E8</v>
      </c>
      <c r="D139" s="94" t="s">
        <v>8867</v>
      </c>
      <c r="E139" s="125" t="s">
        <v>5506</v>
      </c>
      <c r="F139" s="126">
        <f>COUNTIFS('Database Presensi SCC'!$B:$B, "*"&amp;IF(B141&lt;&gt;"", B141, C141)&amp;"*", 'Database Presensi SCC'!$C:$C, "Hadir")</f>
        <v>0</v>
      </c>
      <c r="G139" s="126">
        <f>IFERROR(__xludf.DUMMYFUNCTION("COUNTUNIQUEIFS('Database Presensi SCC'!$K:$K, 'Database Presensi SCC'!$H:$H, E141)"),0.0)</f>
        <v>0</v>
      </c>
      <c r="H139" s="126">
        <f t="shared" si="3"/>
        <v>0</v>
      </c>
      <c r="I139" s="106"/>
      <c r="J139" s="106"/>
      <c r="K139" s="106"/>
      <c r="L139" s="106"/>
      <c r="M139" s="106"/>
      <c r="N139" s="106"/>
      <c r="O139" s="106"/>
      <c r="P139" s="106"/>
      <c r="Q139" s="106"/>
      <c r="R139" s="106"/>
      <c r="S139" s="106"/>
      <c r="T139" s="106"/>
      <c r="U139" s="106"/>
    </row>
    <row r="140">
      <c r="A140" s="123">
        <v>32.0</v>
      </c>
      <c r="B140" s="94" t="s">
        <v>7699</v>
      </c>
      <c r="C140" s="124">
        <v>2.42510364E8</v>
      </c>
      <c r="D140" s="94" t="s">
        <v>8868</v>
      </c>
      <c r="E140" s="125" t="s">
        <v>5506</v>
      </c>
      <c r="F140" s="126">
        <f>COUNTIFS('Database Presensi SCC'!$B:$B, "*"&amp;IF(B142&lt;&gt;"", B142, C142)&amp;"*", 'Database Presensi SCC'!$C:$C, "Hadir")</f>
        <v>0</v>
      </c>
      <c r="G140" s="126">
        <f>IFERROR(__xludf.DUMMYFUNCTION("COUNTUNIQUEIFS('Database Presensi SCC'!$K:$K, 'Database Presensi SCC'!$H:$H, E142)"),0.0)</f>
        <v>0</v>
      </c>
      <c r="H140" s="126">
        <f t="shared" si="3"/>
        <v>0</v>
      </c>
      <c r="I140" s="106"/>
      <c r="J140" s="106"/>
      <c r="K140" s="106"/>
      <c r="L140" s="106"/>
      <c r="M140" s="106"/>
      <c r="N140" s="106"/>
      <c r="O140" s="106"/>
      <c r="P140" s="106"/>
      <c r="Q140" s="106"/>
      <c r="R140" s="106"/>
      <c r="S140" s="106"/>
      <c r="T140" s="106"/>
      <c r="U140" s="106"/>
    </row>
    <row r="141">
      <c r="A141" s="123">
        <v>33.0</v>
      </c>
      <c r="B141" s="92" t="s">
        <v>7256</v>
      </c>
      <c r="C141" s="124">
        <v>2.42510369E8</v>
      </c>
      <c r="D141" s="94" t="s">
        <v>8869</v>
      </c>
      <c r="E141" s="125" t="s">
        <v>5506</v>
      </c>
      <c r="F141" s="126">
        <f>COUNTIFS('Database Presensi SCC'!$B:$B, "*"&amp;IF(B143&lt;&gt;"", B143, C143)&amp;"*", 'Database Presensi SCC'!$C:$C, "Hadir")</f>
        <v>0</v>
      </c>
      <c r="G141" s="126">
        <f>IFERROR(__xludf.DUMMYFUNCTION("COUNTUNIQUEIFS('Database Presensi SCC'!$K:$K, 'Database Presensi SCC'!$H:$H, E143)"),0.0)</f>
        <v>0</v>
      </c>
      <c r="H141" s="126">
        <f t="shared" si="3"/>
        <v>0</v>
      </c>
      <c r="I141" s="106"/>
      <c r="J141" s="106"/>
      <c r="K141" s="106"/>
      <c r="L141" s="106"/>
      <c r="M141" s="106"/>
      <c r="N141" s="106"/>
      <c r="O141" s="106"/>
      <c r="P141" s="106"/>
      <c r="Q141" s="106"/>
      <c r="R141" s="106"/>
      <c r="S141" s="106"/>
      <c r="T141" s="106"/>
      <c r="U141" s="106"/>
    </row>
    <row r="142">
      <c r="A142" s="123">
        <v>34.0</v>
      </c>
      <c r="B142" s="92" t="s">
        <v>7260</v>
      </c>
      <c r="C142" s="124">
        <v>2.42510403E8</v>
      </c>
      <c r="D142" s="94" t="s">
        <v>8870</v>
      </c>
      <c r="E142" s="125" t="s">
        <v>5506</v>
      </c>
      <c r="F142" s="126">
        <f>COUNTIFS('Database Presensi SCC'!$B:$B, "*"&amp;IF(B144&lt;&gt;"", B144, C144)&amp;"*", 'Database Presensi SCC'!$C:$C, "Hadir")</f>
        <v>0</v>
      </c>
      <c r="G142" s="126">
        <f>IFERROR(__xludf.DUMMYFUNCTION("COUNTUNIQUEIFS('Database Presensi SCC'!$K:$K, 'Database Presensi SCC'!$H:$H, E144)"),0.0)</f>
        <v>0</v>
      </c>
      <c r="H142" s="126">
        <f t="shared" si="3"/>
        <v>0</v>
      </c>
      <c r="I142" s="106"/>
      <c r="J142" s="106"/>
      <c r="K142" s="106"/>
      <c r="L142" s="106"/>
      <c r="M142" s="106"/>
      <c r="N142" s="106"/>
      <c r="O142" s="106"/>
      <c r="P142" s="106"/>
      <c r="Q142" s="106"/>
      <c r="R142" s="106"/>
      <c r="S142" s="106"/>
      <c r="T142" s="106"/>
      <c r="U142" s="106"/>
    </row>
    <row r="143">
      <c r="A143" s="123">
        <v>35.0</v>
      </c>
      <c r="B143" s="94" t="s">
        <v>7628</v>
      </c>
      <c r="C143" s="124">
        <v>2.42510415E8</v>
      </c>
      <c r="D143" s="94" t="s">
        <v>8871</v>
      </c>
      <c r="E143" s="125" t="s">
        <v>5506</v>
      </c>
      <c r="F143" s="126">
        <f>COUNTIFS('Database Presensi SCC'!$B:$B, "*"&amp;IF(B145&lt;&gt;"", B145, C145)&amp;"*", 'Database Presensi SCC'!$C:$C, "Hadir")</f>
        <v>0</v>
      </c>
      <c r="G143" s="126">
        <f>IFERROR(__xludf.DUMMYFUNCTION("COUNTUNIQUEIFS('Database Presensi SCC'!$K:$K, 'Database Presensi SCC'!$H:$H, E145)"),0.0)</f>
        <v>0</v>
      </c>
      <c r="H143" s="126">
        <f t="shared" si="3"/>
        <v>0</v>
      </c>
      <c r="I143" s="106"/>
      <c r="J143" s="106"/>
      <c r="K143" s="106"/>
      <c r="L143" s="106"/>
      <c r="M143" s="106"/>
      <c r="N143" s="106"/>
      <c r="O143" s="106"/>
      <c r="P143" s="106"/>
      <c r="Q143" s="106"/>
      <c r="R143" s="106"/>
      <c r="S143" s="106"/>
      <c r="T143" s="106"/>
      <c r="U143" s="106"/>
    </row>
    <row r="144">
      <c r="A144" s="123">
        <v>36.0</v>
      </c>
      <c r="B144" s="94" t="s">
        <v>7331</v>
      </c>
      <c r="C144" s="124">
        <v>2.42510419E8</v>
      </c>
      <c r="D144" s="94" t="s">
        <v>8872</v>
      </c>
      <c r="E144" s="125" t="s">
        <v>5506</v>
      </c>
      <c r="F144" s="126">
        <f>COUNTIFS('Database Presensi SCC'!$B:$B, "*"&amp;IF(B146&lt;&gt;"", B146, C146)&amp;"*", 'Database Presensi SCC'!$C:$C, "Hadir")</f>
        <v>0</v>
      </c>
      <c r="G144" s="126">
        <f>IFERROR(__xludf.DUMMYFUNCTION("COUNTUNIQUEIFS('Database Presensi SCC'!$K:$K, 'Database Presensi SCC'!$H:$H, E146)"),0.0)</f>
        <v>0</v>
      </c>
      <c r="H144" s="126">
        <f t="shared" si="3"/>
        <v>0</v>
      </c>
      <c r="I144" s="106"/>
      <c r="J144" s="106"/>
      <c r="K144" s="106"/>
      <c r="L144" s="106"/>
      <c r="M144" s="106"/>
      <c r="N144" s="106"/>
      <c r="O144" s="106"/>
      <c r="P144" s="106"/>
      <c r="Q144" s="106"/>
      <c r="R144" s="106"/>
      <c r="S144" s="106"/>
      <c r="T144" s="106"/>
      <c r="U144" s="106"/>
    </row>
    <row r="145">
      <c r="A145" s="123">
        <v>37.0</v>
      </c>
      <c r="B145" s="127"/>
      <c r="C145" s="127"/>
      <c r="D145" s="127"/>
      <c r="E145" s="127"/>
      <c r="F145" s="128"/>
      <c r="G145" s="128"/>
      <c r="H145" s="128"/>
      <c r="I145" s="106"/>
      <c r="J145" s="106"/>
      <c r="K145" s="106"/>
      <c r="L145" s="106"/>
      <c r="M145" s="106"/>
      <c r="N145" s="106"/>
      <c r="O145" s="106"/>
      <c r="P145" s="106"/>
      <c r="Q145" s="106"/>
      <c r="R145" s="106"/>
      <c r="S145" s="106"/>
      <c r="T145" s="106"/>
      <c r="U145" s="106"/>
    </row>
    <row r="146">
      <c r="A146" s="123">
        <v>38.0</v>
      </c>
      <c r="B146" s="127"/>
      <c r="C146" s="127"/>
      <c r="D146" s="127"/>
      <c r="E146" s="143"/>
      <c r="F146" s="128"/>
      <c r="G146" s="128"/>
      <c r="H146" s="128"/>
      <c r="I146" s="106"/>
      <c r="J146" s="106"/>
      <c r="K146" s="106"/>
      <c r="L146" s="106"/>
      <c r="M146" s="106"/>
      <c r="N146" s="106"/>
      <c r="O146" s="106"/>
      <c r="P146" s="106"/>
      <c r="Q146" s="106"/>
      <c r="R146" s="106"/>
      <c r="S146" s="106"/>
      <c r="T146" s="106"/>
      <c r="U146" s="106"/>
    </row>
    <row r="147">
      <c r="A147" s="129"/>
      <c r="B147" s="129"/>
      <c r="C147" s="129"/>
      <c r="D147" s="129"/>
      <c r="E147" s="129"/>
      <c r="F147" s="129"/>
      <c r="G147" s="129"/>
      <c r="H147" s="129"/>
      <c r="I147" s="129"/>
      <c r="J147" s="129"/>
      <c r="K147" s="129"/>
      <c r="L147" s="129"/>
      <c r="M147" s="129"/>
      <c r="N147" s="129"/>
      <c r="O147" s="129"/>
      <c r="P147" s="129"/>
      <c r="Q147" s="129"/>
      <c r="R147" s="129"/>
      <c r="S147" s="129"/>
      <c r="T147" s="129"/>
    </row>
    <row r="148">
      <c r="A148" s="129"/>
      <c r="B148" s="130" t="s">
        <v>8789</v>
      </c>
      <c r="C148" s="129"/>
      <c r="D148" s="131">
        <f>COUNTIF(E109:E146,"L")</f>
        <v>0</v>
      </c>
      <c r="E148" s="129"/>
      <c r="F148" s="129"/>
      <c r="G148" s="129"/>
      <c r="H148" s="129"/>
      <c r="I148" s="129"/>
      <c r="J148" s="129"/>
      <c r="K148" s="129"/>
      <c r="L148" s="129"/>
      <c r="M148" s="129"/>
      <c r="N148" s="129"/>
      <c r="O148" s="129"/>
      <c r="P148" s="129"/>
      <c r="Q148" s="129"/>
      <c r="R148" s="129"/>
      <c r="S148" s="129"/>
      <c r="T148" s="129"/>
    </row>
    <row r="149">
      <c r="A149" s="129"/>
      <c r="B149" s="130" t="s">
        <v>8790</v>
      </c>
      <c r="C149" s="129"/>
      <c r="D149" s="131">
        <f>COUNTIF(E109:E146,"P")</f>
        <v>0</v>
      </c>
      <c r="E149" s="129"/>
      <c r="F149" s="129"/>
      <c r="G149" s="129"/>
      <c r="H149" s="129"/>
      <c r="I149" s="129"/>
      <c r="J149" s="129"/>
      <c r="K149" s="144" t="s">
        <v>8791</v>
      </c>
      <c r="L149" s="141"/>
      <c r="M149" s="141"/>
      <c r="N149" s="141"/>
      <c r="O149" s="141"/>
      <c r="P149" s="141"/>
      <c r="Q149" s="141"/>
      <c r="R149" s="141"/>
      <c r="S149" s="141"/>
      <c r="T149" s="141"/>
    </row>
    <row r="150">
      <c r="A150" s="129"/>
      <c r="B150" s="130" t="s">
        <v>8792</v>
      </c>
      <c r="C150" s="129"/>
      <c r="D150" s="131">
        <f>D148+D149</f>
        <v>0</v>
      </c>
      <c r="E150" s="129"/>
      <c r="F150" s="129"/>
      <c r="G150" s="129"/>
      <c r="H150" s="129"/>
      <c r="I150" s="129"/>
      <c r="J150" s="129"/>
      <c r="K150" s="132" t="s">
        <v>8793</v>
      </c>
      <c r="L150" s="133"/>
      <c r="M150" s="133"/>
      <c r="N150" s="133"/>
      <c r="O150" s="133"/>
      <c r="P150" s="133"/>
      <c r="Q150" s="133"/>
      <c r="R150" s="133"/>
      <c r="S150" s="133"/>
      <c r="T150" s="134"/>
    </row>
    <row r="151">
      <c r="A151" s="129"/>
      <c r="B151" s="129"/>
      <c r="C151" s="129"/>
      <c r="D151" s="129"/>
      <c r="E151" s="129"/>
      <c r="F151" s="129"/>
      <c r="G151" s="129"/>
      <c r="H151" s="129"/>
      <c r="I151" s="129"/>
      <c r="J151" s="129"/>
      <c r="K151" s="129"/>
      <c r="L151" s="129"/>
      <c r="M151" s="129"/>
      <c r="N151" s="129"/>
      <c r="O151" s="129"/>
      <c r="P151" s="129"/>
      <c r="Q151" s="129"/>
      <c r="R151" s="129"/>
      <c r="S151" s="129"/>
      <c r="T151" s="129"/>
    </row>
    <row r="152">
      <c r="A152" s="97" t="s">
        <v>8743</v>
      </c>
      <c r="B152" s="97"/>
      <c r="C152" s="97"/>
      <c r="D152" s="97"/>
      <c r="E152" s="97"/>
      <c r="F152" s="97"/>
      <c r="G152" s="97"/>
      <c r="H152" s="97"/>
      <c r="I152" s="97"/>
      <c r="J152" s="97"/>
      <c r="K152" s="97"/>
      <c r="L152" s="97"/>
      <c r="M152" s="97"/>
      <c r="N152" s="97"/>
      <c r="O152" s="97"/>
      <c r="P152" s="97"/>
      <c r="Q152" s="97"/>
      <c r="R152" s="97"/>
      <c r="S152" s="97"/>
      <c r="T152" s="97"/>
    </row>
    <row r="153">
      <c r="A153" s="135" t="s">
        <v>8744</v>
      </c>
      <c r="B153" s="136"/>
      <c r="C153" s="136"/>
      <c r="D153" s="136"/>
      <c r="E153" s="136"/>
      <c r="F153" s="136"/>
      <c r="G153" s="136"/>
      <c r="H153" s="136"/>
      <c r="I153" s="136"/>
      <c r="J153" s="136"/>
      <c r="K153" s="136"/>
      <c r="L153" s="136"/>
      <c r="M153" s="136"/>
      <c r="N153" s="136"/>
      <c r="O153" s="136"/>
      <c r="P153" s="136"/>
      <c r="Q153" s="136"/>
      <c r="R153" s="136"/>
      <c r="S153" s="136"/>
      <c r="T153" s="137"/>
    </row>
    <row r="154">
      <c r="A154" s="102" t="s">
        <v>8745</v>
      </c>
      <c r="B154" s="103"/>
      <c r="C154" s="103"/>
      <c r="D154" s="103"/>
      <c r="E154" s="103"/>
      <c r="F154" s="103"/>
      <c r="G154" s="103"/>
      <c r="H154" s="103"/>
      <c r="I154" s="103"/>
      <c r="J154" s="103"/>
      <c r="K154" s="103"/>
      <c r="L154" s="103"/>
      <c r="M154" s="103"/>
      <c r="N154" s="103"/>
      <c r="O154" s="103"/>
      <c r="P154" s="103"/>
      <c r="Q154" s="103"/>
      <c r="R154" s="103"/>
      <c r="S154" s="103"/>
      <c r="T154" s="104"/>
    </row>
    <row r="155">
      <c r="A155" s="105" t="s">
        <v>8873</v>
      </c>
      <c r="B155" s="106"/>
      <c r="C155" s="106"/>
      <c r="D155" s="106"/>
      <c r="E155" s="106"/>
      <c r="F155" s="106"/>
      <c r="G155" s="106"/>
      <c r="H155" s="106"/>
      <c r="I155" s="106"/>
      <c r="J155" s="106"/>
      <c r="K155" s="106"/>
      <c r="L155" s="106"/>
      <c r="M155" s="106"/>
      <c r="N155" s="106"/>
      <c r="O155" s="106"/>
      <c r="P155" s="106"/>
      <c r="Q155" s="106"/>
      <c r="R155" s="106"/>
      <c r="S155" s="106"/>
      <c r="T155" s="107"/>
    </row>
    <row r="156">
      <c r="A156" s="108" t="s">
        <v>8874</v>
      </c>
      <c r="B156" s="109"/>
      <c r="C156" s="109"/>
      <c r="D156" s="109"/>
      <c r="E156" s="109"/>
      <c r="F156" s="110"/>
      <c r="G156" s="110"/>
      <c r="H156" s="110"/>
      <c r="I156" s="110"/>
      <c r="J156" s="110"/>
      <c r="K156" s="110"/>
      <c r="L156" s="110"/>
      <c r="M156" s="110"/>
      <c r="N156" s="110"/>
      <c r="O156" s="110"/>
      <c r="P156" s="110"/>
      <c r="Q156" s="110"/>
      <c r="R156" s="110"/>
      <c r="S156" s="110"/>
      <c r="T156" s="110"/>
    </row>
    <row r="157">
      <c r="A157" s="111" t="s">
        <v>8748</v>
      </c>
      <c r="B157" s="111" t="s">
        <v>9</v>
      </c>
      <c r="C157" s="111" t="s">
        <v>5246</v>
      </c>
      <c r="D157" s="111" t="s">
        <v>8680</v>
      </c>
      <c r="E157" s="138" t="s">
        <v>13</v>
      </c>
      <c r="F157" s="113" t="s">
        <v>8749</v>
      </c>
      <c r="G157" s="113" t="s">
        <v>8750</v>
      </c>
      <c r="H157" s="114" t="s">
        <v>217</v>
      </c>
      <c r="I157" s="106"/>
      <c r="J157" s="106"/>
      <c r="K157" s="106"/>
      <c r="L157" s="106"/>
      <c r="M157" s="106"/>
      <c r="N157" s="106"/>
      <c r="O157" s="106"/>
      <c r="P157" s="106"/>
      <c r="Q157" s="106"/>
      <c r="R157" s="106"/>
      <c r="S157" s="106"/>
      <c r="T157" s="106"/>
      <c r="U157" s="106"/>
    </row>
    <row r="158">
      <c r="A158" s="115"/>
      <c r="B158" s="115"/>
      <c r="C158" s="115"/>
      <c r="D158" s="115"/>
      <c r="E158" s="139"/>
      <c r="F158" s="117"/>
      <c r="G158" s="117"/>
      <c r="H158" s="118"/>
      <c r="I158" s="106"/>
      <c r="J158" s="106"/>
      <c r="K158" s="106"/>
      <c r="L158" s="106"/>
      <c r="M158" s="106"/>
      <c r="N158" s="106"/>
      <c r="O158" s="106"/>
      <c r="P158" s="106"/>
      <c r="Q158" s="106"/>
      <c r="R158" s="106"/>
      <c r="S158" s="106"/>
      <c r="T158" s="106"/>
      <c r="U158" s="106"/>
    </row>
    <row r="159">
      <c r="A159" s="145"/>
      <c r="B159" s="119"/>
      <c r="C159" s="119"/>
      <c r="D159" s="119"/>
      <c r="E159" s="140"/>
      <c r="F159" s="121"/>
      <c r="G159" s="121"/>
      <c r="H159" s="122"/>
      <c r="I159" s="106"/>
      <c r="J159" s="106"/>
      <c r="K159" s="106"/>
      <c r="L159" s="106"/>
      <c r="M159" s="106"/>
      <c r="N159" s="106"/>
      <c r="O159" s="106"/>
      <c r="P159" s="106"/>
      <c r="Q159" s="106"/>
      <c r="R159" s="106"/>
      <c r="S159" s="106"/>
      <c r="T159" s="106"/>
      <c r="U159" s="106"/>
    </row>
    <row r="160">
      <c r="A160" s="146">
        <v>1.0</v>
      </c>
      <c r="B160" s="94" t="s">
        <v>7266</v>
      </c>
      <c r="C160" s="124">
        <v>2.42510002E8</v>
      </c>
      <c r="D160" s="94" t="s">
        <v>8875</v>
      </c>
      <c r="E160" s="125" t="s">
        <v>5627</v>
      </c>
      <c r="F160" s="126"/>
      <c r="G160" s="126"/>
      <c r="H160" s="126"/>
      <c r="I160" s="106"/>
      <c r="J160" s="106"/>
      <c r="K160" s="106"/>
      <c r="L160" s="106"/>
      <c r="M160" s="106"/>
      <c r="N160" s="106"/>
      <c r="O160" s="106"/>
      <c r="P160" s="106"/>
      <c r="Q160" s="106"/>
      <c r="R160" s="106"/>
      <c r="S160" s="106"/>
      <c r="T160" s="106"/>
      <c r="U160" s="106"/>
    </row>
    <row r="161">
      <c r="A161" s="123">
        <v>2.0</v>
      </c>
      <c r="B161" s="94" t="s">
        <v>7560</v>
      </c>
      <c r="C161" s="124">
        <v>2.42510026E8</v>
      </c>
      <c r="D161" s="94" t="s">
        <v>8876</v>
      </c>
      <c r="E161" s="125" t="s">
        <v>5627</v>
      </c>
      <c r="F161" s="128"/>
      <c r="G161" s="128"/>
      <c r="H161" s="128"/>
      <c r="I161" s="106"/>
      <c r="J161" s="106"/>
      <c r="K161" s="106"/>
      <c r="L161" s="106"/>
      <c r="M161" s="106"/>
      <c r="N161" s="106"/>
      <c r="O161" s="106"/>
      <c r="P161" s="106"/>
      <c r="Q161" s="106"/>
      <c r="R161" s="106"/>
      <c r="S161" s="106"/>
      <c r="T161" s="106"/>
      <c r="U161" s="106"/>
    </row>
    <row r="162">
      <c r="A162" s="146">
        <v>3.0</v>
      </c>
      <c r="B162" s="94" t="s">
        <v>7488</v>
      </c>
      <c r="C162" s="124">
        <v>2.42510033E8</v>
      </c>
      <c r="D162" s="94" t="s">
        <v>8877</v>
      </c>
      <c r="E162" s="125" t="s">
        <v>5627</v>
      </c>
      <c r="F162" s="128"/>
      <c r="G162" s="128"/>
      <c r="H162" s="128"/>
      <c r="I162" s="106"/>
      <c r="J162" s="106"/>
      <c r="K162" s="106"/>
      <c r="L162" s="106"/>
      <c r="M162" s="106"/>
      <c r="N162" s="106"/>
      <c r="O162" s="106"/>
      <c r="P162" s="106"/>
      <c r="Q162" s="106"/>
      <c r="R162" s="106"/>
      <c r="S162" s="106"/>
      <c r="T162" s="106"/>
      <c r="U162" s="106"/>
    </row>
    <row r="163">
      <c r="A163" s="123">
        <v>4.0</v>
      </c>
      <c r="B163" s="94" t="s">
        <v>7193</v>
      </c>
      <c r="C163" s="124">
        <v>2.42510048E8</v>
      </c>
      <c r="D163" s="94" t="s">
        <v>8878</v>
      </c>
      <c r="E163" s="125" t="s">
        <v>5627</v>
      </c>
      <c r="F163" s="128"/>
      <c r="G163" s="128"/>
      <c r="H163" s="128"/>
      <c r="I163" s="106"/>
      <c r="J163" s="106"/>
      <c r="K163" s="106"/>
      <c r="L163" s="106"/>
      <c r="M163" s="106"/>
      <c r="N163" s="106"/>
      <c r="O163" s="106"/>
      <c r="P163" s="106"/>
      <c r="Q163" s="106"/>
      <c r="R163" s="106"/>
      <c r="S163" s="106"/>
      <c r="T163" s="106"/>
      <c r="U163" s="106"/>
    </row>
    <row r="164">
      <c r="A164" s="146">
        <v>5.0</v>
      </c>
      <c r="B164" s="94" t="s">
        <v>7562</v>
      </c>
      <c r="C164" s="124">
        <v>2.4251005E8</v>
      </c>
      <c r="D164" s="94" t="s">
        <v>8879</v>
      </c>
      <c r="E164" s="125" t="s">
        <v>5627</v>
      </c>
      <c r="F164" s="128"/>
      <c r="G164" s="128"/>
      <c r="H164" s="128"/>
      <c r="I164" s="106"/>
      <c r="J164" s="106"/>
      <c r="K164" s="106"/>
      <c r="L164" s="106"/>
      <c r="M164" s="106"/>
      <c r="N164" s="106"/>
      <c r="O164" s="106"/>
      <c r="P164" s="106"/>
      <c r="Q164" s="106"/>
      <c r="R164" s="106"/>
      <c r="S164" s="106"/>
      <c r="T164" s="106"/>
      <c r="U164" s="106"/>
    </row>
    <row r="165">
      <c r="A165" s="123">
        <v>6.0</v>
      </c>
      <c r="B165" s="94" t="s">
        <v>6910</v>
      </c>
      <c r="C165" s="124">
        <v>2.42510052E8</v>
      </c>
      <c r="D165" s="94" t="s">
        <v>8880</v>
      </c>
      <c r="E165" s="125" t="s">
        <v>5627</v>
      </c>
      <c r="F165" s="128"/>
      <c r="G165" s="128"/>
      <c r="H165" s="128"/>
      <c r="I165" s="106"/>
      <c r="J165" s="106"/>
      <c r="K165" s="106"/>
      <c r="L165" s="106"/>
      <c r="M165" s="106"/>
      <c r="N165" s="106"/>
      <c r="O165" s="106"/>
      <c r="P165" s="106"/>
      <c r="Q165" s="106"/>
      <c r="R165" s="106"/>
      <c r="S165" s="106"/>
      <c r="T165" s="106"/>
      <c r="U165" s="106"/>
    </row>
    <row r="166">
      <c r="A166" s="146">
        <v>7.0</v>
      </c>
      <c r="B166" s="94" t="s">
        <v>7277</v>
      </c>
      <c r="C166" s="124">
        <v>2.42510057E8</v>
      </c>
      <c r="D166" s="94" t="s">
        <v>8881</v>
      </c>
      <c r="E166" s="125" t="s">
        <v>5627</v>
      </c>
      <c r="F166" s="128"/>
      <c r="G166" s="128"/>
      <c r="H166" s="128"/>
      <c r="I166" s="106"/>
      <c r="J166" s="106"/>
      <c r="K166" s="106"/>
      <c r="L166" s="106"/>
      <c r="M166" s="106"/>
      <c r="N166" s="106"/>
      <c r="O166" s="106"/>
      <c r="P166" s="106"/>
      <c r="Q166" s="106"/>
      <c r="R166" s="106"/>
      <c r="S166" s="106"/>
      <c r="T166" s="106"/>
      <c r="U166" s="106"/>
    </row>
    <row r="167">
      <c r="A167" s="123">
        <v>8.0</v>
      </c>
      <c r="B167" s="94" t="s">
        <v>7564</v>
      </c>
      <c r="C167" s="124">
        <v>2.42510061E8</v>
      </c>
      <c r="D167" s="94" t="s">
        <v>8882</v>
      </c>
      <c r="E167" s="125" t="s">
        <v>5627</v>
      </c>
      <c r="F167" s="128"/>
      <c r="G167" s="128"/>
      <c r="H167" s="128"/>
      <c r="I167" s="106"/>
      <c r="J167" s="106"/>
      <c r="K167" s="106"/>
      <c r="L167" s="106"/>
      <c r="M167" s="106"/>
      <c r="N167" s="106"/>
      <c r="O167" s="106"/>
      <c r="P167" s="106"/>
      <c r="Q167" s="106"/>
      <c r="R167" s="106"/>
      <c r="S167" s="106"/>
      <c r="T167" s="106"/>
      <c r="U167" s="106"/>
    </row>
    <row r="168">
      <c r="A168" s="146">
        <v>9.0</v>
      </c>
      <c r="B168" s="94" t="s">
        <v>7425</v>
      </c>
      <c r="C168" s="124">
        <v>2.42510083E8</v>
      </c>
      <c r="D168" s="94" t="s">
        <v>8883</v>
      </c>
      <c r="E168" s="125" t="s">
        <v>5627</v>
      </c>
      <c r="F168" s="128"/>
      <c r="G168" s="128"/>
      <c r="H168" s="128"/>
      <c r="I168" s="106"/>
      <c r="J168" s="106"/>
      <c r="K168" s="106"/>
      <c r="L168" s="106"/>
      <c r="M168" s="106"/>
      <c r="N168" s="106"/>
      <c r="O168" s="106"/>
      <c r="P168" s="106"/>
      <c r="Q168" s="106"/>
      <c r="R168" s="106"/>
      <c r="S168" s="106"/>
      <c r="T168" s="106"/>
      <c r="U168" s="106"/>
    </row>
    <row r="169">
      <c r="A169" s="123">
        <v>10.0</v>
      </c>
      <c r="B169" s="94" t="s">
        <v>7570</v>
      </c>
      <c r="C169" s="124">
        <v>2.42510105E8</v>
      </c>
      <c r="D169" s="94" t="s">
        <v>8884</v>
      </c>
      <c r="E169" s="125" t="s">
        <v>5627</v>
      </c>
      <c r="F169" s="128"/>
      <c r="G169" s="128"/>
      <c r="H169" s="128"/>
      <c r="I169" s="106"/>
      <c r="J169" s="106"/>
      <c r="K169" s="106"/>
      <c r="L169" s="106"/>
      <c r="M169" s="106"/>
      <c r="N169" s="106"/>
      <c r="O169" s="106"/>
      <c r="P169" s="106"/>
      <c r="Q169" s="106"/>
      <c r="R169" s="106"/>
      <c r="S169" s="106"/>
      <c r="T169" s="106"/>
      <c r="U169" s="106"/>
    </row>
    <row r="170">
      <c r="A170" s="146">
        <v>11.0</v>
      </c>
      <c r="B170" s="94" t="s">
        <v>7649</v>
      </c>
      <c r="C170" s="124">
        <v>2.42510107E8</v>
      </c>
      <c r="D170" s="94" t="s">
        <v>8885</v>
      </c>
      <c r="E170" s="125" t="s">
        <v>5627</v>
      </c>
      <c r="F170" s="128"/>
      <c r="G170" s="128"/>
      <c r="H170" s="128"/>
      <c r="I170" s="106"/>
      <c r="J170" s="106"/>
      <c r="K170" s="106"/>
      <c r="L170" s="106"/>
      <c r="M170" s="106"/>
      <c r="N170" s="106"/>
      <c r="O170" s="106"/>
      <c r="P170" s="106"/>
      <c r="Q170" s="106"/>
      <c r="R170" s="106"/>
      <c r="S170" s="106"/>
      <c r="T170" s="106"/>
      <c r="U170" s="106"/>
    </row>
    <row r="171">
      <c r="A171" s="123">
        <v>12.0</v>
      </c>
      <c r="B171" s="94" t="s">
        <v>7066</v>
      </c>
      <c r="C171" s="124">
        <v>2.42510135E8</v>
      </c>
      <c r="D171" s="94" t="s">
        <v>8886</v>
      </c>
      <c r="E171" s="125" t="s">
        <v>5627</v>
      </c>
      <c r="F171" s="128"/>
      <c r="G171" s="128"/>
      <c r="H171" s="128"/>
      <c r="I171" s="106"/>
      <c r="J171" s="106"/>
      <c r="K171" s="106"/>
      <c r="L171" s="106"/>
      <c r="M171" s="106"/>
      <c r="N171" s="106"/>
      <c r="O171" s="106"/>
      <c r="P171" s="106"/>
      <c r="Q171" s="106"/>
      <c r="R171" s="106"/>
      <c r="S171" s="106"/>
      <c r="T171" s="106"/>
      <c r="U171" s="106"/>
    </row>
    <row r="172">
      <c r="A172" s="146">
        <v>13.0</v>
      </c>
      <c r="B172" s="94" t="s">
        <v>7510</v>
      </c>
      <c r="C172" s="124">
        <v>2.42510164E8</v>
      </c>
      <c r="D172" s="94" t="s">
        <v>8887</v>
      </c>
      <c r="E172" s="125" t="s">
        <v>5627</v>
      </c>
      <c r="F172" s="128"/>
      <c r="G172" s="128"/>
      <c r="H172" s="128"/>
      <c r="I172" s="106"/>
      <c r="J172" s="106"/>
      <c r="K172" s="106"/>
      <c r="L172" s="106"/>
      <c r="M172" s="106"/>
      <c r="N172" s="106"/>
      <c r="O172" s="106"/>
      <c r="P172" s="106"/>
      <c r="Q172" s="106"/>
      <c r="R172" s="106"/>
      <c r="S172" s="106"/>
      <c r="T172" s="106"/>
      <c r="U172" s="106"/>
    </row>
    <row r="173">
      <c r="A173" s="123">
        <v>14.0</v>
      </c>
      <c r="B173" s="94" t="s">
        <v>7078</v>
      </c>
      <c r="C173" s="124">
        <v>2.42510176E8</v>
      </c>
      <c r="D173" s="94" t="s">
        <v>8888</v>
      </c>
      <c r="E173" s="125" t="s">
        <v>5627</v>
      </c>
      <c r="F173" s="128"/>
      <c r="G173" s="128"/>
      <c r="H173" s="128"/>
      <c r="I173" s="106"/>
      <c r="J173" s="106"/>
      <c r="K173" s="106"/>
      <c r="L173" s="106"/>
      <c r="M173" s="106"/>
      <c r="N173" s="106"/>
      <c r="O173" s="106"/>
      <c r="P173" s="106"/>
      <c r="Q173" s="106"/>
      <c r="R173" s="106"/>
      <c r="S173" s="106"/>
      <c r="T173" s="106"/>
      <c r="U173" s="106"/>
    </row>
    <row r="174">
      <c r="A174" s="146">
        <v>15.0</v>
      </c>
      <c r="B174" s="94" t="s">
        <v>7592</v>
      </c>
      <c r="C174" s="124">
        <v>2.42510178E8</v>
      </c>
      <c r="D174" s="94" t="s">
        <v>8889</v>
      </c>
      <c r="E174" s="125" t="s">
        <v>5627</v>
      </c>
      <c r="F174" s="128"/>
      <c r="G174" s="128"/>
      <c r="H174" s="128"/>
      <c r="I174" s="106"/>
      <c r="J174" s="106"/>
      <c r="K174" s="106"/>
      <c r="L174" s="106"/>
      <c r="M174" s="106"/>
      <c r="N174" s="106"/>
      <c r="O174" s="106"/>
      <c r="P174" s="106"/>
      <c r="Q174" s="106"/>
      <c r="R174" s="106"/>
      <c r="S174" s="106"/>
      <c r="T174" s="106"/>
      <c r="U174" s="106"/>
    </row>
    <row r="175">
      <c r="A175" s="123">
        <v>16.0</v>
      </c>
      <c r="B175" s="94" t="s">
        <v>6852</v>
      </c>
      <c r="C175" s="124">
        <v>2.42510188E8</v>
      </c>
      <c r="D175" s="94" t="s">
        <v>8890</v>
      </c>
      <c r="E175" s="125" t="s">
        <v>5627</v>
      </c>
      <c r="F175" s="128"/>
      <c r="G175" s="128"/>
      <c r="H175" s="128"/>
      <c r="I175" s="106"/>
      <c r="J175" s="106"/>
      <c r="K175" s="106"/>
      <c r="L175" s="106"/>
      <c r="M175" s="106"/>
      <c r="N175" s="106"/>
      <c r="O175" s="106"/>
      <c r="P175" s="106"/>
      <c r="Q175" s="106"/>
      <c r="R175" s="106"/>
      <c r="S175" s="106"/>
      <c r="T175" s="106"/>
      <c r="U175" s="106"/>
    </row>
    <row r="176">
      <c r="A176" s="146">
        <v>17.0</v>
      </c>
      <c r="B176" s="94" t="s">
        <v>7380</v>
      </c>
      <c r="C176" s="124">
        <v>2.42510196E8</v>
      </c>
      <c r="D176" s="94" t="s">
        <v>8891</v>
      </c>
      <c r="E176" s="125" t="s">
        <v>5627</v>
      </c>
      <c r="F176" s="128"/>
      <c r="G176" s="128"/>
      <c r="H176" s="128"/>
      <c r="I176" s="106"/>
      <c r="J176" s="106"/>
      <c r="K176" s="106"/>
      <c r="L176" s="106"/>
      <c r="M176" s="106"/>
      <c r="N176" s="106"/>
      <c r="O176" s="106"/>
      <c r="P176" s="106"/>
      <c r="Q176" s="106"/>
      <c r="R176" s="106"/>
      <c r="S176" s="106"/>
      <c r="T176" s="106"/>
      <c r="U176" s="106"/>
    </row>
    <row r="177">
      <c r="A177" s="123">
        <v>18.0</v>
      </c>
      <c r="B177" s="94" t="s">
        <v>7600</v>
      </c>
      <c r="C177" s="124">
        <v>2.42510198E8</v>
      </c>
      <c r="D177" s="94" t="s">
        <v>8892</v>
      </c>
      <c r="E177" s="125" t="s">
        <v>5627</v>
      </c>
      <c r="F177" s="128"/>
      <c r="G177" s="128"/>
      <c r="H177" s="128"/>
      <c r="I177" s="106"/>
      <c r="J177" s="106"/>
      <c r="K177" s="106"/>
      <c r="L177" s="106"/>
      <c r="M177" s="106"/>
      <c r="N177" s="106"/>
      <c r="O177" s="106"/>
      <c r="P177" s="106"/>
      <c r="Q177" s="106"/>
      <c r="R177" s="106"/>
      <c r="S177" s="106"/>
      <c r="T177" s="106"/>
      <c r="U177" s="106"/>
    </row>
    <row r="178">
      <c r="A178" s="146">
        <v>19.0</v>
      </c>
      <c r="B178" s="94" t="s">
        <v>6860</v>
      </c>
      <c r="C178" s="124">
        <v>2.42510206E8</v>
      </c>
      <c r="D178" s="94" t="s">
        <v>8893</v>
      </c>
      <c r="E178" s="125" t="s">
        <v>5627</v>
      </c>
      <c r="F178" s="128"/>
      <c r="G178" s="128"/>
      <c r="H178" s="128"/>
      <c r="I178" s="106"/>
      <c r="J178" s="106"/>
      <c r="K178" s="106"/>
      <c r="L178" s="106"/>
      <c r="M178" s="106"/>
      <c r="N178" s="106"/>
      <c r="O178" s="106"/>
      <c r="P178" s="106"/>
      <c r="Q178" s="106"/>
      <c r="R178" s="106"/>
      <c r="S178" s="106"/>
      <c r="T178" s="106"/>
      <c r="U178" s="106"/>
    </row>
    <row r="179">
      <c r="A179" s="123">
        <v>20.0</v>
      </c>
      <c r="B179" s="94" t="s">
        <v>6862</v>
      </c>
      <c r="C179" s="124">
        <v>2.42510208E8</v>
      </c>
      <c r="D179" s="94" t="s">
        <v>8894</v>
      </c>
      <c r="E179" s="125" t="s">
        <v>5627</v>
      </c>
      <c r="F179" s="128"/>
      <c r="G179" s="128"/>
      <c r="H179" s="128"/>
      <c r="I179" s="106"/>
      <c r="J179" s="106"/>
      <c r="K179" s="106"/>
      <c r="L179" s="106"/>
      <c r="M179" s="106"/>
      <c r="N179" s="106"/>
      <c r="O179" s="106"/>
      <c r="P179" s="106"/>
      <c r="Q179" s="106"/>
      <c r="R179" s="106"/>
      <c r="S179" s="106"/>
      <c r="T179" s="106"/>
      <c r="U179" s="106"/>
    </row>
    <row r="180">
      <c r="A180" s="146">
        <v>21.0</v>
      </c>
      <c r="B180" s="94" t="s">
        <v>7518</v>
      </c>
      <c r="C180" s="124">
        <v>2.4251021E8</v>
      </c>
      <c r="D180" s="94" t="s">
        <v>8895</v>
      </c>
      <c r="E180" s="125" t="s">
        <v>5627</v>
      </c>
      <c r="F180" s="128"/>
      <c r="G180" s="128"/>
      <c r="H180" s="128"/>
      <c r="I180" s="106"/>
      <c r="J180" s="106"/>
      <c r="K180" s="106"/>
      <c r="L180" s="106"/>
      <c r="M180" s="106"/>
      <c r="N180" s="106"/>
      <c r="O180" s="106"/>
      <c r="P180" s="106"/>
      <c r="Q180" s="106"/>
      <c r="R180" s="106"/>
      <c r="S180" s="106"/>
      <c r="T180" s="106"/>
      <c r="U180" s="106"/>
    </row>
    <row r="181">
      <c r="A181" s="123">
        <v>22.0</v>
      </c>
      <c r="B181" s="94" t="s">
        <v>7145</v>
      </c>
      <c r="C181" s="124">
        <v>2.42510212E8</v>
      </c>
      <c r="D181" s="94" t="s">
        <v>8896</v>
      </c>
      <c r="E181" s="125" t="s">
        <v>5627</v>
      </c>
      <c r="F181" s="128"/>
      <c r="G181" s="128"/>
      <c r="H181" s="128"/>
      <c r="I181" s="106"/>
      <c r="J181" s="106"/>
      <c r="K181" s="106"/>
      <c r="L181" s="106"/>
      <c r="M181" s="106"/>
      <c r="N181" s="106"/>
      <c r="O181" s="106"/>
      <c r="P181" s="106"/>
      <c r="Q181" s="106"/>
      <c r="R181" s="106"/>
      <c r="S181" s="106"/>
      <c r="T181" s="106"/>
      <c r="U181" s="106"/>
    </row>
    <row r="182">
      <c r="A182" s="146">
        <v>23.0</v>
      </c>
      <c r="B182" s="94" t="s">
        <v>7443</v>
      </c>
      <c r="C182" s="124">
        <v>2.42510234E8</v>
      </c>
      <c r="D182" s="94" t="s">
        <v>8897</v>
      </c>
      <c r="E182" s="125" t="s">
        <v>5627</v>
      </c>
      <c r="F182" s="128"/>
      <c r="G182" s="128"/>
      <c r="H182" s="128"/>
      <c r="I182" s="106"/>
      <c r="J182" s="106"/>
      <c r="K182" s="106"/>
      <c r="L182" s="106"/>
      <c r="M182" s="106"/>
      <c r="N182" s="106"/>
      <c r="O182" s="106"/>
      <c r="P182" s="106"/>
      <c r="Q182" s="106"/>
      <c r="R182" s="106"/>
      <c r="S182" s="106"/>
      <c r="T182" s="106"/>
      <c r="U182" s="106"/>
    </row>
    <row r="183">
      <c r="A183" s="123">
        <v>24.0</v>
      </c>
      <c r="B183" s="92" t="s">
        <v>7685</v>
      </c>
      <c r="C183" s="124">
        <v>2.42510249E8</v>
      </c>
      <c r="D183" s="94" t="s">
        <v>8898</v>
      </c>
      <c r="E183" s="125" t="s">
        <v>5627</v>
      </c>
      <c r="F183" s="128"/>
      <c r="G183" s="128"/>
      <c r="H183" s="128"/>
      <c r="I183" s="106"/>
      <c r="J183" s="106"/>
      <c r="K183" s="106"/>
      <c r="L183" s="106"/>
      <c r="M183" s="106"/>
      <c r="N183" s="106"/>
      <c r="O183" s="106"/>
      <c r="P183" s="106"/>
      <c r="Q183" s="106"/>
      <c r="R183" s="106"/>
      <c r="S183" s="106"/>
      <c r="T183" s="106"/>
      <c r="U183" s="106"/>
    </row>
    <row r="184">
      <c r="A184" s="146">
        <v>25.0</v>
      </c>
      <c r="B184" s="92" t="s">
        <v>7522</v>
      </c>
      <c r="C184" s="124">
        <v>2.4251025E8</v>
      </c>
      <c r="D184" s="94" t="s">
        <v>8899</v>
      </c>
      <c r="E184" s="125" t="s">
        <v>5627</v>
      </c>
      <c r="F184" s="128"/>
      <c r="G184" s="128"/>
      <c r="H184" s="128"/>
      <c r="I184" s="106"/>
      <c r="J184" s="106"/>
      <c r="K184" s="106"/>
      <c r="L184" s="106"/>
      <c r="M184" s="106"/>
      <c r="N184" s="106"/>
      <c r="O184" s="106"/>
      <c r="P184" s="106"/>
      <c r="Q184" s="106"/>
      <c r="R184" s="106"/>
      <c r="S184" s="106"/>
      <c r="T184" s="106"/>
      <c r="U184" s="106"/>
    </row>
    <row r="185">
      <c r="A185" s="123">
        <v>26.0</v>
      </c>
      <c r="B185" s="94" t="s">
        <v>6936</v>
      </c>
      <c r="C185" s="124">
        <v>2.42510261E8</v>
      </c>
      <c r="D185" s="94" t="s">
        <v>3275</v>
      </c>
      <c r="E185" s="125" t="s">
        <v>5627</v>
      </c>
      <c r="F185" s="128"/>
      <c r="G185" s="128"/>
      <c r="H185" s="128"/>
      <c r="I185" s="106"/>
      <c r="J185" s="106"/>
      <c r="K185" s="106"/>
      <c r="L185" s="106"/>
      <c r="M185" s="106"/>
      <c r="N185" s="106"/>
      <c r="O185" s="106"/>
      <c r="P185" s="106"/>
      <c r="Q185" s="106"/>
      <c r="R185" s="106"/>
      <c r="S185" s="106"/>
      <c r="T185" s="106"/>
      <c r="U185" s="106"/>
    </row>
    <row r="186">
      <c r="A186" s="146">
        <v>27.0</v>
      </c>
      <c r="B186" s="94" t="s">
        <v>8900</v>
      </c>
      <c r="C186" s="124">
        <v>2.42510269E8</v>
      </c>
      <c r="D186" s="94" t="s">
        <v>8901</v>
      </c>
      <c r="E186" s="125" t="s">
        <v>5627</v>
      </c>
      <c r="F186" s="128"/>
      <c r="G186" s="128"/>
      <c r="H186" s="128"/>
      <c r="I186" s="106"/>
      <c r="J186" s="106"/>
      <c r="K186" s="106"/>
      <c r="L186" s="106"/>
      <c r="M186" s="106"/>
      <c r="N186" s="106"/>
      <c r="O186" s="106"/>
      <c r="P186" s="106"/>
      <c r="Q186" s="106"/>
      <c r="R186" s="106"/>
      <c r="S186" s="106"/>
      <c r="T186" s="106"/>
      <c r="U186" s="106"/>
    </row>
    <row r="187">
      <c r="A187" s="123">
        <v>28.0</v>
      </c>
      <c r="B187" s="94" t="s">
        <v>7390</v>
      </c>
      <c r="C187" s="124">
        <v>2.42510273E8</v>
      </c>
      <c r="D187" s="94" t="s">
        <v>8902</v>
      </c>
      <c r="E187" s="125" t="s">
        <v>5627</v>
      </c>
      <c r="F187" s="128"/>
      <c r="G187" s="128"/>
      <c r="H187" s="128"/>
      <c r="I187" s="106"/>
      <c r="J187" s="106"/>
      <c r="K187" s="106"/>
      <c r="L187" s="106"/>
      <c r="M187" s="106"/>
      <c r="N187" s="106"/>
      <c r="O187" s="106"/>
      <c r="P187" s="106"/>
      <c r="Q187" s="106"/>
      <c r="R187" s="106"/>
      <c r="S187" s="106"/>
      <c r="T187" s="106"/>
      <c r="U187" s="106"/>
    </row>
    <row r="188">
      <c r="A188" s="146">
        <v>29.0</v>
      </c>
      <c r="B188" s="94" t="s">
        <v>7392</v>
      </c>
      <c r="C188" s="124">
        <v>2.4251028E8</v>
      </c>
      <c r="D188" s="94" t="s">
        <v>8903</v>
      </c>
      <c r="E188" s="125" t="s">
        <v>5627</v>
      </c>
      <c r="F188" s="128"/>
      <c r="G188" s="128"/>
      <c r="H188" s="128"/>
      <c r="I188" s="106"/>
      <c r="J188" s="106"/>
      <c r="K188" s="106"/>
      <c r="L188" s="106"/>
      <c r="M188" s="106"/>
      <c r="N188" s="106"/>
      <c r="O188" s="106"/>
      <c r="P188" s="106"/>
      <c r="Q188" s="106"/>
      <c r="R188" s="106"/>
      <c r="S188" s="106"/>
      <c r="T188" s="106"/>
      <c r="U188" s="106"/>
    </row>
    <row r="189">
      <c r="A189" s="123">
        <v>30.0</v>
      </c>
      <c r="B189" s="94" t="s">
        <v>7313</v>
      </c>
      <c r="C189" s="124">
        <v>2.42510285E8</v>
      </c>
      <c r="D189" s="94" t="s">
        <v>8904</v>
      </c>
      <c r="E189" s="125" t="s">
        <v>5627</v>
      </c>
      <c r="F189" s="128"/>
      <c r="G189" s="128"/>
      <c r="H189" s="128"/>
      <c r="I189" s="106"/>
      <c r="J189" s="106"/>
      <c r="K189" s="106"/>
      <c r="L189" s="106"/>
      <c r="M189" s="106"/>
      <c r="N189" s="106"/>
      <c r="O189" s="106"/>
      <c r="P189" s="106"/>
      <c r="Q189" s="106"/>
      <c r="R189" s="106"/>
      <c r="S189" s="106"/>
      <c r="T189" s="106"/>
      <c r="U189" s="106"/>
    </row>
    <row r="190">
      <c r="A190" s="146">
        <v>31.0</v>
      </c>
      <c r="B190" s="92" t="s">
        <v>7096</v>
      </c>
      <c r="C190" s="124">
        <v>2.42510301E8</v>
      </c>
      <c r="D190" s="94" t="s">
        <v>8905</v>
      </c>
      <c r="E190" s="125" t="s">
        <v>5627</v>
      </c>
      <c r="F190" s="128"/>
      <c r="G190" s="128"/>
      <c r="H190" s="128"/>
      <c r="I190" s="106"/>
      <c r="J190" s="106"/>
      <c r="K190" s="106"/>
      <c r="L190" s="106"/>
      <c r="M190" s="106"/>
      <c r="N190" s="106"/>
      <c r="O190" s="106"/>
      <c r="P190" s="106"/>
      <c r="Q190" s="106"/>
      <c r="R190" s="106"/>
      <c r="S190" s="106"/>
      <c r="T190" s="106"/>
      <c r="U190" s="106"/>
    </row>
    <row r="191">
      <c r="A191" s="123">
        <v>32.0</v>
      </c>
      <c r="B191" s="94" t="s">
        <v>7248</v>
      </c>
      <c r="C191" s="124">
        <v>2.42510351E8</v>
      </c>
      <c r="D191" s="94" t="s">
        <v>8906</v>
      </c>
      <c r="E191" s="125" t="s">
        <v>5627</v>
      </c>
      <c r="F191" s="128"/>
      <c r="G191" s="128"/>
      <c r="H191" s="128"/>
      <c r="I191" s="106"/>
      <c r="J191" s="106"/>
      <c r="K191" s="106"/>
      <c r="L191" s="106"/>
      <c r="M191" s="106"/>
      <c r="N191" s="106"/>
      <c r="O191" s="106"/>
      <c r="P191" s="106"/>
      <c r="Q191" s="106"/>
      <c r="R191" s="106"/>
      <c r="S191" s="106"/>
      <c r="T191" s="106"/>
      <c r="U191" s="106"/>
    </row>
    <row r="192">
      <c r="A192" s="146">
        <v>33.0</v>
      </c>
      <c r="B192" s="94" t="s">
        <v>6961</v>
      </c>
      <c r="C192" s="124">
        <v>2.42510374E8</v>
      </c>
      <c r="D192" s="94" t="s">
        <v>8907</v>
      </c>
      <c r="E192" s="125" t="s">
        <v>5627</v>
      </c>
      <c r="F192" s="128"/>
      <c r="G192" s="128"/>
      <c r="H192" s="128"/>
      <c r="I192" s="106"/>
      <c r="J192" s="106"/>
      <c r="K192" s="106"/>
      <c r="L192" s="106"/>
      <c r="M192" s="106"/>
      <c r="N192" s="106"/>
      <c r="O192" s="106"/>
      <c r="P192" s="106"/>
      <c r="Q192" s="106"/>
      <c r="R192" s="106"/>
      <c r="S192" s="106"/>
      <c r="T192" s="106"/>
      <c r="U192" s="106"/>
    </row>
    <row r="193">
      <c r="A193" s="123">
        <v>34.0</v>
      </c>
      <c r="B193" s="94" t="s">
        <v>7479</v>
      </c>
      <c r="C193" s="124">
        <v>2.42510378E8</v>
      </c>
      <c r="D193" s="94" t="s">
        <v>8908</v>
      </c>
      <c r="E193" s="125" t="s">
        <v>5627</v>
      </c>
      <c r="F193" s="128"/>
      <c r="G193" s="128"/>
      <c r="H193" s="128"/>
      <c r="I193" s="106"/>
      <c r="J193" s="106"/>
      <c r="K193" s="106"/>
      <c r="L193" s="106"/>
      <c r="M193" s="106"/>
      <c r="N193" s="106"/>
      <c r="O193" s="106"/>
      <c r="P193" s="106"/>
      <c r="Q193" s="106"/>
      <c r="R193" s="106"/>
      <c r="S193" s="106"/>
      <c r="T193" s="106"/>
      <c r="U193" s="106"/>
    </row>
    <row r="194">
      <c r="A194" s="146">
        <v>35.0</v>
      </c>
      <c r="B194" s="92" t="s">
        <v>7624</v>
      </c>
      <c r="C194" s="124">
        <v>2.42510396E8</v>
      </c>
      <c r="D194" s="94" t="s">
        <v>8909</v>
      </c>
      <c r="E194" s="125" t="s">
        <v>5627</v>
      </c>
      <c r="F194" s="128"/>
      <c r="G194" s="128"/>
      <c r="H194" s="128"/>
      <c r="I194" s="106"/>
      <c r="J194" s="106"/>
      <c r="K194" s="106"/>
      <c r="L194" s="106"/>
      <c r="M194" s="106"/>
      <c r="N194" s="106"/>
      <c r="O194" s="106"/>
      <c r="P194" s="106"/>
      <c r="Q194" s="106"/>
      <c r="R194" s="106"/>
      <c r="S194" s="106"/>
      <c r="T194" s="106"/>
      <c r="U194" s="106"/>
    </row>
    <row r="195">
      <c r="A195" s="123">
        <v>36.0</v>
      </c>
      <c r="B195" s="94" t="s">
        <v>7481</v>
      </c>
      <c r="C195" s="124">
        <v>2.42510424E8</v>
      </c>
      <c r="D195" s="94" t="s">
        <v>8910</v>
      </c>
      <c r="E195" s="125" t="s">
        <v>5627</v>
      </c>
      <c r="F195" s="128"/>
      <c r="G195" s="128"/>
      <c r="H195" s="128"/>
      <c r="I195" s="106"/>
      <c r="J195" s="106"/>
      <c r="K195" s="106"/>
      <c r="L195" s="106"/>
      <c r="M195" s="106"/>
      <c r="N195" s="106"/>
      <c r="O195" s="106"/>
      <c r="P195" s="106"/>
      <c r="Q195" s="106"/>
      <c r="R195" s="106"/>
      <c r="S195" s="106"/>
      <c r="T195" s="106"/>
      <c r="U195" s="106"/>
    </row>
    <row r="196">
      <c r="A196" s="146">
        <v>37.0</v>
      </c>
      <c r="B196" s="127"/>
      <c r="C196" s="127"/>
      <c r="D196" s="127"/>
      <c r="E196" s="127"/>
      <c r="F196" s="128"/>
      <c r="G196" s="128"/>
      <c r="H196" s="128"/>
      <c r="I196" s="106"/>
      <c r="J196" s="106"/>
      <c r="K196" s="106"/>
      <c r="L196" s="106"/>
      <c r="M196" s="106"/>
      <c r="N196" s="106"/>
      <c r="O196" s="106"/>
      <c r="P196" s="106"/>
      <c r="Q196" s="106"/>
      <c r="R196" s="106"/>
      <c r="S196" s="106"/>
      <c r="T196" s="106"/>
      <c r="U196" s="106"/>
    </row>
    <row r="197">
      <c r="A197" s="129"/>
      <c r="B197" s="130" t="s">
        <v>8789</v>
      </c>
      <c r="C197" s="129"/>
      <c r="D197" s="131">
        <f>COUNTIF(E160:E196,"L")</f>
        <v>0</v>
      </c>
      <c r="E197" s="129"/>
      <c r="F197" s="128"/>
      <c r="G197" s="128"/>
      <c r="H197" s="128"/>
      <c r="I197" s="106"/>
      <c r="J197" s="106"/>
      <c r="K197" s="106"/>
      <c r="L197" s="106"/>
      <c r="M197" s="106"/>
      <c r="N197" s="106"/>
      <c r="O197" s="106"/>
      <c r="P197" s="106"/>
      <c r="Q197" s="106"/>
      <c r="R197" s="106"/>
      <c r="S197" s="106"/>
      <c r="T197" s="106"/>
      <c r="U197" s="106"/>
    </row>
    <row r="198">
      <c r="A198" s="129"/>
      <c r="B198" s="130" t="s">
        <v>8790</v>
      </c>
      <c r="C198" s="129"/>
      <c r="D198" s="131">
        <f>COUNTIF(E160:E196,"P")</f>
        <v>0</v>
      </c>
      <c r="E198" s="129"/>
      <c r="F198" s="129"/>
      <c r="G198" s="129"/>
      <c r="H198" s="129"/>
      <c r="I198" s="129"/>
      <c r="J198" s="129"/>
      <c r="K198" s="144" t="s">
        <v>8791</v>
      </c>
      <c r="L198" s="141"/>
      <c r="M198" s="141"/>
      <c r="N198" s="141"/>
      <c r="O198" s="141"/>
      <c r="P198" s="141"/>
      <c r="Q198" s="141"/>
      <c r="R198" s="141"/>
      <c r="S198" s="141"/>
      <c r="T198" s="141"/>
    </row>
    <row r="199">
      <c r="A199" s="129"/>
      <c r="B199" s="130" t="s">
        <v>8792</v>
      </c>
      <c r="C199" s="129"/>
      <c r="D199" s="131">
        <f>SUM(D197:D198)</f>
        <v>0</v>
      </c>
      <c r="E199" s="129"/>
      <c r="F199" s="129"/>
      <c r="G199" s="129"/>
      <c r="H199" s="129"/>
      <c r="I199" s="129"/>
      <c r="J199" s="129"/>
      <c r="K199" s="132" t="s">
        <v>8793</v>
      </c>
      <c r="L199" s="133"/>
      <c r="M199" s="133"/>
      <c r="N199" s="133"/>
      <c r="O199" s="133"/>
      <c r="P199" s="133"/>
      <c r="Q199" s="133"/>
      <c r="R199" s="133"/>
      <c r="S199" s="133"/>
      <c r="T199" s="134"/>
    </row>
    <row r="200">
      <c r="A200" s="129"/>
      <c r="B200" s="129"/>
      <c r="C200" s="129"/>
      <c r="D200" s="129"/>
      <c r="E200" s="129"/>
      <c r="F200" s="129"/>
      <c r="G200" s="129"/>
      <c r="H200" s="129"/>
      <c r="I200" s="129"/>
      <c r="J200" s="129"/>
      <c r="K200" s="129"/>
      <c r="L200" s="129"/>
      <c r="M200" s="129"/>
      <c r="N200" s="129"/>
      <c r="O200" s="129"/>
      <c r="P200" s="129"/>
      <c r="Q200" s="129"/>
      <c r="R200" s="129"/>
      <c r="S200" s="129"/>
      <c r="T200" s="129"/>
    </row>
    <row r="201">
      <c r="A201" s="129"/>
      <c r="B201" s="129"/>
      <c r="C201" s="129"/>
      <c r="D201" s="129"/>
      <c r="E201" s="129"/>
      <c r="F201" s="129"/>
      <c r="G201" s="129"/>
      <c r="H201" s="129"/>
      <c r="I201" s="129"/>
      <c r="J201" s="129"/>
      <c r="K201" s="129"/>
      <c r="L201" s="129"/>
      <c r="M201" s="129"/>
      <c r="N201" s="129"/>
      <c r="O201" s="129"/>
      <c r="P201" s="129"/>
      <c r="Q201" s="129"/>
      <c r="R201" s="129"/>
      <c r="S201" s="129"/>
      <c r="T201" s="129"/>
    </row>
    <row r="202">
      <c r="A202" s="129"/>
      <c r="B202" s="129"/>
      <c r="C202" s="129"/>
      <c r="D202" s="129"/>
      <c r="E202" s="129"/>
      <c r="F202" s="129"/>
      <c r="G202" s="129"/>
      <c r="H202" s="129"/>
      <c r="I202" s="129"/>
      <c r="J202" s="129"/>
      <c r="K202" s="129"/>
      <c r="L202" s="129"/>
      <c r="M202" s="129"/>
      <c r="N202" s="129"/>
      <c r="O202" s="129"/>
      <c r="P202" s="129"/>
      <c r="Q202" s="129"/>
      <c r="R202" s="129"/>
      <c r="S202" s="129"/>
      <c r="T202" s="129"/>
    </row>
    <row r="203">
      <c r="A203" s="97" t="s">
        <v>8743</v>
      </c>
      <c r="B203" s="97"/>
      <c r="C203" s="97"/>
      <c r="D203" s="97"/>
      <c r="E203" s="97"/>
      <c r="F203" s="97"/>
      <c r="G203" s="97"/>
      <c r="H203" s="97"/>
      <c r="I203" s="97"/>
      <c r="J203" s="97"/>
      <c r="K203" s="97"/>
      <c r="L203" s="97"/>
      <c r="M203" s="97"/>
      <c r="N203" s="97"/>
      <c r="O203" s="97"/>
      <c r="P203" s="97"/>
      <c r="Q203" s="97"/>
      <c r="R203" s="97"/>
      <c r="S203" s="97"/>
      <c r="T203" s="97"/>
    </row>
    <row r="204">
      <c r="A204" s="135" t="s">
        <v>8744</v>
      </c>
      <c r="B204" s="136"/>
      <c r="C204" s="136"/>
      <c r="D204" s="136"/>
      <c r="E204" s="136"/>
      <c r="F204" s="136"/>
      <c r="G204" s="136"/>
      <c r="H204" s="136"/>
      <c r="I204" s="136"/>
      <c r="J204" s="136"/>
      <c r="K204" s="136"/>
      <c r="L204" s="136"/>
      <c r="M204" s="136"/>
      <c r="N204" s="136"/>
      <c r="O204" s="136"/>
      <c r="P204" s="136"/>
      <c r="Q204" s="136"/>
      <c r="R204" s="136"/>
      <c r="S204" s="136"/>
      <c r="T204" s="137"/>
    </row>
    <row r="205">
      <c r="A205" s="102" t="s">
        <v>8745</v>
      </c>
      <c r="B205" s="103"/>
      <c r="C205" s="103"/>
      <c r="D205" s="103"/>
      <c r="E205" s="103"/>
      <c r="F205" s="103"/>
      <c r="G205" s="103"/>
      <c r="H205" s="103"/>
      <c r="I205" s="103"/>
      <c r="J205" s="103"/>
      <c r="K205" s="103"/>
      <c r="L205" s="103"/>
      <c r="M205" s="103"/>
      <c r="N205" s="103"/>
      <c r="O205" s="103"/>
      <c r="P205" s="103"/>
      <c r="Q205" s="103"/>
      <c r="R205" s="103"/>
      <c r="S205" s="103"/>
      <c r="T205" s="104"/>
    </row>
    <row r="206">
      <c r="A206" s="105" t="s">
        <v>8911</v>
      </c>
      <c r="B206" s="106"/>
      <c r="C206" s="106"/>
      <c r="D206" s="106"/>
      <c r="E206" s="106"/>
      <c r="F206" s="106"/>
      <c r="G206" s="106"/>
      <c r="H206" s="106"/>
      <c r="I206" s="106"/>
      <c r="J206" s="106"/>
      <c r="K206" s="106"/>
      <c r="L206" s="106"/>
      <c r="M206" s="106"/>
      <c r="N206" s="106"/>
      <c r="O206" s="106"/>
      <c r="P206" s="106"/>
      <c r="Q206" s="106"/>
      <c r="R206" s="106"/>
      <c r="S206" s="106"/>
      <c r="T206" s="107"/>
    </row>
    <row r="207">
      <c r="A207" s="108" t="s">
        <v>8912</v>
      </c>
      <c r="B207" s="109"/>
      <c r="C207" s="109"/>
      <c r="D207" s="109"/>
      <c r="E207" s="109"/>
      <c r="F207" s="110"/>
      <c r="G207" s="110"/>
      <c r="H207" s="110"/>
      <c r="I207" s="110"/>
      <c r="J207" s="110"/>
      <c r="K207" s="110"/>
      <c r="L207" s="110"/>
      <c r="M207" s="110"/>
      <c r="N207" s="110"/>
      <c r="O207" s="110"/>
      <c r="P207" s="110"/>
      <c r="Q207" s="110"/>
      <c r="R207" s="110"/>
      <c r="S207" s="110"/>
      <c r="T207" s="110"/>
    </row>
    <row r="208">
      <c r="A208" s="111" t="s">
        <v>8748</v>
      </c>
      <c r="B208" s="111" t="s">
        <v>9</v>
      </c>
      <c r="C208" s="111" t="s">
        <v>5246</v>
      </c>
      <c r="D208" s="111" t="s">
        <v>8680</v>
      </c>
      <c r="E208" s="138" t="s">
        <v>13</v>
      </c>
      <c r="F208" s="113" t="s">
        <v>8749</v>
      </c>
      <c r="G208" s="113" t="s">
        <v>8750</v>
      </c>
      <c r="H208" s="114" t="s">
        <v>217</v>
      </c>
      <c r="I208" s="106"/>
      <c r="J208" s="106"/>
      <c r="K208" s="106"/>
      <c r="L208" s="106"/>
      <c r="M208" s="106"/>
      <c r="N208" s="106"/>
      <c r="O208" s="106"/>
      <c r="P208" s="106"/>
      <c r="Q208" s="106"/>
      <c r="R208" s="106"/>
      <c r="S208" s="106"/>
      <c r="T208" s="106"/>
      <c r="U208" s="106"/>
    </row>
    <row r="209">
      <c r="A209" s="115"/>
      <c r="B209" s="115"/>
      <c r="C209" s="115"/>
      <c r="D209" s="115"/>
      <c r="E209" s="139"/>
      <c r="F209" s="117"/>
      <c r="G209" s="117"/>
      <c r="H209" s="118"/>
      <c r="I209" s="106"/>
      <c r="J209" s="106"/>
      <c r="K209" s="106"/>
      <c r="L209" s="106"/>
      <c r="M209" s="106"/>
      <c r="N209" s="106"/>
      <c r="O209" s="106"/>
      <c r="P209" s="106"/>
      <c r="Q209" s="106"/>
      <c r="R209" s="106"/>
      <c r="S209" s="106"/>
      <c r="T209" s="106"/>
      <c r="U209" s="106"/>
    </row>
    <row r="210">
      <c r="A210" s="119"/>
      <c r="B210" s="119"/>
      <c r="C210" s="119"/>
      <c r="D210" s="119"/>
      <c r="E210" s="140"/>
      <c r="F210" s="121"/>
      <c r="G210" s="121"/>
      <c r="H210" s="122"/>
      <c r="I210" s="106"/>
      <c r="J210" s="106"/>
      <c r="K210" s="106"/>
      <c r="L210" s="106"/>
      <c r="M210" s="106"/>
      <c r="N210" s="106"/>
      <c r="O210" s="106"/>
      <c r="P210" s="106"/>
      <c r="Q210" s="106"/>
      <c r="R210" s="106"/>
      <c r="S210" s="106"/>
      <c r="T210" s="106"/>
      <c r="U210" s="106"/>
    </row>
    <row r="211">
      <c r="A211" s="123">
        <v>1.0</v>
      </c>
      <c r="B211" s="94" t="s">
        <v>7271</v>
      </c>
      <c r="C211" s="124">
        <v>2.42510013E8</v>
      </c>
      <c r="D211" s="94" t="s">
        <v>8913</v>
      </c>
      <c r="E211" s="125" t="s">
        <v>5766</v>
      </c>
      <c r="F211" s="126"/>
      <c r="G211" s="126"/>
      <c r="H211" s="126"/>
      <c r="I211" s="106"/>
      <c r="J211" s="106"/>
      <c r="K211" s="106"/>
      <c r="L211" s="106"/>
      <c r="M211" s="106"/>
      <c r="N211" s="106"/>
      <c r="O211" s="106"/>
      <c r="P211" s="106"/>
      <c r="Q211" s="106"/>
      <c r="R211" s="106"/>
      <c r="S211" s="106"/>
      <c r="T211" s="106"/>
      <c r="U211" s="106"/>
    </row>
    <row r="212">
      <c r="A212" s="123">
        <v>2.0</v>
      </c>
      <c r="B212" s="94" t="s">
        <v>7415</v>
      </c>
      <c r="C212" s="124">
        <v>2.42510022E8</v>
      </c>
      <c r="D212" s="94" t="s">
        <v>8914</v>
      </c>
      <c r="E212" s="125" t="s">
        <v>5766</v>
      </c>
      <c r="F212" s="128"/>
      <c r="G212" s="128"/>
      <c r="H212" s="128"/>
      <c r="I212" s="106"/>
      <c r="J212" s="106"/>
      <c r="K212" s="106"/>
      <c r="L212" s="106"/>
      <c r="M212" s="106"/>
      <c r="N212" s="106"/>
      <c r="O212" s="106"/>
      <c r="P212" s="106"/>
      <c r="Q212" s="106"/>
      <c r="R212" s="106"/>
      <c r="S212" s="106"/>
      <c r="T212" s="106"/>
      <c r="U212" s="106"/>
    </row>
    <row r="213">
      <c r="A213" s="123">
        <v>3.0</v>
      </c>
      <c r="B213" s="94" t="s">
        <v>7052</v>
      </c>
      <c r="C213" s="124">
        <v>2.42510023E8</v>
      </c>
      <c r="D213" s="94" t="s">
        <v>8915</v>
      </c>
      <c r="E213" s="125" t="s">
        <v>5766</v>
      </c>
      <c r="F213" s="128"/>
      <c r="G213" s="128"/>
      <c r="H213" s="128"/>
      <c r="I213" s="106"/>
      <c r="J213" s="106"/>
      <c r="K213" s="106"/>
      <c r="L213" s="106"/>
      <c r="M213" s="106"/>
      <c r="N213" s="106"/>
      <c r="O213" s="106"/>
      <c r="P213" s="106"/>
      <c r="Q213" s="106"/>
      <c r="R213" s="106"/>
      <c r="S213" s="106"/>
      <c r="T213" s="106"/>
      <c r="U213" s="106"/>
    </row>
    <row r="214">
      <c r="A214" s="123">
        <v>4.0</v>
      </c>
      <c r="B214" s="94" t="s">
        <v>6976</v>
      </c>
      <c r="C214" s="124">
        <v>2.42510027E8</v>
      </c>
      <c r="D214" s="94" t="s">
        <v>8916</v>
      </c>
      <c r="E214" s="125" t="s">
        <v>5766</v>
      </c>
      <c r="F214" s="128"/>
      <c r="G214" s="128"/>
      <c r="H214" s="128"/>
      <c r="I214" s="106"/>
      <c r="J214" s="106"/>
      <c r="K214" s="106"/>
      <c r="L214" s="106"/>
      <c r="M214" s="106"/>
      <c r="N214" s="106"/>
      <c r="O214" s="106"/>
      <c r="P214" s="106"/>
      <c r="Q214" s="106"/>
      <c r="R214" s="106"/>
      <c r="S214" s="106"/>
      <c r="T214" s="106"/>
      <c r="U214" s="106"/>
    </row>
    <row r="215">
      <c r="A215" s="123">
        <v>5.0</v>
      </c>
      <c r="B215" s="94" t="s">
        <v>7344</v>
      </c>
      <c r="C215" s="124">
        <v>2.42510032E8</v>
      </c>
      <c r="D215" s="94" t="s">
        <v>8917</v>
      </c>
      <c r="E215" s="125" t="s">
        <v>5766</v>
      </c>
      <c r="F215" s="128"/>
      <c r="G215" s="128"/>
      <c r="H215" s="128"/>
      <c r="I215" s="106"/>
      <c r="J215" s="106"/>
      <c r="K215" s="106"/>
      <c r="L215" s="106"/>
      <c r="M215" s="106"/>
      <c r="N215" s="106"/>
      <c r="O215" s="106"/>
      <c r="P215" s="106"/>
      <c r="Q215" s="106"/>
      <c r="R215" s="106"/>
      <c r="S215" s="106"/>
      <c r="T215" s="106"/>
      <c r="U215" s="106"/>
    </row>
    <row r="216">
      <c r="A216" s="123">
        <v>6.0</v>
      </c>
      <c r="B216" s="94" t="s">
        <v>7054</v>
      </c>
      <c r="C216" s="124">
        <v>2.42510042E8</v>
      </c>
      <c r="D216" s="94" t="s">
        <v>8918</v>
      </c>
      <c r="E216" s="125" t="s">
        <v>5766</v>
      </c>
      <c r="F216" s="128"/>
      <c r="G216" s="128"/>
      <c r="H216" s="128"/>
      <c r="I216" s="106"/>
      <c r="J216" s="106"/>
      <c r="K216" s="106"/>
      <c r="L216" s="106"/>
      <c r="M216" s="106"/>
      <c r="N216" s="106"/>
      <c r="O216" s="106"/>
      <c r="P216" s="106"/>
      <c r="Q216" s="106"/>
      <c r="R216" s="106"/>
      <c r="S216" s="106"/>
      <c r="T216" s="106"/>
      <c r="U216" s="106"/>
    </row>
    <row r="217">
      <c r="A217" s="123">
        <v>7.0</v>
      </c>
      <c r="B217" s="94" t="s">
        <v>6908</v>
      </c>
      <c r="C217" s="124">
        <v>2.42510046E8</v>
      </c>
      <c r="D217" s="94" t="s">
        <v>8919</v>
      </c>
      <c r="E217" s="125" t="s">
        <v>5766</v>
      </c>
      <c r="F217" s="128"/>
      <c r="G217" s="128"/>
      <c r="H217" s="128"/>
      <c r="I217" s="106"/>
      <c r="J217" s="106"/>
      <c r="K217" s="106"/>
      <c r="L217" s="106"/>
      <c r="M217" s="106"/>
      <c r="N217" s="106"/>
      <c r="O217" s="106"/>
      <c r="P217" s="106"/>
      <c r="Q217" s="106"/>
      <c r="R217" s="106"/>
      <c r="S217" s="106"/>
      <c r="T217" s="106"/>
      <c r="U217" s="106"/>
    </row>
    <row r="218">
      <c r="A218" s="123">
        <v>8.0</v>
      </c>
      <c r="B218" s="94" t="s">
        <v>7196</v>
      </c>
      <c r="C218" s="124">
        <v>2.42510055E8</v>
      </c>
      <c r="D218" s="94" t="s">
        <v>8920</v>
      </c>
      <c r="E218" s="125" t="s">
        <v>5766</v>
      </c>
      <c r="F218" s="128"/>
      <c r="G218" s="128"/>
      <c r="H218" s="128"/>
      <c r="I218" s="106"/>
      <c r="J218" s="106"/>
      <c r="K218" s="106"/>
      <c r="L218" s="106"/>
      <c r="M218" s="106"/>
      <c r="N218" s="106"/>
      <c r="O218" s="106"/>
      <c r="P218" s="106"/>
      <c r="Q218" s="106"/>
      <c r="R218" s="106"/>
      <c r="S218" s="106"/>
      <c r="T218" s="106"/>
      <c r="U218" s="106"/>
    </row>
    <row r="219">
      <c r="A219" s="123">
        <v>9.0</v>
      </c>
      <c r="B219" s="94" t="s">
        <v>7423</v>
      </c>
      <c r="C219" s="124">
        <v>2.42510059E8</v>
      </c>
      <c r="D219" s="94" t="s">
        <v>8921</v>
      </c>
      <c r="E219" s="125" t="s">
        <v>5766</v>
      </c>
      <c r="F219" s="128"/>
      <c r="G219" s="128"/>
      <c r="H219" s="128"/>
      <c r="I219" s="106"/>
      <c r="J219" s="106"/>
      <c r="K219" s="106"/>
      <c r="L219" s="106"/>
      <c r="M219" s="106"/>
      <c r="N219" s="106"/>
      <c r="O219" s="106"/>
      <c r="P219" s="106"/>
      <c r="Q219" s="106"/>
      <c r="R219" s="106"/>
      <c r="S219" s="106"/>
      <c r="T219" s="106"/>
      <c r="U219" s="106"/>
    </row>
    <row r="220">
      <c r="A220" s="123">
        <v>10.0</v>
      </c>
      <c r="B220" s="94" t="s">
        <v>7352</v>
      </c>
      <c r="C220" s="124">
        <v>2.42510063E8</v>
      </c>
      <c r="D220" s="94" t="s">
        <v>8922</v>
      </c>
      <c r="E220" s="125" t="s">
        <v>5766</v>
      </c>
      <c r="F220" s="128"/>
      <c r="G220" s="128"/>
      <c r="H220" s="128"/>
      <c r="I220" s="106"/>
      <c r="J220" s="106"/>
      <c r="K220" s="106"/>
      <c r="L220" s="106"/>
      <c r="M220" s="106"/>
      <c r="N220" s="106"/>
      <c r="O220" s="106"/>
      <c r="P220" s="106"/>
      <c r="Q220" s="106"/>
      <c r="R220" s="106"/>
      <c r="S220" s="106"/>
      <c r="T220" s="106"/>
      <c r="U220" s="106"/>
    </row>
    <row r="221">
      <c r="A221" s="123">
        <v>11.0</v>
      </c>
      <c r="B221" s="94" t="s">
        <v>8923</v>
      </c>
      <c r="C221" s="124">
        <v>2.42510079E8</v>
      </c>
      <c r="D221" s="94" t="s">
        <v>8924</v>
      </c>
      <c r="E221" s="125" t="s">
        <v>5766</v>
      </c>
      <c r="F221" s="128"/>
      <c r="G221" s="128"/>
      <c r="H221" s="128"/>
      <c r="I221" s="106"/>
      <c r="J221" s="106"/>
      <c r="K221" s="106"/>
      <c r="L221" s="106"/>
      <c r="M221" s="106"/>
      <c r="N221" s="106"/>
      <c r="O221" s="106"/>
      <c r="P221" s="106"/>
      <c r="Q221" s="106"/>
      <c r="R221" s="106"/>
      <c r="S221" s="106"/>
      <c r="T221" s="106"/>
      <c r="U221" s="106"/>
    </row>
    <row r="222">
      <c r="A222" s="123">
        <v>12.0</v>
      </c>
      <c r="B222" s="92" t="s">
        <v>7502</v>
      </c>
      <c r="C222" s="124">
        <v>2.42510097E8</v>
      </c>
      <c r="D222" s="94" t="s">
        <v>8925</v>
      </c>
      <c r="E222" s="125" t="s">
        <v>5766</v>
      </c>
      <c r="F222" s="128"/>
      <c r="G222" s="128"/>
      <c r="H222" s="128"/>
      <c r="I222" s="106"/>
      <c r="J222" s="106"/>
      <c r="K222" s="106"/>
      <c r="L222" s="106"/>
      <c r="M222" s="106"/>
      <c r="N222" s="106"/>
      <c r="O222" s="106"/>
      <c r="P222" s="106"/>
      <c r="Q222" s="106"/>
      <c r="R222" s="106"/>
      <c r="S222" s="106"/>
      <c r="T222" s="106"/>
      <c r="U222" s="106"/>
    </row>
    <row r="223">
      <c r="A223" s="123">
        <v>13.0</v>
      </c>
      <c r="B223" s="94" t="s">
        <v>6914</v>
      </c>
      <c r="C223" s="124">
        <v>2.42510104E8</v>
      </c>
      <c r="D223" s="94" t="s">
        <v>8926</v>
      </c>
      <c r="E223" s="125" t="s">
        <v>5766</v>
      </c>
      <c r="F223" s="128"/>
      <c r="G223" s="128"/>
      <c r="H223" s="128"/>
      <c r="I223" s="106"/>
      <c r="J223" s="106"/>
      <c r="K223" s="106"/>
      <c r="L223" s="106"/>
      <c r="M223" s="106"/>
      <c r="N223" s="106"/>
      <c r="O223" s="106"/>
      <c r="P223" s="106"/>
      <c r="Q223" s="106"/>
      <c r="R223" s="106"/>
      <c r="S223" s="106"/>
      <c r="T223" s="106"/>
      <c r="U223" s="106"/>
    </row>
    <row r="224">
      <c r="A224" s="123">
        <v>14.0</v>
      </c>
      <c r="B224" s="94" t="s">
        <v>7287</v>
      </c>
      <c r="C224" s="124">
        <v>2.42510119E8</v>
      </c>
      <c r="D224" s="94" t="s">
        <v>8927</v>
      </c>
      <c r="E224" s="125" t="s">
        <v>5766</v>
      </c>
      <c r="F224" s="128"/>
      <c r="G224" s="128"/>
      <c r="H224" s="128"/>
      <c r="I224" s="106"/>
      <c r="J224" s="106"/>
      <c r="K224" s="106"/>
      <c r="L224" s="106"/>
      <c r="M224" s="106"/>
      <c r="N224" s="106"/>
      <c r="O224" s="106"/>
      <c r="P224" s="106"/>
      <c r="Q224" s="106"/>
      <c r="R224" s="106"/>
      <c r="S224" s="106"/>
      <c r="T224" s="106"/>
      <c r="U224" s="106"/>
    </row>
    <row r="225">
      <c r="A225" s="123">
        <v>15.0</v>
      </c>
      <c r="B225" s="94" t="s">
        <v>6918</v>
      </c>
      <c r="C225" s="124">
        <v>2.42510129E8</v>
      </c>
      <c r="D225" s="94" t="s">
        <v>8928</v>
      </c>
      <c r="E225" s="125" t="s">
        <v>5766</v>
      </c>
      <c r="F225" s="128"/>
      <c r="G225" s="128"/>
      <c r="H225" s="128"/>
      <c r="I225" s="106"/>
      <c r="J225" s="106"/>
      <c r="K225" s="106"/>
      <c r="L225" s="106"/>
      <c r="M225" s="106"/>
      <c r="N225" s="106"/>
      <c r="O225" s="106"/>
      <c r="P225" s="106"/>
      <c r="Q225" s="106"/>
      <c r="R225" s="106"/>
      <c r="S225" s="106"/>
      <c r="T225" s="106"/>
      <c r="U225" s="106"/>
    </row>
    <row r="226">
      <c r="A226" s="123">
        <v>16.0</v>
      </c>
      <c r="B226" s="92" t="s">
        <v>7578</v>
      </c>
      <c r="C226" s="124">
        <v>2.42510139E8</v>
      </c>
      <c r="D226" s="94" t="s">
        <v>8929</v>
      </c>
      <c r="E226" s="125" t="s">
        <v>5766</v>
      </c>
      <c r="F226" s="128"/>
      <c r="G226" s="128"/>
      <c r="H226" s="128"/>
      <c r="I226" s="106"/>
      <c r="J226" s="106"/>
      <c r="K226" s="106"/>
      <c r="L226" s="106"/>
      <c r="M226" s="106"/>
      <c r="N226" s="106"/>
      <c r="O226" s="106"/>
      <c r="P226" s="106"/>
      <c r="Q226" s="106"/>
      <c r="R226" s="106"/>
      <c r="S226" s="106"/>
      <c r="T226" s="106"/>
      <c r="U226" s="106"/>
    </row>
    <row r="227">
      <c r="A227" s="123">
        <v>17.0</v>
      </c>
      <c r="B227" s="94" t="s">
        <v>7068</v>
      </c>
      <c r="C227" s="124">
        <v>2.42510142E8</v>
      </c>
      <c r="D227" s="94" t="s">
        <v>8930</v>
      </c>
      <c r="E227" s="125" t="s">
        <v>5766</v>
      </c>
      <c r="F227" s="128"/>
      <c r="G227" s="128"/>
      <c r="H227" s="128"/>
      <c r="I227" s="106"/>
      <c r="J227" s="106"/>
      <c r="K227" s="106"/>
      <c r="L227" s="106"/>
      <c r="M227" s="106"/>
      <c r="N227" s="106"/>
      <c r="O227" s="106"/>
      <c r="P227" s="106"/>
      <c r="Q227" s="106"/>
      <c r="R227" s="106"/>
      <c r="S227" s="106"/>
      <c r="T227" s="106"/>
      <c r="U227" s="106"/>
    </row>
    <row r="228">
      <c r="A228" s="123">
        <v>18.0</v>
      </c>
      <c r="B228" s="94" t="s">
        <v>7590</v>
      </c>
      <c r="C228" s="124">
        <v>2.42510168E8</v>
      </c>
      <c r="D228" s="94" t="s">
        <v>8931</v>
      </c>
      <c r="E228" s="125" t="s">
        <v>5766</v>
      </c>
      <c r="F228" s="128"/>
      <c r="G228" s="128"/>
      <c r="H228" s="128"/>
      <c r="I228" s="106"/>
      <c r="J228" s="106"/>
      <c r="K228" s="106"/>
      <c r="L228" s="106"/>
      <c r="M228" s="106"/>
      <c r="N228" s="106"/>
      <c r="O228" s="106"/>
      <c r="P228" s="106"/>
      <c r="Q228" s="106"/>
      <c r="R228" s="106"/>
      <c r="S228" s="106"/>
      <c r="T228" s="106"/>
      <c r="U228" s="106"/>
    </row>
    <row r="229">
      <c r="A229" s="142">
        <v>19.0</v>
      </c>
      <c r="B229" s="147" t="s">
        <v>7228</v>
      </c>
      <c r="C229" s="124">
        <v>2.42510205E8</v>
      </c>
      <c r="D229" s="94" t="s">
        <v>8932</v>
      </c>
      <c r="E229" s="125" t="s">
        <v>5766</v>
      </c>
      <c r="F229" s="128"/>
      <c r="G229" s="128"/>
      <c r="H229" s="128"/>
      <c r="I229" s="106"/>
      <c r="J229" s="106"/>
      <c r="K229" s="106"/>
      <c r="L229" s="106"/>
      <c r="M229" s="106"/>
      <c r="N229" s="106"/>
      <c r="O229" s="106"/>
      <c r="P229" s="106"/>
      <c r="Q229" s="106"/>
      <c r="R229" s="106"/>
      <c r="S229" s="106"/>
      <c r="T229" s="106"/>
      <c r="U229" s="106"/>
    </row>
    <row r="230">
      <c r="A230" s="123">
        <v>20.0</v>
      </c>
      <c r="B230" s="94" t="s">
        <v>7006</v>
      </c>
      <c r="C230" s="124">
        <v>2.42510231E8</v>
      </c>
      <c r="D230" s="94" t="s">
        <v>8933</v>
      </c>
      <c r="E230" s="125" t="s">
        <v>5766</v>
      </c>
      <c r="F230" s="128"/>
      <c r="G230" s="128"/>
      <c r="H230" s="128"/>
      <c r="I230" s="106"/>
      <c r="J230" s="106"/>
      <c r="K230" s="106"/>
      <c r="L230" s="106"/>
      <c r="M230" s="106"/>
      <c r="N230" s="106"/>
      <c r="O230" s="106"/>
      <c r="P230" s="106"/>
      <c r="Q230" s="106"/>
      <c r="R230" s="106"/>
      <c r="S230" s="106"/>
      <c r="T230" s="106"/>
      <c r="U230" s="106"/>
    </row>
    <row r="231">
      <c r="A231" s="123">
        <v>21.0</v>
      </c>
      <c r="B231" s="148">
        <v>3.082881499E9</v>
      </c>
      <c r="C231" s="124">
        <v>2.42510243E8</v>
      </c>
      <c r="D231" s="94" t="s">
        <v>8934</v>
      </c>
      <c r="E231" s="125" t="s">
        <v>5766</v>
      </c>
      <c r="F231" s="128"/>
      <c r="G231" s="128"/>
      <c r="H231" s="128"/>
      <c r="I231" s="106"/>
      <c r="J231" s="106"/>
      <c r="K231" s="106"/>
      <c r="L231" s="106"/>
      <c r="M231" s="106"/>
      <c r="N231" s="106"/>
      <c r="O231" s="106"/>
      <c r="P231" s="106"/>
      <c r="Q231" s="106"/>
      <c r="R231" s="106"/>
      <c r="S231" s="106"/>
      <c r="T231" s="106"/>
      <c r="U231" s="106"/>
    </row>
    <row r="232">
      <c r="A232" s="123">
        <v>22.0</v>
      </c>
      <c r="B232" s="94" t="s">
        <v>7681</v>
      </c>
      <c r="C232" s="124">
        <v>2.42510245E8</v>
      </c>
      <c r="D232" s="94" t="s">
        <v>8935</v>
      </c>
      <c r="E232" s="125" t="s">
        <v>5766</v>
      </c>
      <c r="F232" s="128"/>
      <c r="G232" s="128"/>
      <c r="H232" s="128"/>
      <c r="I232" s="106"/>
      <c r="J232" s="106"/>
      <c r="K232" s="106"/>
      <c r="L232" s="106"/>
      <c r="M232" s="106"/>
      <c r="N232" s="106"/>
      <c r="O232" s="106"/>
      <c r="P232" s="106"/>
      <c r="Q232" s="106"/>
      <c r="R232" s="106"/>
      <c r="S232" s="106"/>
      <c r="T232" s="106"/>
      <c r="U232" s="106"/>
    </row>
    <row r="233">
      <c r="A233" s="123">
        <v>23.0</v>
      </c>
      <c r="B233" s="94" t="s">
        <v>7683</v>
      </c>
      <c r="C233" s="124">
        <v>2.42510247E8</v>
      </c>
      <c r="D233" s="94" t="s">
        <v>8936</v>
      </c>
      <c r="E233" s="125" t="s">
        <v>5766</v>
      </c>
      <c r="F233" s="128"/>
      <c r="G233" s="128"/>
      <c r="H233" s="128"/>
      <c r="I233" s="106"/>
      <c r="J233" s="106"/>
      <c r="K233" s="106"/>
      <c r="L233" s="106"/>
      <c r="M233" s="106"/>
      <c r="N233" s="106"/>
      <c r="O233" s="106"/>
      <c r="P233" s="106"/>
      <c r="Q233" s="106"/>
      <c r="R233" s="106"/>
      <c r="S233" s="106"/>
      <c r="T233" s="106"/>
      <c r="U233" s="106"/>
    </row>
    <row r="234">
      <c r="A234" s="123">
        <v>24.0</v>
      </c>
      <c r="B234" s="94" t="s">
        <v>7606</v>
      </c>
      <c r="C234" s="124">
        <v>2.42510258E8</v>
      </c>
      <c r="D234" s="94" t="s">
        <v>8937</v>
      </c>
      <c r="E234" s="125" t="s">
        <v>5766</v>
      </c>
      <c r="F234" s="128"/>
      <c r="G234" s="128"/>
      <c r="H234" s="128"/>
      <c r="I234" s="106"/>
      <c r="J234" s="106"/>
      <c r="K234" s="106"/>
      <c r="L234" s="106"/>
      <c r="M234" s="106"/>
      <c r="N234" s="106"/>
      <c r="O234" s="106"/>
      <c r="P234" s="106"/>
      <c r="Q234" s="106"/>
      <c r="R234" s="106"/>
      <c r="S234" s="106"/>
      <c r="T234" s="106"/>
      <c r="U234" s="106"/>
    </row>
    <row r="235">
      <c r="A235" s="123">
        <v>25.0</v>
      </c>
      <c r="B235" s="94" t="s">
        <v>7094</v>
      </c>
      <c r="C235" s="124">
        <v>2.42510282E8</v>
      </c>
      <c r="D235" s="94" t="s">
        <v>8938</v>
      </c>
      <c r="E235" s="125" t="s">
        <v>5766</v>
      </c>
      <c r="F235" s="128"/>
      <c r="G235" s="128"/>
      <c r="H235" s="128"/>
      <c r="I235" s="106"/>
      <c r="J235" s="106"/>
      <c r="K235" s="106"/>
      <c r="L235" s="106"/>
      <c r="M235" s="106"/>
      <c r="N235" s="106"/>
      <c r="O235" s="106"/>
      <c r="P235" s="106"/>
      <c r="Q235" s="106"/>
      <c r="R235" s="106"/>
      <c r="S235" s="106"/>
      <c r="T235" s="106"/>
      <c r="U235" s="106"/>
    </row>
    <row r="236">
      <c r="A236" s="123">
        <v>26.0</v>
      </c>
      <c r="B236" s="94" t="s">
        <v>6871</v>
      </c>
      <c r="C236" s="124">
        <v>2.42510291E8</v>
      </c>
      <c r="D236" s="94" t="s">
        <v>8939</v>
      </c>
      <c r="E236" s="125" t="s">
        <v>5766</v>
      </c>
      <c r="F236" s="128"/>
      <c r="G236" s="128"/>
      <c r="H236" s="128"/>
      <c r="I236" s="106"/>
      <c r="J236" s="106"/>
      <c r="K236" s="106"/>
      <c r="L236" s="106"/>
      <c r="M236" s="106"/>
      <c r="N236" s="106"/>
      <c r="O236" s="106"/>
      <c r="P236" s="106"/>
      <c r="Q236" s="106"/>
      <c r="R236" s="106"/>
      <c r="S236" s="106"/>
      <c r="T236" s="106"/>
      <c r="U236" s="106"/>
    </row>
    <row r="237">
      <c r="A237" s="123">
        <v>27.0</v>
      </c>
      <c r="B237" s="94" t="s">
        <v>7018</v>
      </c>
      <c r="C237" s="124">
        <v>2.42510297E8</v>
      </c>
      <c r="D237" s="94" t="s">
        <v>8940</v>
      </c>
      <c r="E237" s="125" t="s">
        <v>5766</v>
      </c>
      <c r="F237" s="128"/>
      <c r="G237" s="128"/>
      <c r="H237" s="128"/>
      <c r="I237" s="106"/>
      <c r="J237" s="106"/>
      <c r="K237" s="106"/>
      <c r="L237" s="106"/>
      <c r="M237" s="106"/>
      <c r="N237" s="106"/>
      <c r="O237" s="106"/>
      <c r="P237" s="106"/>
      <c r="Q237" s="106"/>
      <c r="R237" s="106"/>
      <c r="S237" s="106"/>
      <c r="T237" s="106"/>
      <c r="U237" s="106"/>
    </row>
    <row r="238">
      <c r="A238" s="123">
        <v>28.0</v>
      </c>
      <c r="B238" s="94" t="s">
        <v>7465</v>
      </c>
      <c r="C238" s="124">
        <v>2.425103E8</v>
      </c>
      <c r="D238" s="94" t="s">
        <v>8941</v>
      </c>
      <c r="E238" s="125" t="s">
        <v>5766</v>
      </c>
      <c r="F238" s="128"/>
      <c r="G238" s="128"/>
      <c r="H238" s="128"/>
      <c r="I238" s="106"/>
      <c r="J238" s="106"/>
      <c r="K238" s="106"/>
      <c r="L238" s="106"/>
      <c r="M238" s="106"/>
      <c r="N238" s="106"/>
      <c r="O238" s="106"/>
      <c r="P238" s="106"/>
      <c r="Q238" s="106"/>
      <c r="R238" s="106"/>
      <c r="S238" s="106"/>
      <c r="T238" s="106"/>
      <c r="U238" s="106"/>
    </row>
    <row r="239">
      <c r="A239" s="123">
        <v>29.0</v>
      </c>
      <c r="B239" s="94" t="s">
        <v>7612</v>
      </c>
      <c r="C239" s="124">
        <v>2.42510314E8</v>
      </c>
      <c r="D239" s="94" t="s">
        <v>8942</v>
      </c>
      <c r="E239" s="125" t="s">
        <v>5766</v>
      </c>
      <c r="F239" s="128"/>
      <c r="G239" s="128"/>
      <c r="H239" s="128"/>
      <c r="I239" s="106"/>
      <c r="J239" s="106"/>
      <c r="K239" s="106"/>
      <c r="L239" s="106"/>
      <c r="M239" s="106"/>
      <c r="N239" s="106"/>
      <c r="O239" s="106"/>
      <c r="P239" s="106"/>
      <c r="Q239" s="106"/>
      <c r="R239" s="106"/>
      <c r="S239" s="106"/>
      <c r="T239" s="106"/>
      <c r="U239" s="106"/>
    </row>
    <row r="240">
      <c r="A240" s="123">
        <v>30.0</v>
      </c>
      <c r="B240" s="94" t="s">
        <v>7535</v>
      </c>
      <c r="C240" s="124">
        <v>2.4251033E8</v>
      </c>
      <c r="D240" s="94" t="s">
        <v>8943</v>
      </c>
      <c r="E240" s="125" t="s">
        <v>5766</v>
      </c>
      <c r="F240" s="128"/>
      <c r="G240" s="128"/>
      <c r="H240" s="128"/>
      <c r="I240" s="106"/>
      <c r="J240" s="106"/>
      <c r="K240" s="106"/>
      <c r="L240" s="106"/>
      <c r="M240" s="106"/>
      <c r="N240" s="106"/>
      <c r="O240" s="106"/>
      <c r="P240" s="106"/>
      <c r="Q240" s="106"/>
      <c r="R240" s="106"/>
      <c r="S240" s="106"/>
      <c r="T240" s="106"/>
      <c r="U240" s="106"/>
    </row>
    <row r="241">
      <c r="A241" s="123">
        <v>31.0</v>
      </c>
      <c r="B241" s="92" t="s">
        <v>8944</v>
      </c>
      <c r="C241" s="124">
        <v>2.42510342E8</v>
      </c>
      <c r="D241" s="94" t="s">
        <v>8945</v>
      </c>
      <c r="E241" s="125" t="s">
        <v>5766</v>
      </c>
      <c r="F241" s="128"/>
      <c r="G241" s="128"/>
      <c r="H241" s="128"/>
      <c r="I241" s="106"/>
      <c r="J241" s="106"/>
      <c r="K241" s="106"/>
      <c r="L241" s="106"/>
      <c r="M241" s="106"/>
      <c r="N241" s="106"/>
      <c r="O241" s="106"/>
      <c r="P241" s="106"/>
      <c r="Q241" s="106"/>
      <c r="R241" s="106"/>
      <c r="S241" s="106"/>
      <c r="T241" s="106"/>
      <c r="U241" s="106"/>
    </row>
    <row r="242">
      <c r="A242" s="123">
        <v>32.0</v>
      </c>
      <c r="B242" s="94" t="s">
        <v>7473</v>
      </c>
      <c r="C242" s="124">
        <v>2.42510347E8</v>
      </c>
      <c r="D242" s="94" t="s">
        <v>8946</v>
      </c>
      <c r="E242" s="125" t="s">
        <v>5766</v>
      </c>
      <c r="F242" s="128"/>
      <c r="G242" s="128"/>
      <c r="H242" s="128"/>
      <c r="I242" s="106"/>
      <c r="J242" s="106"/>
      <c r="K242" s="106"/>
      <c r="L242" s="106"/>
      <c r="M242" s="106"/>
      <c r="N242" s="106"/>
      <c r="O242" s="106"/>
      <c r="P242" s="106"/>
      <c r="Q242" s="106"/>
      <c r="R242" s="106"/>
      <c r="S242" s="106"/>
      <c r="T242" s="106"/>
      <c r="U242" s="106"/>
    </row>
    <row r="243">
      <c r="A243" s="123">
        <v>33.0</v>
      </c>
      <c r="B243" s="92" t="s">
        <v>6957</v>
      </c>
      <c r="C243" s="124">
        <v>2.42510355E8</v>
      </c>
      <c r="D243" s="94" t="s">
        <v>8947</v>
      </c>
      <c r="E243" s="125" t="s">
        <v>5766</v>
      </c>
      <c r="F243" s="128"/>
      <c r="G243" s="128"/>
      <c r="H243" s="128"/>
      <c r="I243" s="106"/>
      <c r="J243" s="106"/>
      <c r="K243" s="106"/>
      <c r="L243" s="106"/>
      <c r="M243" s="106"/>
      <c r="N243" s="106"/>
      <c r="O243" s="106"/>
      <c r="P243" s="106"/>
      <c r="Q243" s="106"/>
      <c r="R243" s="106"/>
      <c r="S243" s="106"/>
      <c r="T243" s="106"/>
      <c r="U243" s="106"/>
    </row>
    <row r="244">
      <c r="A244" s="123">
        <v>34.0</v>
      </c>
      <c r="B244" s="94" t="s">
        <v>7321</v>
      </c>
      <c r="C244" s="124">
        <v>2.42510365E8</v>
      </c>
      <c r="D244" s="94" t="s">
        <v>8948</v>
      </c>
      <c r="E244" s="125" t="s">
        <v>5766</v>
      </c>
      <c r="F244" s="128"/>
      <c r="G244" s="128"/>
      <c r="H244" s="128"/>
      <c r="I244" s="106"/>
      <c r="J244" s="106"/>
      <c r="K244" s="106"/>
      <c r="L244" s="106"/>
      <c r="M244" s="106"/>
      <c r="N244" s="106"/>
      <c r="O244" s="106"/>
      <c r="P244" s="106"/>
      <c r="Q244" s="106"/>
      <c r="R244" s="106"/>
      <c r="S244" s="106"/>
      <c r="T244" s="106"/>
      <c r="U244" s="106"/>
    </row>
    <row r="245">
      <c r="A245" s="123">
        <v>35.0</v>
      </c>
      <c r="B245" s="94" t="s">
        <v>7335</v>
      </c>
      <c r="C245" s="124">
        <v>2.42510427E8</v>
      </c>
      <c r="D245" s="94" t="s">
        <v>8949</v>
      </c>
      <c r="E245" s="125" t="s">
        <v>5766</v>
      </c>
      <c r="F245" s="128"/>
      <c r="G245" s="128"/>
      <c r="H245" s="128"/>
      <c r="I245" s="106"/>
      <c r="J245" s="106"/>
      <c r="K245" s="106"/>
      <c r="L245" s="106"/>
      <c r="M245" s="106"/>
      <c r="N245" s="106"/>
      <c r="O245" s="106"/>
      <c r="P245" s="106"/>
      <c r="Q245" s="106"/>
      <c r="R245" s="106"/>
      <c r="S245" s="106"/>
      <c r="T245" s="106"/>
      <c r="U245" s="106"/>
    </row>
    <row r="246">
      <c r="A246" s="123">
        <v>36.0</v>
      </c>
      <c r="B246" s="92" t="s">
        <v>6893</v>
      </c>
      <c r="C246" s="124">
        <v>2.4251043E8</v>
      </c>
      <c r="D246" s="94" t="s">
        <v>8950</v>
      </c>
      <c r="E246" s="125" t="s">
        <v>5766</v>
      </c>
      <c r="F246" s="128"/>
      <c r="G246" s="128"/>
      <c r="H246" s="128"/>
      <c r="I246" s="106"/>
      <c r="J246" s="106"/>
      <c r="K246" s="106"/>
      <c r="L246" s="106"/>
      <c r="M246" s="106"/>
      <c r="N246" s="106"/>
      <c r="O246" s="106"/>
      <c r="P246" s="106"/>
      <c r="Q246" s="106"/>
      <c r="R246" s="106"/>
      <c r="S246" s="106"/>
      <c r="T246" s="106"/>
      <c r="U246" s="106"/>
    </row>
    <row r="247">
      <c r="A247" s="123">
        <v>37.0</v>
      </c>
      <c r="B247" s="127"/>
      <c r="C247" s="127"/>
      <c r="D247" s="127"/>
      <c r="E247" s="127"/>
      <c r="F247" s="128"/>
      <c r="G247" s="128"/>
      <c r="H247" s="128"/>
      <c r="I247" s="106"/>
      <c r="J247" s="106"/>
      <c r="K247" s="106"/>
      <c r="L247" s="106"/>
      <c r="M247" s="106"/>
      <c r="N247" s="106"/>
      <c r="O247" s="106"/>
      <c r="P247" s="106"/>
      <c r="Q247" s="106"/>
      <c r="R247" s="106"/>
      <c r="S247" s="106"/>
      <c r="T247" s="106"/>
      <c r="U247" s="106"/>
    </row>
    <row r="248">
      <c r="A248" s="123">
        <v>38.0</v>
      </c>
      <c r="B248" s="127"/>
      <c r="C248" s="127"/>
      <c r="D248" s="127"/>
      <c r="E248" s="127"/>
      <c r="F248" s="128"/>
      <c r="G248" s="128"/>
      <c r="H248" s="128"/>
      <c r="I248" s="106"/>
      <c r="J248" s="106"/>
      <c r="K248" s="106"/>
      <c r="L248" s="106"/>
      <c r="M248" s="106"/>
      <c r="N248" s="106"/>
      <c r="O248" s="106"/>
      <c r="P248" s="106"/>
      <c r="Q248" s="106"/>
      <c r="R248" s="106"/>
      <c r="S248" s="106"/>
      <c r="T248" s="106"/>
      <c r="U248" s="106"/>
    </row>
    <row r="249">
      <c r="A249" s="129"/>
      <c r="B249" s="130" t="s">
        <v>8789</v>
      </c>
      <c r="C249" s="129"/>
      <c r="D249" s="131">
        <f>COUNTIF(E211:E248,"L")</f>
        <v>0</v>
      </c>
      <c r="E249" s="129"/>
      <c r="F249" s="129"/>
      <c r="G249" s="129"/>
      <c r="H249" s="129"/>
      <c r="I249" s="129"/>
      <c r="J249" s="129"/>
      <c r="K249" s="129"/>
      <c r="L249" s="129"/>
      <c r="M249" s="129"/>
      <c r="N249" s="129"/>
      <c r="O249" s="129"/>
      <c r="P249" s="129"/>
      <c r="Q249" s="129"/>
      <c r="R249" s="129"/>
      <c r="S249" s="129"/>
      <c r="T249" s="129"/>
    </row>
    <row r="250">
      <c r="A250" s="129"/>
      <c r="B250" s="130" t="s">
        <v>8790</v>
      </c>
      <c r="C250" s="129"/>
      <c r="D250" s="131">
        <f>COUNTIF(E211:E248,"P")</f>
        <v>0</v>
      </c>
      <c r="E250" s="129"/>
      <c r="F250" s="129"/>
      <c r="G250" s="129"/>
      <c r="H250" s="129"/>
      <c r="I250" s="129"/>
      <c r="J250" s="129"/>
      <c r="K250" s="144" t="s">
        <v>8791</v>
      </c>
      <c r="L250" s="141"/>
      <c r="M250" s="141"/>
      <c r="N250" s="141"/>
      <c r="O250" s="141"/>
      <c r="P250" s="141"/>
      <c r="Q250" s="141"/>
      <c r="R250" s="141"/>
      <c r="S250" s="141"/>
      <c r="T250" s="141"/>
    </row>
    <row r="251">
      <c r="A251" s="129"/>
      <c r="B251" s="130" t="s">
        <v>8792</v>
      </c>
      <c r="C251" s="129"/>
      <c r="D251" s="131">
        <f>SUM(D249:D250)</f>
        <v>0</v>
      </c>
      <c r="E251" s="129"/>
      <c r="F251" s="129"/>
      <c r="G251" s="129"/>
      <c r="H251" s="129"/>
      <c r="I251" s="129"/>
      <c r="J251" s="129"/>
      <c r="K251" s="132" t="s">
        <v>8793</v>
      </c>
      <c r="L251" s="133"/>
      <c r="M251" s="133"/>
      <c r="N251" s="133"/>
      <c r="O251" s="133"/>
      <c r="P251" s="133"/>
      <c r="Q251" s="133"/>
      <c r="R251" s="133"/>
      <c r="S251" s="133"/>
      <c r="T251" s="134"/>
    </row>
    <row r="252">
      <c r="A252" s="129"/>
      <c r="B252" s="129"/>
      <c r="C252" s="129"/>
      <c r="D252" s="129"/>
      <c r="E252" s="129"/>
      <c r="F252" s="129"/>
      <c r="G252" s="129"/>
      <c r="H252" s="129"/>
      <c r="I252" s="129"/>
      <c r="J252" s="129"/>
      <c r="K252" s="141"/>
      <c r="L252" s="141"/>
      <c r="M252" s="141"/>
      <c r="N252" s="141"/>
      <c r="O252" s="141"/>
      <c r="P252" s="141"/>
      <c r="Q252" s="141"/>
      <c r="R252" s="141"/>
      <c r="S252" s="141"/>
      <c r="T252" s="141"/>
    </row>
    <row r="253">
      <c r="A253" s="129"/>
      <c r="B253" s="129"/>
      <c r="C253" s="129"/>
      <c r="D253" s="129"/>
      <c r="E253" s="129"/>
      <c r="F253" s="129"/>
      <c r="G253" s="129"/>
      <c r="H253" s="129"/>
      <c r="I253" s="129"/>
      <c r="J253" s="129"/>
      <c r="K253" s="141"/>
      <c r="L253" s="141"/>
      <c r="M253" s="141"/>
      <c r="N253" s="141"/>
      <c r="O253" s="141"/>
      <c r="P253" s="141"/>
      <c r="Q253" s="141"/>
      <c r="R253" s="141"/>
      <c r="S253" s="141"/>
      <c r="T253" s="141"/>
    </row>
    <row r="254">
      <c r="A254" s="97" t="s">
        <v>8743</v>
      </c>
      <c r="B254" s="97"/>
      <c r="C254" s="97"/>
      <c r="D254" s="97"/>
      <c r="E254" s="97"/>
      <c r="F254" s="97"/>
      <c r="G254" s="97"/>
      <c r="H254" s="97"/>
      <c r="I254" s="97"/>
      <c r="J254" s="97"/>
      <c r="K254" s="97"/>
      <c r="L254" s="97"/>
      <c r="M254" s="97"/>
      <c r="N254" s="97"/>
      <c r="O254" s="97"/>
      <c r="P254" s="97"/>
      <c r="Q254" s="97"/>
      <c r="R254" s="97"/>
      <c r="S254" s="97"/>
      <c r="T254" s="97"/>
    </row>
    <row r="255">
      <c r="A255" s="135" t="s">
        <v>8744</v>
      </c>
      <c r="B255" s="136"/>
      <c r="C255" s="136"/>
      <c r="D255" s="136"/>
      <c r="E255" s="136"/>
      <c r="F255" s="136"/>
      <c r="G255" s="136"/>
      <c r="H255" s="136"/>
      <c r="I255" s="136"/>
      <c r="J255" s="136"/>
      <c r="K255" s="136"/>
      <c r="L255" s="136"/>
      <c r="M255" s="136"/>
      <c r="N255" s="136"/>
      <c r="O255" s="136"/>
      <c r="P255" s="136"/>
      <c r="Q255" s="136"/>
      <c r="R255" s="136"/>
      <c r="S255" s="136"/>
      <c r="T255" s="137"/>
    </row>
    <row r="256">
      <c r="A256" s="102" t="s">
        <v>8745</v>
      </c>
      <c r="B256" s="103"/>
      <c r="C256" s="103"/>
      <c r="D256" s="103"/>
      <c r="E256" s="103"/>
      <c r="F256" s="103"/>
      <c r="G256" s="103"/>
      <c r="H256" s="103"/>
      <c r="I256" s="103"/>
      <c r="J256" s="103"/>
      <c r="K256" s="103"/>
      <c r="L256" s="103"/>
      <c r="M256" s="103"/>
      <c r="N256" s="103"/>
      <c r="O256" s="103"/>
      <c r="P256" s="103"/>
      <c r="Q256" s="103"/>
      <c r="R256" s="103"/>
      <c r="S256" s="103"/>
      <c r="T256" s="104"/>
    </row>
    <row r="257">
      <c r="A257" s="105" t="s">
        <v>8951</v>
      </c>
      <c r="B257" s="106"/>
      <c r="C257" s="106"/>
      <c r="D257" s="106"/>
      <c r="E257" s="106"/>
      <c r="F257" s="106"/>
      <c r="G257" s="106"/>
      <c r="H257" s="106"/>
      <c r="I257" s="106"/>
      <c r="J257" s="106"/>
      <c r="K257" s="106"/>
      <c r="L257" s="106"/>
      <c r="M257" s="106"/>
      <c r="N257" s="106"/>
      <c r="O257" s="106"/>
      <c r="P257" s="106"/>
      <c r="Q257" s="106"/>
      <c r="R257" s="106"/>
      <c r="S257" s="106"/>
      <c r="T257" s="107"/>
    </row>
    <row r="258">
      <c r="A258" s="108" t="s">
        <v>8952</v>
      </c>
      <c r="B258" s="109"/>
      <c r="C258" s="109"/>
      <c r="D258" s="109"/>
      <c r="E258" s="109"/>
      <c r="F258" s="110"/>
      <c r="G258" s="110"/>
      <c r="H258" s="110"/>
      <c r="I258" s="110"/>
      <c r="J258" s="110"/>
      <c r="K258" s="110"/>
      <c r="L258" s="110"/>
      <c r="M258" s="110"/>
      <c r="N258" s="110"/>
      <c r="O258" s="110"/>
      <c r="P258" s="110"/>
      <c r="Q258" s="110"/>
      <c r="R258" s="110"/>
      <c r="S258" s="110"/>
      <c r="T258" s="110"/>
    </row>
    <row r="259">
      <c r="A259" s="111" t="s">
        <v>8748</v>
      </c>
      <c r="B259" s="111" t="s">
        <v>9</v>
      </c>
      <c r="C259" s="111" t="s">
        <v>5246</v>
      </c>
      <c r="D259" s="111" t="s">
        <v>8680</v>
      </c>
      <c r="E259" s="138" t="s">
        <v>13</v>
      </c>
      <c r="F259" s="113" t="s">
        <v>8749</v>
      </c>
      <c r="G259" s="113" t="s">
        <v>8750</v>
      </c>
      <c r="H259" s="114" t="s">
        <v>217</v>
      </c>
      <c r="I259" s="106"/>
      <c r="J259" s="106"/>
      <c r="K259" s="106"/>
      <c r="L259" s="106"/>
      <c r="M259" s="106"/>
      <c r="N259" s="106"/>
      <c r="O259" s="106"/>
      <c r="P259" s="106"/>
      <c r="Q259" s="106"/>
      <c r="R259" s="106"/>
      <c r="S259" s="106"/>
      <c r="T259" s="106"/>
      <c r="U259" s="106"/>
    </row>
    <row r="260">
      <c r="A260" s="115"/>
      <c r="B260" s="115"/>
      <c r="C260" s="115"/>
      <c r="D260" s="115"/>
      <c r="E260" s="139"/>
      <c r="F260" s="117"/>
      <c r="G260" s="117"/>
      <c r="H260" s="118"/>
      <c r="I260" s="106"/>
      <c r="J260" s="106"/>
      <c r="K260" s="106"/>
      <c r="L260" s="106"/>
      <c r="M260" s="106"/>
      <c r="N260" s="106"/>
      <c r="O260" s="106"/>
      <c r="P260" s="106"/>
      <c r="Q260" s="106"/>
      <c r="R260" s="106"/>
      <c r="S260" s="106"/>
      <c r="T260" s="106"/>
      <c r="U260" s="106"/>
    </row>
    <row r="261">
      <c r="A261" s="119"/>
      <c r="B261" s="119"/>
      <c r="C261" s="119"/>
      <c r="D261" s="119"/>
      <c r="E261" s="140"/>
      <c r="F261" s="121"/>
      <c r="G261" s="121"/>
      <c r="H261" s="122"/>
      <c r="I261" s="106"/>
      <c r="J261" s="106"/>
      <c r="K261" s="106"/>
      <c r="L261" s="106"/>
      <c r="M261" s="106"/>
      <c r="N261" s="106"/>
      <c r="O261" s="106"/>
      <c r="P261" s="106"/>
      <c r="Q261" s="106"/>
      <c r="R261" s="106"/>
      <c r="S261" s="106"/>
      <c r="T261" s="106"/>
      <c r="U261" s="106"/>
    </row>
    <row r="262">
      <c r="A262" s="123">
        <v>1.0</v>
      </c>
      <c r="B262" s="92" t="s">
        <v>7339</v>
      </c>
      <c r="C262" s="124">
        <v>2.42510003E8</v>
      </c>
      <c r="D262" s="94" t="s">
        <v>8953</v>
      </c>
      <c r="E262" s="125" t="s">
        <v>5903</v>
      </c>
      <c r="F262" s="126"/>
      <c r="G262" s="126"/>
      <c r="H262" s="126"/>
      <c r="I262" s="106"/>
      <c r="J262" s="106"/>
      <c r="K262" s="106"/>
      <c r="L262" s="106"/>
      <c r="M262" s="106"/>
      <c r="N262" s="106"/>
      <c r="O262" s="106"/>
      <c r="P262" s="106"/>
      <c r="Q262" s="106"/>
      <c r="R262" s="106"/>
      <c r="S262" s="106"/>
      <c r="T262" s="106"/>
      <c r="U262" s="106"/>
    </row>
    <row r="263">
      <c r="A263" s="123">
        <v>2.0</v>
      </c>
      <c r="B263" s="94" t="s">
        <v>7630</v>
      </c>
      <c r="C263" s="124">
        <v>2.42510009E8</v>
      </c>
      <c r="D263" s="94" t="s">
        <v>8954</v>
      </c>
      <c r="E263" s="125" t="s">
        <v>5903</v>
      </c>
      <c r="F263" s="128"/>
      <c r="G263" s="128"/>
      <c r="H263" s="128"/>
      <c r="I263" s="106"/>
      <c r="J263" s="106"/>
      <c r="K263" s="106"/>
      <c r="L263" s="106"/>
      <c r="M263" s="106"/>
      <c r="N263" s="106"/>
      <c r="O263" s="106"/>
      <c r="P263" s="106"/>
      <c r="Q263" s="106"/>
      <c r="R263" s="106"/>
      <c r="S263" s="106"/>
      <c r="T263" s="106"/>
      <c r="U263" s="106"/>
    </row>
    <row r="264">
      <c r="A264" s="123">
        <v>3.0</v>
      </c>
      <c r="B264" s="94" t="s">
        <v>7125</v>
      </c>
      <c r="C264" s="124">
        <v>2.42510019E8</v>
      </c>
      <c r="D264" s="94" t="s">
        <v>8955</v>
      </c>
      <c r="E264" s="125" t="s">
        <v>5903</v>
      </c>
      <c r="F264" s="128"/>
      <c r="G264" s="128"/>
      <c r="H264" s="128"/>
      <c r="I264" s="106"/>
      <c r="J264" s="106"/>
      <c r="K264" s="106"/>
      <c r="L264" s="106"/>
      <c r="M264" s="106"/>
      <c r="N264" s="106"/>
      <c r="O264" s="106"/>
      <c r="P264" s="106"/>
      <c r="Q264" s="106"/>
      <c r="R264" s="106"/>
      <c r="S264" s="106"/>
      <c r="T264" s="106"/>
      <c r="U264" s="106"/>
    </row>
    <row r="265">
      <c r="A265" s="123">
        <v>4.0</v>
      </c>
      <c r="B265" s="94" t="s">
        <v>6978</v>
      </c>
      <c r="C265" s="124">
        <v>2.42510041E8</v>
      </c>
      <c r="D265" s="94" t="s">
        <v>8956</v>
      </c>
      <c r="E265" s="125" t="s">
        <v>5903</v>
      </c>
      <c r="F265" s="128"/>
      <c r="G265" s="128"/>
      <c r="H265" s="128"/>
      <c r="I265" s="106"/>
      <c r="J265" s="106"/>
      <c r="K265" s="106"/>
      <c r="L265" s="106"/>
      <c r="M265" s="106"/>
      <c r="N265" s="106"/>
      <c r="O265" s="106"/>
      <c r="P265" s="106"/>
      <c r="Q265" s="106"/>
      <c r="R265" s="106"/>
      <c r="S265" s="106"/>
      <c r="T265" s="106"/>
      <c r="U265" s="106"/>
    </row>
    <row r="266">
      <c r="A266" s="123">
        <v>5.0</v>
      </c>
      <c r="B266" s="94" t="s">
        <v>7419</v>
      </c>
      <c r="C266" s="124">
        <v>2.42510047E8</v>
      </c>
      <c r="D266" s="94" t="s">
        <v>8957</v>
      </c>
      <c r="E266" s="125" t="s">
        <v>5903</v>
      </c>
      <c r="F266" s="128"/>
      <c r="G266" s="128"/>
      <c r="H266" s="128"/>
      <c r="I266" s="106"/>
      <c r="J266" s="106"/>
      <c r="K266" s="106"/>
      <c r="L266" s="106"/>
      <c r="M266" s="106"/>
      <c r="N266" s="106"/>
      <c r="O266" s="106"/>
      <c r="P266" s="106"/>
      <c r="Q266" s="106"/>
      <c r="R266" s="106"/>
      <c r="S266" s="106"/>
      <c r="T266" s="106"/>
      <c r="U266" s="106"/>
    </row>
    <row r="267">
      <c r="A267" s="123">
        <v>6.0</v>
      </c>
      <c r="B267" s="94" t="s">
        <v>7645</v>
      </c>
      <c r="C267" s="124">
        <v>2.42510093E8</v>
      </c>
      <c r="D267" s="94" t="s">
        <v>8958</v>
      </c>
      <c r="E267" s="125" t="s">
        <v>5903</v>
      </c>
      <c r="F267" s="128"/>
      <c r="G267" s="128"/>
      <c r="H267" s="128"/>
      <c r="I267" s="106"/>
      <c r="J267" s="106"/>
      <c r="K267" s="106"/>
      <c r="L267" s="106"/>
      <c r="M267" s="106"/>
      <c r="N267" s="106"/>
      <c r="O267" s="106"/>
      <c r="P267" s="106"/>
      <c r="Q267" s="106"/>
      <c r="R267" s="106"/>
      <c r="S267" s="106"/>
      <c r="T267" s="106"/>
      <c r="U267" s="106"/>
    </row>
    <row r="268">
      <c r="A268" s="123">
        <v>7.0</v>
      </c>
      <c r="B268" s="92" t="s">
        <v>7647</v>
      </c>
      <c r="C268" s="124">
        <v>2.42510106E8</v>
      </c>
      <c r="D268" s="94" t="s">
        <v>8959</v>
      </c>
      <c r="E268" s="125" t="s">
        <v>5903</v>
      </c>
      <c r="F268" s="128"/>
      <c r="G268" s="128"/>
      <c r="H268" s="128"/>
      <c r="I268" s="106"/>
      <c r="J268" s="106"/>
      <c r="K268" s="106"/>
      <c r="L268" s="106"/>
      <c r="M268" s="106"/>
      <c r="N268" s="106"/>
      <c r="O268" s="106"/>
      <c r="P268" s="106"/>
      <c r="Q268" s="106"/>
      <c r="R268" s="106"/>
      <c r="S268" s="106"/>
      <c r="T268" s="106"/>
      <c r="U268" s="106"/>
    </row>
    <row r="269">
      <c r="A269" s="123">
        <v>8.0</v>
      </c>
      <c r="B269" s="94" t="s">
        <v>8960</v>
      </c>
      <c r="C269" s="124">
        <v>2.4251011E8</v>
      </c>
      <c r="D269" s="94" t="s">
        <v>8961</v>
      </c>
      <c r="E269" s="125" t="s">
        <v>5903</v>
      </c>
      <c r="F269" s="128"/>
      <c r="G269" s="128"/>
      <c r="H269" s="128"/>
      <c r="I269" s="106"/>
      <c r="J269" s="106"/>
      <c r="K269" s="106"/>
      <c r="L269" s="106"/>
      <c r="M269" s="106"/>
      <c r="N269" s="106"/>
      <c r="O269" s="106"/>
      <c r="P269" s="106"/>
      <c r="Q269" s="106"/>
      <c r="R269" s="106"/>
      <c r="S269" s="106"/>
      <c r="T269" s="106"/>
      <c r="U269" s="106"/>
    </row>
    <row r="270">
      <c r="A270" s="123">
        <v>9.0</v>
      </c>
      <c r="B270" s="94" t="s">
        <v>7370</v>
      </c>
      <c r="C270" s="124">
        <v>2.42510115E8</v>
      </c>
      <c r="D270" s="94" t="s">
        <v>8962</v>
      </c>
      <c r="E270" s="125" t="s">
        <v>5903</v>
      </c>
      <c r="F270" s="128"/>
      <c r="G270" s="128"/>
      <c r="H270" s="128"/>
      <c r="I270" s="106"/>
      <c r="J270" s="106"/>
      <c r="K270" s="106"/>
      <c r="L270" s="106"/>
      <c r="M270" s="106"/>
      <c r="N270" s="106"/>
      <c r="O270" s="106"/>
      <c r="P270" s="106"/>
      <c r="Q270" s="106"/>
      <c r="R270" s="106"/>
      <c r="S270" s="106"/>
      <c r="T270" s="106"/>
      <c r="U270" s="106"/>
    </row>
    <row r="271">
      <c r="A271" s="123">
        <v>10.0</v>
      </c>
      <c r="B271" s="94" t="s">
        <v>6923</v>
      </c>
      <c r="C271" s="124">
        <v>2.42510144E8</v>
      </c>
      <c r="D271" s="94" t="s">
        <v>8963</v>
      </c>
      <c r="E271" s="125" t="s">
        <v>5903</v>
      </c>
      <c r="F271" s="128"/>
      <c r="G271" s="128"/>
      <c r="H271" s="128"/>
      <c r="I271" s="106"/>
      <c r="J271" s="106"/>
      <c r="K271" s="106"/>
      <c r="L271" s="106"/>
      <c r="M271" s="106"/>
      <c r="N271" s="106"/>
      <c r="O271" s="106"/>
      <c r="P271" s="106"/>
      <c r="Q271" s="106"/>
      <c r="R271" s="106"/>
      <c r="S271" s="106"/>
      <c r="T271" s="106"/>
      <c r="U271" s="106"/>
    </row>
    <row r="272">
      <c r="A272" s="123">
        <v>11.0</v>
      </c>
      <c r="B272" s="94" t="s">
        <v>7139</v>
      </c>
      <c r="C272" s="124">
        <v>2.42510161E8</v>
      </c>
      <c r="D272" s="94" t="s">
        <v>8964</v>
      </c>
      <c r="E272" s="125" t="s">
        <v>5903</v>
      </c>
      <c r="F272" s="128"/>
      <c r="G272" s="128"/>
      <c r="H272" s="128"/>
      <c r="I272" s="106"/>
      <c r="J272" s="106"/>
      <c r="K272" s="106"/>
      <c r="L272" s="106"/>
      <c r="M272" s="106"/>
      <c r="N272" s="106"/>
      <c r="O272" s="106"/>
      <c r="P272" s="106"/>
      <c r="Q272" s="106"/>
      <c r="R272" s="106"/>
      <c r="S272" s="106"/>
      <c r="T272" s="106"/>
      <c r="U272" s="106"/>
    </row>
    <row r="273">
      <c r="A273" s="123">
        <v>12.0</v>
      </c>
      <c r="B273" s="94" t="s">
        <v>6930</v>
      </c>
      <c r="C273" s="124">
        <v>2.42510162E8</v>
      </c>
      <c r="D273" s="94" t="s">
        <v>8965</v>
      </c>
      <c r="E273" s="125" t="s">
        <v>5903</v>
      </c>
      <c r="F273" s="128"/>
      <c r="G273" s="128"/>
      <c r="H273" s="128"/>
      <c r="I273" s="106"/>
      <c r="J273" s="106"/>
      <c r="K273" s="106"/>
      <c r="L273" s="106"/>
      <c r="M273" s="106"/>
      <c r="N273" s="106"/>
      <c r="O273" s="106"/>
      <c r="P273" s="106"/>
      <c r="Q273" s="106"/>
      <c r="R273" s="106"/>
      <c r="S273" s="106"/>
      <c r="T273" s="106"/>
      <c r="U273" s="106"/>
    </row>
    <row r="274">
      <c r="A274" s="123">
        <v>13.0</v>
      </c>
      <c r="B274" s="94" t="s">
        <v>7663</v>
      </c>
      <c r="C274" s="124">
        <v>2.42510166E8</v>
      </c>
      <c r="D274" s="94" t="s">
        <v>8966</v>
      </c>
      <c r="E274" s="125" t="s">
        <v>5903</v>
      </c>
      <c r="F274" s="128"/>
      <c r="G274" s="128"/>
      <c r="H274" s="128"/>
      <c r="I274" s="106"/>
      <c r="J274" s="106"/>
      <c r="K274" s="106"/>
      <c r="L274" s="106"/>
      <c r="M274" s="106"/>
      <c r="N274" s="106"/>
      <c r="O274" s="106"/>
      <c r="P274" s="106"/>
      <c r="Q274" s="106"/>
      <c r="R274" s="106"/>
      <c r="S274" s="106"/>
      <c r="T274" s="106"/>
      <c r="U274" s="106"/>
    </row>
    <row r="275">
      <c r="A275" s="123">
        <v>14.0</v>
      </c>
      <c r="B275" s="94" t="s">
        <v>7299</v>
      </c>
      <c r="C275" s="124">
        <v>2.42510202E8</v>
      </c>
      <c r="D275" s="94" t="s">
        <v>8967</v>
      </c>
      <c r="E275" s="125" t="s">
        <v>5903</v>
      </c>
      <c r="F275" s="128"/>
      <c r="G275" s="128"/>
      <c r="H275" s="128"/>
      <c r="I275" s="106"/>
      <c r="J275" s="106"/>
      <c r="K275" s="106"/>
      <c r="L275" s="106"/>
      <c r="M275" s="106"/>
      <c r="N275" s="106"/>
      <c r="O275" s="106"/>
      <c r="P275" s="106"/>
      <c r="Q275" s="106"/>
      <c r="R275" s="106"/>
      <c r="S275" s="106"/>
      <c r="T275" s="106"/>
      <c r="U275" s="106"/>
    </row>
    <row r="276">
      <c r="A276" s="123">
        <v>15.0</v>
      </c>
      <c r="B276" s="94" t="s">
        <v>7669</v>
      </c>
      <c r="C276" s="124">
        <v>2.42510203E8</v>
      </c>
      <c r="D276" s="94" t="s">
        <v>8968</v>
      </c>
      <c r="E276" s="125" t="s">
        <v>5903</v>
      </c>
      <c r="F276" s="128"/>
      <c r="G276" s="128"/>
      <c r="H276" s="128"/>
      <c r="I276" s="106"/>
      <c r="J276" s="106"/>
      <c r="K276" s="106"/>
      <c r="L276" s="106"/>
      <c r="M276" s="106"/>
      <c r="N276" s="106"/>
      <c r="O276" s="106"/>
      <c r="P276" s="106"/>
      <c r="Q276" s="106"/>
      <c r="R276" s="106"/>
      <c r="S276" s="106"/>
      <c r="T276" s="106"/>
      <c r="U276" s="106"/>
    </row>
    <row r="277">
      <c r="A277" s="123">
        <v>16.0</v>
      </c>
      <c r="B277" s="94" t="s">
        <v>7301</v>
      </c>
      <c r="C277" s="124">
        <v>2.42510204E8</v>
      </c>
      <c r="D277" s="94" t="s">
        <v>8969</v>
      </c>
      <c r="E277" s="125" t="s">
        <v>5903</v>
      </c>
      <c r="F277" s="128"/>
      <c r="G277" s="128"/>
      <c r="H277" s="128"/>
      <c r="I277" s="106"/>
      <c r="J277" s="106"/>
      <c r="K277" s="106"/>
      <c r="L277" s="106"/>
      <c r="M277" s="106"/>
      <c r="N277" s="106"/>
      <c r="O277" s="106"/>
      <c r="P277" s="106"/>
      <c r="Q277" s="106"/>
      <c r="R277" s="106"/>
      <c r="S277" s="106"/>
      <c r="T277" s="106"/>
      <c r="U277" s="106"/>
    </row>
    <row r="278">
      <c r="A278" s="123">
        <v>17.0</v>
      </c>
      <c r="B278" s="94" t="s">
        <v>7439</v>
      </c>
      <c r="C278" s="124">
        <v>2.42510211E8</v>
      </c>
      <c r="D278" s="94" t="s">
        <v>8970</v>
      </c>
      <c r="E278" s="125" t="s">
        <v>5903</v>
      </c>
      <c r="F278" s="128"/>
      <c r="G278" s="128"/>
      <c r="H278" s="128"/>
      <c r="I278" s="106"/>
      <c r="J278" s="106"/>
      <c r="K278" s="106"/>
      <c r="L278" s="106"/>
      <c r="M278" s="106"/>
      <c r="N278" s="106"/>
      <c r="O278" s="106"/>
      <c r="P278" s="106"/>
      <c r="Q278" s="106"/>
      <c r="R278" s="106"/>
      <c r="S278" s="106"/>
      <c r="T278" s="106"/>
      <c r="U278" s="106"/>
    </row>
    <row r="279">
      <c r="A279" s="123">
        <v>18.0</v>
      </c>
      <c r="B279" s="94" t="s">
        <v>7230</v>
      </c>
      <c r="C279" s="124">
        <v>2.42510214E8</v>
      </c>
      <c r="D279" s="94" t="s">
        <v>8971</v>
      </c>
      <c r="E279" s="125" t="s">
        <v>5903</v>
      </c>
      <c r="F279" s="128"/>
      <c r="G279" s="128"/>
      <c r="H279" s="128"/>
      <c r="I279" s="106"/>
      <c r="J279" s="106"/>
      <c r="K279" s="106"/>
      <c r="L279" s="106"/>
      <c r="M279" s="106"/>
      <c r="N279" s="106"/>
      <c r="O279" s="106"/>
      <c r="P279" s="106"/>
      <c r="Q279" s="106"/>
      <c r="R279" s="106"/>
      <c r="S279" s="106"/>
      <c r="T279" s="106"/>
      <c r="U279" s="106"/>
    </row>
    <row r="280">
      <c r="A280" s="123">
        <v>19.0</v>
      </c>
      <c r="B280" s="92" t="s">
        <v>7012</v>
      </c>
      <c r="C280" s="124">
        <v>2.42510244E8</v>
      </c>
      <c r="D280" s="94" t="s">
        <v>8972</v>
      </c>
      <c r="E280" s="125" t="s">
        <v>5903</v>
      </c>
      <c r="F280" s="128"/>
      <c r="G280" s="128"/>
      <c r="H280" s="128"/>
      <c r="I280" s="106"/>
      <c r="J280" s="106"/>
      <c r="K280" s="106"/>
      <c r="L280" s="106"/>
      <c r="M280" s="106"/>
      <c r="N280" s="106"/>
      <c r="O280" s="106"/>
      <c r="P280" s="106"/>
      <c r="Q280" s="106"/>
      <c r="R280" s="106"/>
      <c r="S280" s="106"/>
      <c r="T280" s="106"/>
      <c r="U280" s="106"/>
    </row>
    <row r="281">
      <c r="A281" s="123">
        <v>20.0</v>
      </c>
      <c r="B281" s="94" t="s">
        <v>7386</v>
      </c>
      <c r="C281" s="124">
        <v>2.42510253E8</v>
      </c>
      <c r="D281" s="94" t="s">
        <v>8973</v>
      </c>
      <c r="E281" s="125" t="s">
        <v>5903</v>
      </c>
      <c r="F281" s="128"/>
      <c r="G281" s="128"/>
      <c r="H281" s="128"/>
      <c r="I281" s="106"/>
      <c r="J281" s="106"/>
      <c r="K281" s="106"/>
      <c r="L281" s="106"/>
      <c r="M281" s="106"/>
      <c r="N281" s="106"/>
      <c r="O281" s="106"/>
      <c r="P281" s="106"/>
      <c r="Q281" s="106"/>
      <c r="R281" s="106"/>
      <c r="S281" s="106"/>
      <c r="T281" s="106"/>
      <c r="U281" s="106"/>
    </row>
    <row r="282">
      <c r="A282" s="123">
        <v>21.0</v>
      </c>
      <c r="B282" s="94" t="s">
        <v>7153</v>
      </c>
      <c r="C282" s="124">
        <v>2.42510271E8</v>
      </c>
      <c r="D282" s="94" t="s">
        <v>8974</v>
      </c>
      <c r="E282" s="125" t="s">
        <v>5903</v>
      </c>
      <c r="F282" s="128"/>
      <c r="G282" s="128"/>
      <c r="H282" s="128"/>
      <c r="I282" s="106"/>
      <c r="J282" s="106"/>
      <c r="K282" s="106"/>
      <c r="L282" s="106"/>
      <c r="M282" s="106"/>
      <c r="N282" s="106"/>
      <c r="O282" s="106"/>
      <c r="P282" s="106"/>
      <c r="Q282" s="106"/>
      <c r="R282" s="106"/>
      <c r="S282" s="106"/>
      <c r="T282" s="106"/>
      <c r="U282" s="106"/>
    </row>
    <row r="283">
      <c r="A283" s="123">
        <v>22.0</v>
      </c>
      <c r="B283" s="94" t="s">
        <v>6940</v>
      </c>
      <c r="C283" s="124">
        <v>2.42510283E8</v>
      </c>
      <c r="D283" s="94" t="s">
        <v>8975</v>
      </c>
      <c r="E283" s="125" t="s">
        <v>5903</v>
      </c>
      <c r="F283" s="128"/>
      <c r="G283" s="128"/>
      <c r="H283" s="128"/>
      <c r="I283" s="106"/>
      <c r="J283" s="106"/>
      <c r="K283" s="106"/>
      <c r="L283" s="106"/>
      <c r="M283" s="106"/>
      <c r="N283" s="106"/>
      <c r="O283" s="106"/>
      <c r="P283" s="106"/>
      <c r="Q283" s="106"/>
      <c r="R283" s="106"/>
      <c r="S283" s="106"/>
      <c r="T283" s="106"/>
      <c r="U283" s="106"/>
    </row>
    <row r="284">
      <c r="A284" s="123">
        <v>23.0</v>
      </c>
      <c r="B284" s="94" t="s">
        <v>7157</v>
      </c>
      <c r="C284" s="124">
        <v>2.42510284E8</v>
      </c>
      <c r="D284" s="94" t="s">
        <v>8976</v>
      </c>
      <c r="E284" s="125" t="s">
        <v>5903</v>
      </c>
      <c r="F284" s="128"/>
      <c r="G284" s="128"/>
      <c r="H284" s="128"/>
      <c r="I284" s="106"/>
      <c r="J284" s="106"/>
      <c r="K284" s="106"/>
      <c r="L284" s="106"/>
      <c r="M284" s="106"/>
      <c r="N284" s="106"/>
      <c r="O284" s="106"/>
      <c r="P284" s="106"/>
      <c r="Q284" s="106"/>
      <c r="R284" s="106"/>
      <c r="S284" s="106"/>
      <c r="T284" s="106"/>
      <c r="U284" s="106"/>
    </row>
    <row r="285">
      <c r="A285" s="123">
        <v>24.0</v>
      </c>
      <c r="B285" s="94" t="s">
        <v>7016</v>
      </c>
      <c r="C285" s="124">
        <v>2.42510286E8</v>
      </c>
      <c r="D285" s="94" t="s">
        <v>8977</v>
      </c>
      <c r="E285" s="125" t="s">
        <v>5903</v>
      </c>
      <c r="F285" s="128"/>
      <c r="G285" s="128"/>
      <c r="H285" s="128"/>
      <c r="I285" s="106"/>
      <c r="J285" s="106"/>
      <c r="K285" s="106"/>
      <c r="L285" s="106"/>
      <c r="M285" s="106"/>
      <c r="N285" s="106"/>
      <c r="O285" s="106"/>
      <c r="P285" s="106"/>
      <c r="Q285" s="106"/>
      <c r="R285" s="106"/>
      <c r="S285" s="106"/>
      <c r="T285" s="106"/>
      <c r="U285" s="106"/>
    </row>
    <row r="286">
      <c r="A286" s="123">
        <v>25.0</v>
      </c>
      <c r="B286" s="94" t="s">
        <v>7240</v>
      </c>
      <c r="C286" s="124">
        <v>2.42510295E8</v>
      </c>
      <c r="D286" s="94" t="s">
        <v>8978</v>
      </c>
      <c r="E286" s="125" t="s">
        <v>5903</v>
      </c>
      <c r="F286" s="128"/>
      <c r="G286" s="128"/>
      <c r="H286" s="128"/>
      <c r="I286" s="106"/>
      <c r="J286" s="106"/>
      <c r="K286" s="106"/>
      <c r="L286" s="106"/>
      <c r="M286" s="106"/>
      <c r="N286" s="106"/>
      <c r="O286" s="106"/>
      <c r="P286" s="106"/>
      <c r="Q286" s="106"/>
      <c r="R286" s="106"/>
      <c r="S286" s="106"/>
      <c r="T286" s="106"/>
      <c r="U286" s="106"/>
    </row>
    <row r="287">
      <c r="A287" s="123">
        <v>26.0</v>
      </c>
      <c r="B287" s="94" t="s">
        <v>6944</v>
      </c>
      <c r="C287" s="124">
        <v>2.42510306E8</v>
      </c>
      <c r="D287" s="94" t="s">
        <v>8979</v>
      </c>
      <c r="E287" s="125" t="s">
        <v>5903</v>
      </c>
      <c r="F287" s="128"/>
      <c r="G287" s="128"/>
      <c r="H287" s="128"/>
      <c r="I287" s="106"/>
      <c r="J287" s="106"/>
      <c r="K287" s="106"/>
      <c r="L287" s="106"/>
      <c r="M287" s="106"/>
      <c r="N287" s="106"/>
      <c r="O287" s="106"/>
      <c r="P287" s="106"/>
      <c r="Q287" s="106"/>
      <c r="R287" s="106"/>
      <c r="S287" s="106"/>
      <c r="T287" s="106"/>
      <c r="U287" s="106"/>
    </row>
    <row r="288">
      <c r="A288" s="123">
        <v>27.0</v>
      </c>
      <c r="B288" s="94" t="s">
        <v>7469</v>
      </c>
      <c r="C288" s="124">
        <v>2.42510333E8</v>
      </c>
      <c r="D288" s="94" t="s">
        <v>8980</v>
      </c>
      <c r="E288" s="125" t="s">
        <v>5903</v>
      </c>
      <c r="F288" s="128"/>
      <c r="G288" s="128"/>
      <c r="H288" s="128"/>
      <c r="I288" s="106"/>
      <c r="J288" s="106"/>
      <c r="K288" s="106"/>
      <c r="L288" s="106"/>
      <c r="M288" s="106"/>
      <c r="N288" s="106"/>
      <c r="O288" s="106"/>
      <c r="P288" s="106"/>
      <c r="Q288" s="106"/>
      <c r="R288" s="106"/>
      <c r="S288" s="106"/>
      <c r="T288" s="106"/>
      <c r="U288" s="106"/>
    </row>
    <row r="289">
      <c r="A289" s="123">
        <v>28.0</v>
      </c>
      <c r="B289" s="92" t="s">
        <v>7319</v>
      </c>
      <c r="C289" s="124">
        <v>2.42510335E8</v>
      </c>
      <c r="D289" s="94" t="s">
        <v>8981</v>
      </c>
      <c r="E289" s="125" t="s">
        <v>5903</v>
      </c>
      <c r="F289" s="128"/>
      <c r="G289" s="128"/>
      <c r="H289" s="128"/>
      <c r="I289" s="106"/>
      <c r="J289" s="106"/>
      <c r="K289" s="106"/>
      <c r="L289" s="106"/>
      <c r="M289" s="106"/>
      <c r="N289" s="106"/>
      <c r="O289" s="106"/>
      <c r="P289" s="106"/>
      <c r="Q289" s="106"/>
      <c r="R289" s="106"/>
      <c r="S289" s="106"/>
      <c r="T289" s="106"/>
      <c r="U289" s="106"/>
    </row>
    <row r="290">
      <c r="A290" s="123">
        <v>29.0</v>
      </c>
      <c r="B290" s="92" t="s">
        <v>7106</v>
      </c>
      <c r="C290" s="124">
        <v>2.42510346E8</v>
      </c>
      <c r="D290" s="94" t="s">
        <v>8982</v>
      </c>
      <c r="E290" s="125" t="s">
        <v>5903</v>
      </c>
      <c r="F290" s="128"/>
      <c r="G290" s="128"/>
      <c r="H290" s="128"/>
      <c r="I290" s="106"/>
      <c r="J290" s="106"/>
      <c r="K290" s="106"/>
      <c r="L290" s="106"/>
      <c r="M290" s="106"/>
      <c r="N290" s="106"/>
      <c r="O290" s="106"/>
      <c r="P290" s="106"/>
      <c r="Q290" s="106"/>
      <c r="R290" s="106"/>
      <c r="S290" s="106"/>
      <c r="T290" s="106"/>
      <c r="U290" s="106"/>
    </row>
    <row r="291">
      <c r="A291" s="123">
        <v>30.0</v>
      </c>
      <c r="B291" s="94" t="s">
        <v>7402</v>
      </c>
      <c r="C291" s="124">
        <v>2.42510353E8</v>
      </c>
      <c r="D291" s="94" t="s">
        <v>8983</v>
      </c>
      <c r="E291" s="125" t="s">
        <v>5903</v>
      </c>
      <c r="F291" s="128"/>
      <c r="G291" s="128"/>
      <c r="H291" s="128"/>
      <c r="I291" s="106"/>
      <c r="J291" s="106"/>
      <c r="K291" s="106"/>
      <c r="L291" s="106"/>
      <c r="M291" s="106"/>
      <c r="N291" s="106"/>
      <c r="O291" s="106"/>
      <c r="P291" s="106"/>
      <c r="Q291" s="106"/>
      <c r="R291" s="106"/>
      <c r="S291" s="106"/>
      <c r="T291" s="106"/>
      <c r="U291" s="106"/>
    </row>
    <row r="292">
      <c r="A292" s="123">
        <v>31.0</v>
      </c>
      <c r="B292" s="94" t="s">
        <v>7254</v>
      </c>
      <c r="C292" s="124">
        <v>2.42510368E8</v>
      </c>
      <c r="D292" s="94" t="s">
        <v>8984</v>
      </c>
      <c r="E292" s="125" t="s">
        <v>5903</v>
      </c>
      <c r="F292" s="128"/>
      <c r="G292" s="128"/>
      <c r="H292" s="128"/>
      <c r="I292" s="106"/>
      <c r="J292" s="106"/>
      <c r="K292" s="106"/>
      <c r="L292" s="106"/>
      <c r="M292" s="106"/>
      <c r="N292" s="106"/>
      <c r="O292" s="106"/>
      <c r="P292" s="106"/>
      <c r="Q292" s="106"/>
      <c r="R292" s="106"/>
      <c r="S292" s="106"/>
      <c r="T292" s="106"/>
      <c r="U292" s="106"/>
    </row>
    <row r="293">
      <c r="A293" s="123">
        <v>32.0</v>
      </c>
      <c r="B293" s="94" t="s">
        <v>7323</v>
      </c>
      <c r="C293" s="124">
        <v>2.4251037E8</v>
      </c>
      <c r="D293" s="94" t="s">
        <v>8985</v>
      </c>
      <c r="E293" s="125" t="s">
        <v>5903</v>
      </c>
      <c r="F293" s="128"/>
      <c r="G293" s="128"/>
      <c r="H293" s="128"/>
      <c r="I293" s="106"/>
      <c r="J293" s="106"/>
      <c r="K293" s="106"/>
      <c r="L293" s="106"/>
      <c r="M293" s="106"/>
      <c r="N293" s="106"/>
      <c r="O293" s="106"/>
      <c r="P293" s="106"/>
      <c r="Q293" s="106"/>
      <c r="R293" s="106"/>
      <c r="S293" s="106"/>
      <c r="T293" s="106"/>
      <c r="U293" s="106"/>
    </row>
    <row r="294">
      <c r="A294" s="123">
        <v>33.0</v>
      </c>
      <c r="B294" s="92" t="s">
        <v>7258</v>
      </c>
      <c r="C294" s="124">
        <v>2.42510383E8</v>
      </c>
      <c r="D294" s="94" t="s">
        <v>8986</v>
      </c>
      <c r="E294" s="125" t="s">
        <v>5903</v>
      </c>
      <c r="F294" s="128"/>
      <c r="G294" s="128"/>
      <c r="H294" s="128"/>
      <c r="I294" s="106"/>
      <c r="J294" s="106"/>
      <c r="K294" s="106"/>
      <c r="L294" s="106"/>
      <c r="M294" s="106"/>
      <c r="N294" s="106"/>
      <c r="O294" s="106"/>
      <c r="P294" s="106"/>
      <c r="Q294" s="106"/>
      <c r="R294" s="106"/>
      <c r="S294" s="106"/>
      <c r="T294" s="106"/>
      <c r="U294" s="106"/>
    </row>
    <row r="295">
      <c r="A295" s="123">
        <v>34.0</v>
      </c>
      <c r="B295" s="94" t="s">
        <v>7701</v>
      </c>
      <c r="C295" s="124">
        <v>2.425104E8</v>
      </c>
      <c r="D295" s="94" t="s">
        <v>8987</v>
      </c>
      <c r="E295" s="125" t="s">
        <v>5903</v>
      </c>
      <c r="F295" s="128"/>
      <c r="G295" s="128"/>
      <c r="H295" s="128"/>
      <c r="I295" s="106"/>
      <c r="J295" s="106"/>
      <c r="K295" s="106"/>
      <c r="L295" s="106"/>
      <c r="M295" s="106"/>
      <c r="N295" s="106"/>
      <c r="O295" s="106"/>
      <c r="P295" s="106"/>
      <c r="Q295" s="106"/>
      <c r="R295" s="106"/>
      <c r="S295" s="106"/>
      <c r="T295" s="106"/>
      <c r="U295" s="106"/>
    </row>
    <row r="296">
      <c r="A296" s="123">
        <v>35.0</v>
      </c>
      <c r="B296" s="94" t="s">
        <v>7333</v>
      </c>
      <c r="C296" s="124">
        <v>2.42510422E8</v>
      </c>
      <c r="D296" s="94" t="s">
        <v>8988</v>
      </c>
      <c r="E296" s="125" t="s">
        <v>5903</v>
      </c>
      <c r="F296" s="128"/>
      <c r="G296" s="128"/>
      <c r="H296" s="128"/>
      <c r="I296" s="106"/>
      <c r="J296" s="106"/>
      <c r="K296" s="106"/>
      <c r="L296" s="106"/>
      <c r="M296" s="106"/>
      <c r="N296" s="106"/>
      <c r="O296" s="106"/>
      <c r="P296" s="106"/>
      <c r="Q296" s="106"/>
      <c r="R296" s="106"/>
      <c r="S296" s="106"/>
      <c r="T296" s="106"/>
      <c r="U296" s="106"/>
    </row>
    <row r="297">
      <c r="A297" s="123">
        <v>36.0</v>
      </c>
      <c r="B297" s="94" t="s">
        <v>7337</v>
      </c>
      <c r="C297" s="124">
        <v>2.42510431E8</v>
      </c>
      <c r="D297" s="94" t="s">
        <v>8989</v>
      </c>
      <c r="E297" s="125" t="s">
        <v>5903</v>
      </c>
      <c r="F297" s="128"/>
      <c r="G297" s="128"/>
      <c r="H297" s="128"/>
      <c r="I297" s="106"/>
      <c r="J297" s="106"/>
      <c r="K297" s="106"/>
      <c r="L297" s="106"/>
      <c r="M297" s="106"/>
      <c r="N297" s="106"/>
      <c r="O297" s="106"/>
      <c r="P297" s="106"/>
      <c r="Q297" s="106"/>
      <c r="R297" s="106"/>
      <c r="S297" s="106"/>
      <c r="T297" s="106"/>
      <c r="U297" s="106"/>
    </row>
    <row r="298">
      <c r="A298" s="123">
        <v>37.0</v>
      </c>
      <c r="B298" s="127"/>
      <c r="C298" s="127"/>
      <c r="D298" s="127"/>
      <c r="E298" s="127"/>
      <c r="F298" s="128"/>
      <c r="G298" s="128"/>
      <c r="H298" s="128"/>
      <c r="I298" s="106"/>
      <c r="J298" s="106"/>
      <c r="K298" s="106"/>
      <c r="L298" s="106"/>
      <c r="M298" s="106"/>
      <c r="N298" s="106"/>
      <c r="O298" s="106"/>
      <c r="P298" s="106"/>
      <c r="Q298" s="106"/>
      <c r="R298" s="106"/>
      <c r="S298" s="106"/>
      <c r="T298" s="106"/>
      <c r="U298" s="106"/>
    </row>
    <row r="299">
      <c r="A299" s="123">
        <v>38.0</v>
      </c>
      <c r="B299" s="127"/>
      <c r="C299" s="127"/>
      <c r="D299" s="127"/>
      <c r="E299" s="127"/>
      <c r="F299" s="128"/>
      <c r="G299" s="128"/>
      <c r="H299" s="128"/>
      <c r="I299" s="106"/>
      <c r="J299" s="106"/>
      <c r="K299" s="106"/>
      <c r="L299" s="106"/>
      <c r="M299" s="106"/>
      <c r="N299" s="106"/>
      <c r="O299" s="106"/>
      <c r="P299" s="106"/>
      <c r="Q299" s="106"/>
      <c r="R299" s="106"/>
      <c r="S299" s="106"/>
      <c r="T299" s="106"/>
      <c r="U299" s="106"/>
    </row>
    <row r="300">
      <c r="A300" s="129"/>
      <c r="B300" s="130" t="s">
        <v>8789</v>
      </c>
      <c r="C300" s="129"/>
      <c r="D300" s="131">
        <f>COUNTIF(E262:E299,"L")</f>
        <v>0</v>
      </c>
      <c r="E300" s="129"/>
      <c r="F300" s="129"/>
      <c r="G300" s="129"/>
      <c r="H300" s="129"/>
      <c r="I300" s="129"/>
      <c r="J300" s="129"/>
      <c r="K300" s="129"/>
      <c r="L300" s="129"/>
      <c r="M300" s="129"/>
      <c r="N300" s="129"/>
      <c r="O300" s="129"/>
      <c r="P300" s="129"/>
      <c r="Q300" s="129"/>
      <c r="R300" s="129"/>
      <c r="S300" s="129"/>
      <c r="T300" s="129"/>
    </row>
    <row r="301">
      <c r="A301" s="129"/>
      <c r="B301" s="130" t="s">
        <v>8790</v>
      </c>
      <c r="C301" s="129"/>
      <c r="D301" s="131">
        <f>COUNTIF(E262:E299,"P")</f>
        <v>0</v>
      </c>
      <c r="E301" s="129"/>
      <c r="F301" s="129"/>
      <c r="G301" s="129"/>
      <c r="H301" s="129"/>
      <c r="I301" s="129"/>
      <c r="J301" s="129"/>
      <c r="K301" s="144" t="s">
        <v>8791</v>
      </c>
      <c r="L301" s="141"/>
      <c r="M301" s="141"/>
      <c r="N301" s="141"/>
      <c r="O301" s="141"/>
      <c r="P301" s="141"/>
      <c r="Q301" s="141"/>
      <c r="R301" s="141"/>
      <c r="S301" s="141"/>
      <c r="T301" s="141"/>
    </row>
    <row r="302">
      <c r="A302" s="129"/>
      <c r="B302" s="130" t="s">
        <v>8792</v>
      </c>
      <c r="C302" s="129"/>
      <c r="D302" s="131">
        <f>SUM(D300:D301)</f>
        <v>0</v>
      </c>
      <c r="E302" s="129"/>
      <c r="F302" s="129"/>
      <c r="G302" s="129"/>
      <c r="H302" s="129"/>
      <c r="I302" s="129"/>
      <c r="J302" s="129"/>
      <c r="K302" s="132" t="s">
        <v>8793</v>
      </c>
      <c r="L302" s="133"/>
      <c r="M302" s="133"/>
      <c r="N302" s="133"/>
      <c r="O302" s="133"/>
      <c r="P302" s="133"/>
      <c r="Q302" s="133"/>
      <c r="R302" s="133"/>
      <c r="S302" s="133"/>
      <c r="T302" s="134"/>
    </row>
    <row r="303">
      <c r="A303" s="129"/>
      <c r="B303" s="129"/>
      <c r="C303" s="129"/>
      <c r="D303" s="129"/>
      <c r="E303" s="129"/>
      <c r="F303" s="129"/>
      <c r="G303" s="129"/>
      <c r="H303" s="129"/>
      <c r="I303" s="129"/>
      <c r="J303" s="129"/>
      <c r="K303" s="141"/>
      <c r="L303" s="141"/>
      <c r="M303" s="141"/>
      <c r="N303" s="141"/>
      <c r="O303" s="141"/>
      <c r="P303" s="141"/>
      <c r="Q303" s="141"/>
      <c r="R303" s="141"/>
      <c r="S303" s="141"/>
      <c r="T303" s="141"/>
    </row>
    <row r="304">
      <c r="A304" s="129"/>
      <c r="B304" s="129"/>
      <c r="C304" s="129"/>
      <c r="D304" s="129"/>
      <c r="E304" s="129"/>
      <c r="F304" s="129"/>
      <c r="G304" s="129"/>
      <c r="H304" s="129"/>
      <c r="I304" s="129"/>
      <c r="J304" s="129"/>
      <c r="K304" s="141"/>
      <c r="L304" s="141"/>
      <c r="M304" s="141"/>
      <c r="N304" s="141"/>
      <c r="O304" s="141"/>
      <c r="P304" s="141"/>
      <c r="Q304" s="141"/>
      <c r="R304" s="141"/>
      <c r="S304" s="141"/>
      <c r="T304" s="141"/>
    </row>
    <row r="305">
      <c r="A305" s="97" t="s">
        <v>8743</v>
      </c>
      <c r="B305" s="97"/>
      <c r="C305" s="97"/>
      <c r="D305" s="97"/>
      <c r="E305" s="97"/>
      <c r="F305" s="97"/>
      <c r="G305" s="97"/>
      <c r="H305" s="97"/>
      <c r="I305" s="97"/>
      <c r="J305" s="97"/>
      <c r="K305" s="97"/>
      <c r="L305" s="97"/>
      <c r="M305" s="97"/>
      <c r="N305" s="97"/>
      <c r="O305" s="97"/>
      <c r="P305" s="97"/>
      <c r="Q305" s="97"/>
      <c r="R305" s="97"/>
      <c r="S305" s="97"/>
      <c r="T305" s="97"/>
    </row>
    <row r="306">
      <c r="A306" s="135" t="s">
        <v>8744</v>
      </c>
      <c r="B306" s="136"/>
      <c r="C306" s="136"/>
      <c r="D306" s="136"/>
      <c r="E306" s="136"/>
      <c r="F306" s="136"/>
      <c r="G306" s="136"/>
      <c r="H306" s="136"/>
      <c r="I306" s="136"/>
      <c r="J306" s="136"/>
      <c r="K306" s="136"/>
      <c r="L306" s="136"/>
      <c r="M306" s="136"/>
      <c r="N306" s="136"/>
      <c r="O306" s="136"/>
      <c r="P306" s="136"/>
      <c r="Q306" s="136"/>
      <c r="R306" s="136"/>
      <c r="S306" s="136"/>
      <c r="T306" s="137"/>
    </row>
    <row r="307">
      <c r="A307" s="102" t="s">
        <v>8745</v>
      </c>
      <c r="B307" s="103"/>
      <c r="C307" s="103"/>
      <c r="D307" s="103"/>
      <c r="E307" s="103"/>
      <c r="F307" s="103"/>
      <c r="G307" s="103"/>
      <c r="H307" s="103"/>
      <c r="I307" s="103"/>
      <c r="J307" s="103"/>
      <c r="K307" s="103"/>
      <c r="L307" s="103"/>
      <c r="M307" s="103"/>
      <c r="N307" s="103"/>
      <c r="O307" s="103"/>
      <c r="P307" s="103"/>
      <c r="Q307" s="103"/>
      <c r="R307" s="103"/>
      <c r="S307" s="103"/>
      <c r="T307" s="104"/>
    </row>
    <row r="308">
      <c r="A308" s="105" t="s">
        <v>8990</v>
      </c>
      <c r="B308" s="106"/>
      <c r="C308" s="106"/>
      <c r="D308" s="106"/>
      <c r="E308" s="106"/>
      <c r="F308" s="106"/>
      <c r="G308" s="106"/>
      <c r="H308" s="106"/>
      <c r="I308" s="106"/>
      <c r="J308" s="106"/>
      <c r="K308" s="106"/>
      <c r="L308" s="106"/>
      <c r="M308" s="106"/>
      <c r="N308" s="106"/>
      <c r="O308" s="106"/>
      <c r="P308" s="106"/>
      <c r="Q308" s="106"/>
      <c r="R308" s="106"/>
      <c r="S308" s="106"/>
      <c r="T308" s="107"/>
    </row>
    <row r="309">
      <c r="A309" s="108" t="s">
        <v>8991</v>
      </c>
      <c r="B309" s="109"/>
      <c r="C309" s="109"/>
      <c r="D309" s="109"/>
      <c r="E309" s="109"/>
      <c r="F309" s="110"/>
      <c r="G309" s="110"/>
      <c r="H309" s="110"/>
      <c r="I309" s="110"/>
      <c r="J309" s="110"/>
      <c r="K309" s="110"/>
      <c r="L309" s="110"/>
      <c r="M309" s="110"/>
      <c r="N309" s="110"/>
      <c r="O309" s="110"/>
      <c r="P309" s="110"/>
      <c r="Q309" s="110"/>
      <c r="R309" s="110"/>
      <c r="S309" s="110"/>
      <c r="T309" s="110"/>
    </row>
    <row r="310">
      <c r="A310" s="111" t="s">
        <v>8748</v>
      </c>
      <c r="B310" s="111" t="s">
        <v>9</v>
      </c>
      <c r="C310" s="111" t="s">
        <v>5246</v>
      </c>
      <c r="D310" s="111" t="s">
        <v>8680</v>
      </c>
      <c r="E310" s="138" t="s">
        <v>13</v>
      </c>
      <c r="F310" s="113" t="s">
        <v>8749</v>
      </c>
      <c r="G310" s="113" t="s">
        <v>8750</v>
      </c>
      <c r="H310" s="114" t="s">
        <v>217</v>
      </c>
      <c r="I310" s="106"/>
      <c r="J310" s="106"/>
      <c r="K310" s="106"/>
      <c r="L310" s="106"/>
      <c r="M310" s="106"/>
      <c r="N310" s="106"/>
      <c r="O310" s="106"/>
      <c r="P310" s="106"/>
      <c r="Q310" s="106"/>
      <c r="R310" s="106"/>
      <c r="S310" s="106"/>
      <c r="T310" s="106"/>
      <c r="U310" s="106"/>
    </row>
    <row r="311">
      <c r="A311" s="115"/>
      <c r="B311" s="115"/>
      <c r="C311" s="115"/>
      <c r="D311" s="115"/>
      <c r="E311" s="139"/>
      <c r="F311" s="117"/>
      <c r="G311" s="117"/>
      <c r="H311" s="118"/>
      <c r="I311" s="106"/>
      <c r="J311" s="106"/>
      <c r="K311" s="106"/>
      <c r="L311" s="106"/>
      <c r="M311" s="106"/>
      <c r="N311" s="106"/>
      <c r="O311" s="106"/>
      <c r="P311" s="106"/>
      <c r="Q311" s="106"/>
      <c r="R311" s="106"/>
      <c r="S311" s="106"/>
      <c r="T311" s="106"/>
      <c r="U311" s="106"/>
    </row>
    <row r="312">
      <c r="A312" s="119"/>
      <c r="B312" s="119"/>
      <c r="C312" s="119"/>
      <c r="D312" s="119"/>
      <c r="E312" s="140"/>
      <c r="F312" s="121"/>
      <c r="G312" s="121"/>
      <c r="H312" s="122"/>
      <c r="I312" s="106"/>
      <c r="J312" s="106"/>
      <c r="K312" s="106"/>
      <c r="L312" s="106"/>
      <c r="M312" s="106"/>
      <c r="N312" s="106"/>
      <c r="O312" s="106"/>
      <c r="P312" s="106"/>
      <c r="Q312" s="106"/>
      <c r="R312" s="106"/>
      <c r="S312" s="106"/>
      <c r="T312" s="106"/>
      <c r="U312" s="106"/>
    </row>
    <row r="313">
      <c r="A313" s="123">
        <v>1.0</v>
      </c>
      <c r="B313" s="94" t="s">
        <v>6823</v>
      </c>
      <c r="C313" s="124">
        <v>2.42510011E8</v>
      </c>
      <c r="D313" s="94" t="s">
        <v>8992</v>
      </c>
      <c r="E313" s="125" t="s">
        <v>6000</v>
      </c>
      <c r="F313" s="126"/>
      <c r="G313" s="126"/>
      <c r="H313" s="126"/>
      <c r="I313" s="106"/>
      <c r="J313" s="106"/>
      <c r="K313" s="106"/>
      <c r="L313" s="106"/>
      <c r="M313" s="106"/>
      <c r="N313" s="106"/>
      <c r="O313" s="106"/>
      <c r="P313" s="106"/>
      <c r="Q313" s="106"/>
      <c r="R313" s="106"/>
      <c r="S313" s="106"/>
      <c r="T313" s="106"/>
      <c r="U313" s="106"/>
    </row>
    <row r="314">
      <c r="A314" s="123">
        <v>2.0</v>
      </c>
      <c r="B314" s="94" t="s">
        <v>7342</v>
      </c>
      <c r="C314" s="124">
        <v>2.42510012E8</v>
      </c>
      <c r="D314" s="94" t="s">
        <v>8993</v>
      </c>
      <c r="E314" s="125" t="s">
        <v>6000</v>
      </c>
      <c r="F314" s="128"/>
      <c r="G314" s="128"/>
      <c r="H314" s="128"/>
      <c r="I314" s="106"/>
      <c r="J314" s="106"/>
      <c r="K314" s="106"/>
      <c r="L314" s="106"/>
      <c r="M314" s="106"/>
      <c r="N314" s="106"/>
      <c r="O314" s="106"/>
      <c r="P314" s="106"/>
      <c r="Q314" s="106"/>
      <c r="R314" s="106"/>
      <c r="S314" s="106"/>
      <c r="T314" s="106"/>
      <c r="U314" s="106"/>
    </row>
    <row r="315">
      <c r="A315" s="123">
        <v>3.0</v>
      </c>
      <c r="B315" s="94" t="s">
        <v>7557</v>
      </c>
      <c r="C315" s="124">
        <v>2.42510021E8</v>
      </c>
      <c r="D315" s="94" t="s">
        <v>8994</v>
      </c>
      <c r="E315" s="125" t="s">
        <v>6000</v>
      </c>
      <c r="F315" s="128"/>
      <c r="G315" s="128"/>
      <c r="H315" s="128"/>
      <c r="I315" s="106"/>
      <c r="J315" s="106"/>
      <c r="K315" s="106"/>
      <c r="L315" s="106"/>
      <c r="M315" s="106"/>
      <c r="N315" s="106"/>
      <c r="O315" s="106"/>
      <c r="P315" s="106"/>
      <c r="Q315" s="106"/>
      <c r="R315" s="106"/>
      <c r="S315" s="106"/>
      <c r="T315" s="106"/>
      <c r="U315" s="106"/>
    </row>
    <row r="316">
      <c r="A316" s="123">
        <v>4.0</v>
      </c>
      <c r="B316" s="94" t="s">
        <v>6904</v>
      </c>
      <c r="C316" s="124">
        <v>2.42510028E8</v>
      </c>
      <c r="D316" s="94" t="s">
        <v>8995</v>
      </c>
      <c r="E316" s="125" t="s">
        <v>6000</v>
      </c>
      <c r="F316" s="128"/>
      <c r="G316" s="128"/>
      <c r="H316" s="128"/>
      <c r="I316" s="106"/>
      <c r="J316" s="106"/>
      <c r="K316" s="106"/>
      <c r="L316" s="106"/>
      <c r="M316" s="106"/>
      <c r="N316" s="106"/>
      <c r="O316" s="106"/>
      <c r="P316" s="106"/>
      <c r="Q316" s="106"/>
      <c r="R316" s="106"/>
      <c r="S316" s="106"/>
      <c r="T316" s="106"/>
      <c r="U316" s="106"/>
    </row>
    <row r="317">
      <c r="A317" s="123">
        <v>5.0</v>
      </c>
      <c r="B317" s="94" t="s">
        <v>6906</v>
      </c>
      <c r="C317" s="124">
        <v>2.42510037E8</v>
      </c>
      <c r="D317" s="94" t="s">
        <v>8996</v>
      </c>
      <c r="E317" s="125" t="s">
        <v>6000</v>
      </c>
      <c r="F317" s="128"/>
      <c r="G317" s="128"/>
      <c r="H317" s="128"/>
      <c r="I317" s="106"/>
      <c r="J317" s="106"/>
      <c r="K317" s="106"/>
      <c r="L317" s="106"/>
      <c r="M317" s="106"/>
      <c r="N317" s="106"/>
      <c r="O317" s="106"/>
      <c r="P317" s="106"/>
      <c r="Q317" s="106"/>
      <c r="R317" s="106"/>
      <c r="S317" s="106"/>
      <c r="T317" s="106"/>
      <c r="U317" s="106"/>
    </row>
    <row r="318">
      <c r="A318" s="123">
        <v>6.0</v>
      </c>
      <c r="B318" s="92" t="s">
        <v>7348</v>
      </c>
      <c r="C318" s="124">
        <v>2.42510045E8</v>
      </c>
      <c r="D318" s="94" t="s">
        <v>8997</v>
      </c>
      <c r="E318" s="125" t="s">
        <v>6000</v>
      </c>
      <c r="F318" s="128"/>
      <c r="G318" s="128"/>
      <c r="H318" s="128"/>
      <c r="I318" s="106"/>
      <c r="J318" s="106"/>
      <c r="K318" s="106"/>
      <c r="L318" s="106"/>
      <c r="M318" s="106"/>
      <c r="N318" s="106"/>
      <c r="O318" s="106"/>
      <c r="P318" s="106"/>
      <c r="Q318" s="106"/>
      <c r="R318" s="106"/>
      <c r="S318" s="106"/>
      <c r="T318" s="106"/>
      <c r="U318" s="106"/>
    </row>
    <row r="319">
      <c r="A319" s="123">
        <v>7.0</v>
      </c>
      <c r="B319" s="94" t="s">
        <v>7279</v>
      </c>
      <c r="C319" s="124">
        <v>2.42510065E8</v>
      </c>
      <c r="D319" s="94" t="s">
        <v>8998</v>
      </c>
      <c r="E319" s="125" t="s">
        <v>6000</v>
      </c>
      <c r="F319" s="128"/>
      <c r="G319" s="128"/>
      <c r="H319" s="128"/>
      <c r="I319" s="106"/>
      <c r="J319" s="106"/>
      <c r="K319" s="106"/>
      <c r="L319" s="106"/>
      <c r="M319" s="106"/>
      <c r="N319" s="106"/>
      <c r="O319" s="106"/>
      <c r="P319" s="106"/>
      <c r="Q319" s="106"/>
      <c r="R319" s="106"/>
      <c r="S319" s="106"/>
      <c r="T319" s="106"/>
      <c r="U319" s="106"/>
    </row>
    <row r="320">
      <c r="A320" s="123">
        <v>8.0</v>
      </c>
      <c r="B320" s="94" t="s">
        <v>6980</v>
      </c>
      <c r="C320" s="124">
        <v>2.4251007E8</v>
      </c>
      <c r="D320" s="94" t="s">
        <v>8999</v>
      </c>
      <c r="E320" s="125" t="s">
        <v>6000</v>
      </c>
      <c r="F320" s="128"/>
      <c r="G320" s="128"/>
      <c r="H320" s="128"/>
      <c r="I320" s="106"/>
      <c r="J320" s="106"/>
      <c r="K320" s="106"/>
      <c r="L320" s="106"/>
      <c r="M320" s="106"/>
      <c r="N320" s="106"/>
      <c r="O320" s="106"/>
      <c r="P320" s="106"/>
      <c r="Q320" s="106"/>
      <c r="R320" s="106"/>
      <c r="S320" s="106"/>
      <c r="T320" s="106"/>
      <c r="U320" s="106"/>
    </row>
    <row r="321">
      <c r="A321" s="123">
        <v>9.0</v>
      </c>
      <c r="B321" s="94" t="s">
        <v>7135</v>
      </c>
      <c r="C321" s="124">
        <v>2.42510071E8</v>
      </c>
      <c r="D321" s="94" t="s">
        <v>9000</v>
      </c>
      <c r="E321" s="125" t="s">
        <v>6000</v>
      </c>
      <c r="F321" s="128"/>
      <c r="G321" s="128"/>
      <c r="H321" s="128"/>
      <c r="I321" s="106"/>
      <c r="J321" s="106"/>
      <c r="K321" s="106"/>
      <c r="L321" s="106"/>
      <c r="M321" s="106"/>
      <c r="N321" s="106"/>
      <c r="O321" s="106"/>
      <c r="P321" s="106"/>
      <c r="Q321" s="106"/>
      <c r="R321" s="106"/>
      <c r="S321" s="106"/>
      <c r="T321" s="106"/>
      <c r="U321" s="106"/>
    </row>
    <row r="322">
      <c r="A322" s="123">
        <v>10.0</v>
      </c>
      <c r="B322" s="94" t="s">
        <v>7210</v>
      </c>
      <c r="C322" s="124">
        <v>2.42510099E8</v>
      </c>
      <c r="D322" s="94" t="s">
        <v>9001</v>
      </c>
      <c r="E322" s="125" t="s">
        <v>6000</v>
      </c>
      <c r="F322" s="128"/>
      <c r="G322" s="128"/>
      <c r="H322" s="128"/>
      <c r="I322" s="106"/>
      <c r="J322" s="106"/>
      <c r="K322" s="106"/>
      <c r="L322" s="106"/>
      <c r="M322" s="106"/>
      <c r="N322" s="106"/>
      <c r="O322" s="106"/>
      <c r="P322" s="106"/>
      <c r="Q322" s="106"/>
      <c r="R322" s="106"/>
      <c r="S322" s="106"/>
      <c r="T322" s="106"/>
      <c r="U322" s="106"/>
    </row>
    <row r="323">
      <c r="A323" s="123">
        <v>11.0</v>
      </c>
      <c r="B323" s="92" t="s">
        <v>6841</v>
      </c>
      <c r="C323" s="124">
        <v>2.42510116E8</v>
      </c>
      <c r="D323" s="94" t="s">
        <v>9002</v>
      </c>
      <c r="E323" s="125" t="s">
        <v>6000</v>
      </c>
      <c r="F323" s="128"/>
      <c r="G323" s="128"/>
      <c r="H323" s="128"/>
      <c r="I323" s="106"/>
      <c r="J323" s="106"/>
      <c r="K323" s="106"/>
      <c r="L323" s="106"/>
      <c r="M323" s="106"/>
      <c r="N323" s="106"/>
      <c r="O323" s="106"/>
      <c r="P323" s="106"/>
      <c r="Q323" s="106"/>
      <c r="R323" s="106"/>
      <c r="S323" s="106"/>
      <c r="T323" s="106"/>
      <c r="U323" s="106"/>
    </row>
    <row r="324">
      <c r="A324" s="123">
        <v>12.0</v>
      </c>
      <c r="B324" s="94" t="s">
        <v>6984</v>
      </c>
      <c r="C324" s="124">
        <v>2.4251012E8</v>
      </c>
      <c r="D324" s="94" t="s">
        <v>9003</v>
      </c>
      <c r="E324" s="125" t="s">
        <v>6000</v>
      </c>
      <c r="F324" s="128"/>
      <c r="G324" s="128"/>
      <c r="H324" s="128"/>
      <c r="I324" s="106"/>
      <c r="J324" s="106"/>
      <c r="K324" s="106"/>
      <c r="L324" s="106"/>
      <c r="M324" s="106"/>
      <c r="N324" s="106"/>
      <c r="O324" s="106"/>
      <c r="P324" s="106"/>
      <c r="Q324" s="106"/>
      <c r="R324" s="106"/>
      <c r="S324" s="106"/>
      <c r="T324" s="106"/>
      <c r="U324" s="106"/>
    </row>
    <row r="325">
      <c r="A325" s="123">
        <v>13.0</v>
      </c>
      <c r="B325" s="94" t="s">
        <v>7293</v>
      </c>
      <c r="C325" s="124">
        <v>2.42510138E8</v>
      </c>
      <c r="D325" s="94" t="s">
        <v>9004</v>
      </c>
      <c r="E325" s="125" t="s">
        <v>6000</v>
      </c>
      <c r="F325" s="128"/>
      <c r="G325" s="128"/>
      <c r="H325" s="128"/>
      <c r="I325" s="106"/>
      <c r="J325" s="106"/>
      <c r="K325" s="106"/>
      <c r="L325" s="106"/>
      <c r="M325" s="106"/>
      <c r="N325" s="106"/>
      <c r="O325" s="106"/>
      <c r="P325" s="106"/>
      <c r="Q325" s="106"/>
      <c r="R325" s="106"/>
      <c r="S325" s="106"/>
      <c r="T325" s="106"/>
      <c r="U325" s="106"/>
    </row>
    <row r="326">
      <c r="A326" s="123">
        <v>14.0</v>
      </c>
      <c r="B326" s="94" t="s">
        <v>7659</v>
      </c>
      <c r="C326" s="124">
        <v>2.42510154E8</v>
      </c>
      <c r="D326" s="94" t="s">
        <v>9005</v>
      </c>
      <c r="E326" s="125" t="s">
        <v>6000</v>
      </c>
      <c r="F326" s="128"/>
      <c r="G326" s="128"/>
      <c r="H326" s="128"/>
      <c r="I326" s="106"/>
      <c r="J326" s="106"/>
      <c r="K326" s="106"/>
      <c r="L326" s="106"/>
      <c r="M326" s="106"/>
      <c r="N326" s="106"/>
      <c r="O326" s="106"/>
      <c r="P326" s="106"/>
      <c r="Q326" s="106"/>
      <c r="R326" s="106"/>
      <c r="S326" s="106"/>
      <c r="T326" s="106"/>
      <c r="U326" s="106"/>
    </row>
    <row r="327">
      <c r="A327" s="123">
        <v>15.0</v>
      </c>
      <c r="B327" s="94" t="s">
        <v>7070</v>
      </c>
      <c r="C327" s="124">
        <v>2.42510165E8</v>
      </c>
      <c r="D327" s="94" t="s">
        <v>9006</v>
      </c>
      <c r="E327" s="125" t="s">
        <v>6000</v>
      </c>
      <c r="F327" s="128"/>
      <c r="G327" s="128"/>
      <c r="H327" s="128"/>
      <c r="I327" s="106"/>
      <c r="J327" s="106"/>
      <c r="K327" s="106"/>
      <c r="L327" s="106"/>
      <c r="M327" s="106"/>
      <c r="N327" s="106"/>
      <c r="O327" s="106"/>
      <c r="P327" s="106"/>
      <c r="Q327" s="106"/>
      <c r="R327" s="106"/>
      <c r="S327" s="106"/>
      <c r="T327" s="106"/>
      <c r="U327" s="106"/>
    </row>
    <row r="328">
      <c r="A328" s="123">
        <v>16.0</v>
      </c>
      <c r="B328" s="94" t="s">
        <v>6848</v>
      </c>
      <c r="C328" s="124">
        <v>2.42510173E8</v>
      </c>
      <c r="D328" s="94" t="s">
        <v>9007</v>
      </c>
      <c r="E328" s="125" t="s">
        <v>6000</v>
      </c>
      <c r="F328" s="128"/>
      <c r="G328" s="128"/>
      <c r="H328" s="128"/>
      <c r="I328" s="106"/>
      <c r="J328" s="106"/>
      <c r="K328" s="106"/>
      <c r="L328" s="106"/>
      <c r="M328" s="106"/>
      <c r="N328" s="106"/>
      <c r="O328" s="106"/>
      <c r="P328" s="106"/>
      <c r="Q328" s="106"/>
      <c r="R328" s="106"/>
      <c r="S328" s="106"/>
      <c r="T328" s="106"/>
      <c r="U328" s="106"/>
    </row>
    <row r="329">
      <c r="A329" s="123">
        <v>17.0</v>
      </c>
      <c r="B329" s="94" t="s">
        <v>6996</v>
      </c>
      <c r="C329" s="124">
        <v>2.42510197E8</v>
      </c>
      <c r="D329" s="94" t="s">
        <v>9008</v>
      </c>
      <c r="E329" s="125" t="s">
        <v>6000</v>
      </c>
      <c r="F329" s="128"/>
      <c r="G329" s="128"/>
      <c r="H329" s="128"/>
      <c r="I329" s="106"/>
      <c r="J329" s="106"/>
      <c r="K329" s="106"/>
      <c r="L329" s="106"/>
      <c r="M329" s="106"/>
      <c r="N329" s="106"/>
      <c r="O329" s="106"/>
      <c r="P329" s="106"/>
      <c r="Q329" s="106"/>
      <c r="R329" s="106"/>
      <c r="S329" s="106"/>
      <c r="T329" s="106"/>
      <c r="U329" s="106"/>
    </row>
    <row r="330">
      <c r="A330" s="123">
        <v>18.0</v>
      </c>
      <c r="B330" s="94" t="s">
        <v>7303</v>
      </c>
      <c r="C330" s="124">
        <v>2.42510215E8</v>
      </c>
      <c r="D330" s="94" t="s">
        <v>9009</v>
      </c>
      <c r="E330" s="125" t="s">
        <v>6000</v>
      </c>
      <c r="F330" s="128"/>
      <c r="G330" s="128"/>
      <c r="H330" s="128"/>
      <c r="I330" s="106"/>
      <c r="J330" s="106"/>
      <c r="K330" s="106"/>
      <c r="L330" s="106"/>
      <c r="M330" s="106"/>
      <c r="N330" s="106"/>
      <c r="O330" s="106"/>
      <c r="P330" s="106"/>
      <c r="Q330" s="106"/>
      <c r="R330" s="106"/>
      <c r="S330" s="106"/>
      <c r="T330" s="106"/>
      <c r="U330" s="106"/>
    </row>
    <row r="331">
      <c r="A331" s="123">
        <v>19.0</v>
      </c>
      <c r="B331" s="94" t="s">
        <v>7602</v>
      </c>
      <c r="C331" s="124">
        <v>2.42510237E8</v>
      </c>
      <c r="D331" s="94" t="s">
        <v>9010</v>
      </c>
      <c r="E331" s="125" t="s">
        <v>6000</v>
      </c>
      <c r="F331" s="128"/>
      <c r="G331" s="128"/>
      <c r="H331" s="128"/>
      <c r="I331" s="106"/>
      <c r="J331" s="106"/>
      <c r="K331" s="106"/>
      <c r="L331" s="106"/>
      <c r="M331" s="106"/>
      <c r="N331" s="106"/>
      <c r="O331" s="106"/>
      <c r="P331" s="106"/>
      <c r="Q331" s="106"/>
      <c r="R331" s="106"/>
      <c r="S331" s="106"/>
      <c r="T331" s="106"/>
      <c r="U331" s="106"/>
    </row>
    <row r="332">
      <c r="A332" s="123">
        <v>20.0</v>
      </c>
      <c r="B332" s="94" t="s">
        <v>7155</v>
      </c>
      <c r="C332" s="124">
        <v>2.42510272E8</v>
      </c>
      <c r="D332" s="94" t="s">
        <v>9011</v>
      </c>
      <c r="E332" s="125" t="s">
        <v>6000</v>
      </c>
      <c r="F332" s="128"/>
      <c r="G332" s="128"/>
      <c r="H332" s="128"/>
      <c r="I332" s="106"/>
      <c r="J332" s="106"/>
      <c r="K332" s="106"/>
      <c r="L332" s="106"/>
      <c r="M332" s="106"/>
      <c r="N332" s="106"/>
      <c r="O332" s="106"/>
      <c r="P332" s="106"/>
      <c r="Q332" s="106"/>
      <c r="R332" s="106"/>
      <c r="S332" s="106"/>
      <c r="T332" s="106"/>
      <c r="U332" s="106"/>
    </row>
    <row r="333">
      <c r="A333" s="142">
        <v>21.0</v>
      </c>
      <c r="B333" s="94" t="s">
        <v>7608</v>
      </c>
      <c r="C333" s="124">
        <v>2.4251029E8</v>
      </c>
      <c r="D333" s="94" t="s">
        <v>9012</v>
      </c>
      <c r="E333" s="125" t="s">
        <v>6000</v>
      </c>
      <c r="F333" s="128"/>
      <c r="G333" s="128"/>
      <c r="H333" s="128"/>
      <c r="I333" s="106"/>
      <c r="J333" s="106"/>
      <c r="K333" s="106"/>
      <c r="L333" s="106"/>
      <c r="M333" s="106"/>
      <c r="N333" s="106"/>
      <c r="O333" s="106"/>
      <c r="P333" s="106"/>
      <c r="Q333" s="106"/>
      <c r="R333" s="106"/>
      <c r="S333" s="106"/>
      <c r="T333" s="106"/>
      <c r="U333" s="106"/>
    </row>
    <row r="334">
      <c r="A334" s="123">
        <v>22.0</v>
      </c>
      <c r="B334" s="94" t="s">
        <v>7102</v>
      </c>
      <c r="C334" s="124">
        <v>2.42510324E8</v>
      </c>
      <c r="D334" s="94" t="s">
        <v>9013</v>
      </c>
      <c r="E334" s="125" t="s">
        <v>6000</v>
      </c>
      <c r="F334" s="128"/>
      <c r="G334" s="128"/>
      <c r="H334" s="128"/>
      <c r="I334" s="106"/>
      <c r="J334" s="106"/>
      <c r="K334" s="106"/>
      <c r="L334" s="106"/>
      <c r="M334" s="106"/>
      <c r="N334" s="106"/>
      <c r="O334" s="106"/>
      <c r="P334" s="106"/>
      <c r="Q334" s="106"/>
      <c r="R334" s="106"/>
      <c r="S334" s="106"/>
      <c r="T334" s="106"/>
      <c r="U334" s="106"/>
    </row>
    <row r="335">
      <c r="A335" s="123">
        <v>23.0</v>
      </c>
      <c r="B335" s="94" t="s">
        <v>6876</v>
      </c>
      <c r="C335" s="124">
        <v>2.42510325E8</v>
      </c>
      <c r="D335" s="94" t="s">
        <v>9014</v>
      </c>
      <c r="E335" s="125" t="s">
        <v>6000</v>
      </c>
      <c r="F335" s="128"/>
      <c r="G335" s="128"/>
      <c r="H335" s="128"/>
      <c r="I335" s="106"/>
      <c r="J335" s="106"/>
      <c r="K335" s="106"/>
      <c r="L335" s="106"/>
      <c r="M335" s="106"/>
      <c r="N335" s="106"/>
      <c r="O335" s="106"/>
      <c r="P335" s="106"/>
      <c r="Q335" s="106"/>
      <c r="R335" s="106"/>
      <c r="S335" s="106"/>
      <c r="T335" s="106"/>
      <c r="U335" s="106"/>
    </row>
    <row r="336">
      <c r="A336" s="123">
        <v>24.0</v>
      </c>
      <c r="B336" s="94" t="s">
        <v>7175</v>
      </c>
      <c r="C336" s="124">
        <v>2.42510345E8</v>
      </c>
      <c r="D336" s="94" t="s">
        <v>9015</v>
      </c>
      <c r="E336" s="125" t="s">
        <v>6000</v>
      </c>
      <c r="F336" s="128"/>
      <c r="G336" s="128"/>
      <c r="H336" s="128"/>
      <c r="I336" s="106"/>
      <c r="J336" s="106"/>
      <c r="K336" s="106"/>
      <c r="L336" s="106"/>
      <c r="M336" s="106"/>
      <c r="N336" s="106"/>
      <c r="O336" s="106"/>
      <c r="P336" s="106"/>
      <c r="Q336" s="106"/>
      <c r="R336" s="106"/>
      <c r="S336" s="106"/>
      <c r="T336" s="106"/>
      <c r="U336" s="106"/>
    </row>
    <row r="337">
      <c r="A337" s="123">
        <v>25.0</v>
      </c>
      <c r="B337" s="92" t="s">
        <v>7177</v>
      </c>
      <c r="C337" s="124">
        <v>2.42510356E8</v>
      </c>
      <c r="D337" s="94" t="s">
        <v>9016</v>
      </c>
      <c r="E337" s="125" t="s">
        <v>6000</v>
      </c>
      <c r="F337" s="128"/>
      <c r="G337" s="128"/>
      <c r="H337" s="128"/>
      <c r="I337" s="106"/>
      <c r="J337" s="106"/>
      <c r="K337" s="106"/>
      <c r="L337" s="106"/>
      <c r="M337" s="106"/>
      <c r="N337" s="106"/>
      <c r="O337" s="106"/>
      <c r="P337" s="106"/>
      <c r="Q337" s="106"/>
      <c r="R337" s="106"/>
      <c r="S337" s="106"/>
      <c r="T337" s="106"/>
      <c r="U337" s="106"/>
    </row>
    <row r="338">
      <c r="A338" s="123">
        <v>26.0</v>
      </c>
      <c r="B338" s="92" t="s">
        <v>7477</v>
      </c>
      <c r="C338" s="124">
        <v>2.4251036E8</v>
      </c>
      <c r="D338" s="94" t="s">
        <v>9017</v>
      </c>
      <c r="E338" s="125" t="s">
        <v>6000</v>
      </c>
      <c r="F338" s="128"/>
      <c r="G338" s="128"/>
      <c r="H338" s="128"/>
      <c r="I338" s="106"/>
      <c r="J338" s="106"/>
      <c r="K338" s="106"/>
      <c r="L338" s="106"/>
      <c r="M338" s="106"/>
      <c r="N338" s="106"/>
      <c r="O338" s="106"/>
      <c r="P338" s="106"/>
      <c r="Q338" s="106"/>
      <c r="R338" s="106"/>
      <c r="S338" s="106"/>
      <c r="T338" s="106"/>
      <c r="U338" s="106"/>
    </row>
    <row r="339">
      <c r="A339" s="123">
        <v>27.0</v>
      </c>
      <c r="B339" s="94" t="s">
        <v>7030</v>
      </c>
      <c r="C339" s="124">
        <v>2.42510371E8</v>
      </c>
      <c r="D339" s="94" t="s">
        <v>9018</v>
      </c>
      <c r="E339" s="125" t="s">
        <v>6000</v>
      </c>
      <c r="F339" s="128"/>
      <c r="G339" s="128"/>
      <c r="H339" s="128"/>
      <c r="I339" s="106"/>
      <c r="J339" s="106"/>
      <c r="K339" s="106"/>
      <c r="L339" s="106"/>
      <c r="M339" s="106"/>
      <c r="N339" s="106"/>
      <c r="O339" s="106"/>
      <c r="P339" s="106"/>
      <c r="Q339" s="106"/>
      <c r="R339" s="106"/>
      <c r="S339" s="106"/>
      <c r="T339" s="106"/>
      <c r="U339" s="106"/>
    </row>
    <row r="340">
      <c r="A340" s="123">
        <v>28.0</v>
      </c>
      <c r="B340" s="94" t="s">
        <v>7183</v>
      </c>
      <c r="C340" s="124">
        <v>2.42510372E8</v>
      </c>
      <c r="D340" s="94" t="s">
        <v>9019</v>
      </c>
      <c r="E340" s="125" t="s">
        <v>6000</v>
      </c>
      <c r="F340" s="128"/>
      <c r="G340" s="128"/>
      <c r="H340" s="128"/>
      <c r="I340" s="106"/>
      <c r="J340" s="106"/>
      <c r="K340" s="106"/>
      <c r="L340" s="106"/>
      <c r="M340" s="106"/>
      <c r="N340" s="106"/>
      <c r="O340" s="106"/>
      <c r="P340" s="106"/>
      <c r="Q340" s="106"/>
      <c r="R340" s="106"/>
      <c r="S340" s="106"/>
      <c r="T340" s="106"/>
      <c r="U340" s="106"/>
    </row>
    <row r="341">
      <c r="A341" s="123">
        <v>29.0</v>
      </c>
      <c r="B341" s="94" t="s">
        <v>9020</v>
      </c>
      <c r="C341" s="124">
        <v>2.42510393E8</v>
      </c>
      <c r="D341" s="94" t="s">
        <v>9021</v>
      </c>
      <c r="E341" s="125" t="s">
        <v>6000</v>
      </c>
      <c r="F341" s="128"/>
      <c r="G341" s="128"/>
      <c r="H341" s="128"/>
      <c r="I341" s="106"/>
      <c r="J341" s="106"/>
      <c r="K341" s="106"/>
      <c r="L341" s="106"/>
      <c r="M341" s="106"/>
      <c r="N341" s="106"/>
      <c r="O341" s="106"/>
      <c r="P341" s="106"/>
      <c r="Q341" s="106"/>
      <c r="R341" s="106"/>
      <c r="S341" s="106"/>
      <c r="T341" s="106"/>
      <c r="U341" s="106"/>
    </row>
    <row r="342">
      <c r="A342" s="123">
        <v>30.0</v>
      </c>
      <c r="B342" s="94" t="s">
        <v>7034</v>
      </c>
      <c r="C342" s="124">
        <v>2.42510395E8</v>
      </c>
      <c r="D342" s="94" t="s">
        <v>9022</v>
      </c>
      <c r="E342" s="125" t="s">
        <v>6000</v>
      </c>
      <c r="F342" s="128"/>
      <c r="G342" s="128"/>
      <c r="H342" s="128"/>
      <c r="I342" s="106"/>
      <c r="J342" s="106"/>
      <c r="K342" s="106"/>
      <c r="L342" s="106"/>
      <c r="M342" s="106"/>
      <c r="N342" s="106"/>
      <c r="O342" s="106"/>
      <c r="P342" s="106"/>
      <c r="Q342" s="106"/>
      <c r="R342" s="106"/>
      <c r="S342" s="106"/>
      <c r="T342" s="106"/>
      <c r="U342" s="106"/>
    </row>
    <row r="343">
      <c r="A343" s="123">
        <v>31.0</v>
      </c>
      <c r="B343" s="149" t="s">
        <v>6969</v>
      </c>
      <c r="C343" s="124">
        <v>2.42510404E8</v>
      </c>
      <c r="D343" s="94" t="s">
        <v>9023</v>
      </c>
      <c r="E343" s="125" t="s">
        <v>6000</v>
      </c>
      <c r="F343" s="128"/>
      <c r="G343" s="128"/>
      <c r="H343" s="128"/>
      <c r="I343" s="106"/>
      <c r="J343" s="106"/>
      <c r="K343" s="106"/>
      <c r="L343" s="106"/>
      <c r="M343" s="106"/>
      <c r="N343" s="106"/>
      <c r="O343" s="106"/>
      <c r="P343" s="106"/>
      <c r="Q343" s="106"/>
      <c r="R343" s="106"/>
      <c r="S343" s="106"/>
      <c r="T343" s="106"/>
      <c r="U343" s="106"/>
    </row>
    <row r="344">
      <c r="A344" s="123">
        <v>32.0</v>
      </c>
      <c r="B344" s="94" t="s">
        <v>7551</v>
      </c>
      <c r="C344" s="124">
        <v>2.42510413E8</v>
      </c>
      <c r="D344" s="94" t="s">
        <v>9024</v>
      </c>
      <c r="E344" s="125" t="s">
        <v>6000</v>
      </c>
      <c r="F344" s="128"/>
      <c r="G344" s="128"/>
      <c r="H344" s="128"/>
      <c r="I344" s="106"/>
      <c r="J344" s="106"/>
      <c r="K344" s="106"/>
      <c r="L344" s="106"/>
      <c r="M344" s="106"/>
      <c r="N344" s="106"/>
      <c r="O344" s="106"/>
      <c r="P344" s="106"/>
      <c r="Q344" s="106"/>
      <c r="R344" s="106"/>
      <c r="S344" s="106"/>
      <c r="T344" s="106"/>
      <c r="U344" s="106"/>
    </row>
    <row r="345">
      <c r="A345" s="123">
        <v>33.0</v>
      </c>
      <c r="B345" s="92" t="s">
        <v>6887</v>
      </c>
      <c r="C345" s="124">
        <v>2.42510414E8</v>
      </c>
      <c r="D345" s="94" t="s">
        <v>9025</v>
      </c>
      <c r="E345" s="125" t="s">
        <v>6000</v>
      </c>
      <c r="F345" s="128"/>
      <c r="G345" s="128"/>
      <c r="H345" s="128"/>
      <c r="I345" s="106"/>
      <c r="J345" s="106"/>
      <c r="K345" s="106"/>
      <c r="L345" s="106"/>
      <c r="M345" s="106"/>
      <c r="N345" s="106"/>
      <c r="O345" s="106"/>
      <c r="P345" s="106"/>
      <c r="Q345" s="106"/>
      <c r="R345" s="106"/>
      <c r="S345" s="106"/>
      <c r="T345" s="106"/>
      <c r="U345" s="106"/>
    </row>
    <row r="346">
      <c r="A346" s="123">
        <v>34.0</v>
      </c>
      <c r="B346" s="92" t="s">
        <v>6889</v>
      </c>
      <c r="C346" s="124">
        <v>2.42510416E8</v>
      </c>
      <c r="D346" s="94" t="s">
        <v>9026</v>
      </c>
      <c r="E346" s="125" t="s">
        <v>6000</v>
      </c>
      <c r="F346" s="128"/>
      <c r="G346" s="128"/>
      <c r="H346" s="128"/>
      <c r="I346" s="106"/>
      <c r="J346" s="106"/>
      <c r="K346" s="106"/>
      <c r="L346" s="106"/>
      <c r="M346" s="106"/>
      <c r="N346" s="106"/>
      <c r="O346" s="106"/>
      <c r="P346" s="106"/>
      <c r="Q346" s="106"/>
      <c r="R346" s="106"/>
      <c r="S346" s="106"/>
      <c r="T346" s="106"/>
      <c r="U346" s="106"/>
    </row>
    <row r="347">
      <c r="A347" s="123">
        <v>35.0</v>
      </c>
      <c r="B347" s="94" t="s">
        <v>7553</v>
      </c>
      <c r="C347" s="124">
        <v>2.42510423E8</v>
      </c>
      <c r="D347" s="94" t="s">
        <v>9027</v>
      </c>
      <c r="E347" s="125" t="s">
        <v>6000</v>
      </c>
      <c r="F347" s="128"/>
      <c r="G347" s="128"/>
      <c r="H347" s="128"/>
      <c r="I347" s="106"/>
      <c r="J347" s="106"/>
      <c r="K347" s="106"/>
      <c r="L347" s="106"/>
      <c r="M347" s="106"/>
      <c r="N347" s="106"/>
      <c r="O347" s="106"/>
      <c r="P347" s="106"/>
      <c r="Q347" s="106"/>
      <c r="R347" s="106"/>
      <c r="S347" s="106"/>
      <c r="T347" s="106"/>
      <c r="U347" s="106"/>
    </row>
    <row r="348">
      <c r="A348" s="123">
        <v>36.0</v>
      </c>
      <c r="B348" s="94" t="s">
        <v>7262</v>
      </c>
      <c r="C348" s="124">
        <v>2.42510425E8</v>
      </c>
      <c r="D348" s="94" t="s">
        <v>9028</v>
      </c>
      <c r="E348" s="125" t="s">
        <v>6000</v>
      </c>
      <c r="F348" s="128"/>
      <c r="G348" s="128"/>
      <c r="H348" s="128"/>
      <c r="I348" s="106"/>
      <c r="J348" s="106"/>
      <c r="K348" s="106"/>
      <c r="L348" s="106"/>
      <c r="M348" s="106"/>
      <c r="N348" s="106"/>
      <c r="O348" s="106"/>
      <c r="P348" s="106"/>
      <c r="Q348" s="106"/>
      <c r="R348" s="106"/>
      <c r="S348" s="106"/>
      <c r="T348" s="106"/>
      <c r="U348" s="106"/>
    </row>
    <row r="349">
      <c r="A349" s="127"/>
      <c r="B349" s="127"/>
      <c r="C349" s="127"/>
      <c r="D349" s="127"/>
      <c r="E349" s="127"/>
      <c r="F349" s="128"/>
      <c r="G349" s="128"/>
      <c r="H349" s="128"/>
      <c r="I349" s="106"/>
      <c r="J349" s="106"/>
      <c r="K349" s="106"/>
      <c r="L349" s="106"/>
      <c r="M349" s="106"/>
      <c r="N349" s="106"/>
      <c r="O349" s="106"/>
      <c r="P349" s="106"/>
      <c r="Q349" s="106"/>
      <c r="R349" s="106"/>
      <c r="S349" s="106"/>
      <c r="T349" s="106"/>
      <c r="U349" s="106"/>
    </row>
    <row r="350">
      <c r="A350" s="129"/>
      <c r="B350" s="130" t="s">
        <v>8789</v>
      </c>
      <c r="C350" s="129"/>
      <c r="D350" s="131">
        <f>COUNTIF(E313:E349,"L")</f>
        <v>0</v>
      </c>
      <c r="E350" s="129"/>
      <c r="F350" s="128"/>
      <c r="G350" s="128"/>
      <c r="H350" s="128"/>
      <c r="I350" s="106"/>
      <c r="J350" s="106"/>
      <c r="K350" s="106"/>
      <c r="L350" s="106"/>
      <c r="M350" s="106"/>
      <c r="N350" s="106"/>
      <c r="O350" s="106"/>
      <c r="P350" s="106"/>
      <c r="Q350" s="106"/>
      <c r="R350" s="106"/>
      <c r="S350" s="106"/>
      <c r="T350" s="106"/>
      <c r="U350" s="106"/>
    </row>
    <row r="351">
      <c r="A351" s="129"/>
      <c r="B351" s="130" t="s">
        <v>8790</v>
      </c>
      <c r="C351" s="129"/>
      <c r="D351" s="131">
        <f>COUNTIF(E313:E349,"P")</f>
        <v>0</v>
      </c>
      <c r="E351" s="129"/>
      <c r="F351" s="129"/>
      <c r="G351" s="129"/>
      <c r="H351" s="129"/>
      <c r="I351" s="129"/>
      <c r="J351" s="129"/>
      <c r="K351" s="144" t="s">
        <v>8791</v>
      </c>
      <c r="L351" s="141"/>
      <c r="M351" s="141"/>
      <c r="N351" s="141"/>
      <c r="O351" s="141"/>
      <c r="P351" s="141"/>
      <c r="Q351" s="141"/>
      <c r="R351" s="141"/>
      <c r="S351" s="141"/>
      <c r="T351" s="141"/>
    </row>
    <row r="352">
      <c r="A352" s="129"/>
      <c r="B352" s="130" t="s">
        <v>8792</v>
      </c>
      <c r="C352" s="129"/>
      <c r="D352" s="131">
        <f>SUM(D350:D351)</f>
        <v>0</v>
      </c>
      <c r="E352" s="129"/>
      <c r="F352" s="129"/>
      <c r="G352" s="129"/>
      <c r="H352" s="129"/>
      <c r="I352" s="129"/>
      <c r="J352" s="129"/>
      <c r="K352" s="132" t="s">
        <v>8793</v>
      </c>
      <c r="L352" s="133"/>
      <c r="M352" s="133"/>
      <c r="N352" s="133"/>
      <c r="O352" s="133"/>
      <c r="P352" s="133"/>
      <c r="Q352" s="133"/>
      <c r="R352" s="133"/>
      <c r="S352" s="133"/>
      <c r="T352" s="134"/>
    </row>
    <row r="353">
      <c r="A353" s="129"/>
      <c r="B353" s="129"/>
      <c r="C353" s="129"/>
      <c r="D353" s="129"/>
      <c r="E353" s="129"/>
      <c r="F353" s="129"/>
      <c r="G353" s="129"/>
      <c r="H353" s="129"/>
      <c r="I353" s="129"/>
      <c r="J353" s="129"/>
      <c r="K353" s="141"/>
      <c r="L353" s="141"/>
      <c r="M353" s="141"/>
      <c r="N353" s="141"/>
      <c r="O353" s="141"/>
      <c r="P353" s="141"/>
      <c r="Q353" s="141"/>
      <c r="R353" s="141"/>
      <c r="S353" s="141"/>
      <c r="T353" s="141"/>
    </row>
    <row r="354">
      <c r="A354" s="129"/>
      <c r="B354" s="129"/>
      <c r="C354" s="129"/>
      <c r="D354" s="129"/>
      <c r="E354" s="129"/>
      <c r="F354" s="129"/>
      <c r="G354" s="129"/>
      <c r="H354" s="129"/>
      <c r="I354" s="129"/>
      <c r="J354" s="129"/>
      <c r="K354" s="141"/>
      <c r="L354" s="141"/>
      <c r="M354" s="141"/>
      <c r="N354" s="141"/>
      <c r="O354" s="141"/>
      <c r="P354" s="141"/>
      <c r="Q354" s="141"/>
      <c r="R354" s="141"/>
      <c r="S354" s="141"/>
      <c r="T354" s="141"/>
    </row>
    <row r="355">
      <c r="A355" s="97" t="s">
        <v>8743</v>
      </c>
      <c r="B355" s="97"/>
      <c r="C355" s="97"/>
      <c r="D355" s="97"/>
      <c r="E355" s="97"/>
      <c r="F355" s="97"/>
      <c r="G355" s="97"/>
      <c r="H355" s="97"/>
      <c r="I355" s="97"/>
      <c r="J355" s="97"/>
      <c r="K355" s="97"/>
      <c r="L355" s="97"/>
      <c r="M355" s="97"/>
      <c r="N355" s="97"/>
      <c r="O355" s="97"/>
      <c r="P355" s="97"/>
      <c r="Q355" s="97"/>
      <c r="R355" s="97"/>
      <c r="S355" s="97"/>
      <c r="T355" s="97"/>
    </row>
    <row r="356">
      <c r="A356" s="135" t="s">
        <v>8744</v>
      </c>
      <c r="B356" s="136"/>
      <c r="C356" s="136"/>
      <c r="D356" s="136"/>
      <c r="E356" s="136"/>
      <c r="F356" s="136"/>
      <c r="G356" s="136"/>
      <c r="H356" s="136"/>
      <c r="I356" s="136"/>
      <c r="J356" s="136"/>
      <c r="K356" s="136"/>
      <c r="L356" s="136"/>
      <c r="M356" s="136"/>
      <c r="N356" s="136"/>
      <c r="O356" s="136"/>
      <c r="P356" s="136"/>
      <c r="Q356" s="136"/>
      <c r="R356" s="136"/>
      <c r="S356" s="136"/>
      <c r="T356" s="137"/>
    </row>
    <row r="357">
      <c r="A357" s="102" t="s">
        <v>8745</v>
      </c>
      <c r="B357" s="103"/>
      <c r="C357" s="103"/>
      <c r="D357" s="103"/>
      <c r="E357" s="103"/>
      <c r="F357" s="103"/>
      <c r="G357" s="103"/>
      <c r="H357" s="103"/>
      <c r="I357" s="103"/>
      <c r="J357" s="103"/>
      <c r="K357" s="103"/>
      <c r="L357" s="103"/>
      <c r="M357" s="103"/>
      <c r="N357" s="103"/>
      <c r="O357" s="103"/>
      <c r="P357" s="103"/>
      <c r="Q357" s="103"/>
      <c r="R357" s="103"/>
      <c r="S357" s="103"/>
      <c r="T357" s="104"/>
    </row>
    <row r="358">
      <c r="A358" s="105" t="s">
        <v>9029</v>
      </c>
      <c r="B358" s="106"/>
      <c r="C358" s="106"/>
      <c r="D358" s="106"/>
      <c r="E358" s="106"/>
      <c r="F358" s="106"/>
      <c r="G358" s="106"/>
      <c r="H358" s="106"/>
      <c r="I358" s="106"/>
      <c r="J358" s="106"/>
      <c r="K358" s="106"/>
      <c r="L358" s="106"/>
      <c r="M358" s="106"/>
      <c r="N358" s="106"/>
      <c r="O358" s="106"/>
      <c r="P358" s="106"/>
      <c r="Q358" s="106"/>
      <c r="R358" s="106"/>
      <c r="S358" s="106"/>
      <c r="T358" s="107"/>
    </row>
    <row r="359">
      <c r="A359" s="108" t="s">
        <v>9030</v>
      </c>
      <c r="B359" s="109"/>
      <c r="C359" s="109"/>
      <c r="D359" s="109"/>
      <c r="E359" s="109"/>
      <c r="F359" s="110"/>
      <c r="G359" s="110"/>
      <c r="H359" s="110"/>
      <c r="I359" s="110"/>
      <c r="J359" s="110"/>
      <c r="K359" s="110"/>
      <c r="L359" s="110"/>
      <c r="M359" s="110"/>
      <c r="N359" s="110"/>
      <c r="O359" s="110"/>
      <c r="P359" s="110"/>
      <c r="Q359" s="110"/>
      <c r="R359" s="110"/>
      <c r="S359" s="110"/>
      <c r="T359" s="110"/>
    </row>
    <row r="360">
      <c r="A360" s="111" t="s">
        <v>8748</v>
      </c>
      <c r="B360" s="111" t="s">
        <v>9</v>
      </c>
      <c r="C360" s="111" t="s">
        <v>5246</v>
      </c>
      <c r="D360" s="111" t="s">
        <v>8680</v>
      </c>
      <c r="E360" s="138" t="s">
        <v>13</v>
      </c>
      <c r="F360" s="113" t="s">
        <v>8749</v>
      </c>
      <c r="G360" s="113" t="s">
        <v>8750</v>
      </c>
      <c r="H360" s="114" t="s">
        <v>217</v>
      </c>
      <c r="I360" s="106"/>
      <c r="J360" s="106"/>
      <c r="K360" s="106"/>
      <c r="L360" s="106"/>
      <c r="M360" s="106"/>
      <c r="N360" s="106"/>
      <c r="O360" s="106"/>
      <c r="P360" s="106"/>
      <c r="Q360" s="106"/>
      <c r="R360" s="106"/>
      <c r="S360" s="106"/>
      <c r="T360" s="106"/>
      <c r="U360" s="106"/>
    </row>
    <row r="361">
      <c r="A361" s="115"/>
      <c r="B361" s="115"/>
      <c r="C361" s="115"/>
      <c r="D361" s="115"/>
      <c r="E361" s="139"/>
      <c r="F361" s="117"/>
      <c r="G361" s="117"/>
      <c r="H361" s="118"/>
      <c r="I361" s="106"/>
      <c r="J361" s="106"/>
      <c r="K361" s="106"/>
      <c r="L361" s="106"/>
      <c r="M361" s="106"/>
      <c r="N361" s="106"/>
      <c r="O361" s="106"/>
      <c r="P361" s="106"/>
      <c r="Q361" s="106"/>
      <c r="R361" s="106"/>
      <c r="S361" s="106"/>
      <c r="T361" s="106"/>
      <c r="U361" s="106"/>
    </row>
    <row r="362">
      <c r="A362" s="119"/>
      <c r="B362" s="119"/>
      <c r="C362" s="119"/>
      <c r="D362" s="119"/>
      <c r="E362" s="140"/>
      <c r="F362" s="121"/>
      <c r="G362" s="121"/>
      <c r="H362" s="122"/>
      <c r="I362" s="106"/>
      <c r="J362" s="106"/>
      <c r="K362" s="106"/>
      <c r="L362" s="106"/>
      <c r="M362" s="106"/>
      <c r="N362" s="106"/>
      <c r="O362" s="106"/>
      <c r="P362" s="106"/>
      <c r="Q362" s="106"/>
      <c r="R362" s="106"/>
      <c r="S362" s="106"/>
      <c r="T362" s="106"/>
      <c r="U362" s="106"/>
    </row>
    <row r="363">
      <c r="A363" s="123">
        <v>1.0</v>
      </c>
      <c r="B363" s="94" t="s">
        <v>9031</v>
      </c>
      <c r="C363" s="124">
        <v>2.42510004E8</v>
      </c>
      <c r="D363" s="94" t="s">
        <v>9032</v>
      </c>
      <c r="E363" s="125" t="s">
        <v>6134</v>
      </c>
      <c r="F363" s="126">
        <f>COUNTIFS('Database Presensi SCC'!$B:$B, "*"&amp;IF(B365&lt;&gt;"", B365, C365)&amp;"*", 'Database Presensi SCC'!$C:$C, "Hadir")</f>
        <v>0</v>
      </c>
      <c r="G363" s="126">
        <f>IFERROR(__xludf.DUMMYFUNCTION("COUNTUNIQUEIFS('Database Presensi SCC'!$K:$K, 'Database Presensi SCC'!$H:$H, E365)"),0.0)</f>
        <v>0</v>
      </c>
      <c r="H363" s="126">
        <f t="shared" ref="H363:H399" si="4">IFERROR(F365/G365, 0)</f>
        <v>0</v>
      </c>
      <c r="I363" s="106"/>
      <c r="J363" s="106"/>
      <c r="K363" s="106"/>
      <c r="L363" s="106"/>
      <c r="M363" s="106"/>
      <c r="N363" s="106"/>
      <c r="O363" s="106"/>
      <c r="P363" s="106"/>
      <c r="Q363" s="106"/>
      <c r="R363" s="106"/>
      <c r="S363" s="106"/>
      <c r="T363" s="106"/>
      <c r="U363" s="106"/>
    </row>
    <row r="364">
      <c r="A364" s="123">
        <v>2.0</v>
      </c>
      <c r="B364" s="94" t="s">
        <v>7412</v>
      </c>
      <c r="C364" s="124">
        <v>2.42510006E8</v>
      </c>
      <c r="D364" s="94" t="s">
        <v>9033</v>
      </c>
      <c r="E364" s="125" t="s">
        <v>6134</v>
      </c>
      <c r="F364" s="126">
        <f>COUNTIFS('Database Presensi SCC'!$B:$B, "*"&amp;IF(B366&lt;&gt;"", B366, C366)&amp;"*", 'Database Presensi SCC'!$C:$C, "Hadir")</f>
        <v>0</v>
      </c>
      <c r="G364" s="126">
        <f>IFERROR(__xludf.DUMMYFUNCTION("COUNTUNIQUEIFS('Database Presensi SCC'!$K:$K, 'Database Presensi SCC'!$H:$H, E366)"),0.0)</f>
        <v>0</v>
      </c>
      <c r="H364" s="126">
        <f t="shared" si="4"/>
        <v>0</v>
      </c>
      <c r="I364" s="106"/>
      <c r="J364" s="106"/>
      <c r="K364" s="106"/>
      <c r="L364" s="106"/>
      <c r="M364" s="106"/>
      <c r="N364" s="106"/>
      <c r="O364" s="106"/>
      <c r="P364" s="106"/>
      <c r="Q364" s="106"/>
      <c r="R364" s="106"/>
      <c r="S364" s="106"/>
      <c r="T364" s="106"/>
      <c r="U364" s="106"/>
    </row>
    <row r="365">
      <c r="A365" s="123">
        <v>3.0</v>
      </c>
      <c r="B365" s="92" t="s">
        <v>7127</v>
      </c>
      <c r="C365" s="124">
        <v>2.42510024E8</v>
      </c>
      <c r="D365" s="94" t="s">
        <v>9034</v>
      </c>
      <c r="E365" s="125" t="s">
        <v>6134</v>
      </c>
      <c r="F365" s="126">
        <f>COUNTIFS('Database Presensi SCC'!$B:$B, "*"&amp;IF(B367&lt;&gt;"", B367, C367)&amp;"*", 'Database Presensi SCC'!$C:$C, "Hadir")</f>
        <v>0</v>
      </c>
      <c r="G365" s="126">
        <f>IFERROR(__xludf.DUMMYFUNCTION("COUNTUNIQUEIFS('Database Presensi SCC'!$K:$K, 'Database Presensi SCC'!$H:$H, E367)"),0.0)</f>
        <v>0</v>
      </c>
      <c r="H365" s="126">
        <f t="shared" si="4"/>
        <v>0</v>
      </c>
      <c r="I365" s="106"/>
      <c r="J365" s="106"/>
      <c r="K365" s="106"/>
      <c r="L365" s="106"/>
      <c r="M365" s="106"/>
      <c r="N365" s="106"/>
      <c r="O365" s="106"/>
      <c r="P365" s="106"/>
      <c r="Q365" s="106"/>
      <c r="R365" s="106"/>
      <c r="S365" s="106"/>
      <c r="T365" s="106"/>
      <c r="U365" s="106"/>
    </row>
    <row r="366">
      <c r="A366" s="123">
        <v>4.0</v>
      </c>
      <c r="B366" s="94" t="s">
        <v>7417</v>
      </c>
      <c r="C366" s="124">
        <v>2.42510035E8</v>
      </c>
      <c r="D366" s="94" t="s">
        <v>9035</v>
      </c>
      <c r="E366" s="125" t="s">
        <v>6134</v>
      </c>
      <c r="F366" s="126">
        <f>COUNTIFS('Database Presensi SCC'!$B:$B, "*"&amp;IF(B368&lt;&gt;"", B368, C368)&amp;"*", 'Database Presensi SCC'!$C:$C, "Hadir")</f>
        <v>0</v>
      </c>
      <c r="G366" s="126">
        <f>IFERROR(__xludf.DUMMYFUNCTION("COUNTUNIQUEIFS('Database Presensi SCC'!$K:$K, 'Database Presensi SCC'!$H:$H, E368)"),0.0)</f>
        <v>0</v>
      </c>
      <c r="H366" s="126">
        <f t="shared" si="4"/>
        <v>0</v>
      </c>
      <c r="I366" s="106"/>
      <c r="J366" s="106"/>
      <c r="K366" s="106"/>
      <c r="L366" s="106"/>
      <c r="M366" s="106"/>
      <c r="N366" s="106"/>
      <c r="O366" s="106"/>
      <c r="P366" s="106"/>
      <c r="Q366" s="106"/>
      <c r="R366" s="106"/>
      <c r="S366" s="106"/>
      <c r="T366" s="106"/>
      <c r="U366" s="106"/>
    </row>
    <row r="367">
      <c r="A367" s="123">
        <v>5.0</v>
      </c>
      <c r="B367" s="94" t="s">
        <v>9036</v>
      </c>
      <c r="C367" s="124">
        <v>2.42510039E8</v>
      </c>
      <c r="D367" s="94" t="s">
        <v>9037</v>
      </c>
      <c r="E367" s="125" t="s">
        <v>6134</v>
      </c>
      <c r="F367" s="126">
        <f>COUNTIFS('Database Presensi SCC'!$B:$B, "*"&amp;IF(B369&lt;&gt;"", B369, C369)&amp;"*", 'Database Presensi SCC'!$C:$C, "Hadir")</f>
        <v>0</v>
      </c>
      <c r="G367" s="126">
        <f>IFERROR(__xludf.DUMMYFUNCTION("COUNTUNIQUEIFS('Database Presensi SCC'!$K:$K, 'Database Presensi SCC'!$H:$H, E369)"),0.0)</f>
        <v>0</v>
      </c>
      <c r="H367" s="126">
        <f t="shared" si="4"/>
        <v>0</v>
      </c>
      <c r="I367" s="106"/>
      <c r="J367" s="106"/>
      <c r="K367" s="106"/>
      <c r="L367" s="106"/>
      <c r="M367" s="106"/>
      <c r="N367" s="106"/>
      <c r="O367" s="106"/>
      <c r="P367" s="106"/>
      <c r="Q367" s="106"/>
      <c r="R367" s="106"/>
      <c r="S367" s="106"/>
      <c r="T367" s="106"/>
      <c r="U367" s="106"/>
    </row>
    <row r="368">
      <c r="A368" s="123">
        <v>6.0</v>
      </c>
      <c r="B368" s="94" t="s">
        <v>6912</v>
      </c>
      <c r="C368" s="124">
        <v>2.42510064E8</v>
      </c>
      <c r="D368" s="94" t="s">
        <v>9038</v>
      </c>
      <c r="E368" s="125" t="s">
        <v>6134</v>
      </c>
      <c r="F368" s="126">
        <f>COUNTIFS('Database Presensi SCC'!$B:$B, "*"&amp;IF(B370&lt;&gt;"", B370, C370)&amp;"*", 'Database Presensi SCC'!$C:$C, "Hadir")</f>
        <v>0</v>
      </c>
      <c r="G368" s="126">
        <f>IFERROR(__xludf.DUMMYFUNCTION("COUNTUNIQUEIFS('Database Presensi SCC'!$K:$K, 'Database Presensi SCC'!$H:$H, E370)"),0.0)</f>
        <v>0</v>
      </c>
      <c r="H368" s="126">
        <f t="shared" si="4"/>
        <v>0</v>
      </c>
      <c r="I368" s="106"/>
      <c r="J368" s="106"/>
      <c r="K368" s="106"/>
      <c r="L368" s="106"/>
      <c r="M368" s="106"/>
      <c r="N368" s="106"/>
      <c r="O368" s="106"/>
      <c r="P368" s="106"/>
      <c r="Q368" s="106"/>
      <c r="R368" s="106"/>
      <c r="S368" s="106"/>
      <c r="T368" s="106"/>
      <c r="U368" s="106"/>
    </row>
    <row r="369">
      <c r="A369" s="123">
        <v>7.0</v>
      </c>
      <c r="B369" s="94" t="s">
        <v>7366</v>
      </c>
      <c r="C369" s="124">
        <v>2.4251009E8</v>
      </c>
      <c r="D369" s="94" t="s">
        <v>9039</v>
      </c>
      <c r="E369" s="125" t="s">
        <v>6134</v>
      </c>
      <c r="F369" s="126">
        <f>COUNTIFS('Database Presensi SCC'!$B:$B, "*"&amp;IF(B371&lt;&gt;"", B371, C371)&amp;"*", 'Database Presensi SCC'!$C:$C, "Hadir")</f>
        <v>0</v>
      </c>
      <c r="G369" s="126">
        <f>IFERROR(__xludf.DUMMYFUNCTION("COUNTUNIQUEIFS('Database Presensi SCC'!$K:$K, 'Database Presensi SCC'!$H:$H, E371)"),0.0)</f>
        <v>0</v>
      </c>
      <c r="H369" s="126">
        <f t="shared" si="4"/>
        <v>0</v>
      </c>
      <c r="I369" s="106"/>
      <c r="J369" s="106"/>
      <c r="K369" s="106"/>
      <c r="L369" s="106"/>
      <c r="M369" s="106"/>
      <c r="N369" s="106"/>
      <c r="O369" s="106"/>
      <c r="P369" s="106"/>
      <c r="Q369" s="106"/>
      <c r="R369" s="106"/>
      <c r="S369" s="106"/>
      <c r="T369" s="106"/>
      <c r="U369" s="106"/>
    </row>
    <row r="370">
      <c r="A370" s="123">
        <v>8.0</v>
      </c>
      <c r="B370" s="94" t="s">
        <v>7427</v>
      </c>
      <c r="C370" s="124">
        <v>2.42510098E8</v>
      </c>
      <c r="D370" s="94" t="s">
        <v>9040</v>
      </c>
      <c r="E370" s="125" t="s">
        <v>6134</v>
      </c>
      <c r="F370" s="126">
        <f>COUNTIFS('Database Presensi SCC'!$B:$B, "*"&amp;IF(B372&lt;&gt;"", B372, C372)&amp;"*", 'Database Presensi SCC'!$C:$C, "Hadir")</f>
        <v>0</v>
      </c>
      <c r="G370" s="126">
        <f>IFERROR(__xludf.DUMMYFUNCTION("COUNTUNIQUEIFS('Database Presensi SCC'!$K:$K, 'Database Presensi SCC'!$H:$H, E372)"),0.0)</f>
        <v>0</v>
      </c>
      <c r="H370" s="126">
        <f t="shared" si="4"/>
        <v>0</v>
      </c>
      <c r="I370" s="106"/>
      <c r="J370" s="106"/>
      <c r="K370" s="106"/>
      <c r="L370" s="106"/>
      <c r="M370" s="106"/>
      <c r="N370" s="106"/>
      <c r="O370" s="106"/>
      <c r="P370" s="106"/>
      <c r="Q370" s="106"/>
      <c r="R370" s="106"/>
      <c r="S370" s="106"/>
      <c r="T370" s="106"/>
      <c r="U370" s="106"/>
    </row>
    <row r="371">
      <c r="A371" s="123">
        <v>9.0</v>
      </c>
      <c r="B371" s="94" t="s">
        <v>6982</v>
      </c>
      <c r="C371" s="124">
        <v>2.42510113E8</v>
      </c>
      <c r="D371" s="94" t="s">
        <v>9041</v>
      </c>
      <c r="E371" s="125" t="s">
        <v>6134</v>
      </c>
      <c r="F371" s="126">
        <f>COUNTIFS('Database Presensi SCC'!$B:$B, "*"&amp;IF(B373&lt;&gt;"", B373, C373)&amp;"*", 'Database Presensi SCC'!$C:$C, "Hadir")</f>
        <v>0</v>
      </c>
      <c r="G371" s="126">
        <f>IFERROR(__xludf.DUMMYFUNCTION("COUNTUNIQUEIFS('Database Presensi SCC'!$K:$K, 'Database Presensi SCC'!$H:$H, E373)"),0.0)</f>
        <v>0</v>
      </c>
      <c r="H371" s="126">
        <f t="shared" si="4"/>
        <v>0</v>
      </c>
      <c r="I371" s="106"/>
      <c r="J371" s="106"/>
      <c r="K371" s="106"/>
      <c r="L371" s="106"/>
      <c r="M371" s="106"/>
      <c r="N371" s="106"/>
      <c r="O371" s="106"/>
      <c r="P371" s="106"/>
      <c r="Q371" s="106"/>
      <c r="R371" s="106"/>
      <c r="S371" s="106"/>
      <c r="T371" s="106"/>
      <c r="U371" s="106"/>
    </row>
    <row r="372">
      <c r="A372" s="123">
        <v>10.0</v>
      </c>
      <c r="B372" s="94" t="s">
        <v>7572</v>
      </c>
      <c r="C372" s="124">
        <v>2.42510118E8</v>
      </c>
      <c r="D372" s="94" t="s">
        <v>9042</v>
      </c>
      <c r="E372" s="125" t="s">
        <v>6134</v>
      </c>
      <c r="F372" s="126">
        <f>COUNTIFS('Database Presensi SCC'!$B:$B, "*"&amp;IF(B374&lt;&gt;"", B374, C374)&amp;"*", 'Database Presensi SCC'!$C:$C, "Hadir")</f>
        <v>0</v>
      </c>
      <c r="G372" s="126">
        <f>IFERROR(__xludf.DUMMYFUNCTION("COUNTUNIQUEIFS('Database Presensi SCC'!$K:$K, 'Database Presensi SCC'!$H:$H, E374)"),0.0)</f>
        <v>0</v>
      </c>
      <c r="H372" s="126">
        <f t="shared" si="4"/>
        <v>0</v>
      </c>
      <c r="I372" s="106"/>
      <c r="J372" s="106"/>
      <c r="K372" s="106"/>
      <c r="L372" s="106"/>
      <c r="M372" s="106"/>
      <c r="N372" s="106"/>
      <c r="O372" s="106"/>
      <c r="P372" s="106"/>
      <c r="Q372" s="106"/>
      <c r="R372" s="106"/>
      <c r="S372" s="106"/>
      <c r="T372" s="106"/>
      <c r="U372" s="106"/>
    </row>
    <row r="373">
      <c r="A373" s="123">
        <v>11.0</v>
      </c>
      <c r="B373" s="94" t="s">
        <v>7433</v>
      </c>
      <c r="C373" s="124">
        <v>2.42510128E8</v>
      </c>
      <c r="D373" s="94" t="s">
        <v>9043</v>
      </c>
      <c r="E373" s="125" t="s">
        <v>6134</v>
      </c>
      <c r="F373" s="126">
        <f>COUNTIFS('Database Presensi SCC'!$B:$B, "*"&amp;IF(B375&lt;&gt;"", B375, C375)&amp;"*", 'Database Presensi SCC'!$C:$C, "Hadir")</f>
        <v>0</v>
      </c>
      <c r="G373" s="126">
        <f>IFERROR(__xludf.DUMMYFUNCTION("COUNTUNIQUEIFS('Database Presensi SCC'!$K:$K, 'Database Presensi SCC'!$H:$H, E375)"),0.0)</f>
        <v>0</v>
      </c>
      <c r="H373" s="126">
        <f t="shared" si="4"/>
        <v>0</v>
      </c>
      <c r="I373" s="106"/>
      <c r="J373" s="106"/>
      <c r="K373" s="106"/>
      <c r="L373" s="106"/>
      <c r="M373" s="106"/>
      <c r="N373" s="106"/>
      <c r="O373" s="106"/>
      <c r="P373" s="106"/>
      <c r="Q373" s="106"/>
      <c r="R373" s="106"/>
      <c r="S373" s="106"/>
      <c r="T373" s="106"/>
      <c r="U373" s="106"/>
    </row>
    <row r="374">
      <c r="A374" s="123">
        <v>12.0</v>
      </c>
      <c r="B374" s="94" t="s">
        <v>9044</v>
      </c>
      <c r="C374" s="124">
        <v>2.42510146E8</v>
      </c>
      <c r="D374" s="94" t="s">
        <v>9045</v>
      </c>
      <c r="E374" s="125" t="s">
        <v>6134</v>
      </c>
      <c r="F374" s="126">
        <f>COUNTIFS('Database Presensi SCC'!$B:$B, "*"&amp;IF(B376&lt;&gt;"", B376, C376)&amp;"*", 'Database Presensi SCC'!$C:$C, "Hadir")</f>
        <v>0</v>
      </c>
      <c r="G374" s="126">
        <f>IFERROR(__xludf.DUMMYFUNCTION("COUNTUNIQUEIFS('Database Presensi SCC'!$K:$K, 'Database Presensi SCC'!$H:$H, E376)"),0.0)</f>
        <v>0</v>
      </c>
      <c r="H374" s="126">
        <f t="shared" si="4"/>
        <v>0</v>
      </c>
      <c r="I374" s="106"/>
      <c r="J374" s="106"/>
      <c r="K374" s="106"/>
      <c r="L374" s="106"/>
      <c r="M374" s="106"/>
      <c r="N374" s="106"/>
      <c r="O374" s="106"/>
      <c r="P374" s="106"/>
      <c r="Q374" s="106"/>
      <c r="R374" s="106"/>
      <c r="S374" s="106"/>
      <c r="T374" s="106"/>
      <c r="U374" s="106"/>
    </row>
    <row r="375">
      <c r="A375" s="123">
        <v>13.0</v>
      </c>
      <c r="B375" s="94" t="s">
        <v>7218</v>
      </c>
      <c r="C375" s="124">
        <v>2.42510148E8</v>
      </c>
      <c r="D375" s="94" t="s">
        <v>9046</v>
      </c>
      <c r="E375" s="125" t="s">
        <v>6134</v>
      </c>
      <c r="F375" s="126">
        <f>COUNTIFS('Database Presensi SCC'!$B:$B, "*"&amp;IF(B377&lt;&gt;"", B377, C377)&amp;"*", 'Database Presensi SCC'!$C:$C, "Hadir")</f>
        <v>0</v>
      </c>
      <c r="G375" s="126">
        <f>IFERROR(__xludf.DUMMYFUNCTION("COUNTUNIQUEIFS('Database Presensi SCC'!$K:$K, 'Database Presensi SCC'!$H:$H, E377)"),0.0)</f>
        <v>0</v>
      </c>
      <c r="H375" s="126">
        <f t="shared" si="4"/>
        <v>0</v>
      </c>
      <c r="I375" s="106"/>
      <c r="J375" s="106"/>
      <c r="K375" s="106"/>
      <c r="L375" s="106"/>
      <c r="M375" s="106"/>
      <c r="N375" s="106"/>
      <c r="O375" s="106"/>
      <c r="P375" s="106"/>
      <c r="Q375" s="106"/>
      <c r="R375" s="106"/>
      <c r="S375" s="106"/>
      <c r="T375" s="106"/>
      <c r="U375" s="106"/>
    </row>
    <row r="376">
      <c r="A376" s="123">
        <v>14.0</v>
      </c>
      <c r="B376" s="94" t="s">
        <v>7584</v>
      </c>
      <c r="C376" s="124">
        <v>2.42510149E8</v>
      </c>
      <c r="D376" s="94" t="s">
        <v>9047</v>
      </c>
      <c r="E376" s="125" t="s">
        <v>6134</v>
      </c>
      <c r="F376" s="126">
        <f>COUNTIFS('Database Presensi SCC'!$B:$B, "*"&amp;IF(B378&lt;&gt;"", B378, C378)&amp;"*", 'Database Presensi SCC'!$C:$C, "Hadir")</f>
        <v>0</v>
      </c>
      <c r="G376" s="126">
        <f>IFERROR(__xludf.DUMMYFUNCTION("COUNTUNIQUEIFS('Database Presensi SCC'!$K:$K, 'Database Presensi SCC'!$H:$H, E378)"),0.0)</f>
        <v>0</v>
      </c>
      <c r="H376" s="126">
        <f t="shared" si="4"/>
        <v>0</v>
      </c>
      <c r="I376" s="106"/>
      <c r="J376" s="106"/>
      <c r="K376" s="106"/>
      <c r="L376" s="106"/>
      <c r="M376" s="106"/>
      <c r="N376" s="106"/>
      <c r="O376" s="106"/>
      <c r="P376" s="106"/>
      <c r="Q376" s="106"/>
      <c r="R376" s="106"/>
      <c r="S376" s="106"/>
      <c r="T376" s="106"/>
      <c r="U376" s="106"/>
    </row>
    <row r="377">
      <c r="A377" s="123">
        <v>15.0</v>
      </c>
      <c r="B377" s="94" t="s">
        <v>7076</v>
      </c>
      <c r="C377" s="124">
        <v>2.42510171E8</v>
      </c>
      <c r="D377" s="94" t="s">
        <v>9048</v>
      </c>
      <c r="E377" s="125" t="s">
        <v>6134</v>
      </c>
      <c r="F377" s="126">
        <f>COUNTIFS('Database Presensi SCC'!$B:$B, "*"&amp;IF(B379&lt;&gt;"", B379, C379)&amp;"*", 'Database Presensi SCC'!$C:$C, "Hadir")</f>
        <v>0</v>
      </c>
      <c r="G377" s="126">
        <f>IFERROR(__xludf.DUMMYFUNCTION("COUNTUNIQUEIFS('Database Presensi SCC'!$K:$K, 'Database Presensi SCC'!$H:$H, E379)"),0.0)</f>
        <v>0</v>
      </c>
      <c r="H377" s="126">
        <f t="shared" si="4"/>
        <v>0</v>
      </c>
      <c r="I377" s="106"/>
      <c r="J377" s="106"/>
      <c r="K377" s="106"/>
      <c r="L377" s="106"/>
      <c r="M377" s="106"/>
      <c r="N377" s="106"/>
      <c r="O377" s="106"/>
      <c r="P377" s="106"/>
      <c r="Q377" s="106"/>
      <c r="R377" s="106"/>
      <c r="S377" s="106"/>
      <c r="T377" s="106"/>
      <c r="U377" s="106"/>
    </row>
    <row r="378">
      <c r="A378" s="123">
        <v>16.0</v>
      </c>
      <c r="B378" s="94" t="s">
        <v>6990</v>
      </c>
      <c r="C378" s="124">
        <v>2.42510184E8</v>
      </c>
      <c r="D378" s="94" t="s">
        <v>9049</v>
      </c>
      <c r="E378" s="125" t="s">
        <v>6134</v>
      </c>
      <c r="F378" s="126">
        <f>COUNTIFS('Database Presensi SCC'!$B:$B, "*"&amp;IF(B380&lt;&gt;"", B380, C380)&amp;"*", 'Database Presensi SCC'!$C:$C, "Hadir")</f>
        <v>0</v>
      </c>
      <c r="G378" s="126">
        <f>IFERROR(__xludf.DUMMYFUNCTION("COUNTUNIQUEIFS('Database Presensi SCC'!$K:$K, 'Database Presensi SCC'!$H:$H, E380)"),0.0)</f>
        <v>0</v>
      </c>
      <c r="H378" s="126">
        <f t="shared" si="4"/>
        <v>0</v>
      </c>
      <c r="I378" s="106"/>
      <c r="J378" s="106"/>
      <c r="K378" s="106"/>
      <c r="L378" s="106"/>
      <c r="M378" s="106"/>
      <c r="N378" s="106"/>
      <c r="O378" s="106"/>
      <c r="P378" s="106"/>
      <c r="Q378" s="106"/>
      <c r="R378" s="106"/>
      <c r="S378" s="106"/>
      <c r="T378" s="106"/>
      <c r="U378" s="106"/>
    </row>
    <row r="379">
      <c r="A379" s="123">
        <v>17.0</v>
      </c>
      <c r="B379" s="92" t="s">
        <v>7596</v>
      </c>
      <c r="C379" s="124">
        <v>2.42510192E8</v>
      </c>
      <c r="D379" s="94" t="s">
        <v>9050</v>
      </c>
      <c r="E379" s="125" t="s">
        <v>6134</v>
      </c>
      <c r="F379" s="126">
        <f>COUNTIFS('Database Presensi SCC'!$B:$B, "*"&amp;IF(B381&lt;&gt;"", B381, C381)&amp;"*", 'Database Presensi SCC'!$C:$C, "Hadir")</f>
        <v>0</v>
      </c>
      <c r="G379" s="126">
        <f>IFERROR(__xludf.DUMMYFUNCTION("COUNTUNIQUEIFS('Database Presensi SCC'!$K:$K, 'Database Presensi SCC'!$H:$H, E381)"),0.0)</f>
        <v>0</v>
      </c>
      <c r="H379" s="126">
        <f t="shared" si="4"/>
        <v>0</v>
      </c>
      <c r="I379" s="106"/>
      <c r="J379" s="106"/>
      <c r="K379" s="106"/>
      <c r="L379" s="106"/>
      <c r="M379" s="106"/>
      <c r="N379" s="106"/>
      <c r="O379" s="106"/>
      <c r="P379" s="106"/>
      <c r="Q379" s="106"/>
      <c r="R379" s="106"/>
      <c r="S379" s="106"/>
      <c r="T379" s="106"/>
      <c r="U379" s="106"/>
    </row>
    <row r="380">
      <c r="A380" s="123">
        <v>18.0</v>
      </c>
      <c r="B380" s="94" t="s">
        <v>6857</v>
      </c>
      <c r="C380" s="124">
        <v>2.42510201E8</v>
      </c>
      <c r="D380" s="94" t="s">
        <v>9051</v>
      </c>
      <c r="E380" s="125" t="s">
        <v>6134</v>
      </c>
      <c r="F380" s="126">
        <f>COUNTIFS('Database Presensi SCC'!$B:$B, "*"&amp;IF(B382&lt;&gt;"", B382, C382)&amp;"*", 'Database Presensi SCC'!$C:$C, "Hadir")</f>
        <v>0</v>
      </c>
      <c r="G380" s="126">
        <f>IFERROR(__xludf.DUMMYFUNCTION("COUNTUNIQUEIFS('Database Presensi SCC'!$K:$K, 'Database Presensi SCC'!$H:$H, E382)"),0.0)</f>
        <v>0</v>
      </c>
      <c r="H380" s="126">
        <f t="shared" si="4"/>
        <v>0</v>
      </c>
      <c r="I380" s="106"/>
      <c r="J380" s="106"/>
      <c r="K380" s="106"/>
      <c r="L380" s="106"/>
      <c r="M380" s="106"/>
      <c r="N380" s="106"/>
      <c r="O380" s="106"/>
      <c r="P380" s="106"/>
      <c r="Q380" s="106"/>
      <c r="R380" s="106"/>
      <c r="S380" s="106"/>
      <c r="T380" s="106"/>
      <c r="U380" s="106"/>
    </row>
    <row r="381">
      <c r="A381" s="123">
        <v>19.0</v>
      </c>
      <c r="B381" s="94" t="s">
        <v>7090</v>
      </c>
      <c r="C381" s="124">
        <v>2.42510241E8</v>
      </c>
      <c r="D381" s="94" t="s">
        <v>9052</v>
      </c>
      <c r="E381" s="125" t="s">
        <v>6134</v>
      </c>
      <c r="F381" s="126">
        <f>COUNTIFS('Database Presensi SCC'!$B:$B, "*"&amp;IF(B383&lt;&gt;"", B383, C383)&amp;"*", 'Database Presensi SCC'!$C:$C, "Hadir")</f>
        <v>0</v>
      </c>
      <c r="G381" s="126">
        <f>IFERROR(__xludf.DUMMYFUNCTION("COUNTUNIQUEIFS('Database Presensi SCC'!$K:$K, 'Database Presensi SCC'!$H:$H, E383)"),0.0)</f>
        <v>0</v>
      </c>
      <c r="H381" s="126">
        <f t="shared" si="4"/>
        <v>0</v>
      </c>
      <c r="I381" s="106"/>
      <c r="J381" s="106"/>
      <c r="K381" s="106"/>
      <c r="L381" s="106"/>
      <c r="M381" s="106"/>
      <c r="N381" s="106"/>
      <c r="O381" s="106"/>
      <c r="P381" s="106"/>
      <c r="Q381" s="106"/>
      <c r="R381" s="106"/>
      <c r="S381" s="106"/>
      <c r="T381" s="106"/>
      <c r="U381" s="106"/>
    </row>
    <row r="382">
      <c r="A382" s="123">
        <v>20.0</v>
      </c>
      <c r="B382" s="94" t="s">
        <v>7524</v>
      </c>
      <c r="C382" s="124">
        <v>2.42510263E8</v>
      </c>
      <c r="D382" s="94" t="s">
        <v>9053</v>
      </c>
      <c r="E382" s="125" t="s">
        <v>6134</v>
      </c>
      <c r="F382" s="126">
        <f>COUNTIFS('Database Presensi SCC'!$B:$B, "*"&amp;IF(B384&lt;&gt;"", B384, C384)&amp;"*", 'Database Presensi SCC'!$C:$C, "Hadir")</f>
        <v>0</v>
      </c>
      <c r="G382" s="126">
        <f>IFERROR(__xludf.DUMMYFUNCTION("COUNTUNIQUEIFS('Database Presensi SCC'!$K:$K, 'Database Presensi SCC'!$H:$H, E384)"),0.0)</f>
        <v>0</v>
      </c>
      <c r="H382" s="126">
        <f t="shared" si="4"/>
        <v>0</v>
      </c>
      <c r="I382" s="106"/>
      <c r="J382" s="106"/>
      <c r="K382" s="106"/>
      <c r="L382" s="106"/>
      <c r="M382" s="106"/>
      <c r="N382" s="106"/>
      <c r="O382" s="106"/>
      <c r="P382" s="106"/>
      <c r="Q382" s="106"/>
      <c r="R382" s="106"/>
      <c r="S382" s="106"/>
      <c r="T382" s="106"/>
      <c r="U382" s="106"/>
    </row>
    <row r="383">
      <c r="A383" s="123">
        <v>21.0</v>
      </c>
      <c r="B383" s="94" t="s">
        <v>7463</v>
      </c>
      <c r="C383" s="124">
        <v>2.42510275E8</v>
      </c>
      <c r="D383" s="94" t="s">
        <v>9054</v>
      </c>
      <c r="E383" s="125" t="s">
        <v>6134</v>
      </c>
      <c r="F383" s="126">
        <f>COUNTIFS('Database Presensi SCC'!$B:$B, "*"&amp;IF(B385&lt;&gt;"", B385, C385)&amp;"*", 'Database Presensi SCC'!$C:$C, "Hadir")</f>
        <v>0</v>
      </c>
      <c r="G383" s="126">
        <f>IFERROR(__xludf.DUMMYFUNCTION("COUNTUNIQUEIFS('Database Presensi SCC'!$K:$K, 'Database Presensi SCC'!$H:$H, E385)"),0.0)</f>
        <v>0</v>
      </c>
      <c r="H383" s="126">
        <f t="shared" si="4"/>
        <v>0</v>
      </c>
      <c r="I383" s="106"/>
      <c r="J383" s="106"/>
      <c r="K383" s="106"/>
      <c r="L383" s="106"/>
      <c r="M383" s="106"/>
      <c r="N383" s="106"/>
      <c r="O383" s="106"/>
      <c r="P383" s="106"/>
      <c r="Q383" s="106"/>
      <c r="R383" s="106"/>
      <c r="S383" s="106"/>
      <c r="T383" s="106"/>
      <c r="U383" s="106"/>
    </row>
    <row r="384">
      <c r="A384" s="123">
        <v>22.0</v>
      </c>
      <c r="B384" s="94" t="s">
        <v>7014</v>
      </c>
      <c r="C384" s="124">
        <v>2.42510278E8</v>
      </c>
      <c r="D384" s="94" t="s">
        <v>9055</v>
      </c>
      <c r="E384" s="125" t="s">
        <v>6134</v>
      </c>
      <c r="F384" s="126">
        <f>COUNTIFS('Database Presensi SCC'!$B:$B, "*"&amp;IF(B386&lt;&gt;"", B386, C386)&amp;"*", 'Database Presensi SCC'!$C:$C, "Hadir")</f>
        <v>0</v>
      </c>
      <c r="G384" s="126">
        <f>IFERROR(__xludf.DUMMYFUNCTION("COUNTUNIQUEIFS('Database Presensi SCC'!$K:$K, 'Database Presensi SCC'!$H:$H, E386)"),0.0)</f>
        <v>0</v>
      </c>
      <c r="H384" s="126">
        <f t="shared" si="4"/>
        <v>0</v>
      </c>
      <c r="I384" s="106"/>
      <c r="J384" s="106"/>
      <c r="K384" s="106"/>
      <c r="L384" s="106"/>
      <c r="M384" s="106"/>
      <c r="N384" s="106"/>
      <c r="O384" s="106"/>
      <c r="P384" s="106"/>
      <c r="Q384" s="106"/>
      <c r="R384" s="106"/>
      <c r="S384" s="106"/>
      <c r="T384" s="106"/>
      <c r="U384" s="106"/>
    </row>
    <row r="385">
      <c r="A385" s="123">
        <v>23.0</v>
      </c>
      <c r="B385" s="94" t="s">
        <v>7238</v>
      </c>
      <c r="C385" s="124">
        <v>2.42510287E8</v>
      </c>
      <c r="D385" s="94" t="s">
        <v>9056</v>
      </c>
      <c r="E385" s="125" t="s">
        <v>6134</v>
      </c>
      <c r="F385" s="126">
        <f>COUNTIFS('Database Presensi SCC'!$B:$B, "*"&amp;IF(B387&lt;&gt;"", B387, C387)&amp;"*", 'Database Presensi SCC'!$C:$C, "Hadir")</f>
        <v>0</v>
      </c>
      <c r="G385" s="126">
        <f>IFERROR(__xludf.DUMMYFUNCTION("COUNTUNIQUEIFS('Database Presensi SCC'!$K:$K, 'Database Presensi SCC'!$H:$H, E387)"),0.0)</f>
        <v>0</v>
      </c>
      <c r="H385" s="126">
        <f t="shared" si="4"/>
        <v>0</v>
      </c>
      <c r="I385" s="106"/>
      <c r="J385" s="106"/>
      <c r="K385" s="106"/>
      <c r="L385" s="106"/>
      <c r="M385" s="106"/>
      <c r="N385" s="106"/>
      <c r="O385" s="106"/>
      <c r="P385" s="106"/>
      <c r="Q385" s="106"/>
      <c r="R385" s="106"/>
      <c r="S385" s="106"/>
      <c r="T385" s="106"/>
      <c r="U385" s="106"/>
    </row>
    <row r="386">
      <c r="A386" s="123">
        <v>24.0</v>
      </c>
      <c r="B386" s="94" t="s">
        <v>7159</v>
      </c>
      <c r="C386" s="124">
        <v>2.42510289E8</v>
      </c>
      <c r="D386" s="94" t="s">
        <v>9057</v>
      </c>
      <c r="E386" s="125" t="s">
        <v>6134</v>
      </c>
      <c r="F386" s="126">
        <f>COUNTIFS('Database Presensi SCC'!$B:$B, "*"&amp;IF(B388&lt;&gt;"", B388, C388)&amp;"*", 'Database Presensi SCC'!$C:$C, "Hadir")</f>
        <v>0</v>
      </c>
      <c r="G386" s="126">
        <f>IFERROR(__xludf.DUMMYFUNCTION("COUNTUNIQUEIFS('Database Presensi SCC'!$K:$K, 'Database Presensi SCC'!$H:$H, E388)"),0.0)</f>
        <v>0</v>
      </c>
      <c r="H386" s="126">
        <f t="shared" si="4"/>
        <v>0</v>
      </c>
      <c r="I386" s="106"/>
      <c r="J386" s="106"/>
      <c r="K386" s="106"/>
      <c r="L386" s="106"/>
      <c r="M386" s="106"/>
      <c r="N386" s="106"/>
      <c r="O386" s="106"/>
      <c r="P386" s="106"/>
      <c r="Q386" s="106"/>
      <c r="R386" s="106"/>
      <c r="S386" s="106"/>
      <c r="T386" s="106"/>
      <c r="U386" s="106"/>
    </row>
    <row r="387">
      <c r="A387" s="123">
        <v>25.0</v>
      </c>
      <c r="B387" s="94" t="s">
        <v>7161</v>
      </c>
      <c r="C387" s="124">
        <v>2.42510292E8</v>
      </c>
      <c r="D387" s="94" t="s">
        <v>9058</v>
      </c>
      <c r="E387" s="125" t="s">
        <v>6134</v>
      </c>
      <c r="F387" s="126">
        <f>COUNTIFS('Database Presensi SCC'!$B:$B, "*"&amp;IF(B389&lt;&gt;"", B389, C389)&amp;"*", 'Database Presensi SCC'!$C:$C, "Hadir")</f>
        <v>0</v>
      </c>
      <c r="G387" s="126">
        <f>IFERROR(__xludf.DUMMYFUNCTION("COUNTUNIQUEIFS('Database Presensi SCC'!$K:$K, 'Database Presensi SCC'!$H:$H, E389)"),0.0)</f>
        <v>0</v>
      </c>
      <c r="H387" s="126">
        <f t="shared" si="4"/>
        <v>0</v>
      </c>
      <c r="I387" s="106"/>
      <c r="J387" s="106"/>
      <c r="K387" s="106"/>
      <c r="L387" s="106"/>
      <c r="M387" s="106"/>
      <c r="N387" s="106"/>
      <c r="O387" s="106"/>
      <c r="P387" s="106"/>
      <c r="Q387" s="106"/>
      <c r="R387" s="106"/>
      <c r="S387" s="106"/>
      <c r="T387" s="106"/>
      <c r="U387" s="106"/>
    </row>
    <row r="388">
      <c r="A388" s="123">
        <v>26.0</v>
      </c>
      <c r="B388" s="92" t="s">
        <v>7530</v>
      </c>
      <c r="C388" s="124">
        <v>2.42510293E8</v>
      </c>
      <c r="D388" s="94" t="s">
        <v>9059</v>
      </c>
      <c r="E388" s="125" t="s">
        <v>6134</v>
      </c>
      <c r="F388" s="126">
        <f>COUNTIFS('Database Presensi SCC'!$B:$B, "*"&amp;IF(B390&lt;&gt;"", B390, C390)&amp;"*", 'Database Presensi SCC'!$C:$C, "Hadir")</f>
        <v>0</v>
      </c>
      <c r="G388" s="126">
        <f>IFERROR(__xludf.DUMMYFUNCTION("COUNTUNIQUEIFS('Database Presensi SCC'!$K:$K, 'Database Presensi SCC'!$H:$H, E390)"),0.0)</f>
        <v>0</v>
      </c>
      <c r="H388" s="126">
        <f t="shared" si="4"/>
        <v>0</v>
      </c>
      <c r="I388" s="106"/>
      <c r="J388" s="106"/>
      <c r="K388" s="106"/>
      <c r="L388" s="106"/>
      <c r="M388" s="106"/>
      <c r="N388" s="106"/>
      <c r="O388" s="106"/>
      <c r="P388" s="106"/>
      <c r="Q388" s="106"/>
      <c r="R388" s="106"/>
      <c r="S388" s="106"/>
      <c r="T388" s="106"/>
      <c r="U388" s="106"/>
    </row>
    <row r="389">
      <c r="A389" s="123">
        <v>27.0</v>
      </c>
      <c r="B389" s="94" t="s">
        <v>7691</v>
      </c>
      <c r="C389" s="124">
        <v>2.42510307E8</v>
      </c>
      <c r="D389" s="94" t="s">
        <v>9060</v>
      </c>
      <c r="E389" s="125" t="s">
        <v>6134</v>
      </c>
      <c r="F389" s="126">
        <f>COUNTIFS('Database Presensi SCC'!$B:$B, "*"&amp;IF(B391&lt;&gt;"", B391, C391)&amp;"*", 'Database Presensi SCC'!$C:$C, "Hadir")</f>
        <v>0</v>
      </c>
      <c r="G389" s="126">
        <f>IFERROR(__xludf.DUMMYFUNCTION("COUNTUNIQUEIFS('Database Presensi SCC'!$K:$K, 'Database Presensi SCC'!$H:$H, E391)"),0.0)</f>
        <v>0</v>
      </c>
      <c r="H389" s="126">
        <f t="shared" si="4"/>
        <v>0</v>
      </c>
      <c r="I389" s="106"/>
      <c r="J389" s="106"/>
      <c r="K389" s="106"/>
      <c r="L389" s="106"/>
      <c r="M389" s="106"/>
      <c r="N389" s="106"/>
      <c r="O389" s="106"/>
      <c r="P389" s="106"/>
      <c r="Q389" s="106"/>
      <c r="R389" s="106"/>
      <c r="S389" s="106"/>
      <c r="T389" s="106"/>
      <c r="U389" s="106"/>
    </row>
    <row r="390">
      <c r="A390" s="123">
        <v>28.0</v>
      </c>
      <c r="B390" s="92" t="s">
        <v>7171</v>
      </c>
      <c r="C390" s="124">
        <v>2.42510319E8</v>
      </c>
      <c r="D390" s="94" t="s">
        <v>9061</v>
      </c>
      <c r="E390" s="125" t="s">
        <v>6134</v>
      </c>
      <c r="F390" s="126">
        <f>COUNTIFS('Database Presensi SCC'!$B:$B, "*"&amp;IF(B392&lt;&gt;"", B392, C392)&amp;"*", 'Database Presensi SCC'!$C:$C, "Hadir")</f>
        <v>0</v>
      </c>
      <c r="G390" s="126">
        <f>IFERROR(__xludf.DUMMYFUNCTION("COUNTUNIQUEIFS('Database Presensi SCC'!$K:$K, 'Database Presensi SCC'!$H:$H, E392)"),0.0)</f>
        <v>0</v>
      </c>
      <c r="H390" s="126">
        <f t="shared" si="4"/>
        <v>0</v>
      </c>
      <c r="I390" s="106"/>
      <c r="J390" s="106"/>
      <c r="K390" s="106"/>
      <c r="L390" s="106"/>
      <c r="M390" s="106"/>
      <c r="N390" s="106"/>
      <c r="O390" s="106"/>
      <c r="P390" s="106"/>
      <c r="Q390" s="106"/>
      <c r="R390" s="106"/>
      <c r="S390" s="106"/>
      <c r="T390" s="106"/>
      <c r="U390" s="106"/>
    </row>
    <row r="391">
      <c r="A391" s="123">
        <v>29.0</v>
      </c>
      <c r="B391" s="94" t="s">
        <v>7173</v>
      </c>
      <c r="C391" s="124">
        <v>2.4251032E8</v>
      </c>
      <c r="D391" s="94" t="s">
        <v>9062</v>
      </c>
      <c r="E391" s="125" t="s">
        <v>6134</v>
      </c>
      <c r="F391" s="126">
        <f>COUNTIFS('Database Presensi SCC'!$B:$B, "*"&amp;IF(B393&lt;&gt;"", B393, C393)&amp;"*", 'Database Presensi SCC'!$C:$C, "Hadir")</f>
        <v>0</v>
      </c>
      <c r="G391" s="126">
        <f>IFERROR(__xludf.DUMMYFUNCTION("COUNTUNIQUEIFS('Database Presensi SCC'!$K:$K, 'Database Presensi SCC'!$H:$H, E393)"),0.0)</f>
        <v>0</v>
      </c>
      <c r="H391" s="126">
        <f t="shared" si="4"/>
        <v>0</v>
      </c>
      <c r="I391" s="106"/>
      <c r="J391" s="106"/>
      <c r="K391" s="106"/>
      <c r="L391" s="106"/>
      <c r="M391" s="106"/>
      <c r="N391" s="106"/>
      <c r="O391" s="106"/>
      <c r="P391" s="106"/>
      <c r="Q391" s="106"/>
      <c r="R391" s="106"/>
      <c r="S391" s="106"/>
      <c r="T391" s="106"/>
      <c r="U391" s="106"/>
    </row>
    <row r="392">
      <c r="A392" s="123">
        <v>30.0</v>
      </c>
      <c r="B392" s="94" t="s">
        <v>6874</v>
      </c>
      <c r="C392" s="124">
        <v>2.42510323E8</v>
      </c>
      <c r="D392" s="94" t="s">
        <v>9063</v>
      </c>
      <c r="E392" s="125" t="s">
        <v>6134</v>
      </c>
      <c r="F392" s="126">
        <f>COUNTIFS('Database Presensi SCC'!$B:$B, "*"&amp;IF(B394&lt;&gt;"", B394, C394)&amp;"*", 'Database Presensi SCC'!$C:$C, "Hadir")</f>
        <v>0</v>
      </c>
      <c r="G392" s="126">
        <f>IFERROR(__xludf.DUMMYFUNCTION("COUNTUNIQUEIFS('Database Presensi SCC'!$K:$K, 'Database Presensi SCC'!$H:$H, E394)"),0.0)</f>
        <v>0</v>
      </c>
      <c r="H392" s="126">
        <f t="shared" si="4"/>
        <v>0</v>
      </c>
      <c r="I392" s="106"/>
      <c r="J392" s="106"/>
      <c r="K392" s="106"/>
      <c r="L392" s="106"/>
      <c r="M392" s="106"/>
      <c r="N392" s="106"/>
      <c r="O392" s="106"/>
      <c r="P392" s="106"/>
      <c r="Q392" s="106"/>
      <c r="R392" s="106"/>
      <c r="S392" s="106"/>
      <c r="T392" s="106"/>
      <c r="U392" s="106"/>
    </row>
    <row r="393">
      <c r="A393" s="123">
        <v>31.0</v>
      </c>
      <c r="B393" s="94" t="s">
        <v>6955</v>
      </c>
      <c r="C393" s="124">
        <v>2.42510354E8</v>
      </c>
      <c r="D393" s="94" t="s">
        <v>9064</v>
      </c>
      <c r="E393" s="125" t="s">
        <v>6134</v>
      </c>
      <c r="F393" s="126">
        <f>COUNTIFS('Database Presensi SCC'!$B:$B, "*"&amp;IF(B395&lt;&gt;"", B395, C395)&amp;"*", 'Database Presensi SCC'!$C:$C, "Hadir")</f>
        <v>0</v>
      </c>
      <c r="G393" s="126">
        <f>IFERROR(__xludf.DUMMYFUNCTION("COUNTUNIQUEIFS('Database Presensi SCC'!$K:$K, 'Database Presensi SCC'!$H:$H, E395)"),0.0)</f>
        <v>0</v>
      </c>
      <c r="H393" s="126">
        <f t="shared" si="4"/>
        <v>0</v>
      </c>
      <c r="I393" s="106"/>
      <c r="J393" s="106"/>
      <c r="K393" s="106"/>
      <c r="L393" s="106"/>
      <c r="M393" s="106"/>
      <c r="N393" s="106"/>
      <c r="O393" s="106"/>
      <c r="P393" s="106"/>
      <c r="Q393" s="106"/>
      <c r="R393" s="106"/>
      <c r="S393" s="106"/>
      <c r="T393" s="106"/>
      <c r="U393" s="106"/>
    </row>
    <row r="394">
      <c r="A394" s="123">
        <v>32.0</v>
      </c>
      <c r="B394" s="94" t="s">
        <v>7404</v>
      </c>
      <c r="C394" s="124">
        <v>2.42510379E8</v>
      </c>
      <c r="D394" s="94" t="s">
        <v>9065</v>
      </c>
      <c r="E394" s="125" t="s">
        <v>6134</v>
      </c>
      <c r="F394" s="126">
        <f>COUNTIFS('Database Presensi SCC'!$B:$B, "*"&amp;IF(B396&lt;&gt;"", B396, C396)&amp;"*", 'Database Presensi SCC'!$C:$C, "Hadir")</f>
        <v>0</v>
      </c>
      <c r="G394" s="126">
        <f>IFERROR(__xludf.DUMMYFUNCTION("COUNTUNIQUEIFS('Database Presensi SCC'!$K:$K, 'Database Presensi SCC'!$H:$H, E396)"),0.0)</f>
        <v>0</v>
      </c>
      <c r="H394" s="126">
        <f t="shared" si="4"/>
        <v>0</v>
      </c>
      <c r="I394" s="106"/>
      <c r="J394" s="106"/>
      <c r="K394" s="106"/>
      <c r="L394" s="106"/>
      <c r="M394" s="106"/>
      <c r="N394" s="106"/>
      <c r="O394" s="106"/>
      <c r="P394" s="106"/>
      <c r="Q394" s="106"/>
      <c r="R394" s="106"/>
      <c r="S394" s="106"/>
      <c r="T394" s="106"/>
      <c r="U394" s="106"/>
    </row>
    <row r="395">
      <c r="A395" s="123">
        <v>33.0</v>
      </c>
      <c r="B395" s="92" t="s">
        <v>7406</v>
      </c>
      <c r="C395" s="124">
        <v>2.42510385E8</v>
      </c>
      <c r="D395" s="94" t="s">
        <v>9066</v>
      </c>
      <c r="E395" s="125" t="s">
        <v>6134</v>
      </c>
      <c r="F395" s="126">
        <f>COUNTIFS('Database Presensi SCC'!$B:$B, "*"&amp;IF(B397&lt;&gt;"", B397, C397)&amp;"*", 'Database Presensi SCC'!$C:$C, "Hadir")</f>
        <v>0</v>
      </c>
      <c r="G395" s="126">
        <f>IFERROR(__xludf.DUMMYFUNCTION("COUNTUNIQUEIFS('Database Presensi SCC'!$K:$K, 'Database Presensi SCC'!$H:$H, E397)"),0.0)</f>
        <v>0</v>
      </c>
      <c r="H395" s="126">
        <f t="shared" si="4"/>
        <v>0</v>
      </c>
      <c r="I395" s="106"/>
      <c r="J395" s="106"/>
      <c r="K395" s="106"/>
      <c r="L395" s="106"/>
      <c r="M395" s="106"/>
      <c r="N395" s="106"/>
      <c r="O395" s="106"/>
      <c r="P395" s="106"/>
      <c r="Q395" s="106"/>
      <c r="R395" s="106"/>
      <c r="S395" s="106"/>
      <c r="T395" s="106"/>
      <c r="U395" s="106"/>
    </row>
    <row r="396">
      <c r="A396" s="123">
        <v>34.0</v>
      </c>
      <c r="B396" s="94" t="s">
        <v>7116</v>
      </c>
      <c r="C396" s="124">
        <v>2.42510392E8</v>
      </c>
      <c r="D396" s="94" t="s">
        <v>9067</v>
      </c>
      <c r="E396" s="125" t="s">
        <v>6134</v>
      </c>
      <c r="F396" s="126">
        <f>COUNTIFS('Database Presensi SCC'!$B:$B, "*"&amp;IF(B398&lt;&gt;"", B398, C398)&amp;"*", 'Database Presensi SCC'!$C:$C, "Hadir")</f>
        <v>0</v>
      </c>
      <c r="G396" s="126">
        <f>IFERROR(__xludf.DUMMYFUNCTION("COUNTUNIQUEIFS('Database Presensi SCC'!$K:$K, 'Database Presensi SCC'!$H:$H, E398)"),0.0)</f>
        <v>0</v>
      </c>
      <c r="H396" s="126">
        <f t="shared" si="4"/>
        <v>0</v>
      </c>
      <c r="I396" s="106"/>
      <c r="J396" s="106"/>
      <c r="K396" s="106"/>
      <c r="L396" s="106"/>
      <c r="M396" s="106"/>
      <c r="N396" s="106"/>
      <c r="O396" s="106"/>
      <c r="P396" s="106"/>
      <c r="Q396" s="106"/>
      <c r="R396" s="106"/>
      <c r="S396" s="106"/>
      <c r="T396" s="106"/>
      <c r="U396" s="106"/>
    </row>
    <row r="397">
      <c r="A397" s="123">
        <v>35.0</v>
      </c>
      <c r="B397" s="94" t="s">
        <v>7036</v>
      </c>
      <c r="C397" s="124">
        <v>2.42510405E8</v>
      </c>
      <c r="D397" s="94" t="s">
        <v>9068</v>
      </c>
      <c r="E397" s="125" t="s">
        <v>6134</v>
      </c>
      <c r="F397" s="126">
        <f>COUNTIFS('Database Presensi SCC'!$B:$B, "*"&amp;IF(B399&lt;&gt;"", B399, C399)&amp;"*", 'Database Presensi SCC'!$C:$C, "Hadir")</f>
        <v>0</v>
      </c>
      <c r="G397" s="126">
        <f>IFERROR(__xludf.DUMMYFUNCTION("COUNTUNIQUEIFS('Database Presensi SCC'!$K:$K, 'Database Presensi SCC'!$H:$H, E399)"),0.0)</f>
        <v>0</v>
      </c>
      <c r="H397" s="126">
        <f t="shared" si="4"/>
        <v>0</v>
      </c>
      <c r="I397" s="106"/>
      <c r="J397" s="106"/>
      <c r="K397" s="106"/>
      <c r="L397" s="106"/>
      <c r="M397" s="106"/>
      <c r="N397" s="106"/>
      <c r="O397" s="106"/>
      <c r="P397" s="106"/>
      <c r="Q397" s="106"/>
      <c r="R397" s="106"/>
      <c r="S397" s="106"/>
      <c r="T397" s="106"/>
      <c r="U397" s="106"/>
    </row>
    <row r="398">
      <c r="A398" s="123">
        <v>36.0</v>
      </c>
      <c r="B398" s="92" t="s">
        <v>7329</v>
      </c>
      <c r="C398" s="124">
        <v>2.42510418E8</v>
      </c>
      <c r="D398" s="94" t="s">
        <v>9069</v>
      </c>
      <c r="E398" s="125" t="s">
        <v>6134</v>
      </c>
      <c r="F398" s="126">
        <f>COUNTIFS('Database Presensi SCC'!$B:$B, "*"&amp;IF(B400&lt;&gt;"", B400, C400)&amp;"*", 'Database Presensi SCC'!$C:$C, "Hadir")</f>
        <v>0</v>
      </c>
      <c r="G398" s="126">
        <f>IFERROR(__xludf.DUMMYFUNCTION("COUNTUNIQUEIFS('Database Presensi SCC'!$K:$K, 'Database Presensi SCC'!$H:$H, E400)"),0.0)</f>
        <v>0</v>
      </c>
      <c r="H398" s="126">
        <f t="shared" si="4"/>
        <v>0</v>
      </c>
      <c r="I398" s="106"/>
      <c r="J398" s="106"/>
      <c r="K398" s="106"/>
      <c r="L398" s="106"/>
      <c r="M398" s="106"/>
      <c r="N398" s="106"/>
      <c r="O398" s="106"/>
      <c r="P398" s="106"/>
      <c r="Q398" s="106"/>
      <c r="R398" s="106"/>
      <c r="S398" s="106"/>
      <c r="T398" s="106"/>
      <c r="U398" s="106"/>
    </row>
    <row r="399">
      <c r="A399" s="123">
        <v>37.0</v>
      </c>
      <c r="B399" s="127"/>
      <c r="C399" s="127"/>
      <c r="D399" s="127"/>
      <c r="E399" s="127"/>
      <c r="F399" s="126">
        <f>COUNTIFS('Database Presensi SCC'!$B:$B, "*"&amp;IF(B401&lt;&gt;"", B401, C401)&amp;"*", 'Database Presensi SCC'!$C:$C, "Hadir")</f>
        <v>0</v>
      </c>
      <c r="G399" s="126">
        <f>IFERROR(__xludf.DUMMYFUNCTION("COUNTUNIQUEIFS('Database Presensi SCC'!$K:$K, 'Database Presensi SCC'!$H:$H, E401)"),0.0)</f>
        <v>0</v>
      </c>
      <c r="H399" s="126">
        <f t="shared" si="4"/>
        <v>0</v>
      </c>
      <c r="I399" s="106"/>
      <c r="J399" s="106"/>
      <c r="K399" s="106"/>
      <c r="L399" s="106"/>
      <c r="M399" s="106"/>
      <c r="N399" s="106"/>
      <c r="O399" s="106"/>
      <c r="P399" s="106"/>
      <c r="Q399" s="106"/>
      <c r="R399" s="106"/>
      <c r="S399" s="106"/>
      <c r="T399" s="106"/>
      <c r="U399" s="106"/>
    </row>
    <row r="400">
      <c r="A400" s="123">
        <v>38.0</v>
      </c>
      <c r="B400" s="127"/>
      <c r="C400" s="127"/>
      <c r="D400" s="127"/>
      <c r="E400" s="127"/>
      <c r="F400" s="128"/>
      <c r="G400" s="128"/>
      <c r="H400" s="128"/>
      <c r="I400" s="106"/>
      <c r="J400" s="106"/>
      <c r="K400" s="106"/>
      <c r="L400" s="106"/>
      <c r="M400" s="106"/>
      <c r="N400" s="106"/>
      <c r="O400" s="106"/>
      <c r="P400" s="106"/>
      <c r="Q400" s="106"/>
      <c r="R400" s="106"/>
      <c r="S400" s="106"/>
      <c r="T400" s="106"/>
      <c r="U400" s="106"/>
    </row>
    <row r="401">
      <c r="A401" s="129"/>
      <c r="B401" s="130" t="s">
        <v>8789</v>
      </c>
      <c r="C401" s="129"/>
      <c r="D401" s="131">
        <f>COUNTIF(E363:E400,"L")</f>
        <v>0</v>
      </c>
      <c r="E401" s="129"/>
      <c r="F401" s="129"/>
      <c r="G401" s="129"/>
      <c r="H401" s="129"/>
      <c r="I401" s="129"/>
      <c r="J401" s="129"/>
      <c r="K401" s="129"/>
      <c r="L401" s="129"/>
      <c r="M401" s="129"/>
      <c r="N401" s="129"/>
      <c r="O401" s="129"/>
      <c r="P401" s="129"/>
      <c r="Q401" s="129"/>
      <c r="R401" s="129"/>
      <c r="S401" s="129"/>
      <c r="T401" s="129"/>
    </row>
    <row r="402">
      <c r="A402" s="129"/>
      <c r="B402" s="130" t="s">
        <v>8790</v>
      </c>
      <c r="C402" s="129"/>
      <c r="D402" s="131">
        <f>COUNTIF(E363:E400,"P")</f>
        <v>0</v>
      </c>
      <c r="E402" s="129"/>
      <c r="F402" s="129"/>
      <c r="G402" s="129"/>
      <c r="H402" s="129"/>
      <c r="I402" s="129"/>
      <c r="J402" s="129"/>
      <c r="K402" s="144" t="s">
        <v>8791</v>
      </c>
      <c r="L402" s="141"/>
      <c r="M402" s="141"/>
      <c r="N402" s="141"/>
      <c r="O402" s="141"/>
      <c r="P402" s="141"/>
      <c r="Q402" s="141"/>
      <c r="R402" s="141"/>
      <c r="S402" s="141"/>
      <c r="T402" s="141"/>
    </row>
    <row r="403">
      <c r="A403" s="129"/>
      <c r="B403" s="130" t="s">
        <v>8792</v>
      </c>
      <c r="C403" s="129"/>
      <c r="D403" s="131">
        <f>SUM(D401:D402)</f>
        <v>0</v>
      </c>
      <c r="E403" s="129"/>
      <c r="F403" s="129"/>
      <c r="G403" s="129"/>
      <c r="H403" s="129"/>
      <c r="I403" s="129"/>
      <c r="J403" s="129"/>
      <c r="K403" s="132" t="s">
        <v>8793</v>
      </c>
      <c r="L403" s="133"/>
      <c r="M403" s="133"/>
      <c r="N403" s="133"/>
      <c r="O403" s="133"/>
      <c r="P403" s="133"/>
      <c r="Q403" s="133"/>
      <c r="R403" s="133"/>
      <c r="S403" s="133"/>
      <c r="T403" s="134"/>
    </row>
    <row r="404">
      <c r="A404" s="129"/>
      <c r="B404" s="129"/>
      <c r="C404" s="129"/>
      <c r="D404" s="129"/>
      <c r="E404" s="129"/>
      <c r="F404" s="129"/>
      <c r="G404" s="129"/>
      <c r="H404" s="129"/>
      <c r="I404" s="129"/>
      <c r="J404" s="129"/>
      <c r="K404" s="141"/>
      <c r="L404" s="141"/>
      <c r="M404" s="141"/>
      <c r="N404" s="141"/>
      <c r="O404" s="141"/>
      <c r="P404" s="141"/>
      <c r="Q404" s="141"/>
      <c r="R404" s="141"/>
      <c r="S404" s="141"/>
      <c r="T404" s="141"/>
    </row>
    <row r="405">
      <c r="A405" s="97" t="s">
        <v>8743</v>
      </c>
      <c r="B405" s="97"/>
      <c r="C405" s="97"/>
      <c r="D405" s="97"/>
      <c r="E405" s="97"/>
      <c r="F405" s="97"/>
      <c r="G405" s="97"/>
      <c r="H405" s="97"/>
      <c r="I405" s="97"/>
      <c r="J405" s="97"/>
      <c r="K405" s="97"/>
      <c r="L405" s="97"/>
      <c r="M405" s="97"/>
      <c r="N405" s="97"/>
      <c r="O405" s="97"/>
      <c r="P405" s="97"/>
      <c r="Q405" s="97"/>
      <c r="R405" s="97"/>
      <c r="S405" s="97"/>
      <c r="T405" s="97"/>
    </row>
    <row r="406">
      <c r="A406" s="135" t="s">
        <v>8744</v>
      </c>
      <c r="B406" s="136"/>
      <c r="C406" s="136"/>
      <c r="D406" s="136"/>
      <c r="E406" s="136"/>
      <c r="F406" s="136"/>
      <c r="G406" s="136"/>
      <c r="H406" s="136"/>
      <c r="I406" s="136"/>
      <c r="J406" s="136"/>
      <c r="K406" s="136"/>
      <c r="L406" s="136"/>
      <c r="M406" s="136"/>
      <c r="N406" s="136"/>
      <c r="O406" s="136"/>
      <c r="P406" s="136"/>
      <c r="Q406" s="136"/>
      <c r="R406" s="136"/>
      <c r="S406" s="136"/>
      <c r="T406" s="137"/>
    </row>
    <row r="407">
      <c r="A407" s="102" t="s">
        <v>8745</v>
      </c>
      <c r="B407" s="103"/>
      <c r="C407" s="103"/>
      <c r="D407" s="103"/>
      <c r="E407" s="103"/>
      <c r="F407" s="103"/>
      <c r="G407" s="103"/>
      <c r="H407" s="103"/>
      <c r="I407" s="103"/>
      <c r="J407" s="103"/>
      <c r="K407" s="103"/>
      <c r="L407" s="103"/>
      <c r="M407" s="103"/>
      <c r="N407" s="103"/>
      <c r="O407" s="103"/>
      <c r="P407" s="103"/>
      <c r="Q407" s="103"/>
      <c r="R407" s="103"/>
      <c r="S407" s="103"/>
      <c r="T407" s="104"/>
    </row>
    <row r="408">
      <c r="A408" s="105" t="s">
        <v>9070</v>
      </c>
      <c r="B408" s="106"/>
      <c r="C408" s="106"/>
      <c r="D408" s="106"/>
      <c r="E408" s="106"/>
      <c r="F408" s="106"/>
      <c r="G408" s="106"/>
      <c r="H408" s="106"/>
      <c r="I408" s="106"/>
      <c r="J408" s="106"/>
      <c r="K408" s="106"/>
      <c r="L408" s="106"/>
      <c r="M408" s="106"/>
      <c r="N408" s="106"/>
      <c r="O408" s="106"/>
      <c r="P408" s="106"/>
      <c r="Q408" s="106"/>
      <c r="R408" s="106"/>
      <c r="S408" s="106"/>
      <c r="T408" s="107"/>
    </row>
    <row r="409">
      <c r="A409" s="108" t="s">
        <v>9071</v>
      </c>
      <c r="B409" s="109"/>
      <c r="C409" s="109"/>
      <c r="D409" s="109"/>
      <c r="E409" s="109"/>
      <c r="F409" s="110"/>
      <c r="G409" s="110"/>
      <c r="H409" s="110"/>
      <c r="I409" s="110"/>
      <c r="J409" s="110"/>
      <c r="K409" s="110"/>
      <c r="L409" s="110"/>
      <c r="M409" s="110"/>
      <c r="N409" s="110"/>
      <c r="O409" s="110"/>
      <c r="P409" s="110"/>
      <c r="Q409" s="110"/>
      <c r="R409" s="110"/>
      <c r="S409" s="110"/>
      <c r="T409" s="110"/>
    </row>
    <row r="410">
      <c r="A410" s="111" t="s">
        <v>8748</v>
      </c>
      <c r="B410" s="111" t="s">
        <v>9</v>
      </c>
      <c r="C410" s="111" t="s">
        <v>5246</v>
      </c>
      <c r="D410" s="111" t="s">
        <v>8680</v>
      </c>
      <c r="E410" s="138" t="s">
        <v>13</v>
      </c>
      <c r="F410" s="113" t="s">
        <v>8749</v>
      </c>
      <c r="G410" s="113" t="s">
        <v>8750</v>
      </c>
      <c r="H410" s="114" t="s">
        <v>217</v>
      </c>
      <c r="I410" s="106"/>
      <c r="J410" s="106"/>
      <c r="K410" s="106"/>
      <c r="L410" s="106"/>
      <c r="M410" s="106"/>
      <c r="N410" s="106"/>
      <c r="O410" s="106"/>
      <c r="P410" s="106"/>
      <c r="Q410" s="106"/>
      <c r="R410" s="106"/>
      <c r="S410" s="106"/>
      <c r="T410" s="106"/>
      <c r="U410" s="106"/>
    </row>
    <row r="411">
      <c r="A411" s="115"/>
      <c r="B411" s="115"/>
      <c r="C411" s="115"/>
      <c r="D411" s="115"/>
      <c r="E411" s="139"/>
      <c r="F411" s="117"/>
      <c r="G411" s="117"/>
      <c r="H411" s="118"/>
      <c r="I411" s="106"/>
      <c r="J411" s="106"/>
      <c r="K411" s="106"/>
      <c r="L411" s="106"/>
      <c r="M411" s="106"/>
      <c r="N411" s="106"/>
      <c r="O411" s="106"/>
      <c r="P411" s="106"/>
      <c r="Q411" s="106"/>
      <c r="R411" s="106"/>
      <c r="S411" s="106"/>
      <c r="T411" s="106"/>
      <c r="U411" s="106"/>
    </row>
    <row r="412">
      <c r="A412" s="119"/>
      <c r="B412" s="119"/>
      <c r="C412" s="119"/>
      <c r="D412" s="119"/>
      <c r="E412" s="140"/>
      <c r="F412" s="121"/>
      <c r="G412" s="121"/>
      <c r="H412" s="122"/>
      <c r="I412" s="106"/>
      <c r="J412" s="106"/>
      <c r="K412" s="106"/>
      <c r="L412" s="106"/>
      <c r="M412" s="106"/>
      <c r="N412" s="106"/>
      <c r="O412" s="106"/>
      <c r="P412" s="106"/>
      <c r="Q412" s="106"/>
      <c r="R412" s="106"/>
      <c r="S412" s="106"/>
      <c r="T412" s="106"/>
      <c r="U412" s="106"/>
    </row>
    <row r="413">
      <c r="A413" s="123">
        <v>1.0</v>
      </c>
      <c r="B413" s="94" t="s">
        <v>7120</v>
      </c>
      <c r="C413" s="124">
        <v>2.42510001E8</v>
      </c>
      <c r="D413" s="94" t="s">
        <v>9072</v>
      </c>
      <c r="E413" s="150" t="s">
        <v>6279</v>
      </c>
      <c r="F413" s="126"/>
      <c r="G413" s="126"/>
      <c r="H413" s="126"/>
      <c r="I413" s="106"/>
      <c r="J413" s="106"/>
      <c r="K413" s="106"/>
      <c r="L413" s="106"/>
      <c r="M413" s="106"/>
      <c r="N413" s="106"/>
      <c r="O413" s="106"/>
      <c r="P413" s="106"/>
      <c r="Q413" s="106"/>
      <c r="R413" s="106"/>
      <c r="S413" s="106"/>
      <c r="T413" s="106"/>
      <c r="U413" s="106"/>
    </row>
    <row r="414">
      <c r="A414" s="123">
        <v>2.0</v>
      </c>
      <c r="B414" s="94" t="s">
        <v>6902</v>
      </c>
      <c r="C414" s="124">
        <v>2.42510018E8</v>
      </c>
      <c r="D414" s="94" t="s">
        <v>9073</v>
      </c>
      <c r="E414" s="150" t="s">
        <v>6279</v>
      </c>
      <c r="F414" s="128"/>
      <c r="G414" s="128"/>
      <c r="H414" s="128"/>
      <c r="I414" s="106"/>
      <c r="J414" s="106"/>
      <c r="K414" s="106"/>
      <c r="L414" s="106"/>
      <c r="M414" s="106"/>
      <c r="N414" s="106"/>
      <c r="O414" s="106"/>
      <c r="P414" s="106"/>
      <c r="Q414" s="106"/>
      <c r="R414" s="106"/>
      <c r="S414" s="106"/>
      <c r="T414" s="106"/>
      <c r="U414" s="106"/>
    </row>
    <row r="415">
      <c r="A415" s="123">
        <v>3.0</v>
      </c>
      <c r="B415" s="94" t="s">
        <v>9074</v>
      </c>
      <c r="C415" s="124">
        <v>2.42510025E8</v>
      </c>
      <c r="D415" s="94" t="s">
        <v>9075</v>
      </c>
      <c r="E415" s="150" t="s">
        <v>6279</v>
      </c>
      <c r="F415" s="128"/>
      <c r="G415" s="128"/>
      <c r="H415" s="128"/>
      <c r="I415" s="106"/>
      <c r="J415" s="106"/>
      <c r="K415" s="106"/>
      <c r="L415" s="106"/>
      <c r="M415" s="106"/>
      <c r="N415" s="106"/>
      <c r="O415" s="106"/>
      <c r="P415" s="106"/>
      <c r="Q415" s="106"/>
      <c r="R415" s="106"/>
      <c r="S415" s="106"/>
      <c r="T415" s="106"/>
      <c r="U415" s="106"/>
    </row>
    <row r="416">
      <c r="A416" s="123">
        <v>4.0</v>
      </c>
      <c r="B416" s="94" t="s">
        <v>7275</v>
      </c>
      <c r="C416" s="124">
        <v>2.42510049E8</v>
      </c>
      <c r="D416" s="94" t="s">
        <v>9076</v>
      </c>
      <c r="E416" s="150" t="s">
        <v>6279</v>
      </c>
      <c r="F416" s="128"/>
      <c r="G416" s="128"/>
      <c r="H416" s="128"/>
      <c r="I416" s="106"/>
      <c r="J416" s="106"/>
      <c r="K416" s="106"/>
      <c r="L416" s="106"/>
      <c r="M416" s="106"/>
      <c r="N416" s="106"/>
      <c r="O416" s="106"/>
      <c r="P416" s="106"/>
      <c r="Q416" s="106"/>
      <c r="R416" s="106"/>
      <c r="S416" s="106"/>
      <c r="T416" s="106"/>
      <c r="U416" s="106"/>
    </row>
    <row r="417">
      <c r="A417" s="123">
        <v>5.0</v>
      </c>
      <c r="B417" s="94" t="s">
        <v>7498</v>
      </c>
      <c r="C417" s="124">
        <v>2.42510076E8</v>
      </c>
      <c r="D417" s="94" t="s">
        <v>9077</v>
      </c>
      <c r="E417" s="150" t="s">
        <v>6279</v>
      </c>
      <c r="F417" s="128"/>
      <c r="G417" s="128"/>
      <c r="H417" s="128"/>
      <c r="I417" s="106"/>
      <c r="J417" s="106"/>
      <c r="K417" s="106"/>
      <c r="L417" s="106"/>
      <c r="M417" s="106"/>
      <c r="N417" s="106"/>
      <c r="O417" s="106"/>
      <c r="P417" s="106"/>
      <c r="Q417" s="106"/>
      <c r="R417" s="106"/>
      <c r="S417" s="106"/>
      <c r="T417" s="106"/>
      <c r="U417" s="106"/>
    </row>
    <row r="418">
      <c r="A418" s="123">
        <v>6.0</v>
      </c>
      <c r="B418" s="94" t="s">
        <v>7364</v>
      </c>
      <c r="C418" s="124">
        <v>2.42510087E8</v>
      </c>
      <c r="D418" s="94" t="s">
        <v>9078</v>
      </c>
      <c r="E418" s="150" t="s">
        <v>6279</v>
      </c>
      <c r="F418" s="128"/>
      <c r="G418" s="128"/>
      <c r="H418" s="128"/>
      <c r="I418" s="106"/>
      <c r="J418" s="106"/>
      <c r="K418" s="106"/>
      <c r="L418" s="106"/>
      <c r="M418" s="106"/>
      <c r="N418" s="106"/>
      <c r="O418" s="106"/>
      <c r="P418" s="106"/>
      <c r="Q418" s="106"/>
      <c r="R418" s="106"/>
      <c r="S418" s="106"/>
      <c r="T418" s="106"/>
      <c r="U418" s="106"/>
    </row>
    <row r="419">
      <c r="A419" s="123">
        <v>7.0</v>
      </c>
      <c r="B419" s="94" t="s">
        <v>7586</v>
      </c>
      <c r="C419" s="124">
        <v>2.42510152E8</v>
      </c>
      <c r="D419" s="94" t="s">
        <v>9079</v>
      </c>
      <c r="E419" s="150" t="s">
        <v>6279</v>
      </c>
      <c r="F419" s="128"/>
      <c r="G419" s="128"/>
      <c r="H419" s="128"/>
      <c r="I419" s="106"/>
      <c r="J419" s="106"/>
      <c r="K419" s="106"/>
      <c r="L419" s="106"/>
      <c r="M419" s="106"/>
      <c r="N419" s="106"/>
      <c r="O419" s="106"/>
      <c r="P419" s="106"/>
      <c r="Q419" s="106"/>
      <c r="R419" s="106"/>
      <c r="S419" s="106"/>
      <c r="T419" s="106"/>
      <c r="U419" s="106"/>
    </row>
    <row r="420">
      <c r="A420" s="123">
        <v>8.0</v>
      </c>
      <c r="B420" s="92" t="s">
        <v>7376</v>
      </c>
      <c r="C420" s="124">
        <v>2.42510155E8</v>
      </c>
      <c r="D420" s="94" t="s">
        <v>9080</v>
      </c>
      <c r="E420" s="150" t="s">
        <v>6279</v>
      </c>
      <c r="F420" s="128"/>
      <c r="G420" s="128"/>
      <c r="H420" s="128"/>
      <c r="I420" s="106"/>
      <c r="J420" s="106"/>
      <c r="K420" s="106"/>
      <c r="L420" s="106"/>
      <c r="M420" s="106"/>
      <c r="N420" s="106"/>
      <c r="O420" s="106"/>
      <c r="P420" s="106"/>
      <c r="Q420" s="106"/>
      <c r="R420" s="106"/>
      <c r="S420" s="106"/>
      <c r="T420" s="106"/>
      <c r="U420" s="106"/>
    </row>
    <row r="421">
      <c r="A421" s="123">
        <v>9.0</v>
      </c>
      <c r="B421" s="94" t="s">
        <v>7661</v>
      </c>
      <c r="C421" s="124">
        <v>2.42510156E8</v>
      </c>
      <c r="D421" s="94" t="s">
        <v>9081</v>
      </c>
      <c r="E421" s="150" t="s">
        <v>6279</v>
      </c>
      <c r="F421" s="128"/>
      <c r="G421" s="128"/>
      <c r="H421" s="128"/>
      <c r="I421" s="106"/>
      <c r="J421" s="106"/>
      <c r="K421" s="106"/>
      <c r="L421" s="106"/>
      <c r="M421" s="106"/>
      <c r="N421" s="106"/>
      <c r="O421" s="106"/>
      <c r="P421" s="106"/>
      <c r="Q421" s="106"/>
      <c r="R421" s="106"/>
      <c r="S421" s="106"/>
      <c r="T421" s="106"/>
      <c r="U421" s="106"/>
    </row>
    <row r="422">
      <c r="A422" s="123">
        <v>10.0</v>
      </c>
      <c r="B422" s="94" t="s">
        <v>7222</v>
      </c>
      <c r="C422" s="124">
        <v>2.42510172E8</v>
      </c>
      <c r="D422" s="94" t="s">
        <v>9082</v>
      </c>
      <c r="E422" s="150" t="s">
        <v>6279</v>
      </c>
      <c r="F422" s="128"/>
      <c r="G422" s="128"/>
      <c r="H422" s="128"/>
      <c r="I422" s="106"/>
      <c r="J422" s="106"/>
      <c r="K422" s="106"/>
      <c r="L422" s="106"/>
      <c r="M422" s="106"/>
      <c r="N422" s="106"/>
      <c r="O422" s="106"/>
      <c r="P422" s="106"/>
      <c r="Q422" s="106"/>
      <c r="R422" s="106"/>
      <c r="S422" s="106"/>
      <c r="T422" s="106"/>
      <c r="U422" s="106"/>
    </row>
    <row r="423">
      <c r="A423" s="123">
        <v>11.0</v>
      </c>
      <c r="B423" s="94" t="s">
        <v>6994</v>
      </c>
      <c r="C423" s="124">
        <v>2.42510193E8</v>
      </c>
      <c r="D423" s="94" t="s">
        <v>9083</v>
      </c>
      <c r="E423" s="150" t="s">
        <v>6279</v>
      </c>
      <c r="F423" s="128"/>
      <c r="G423" s="128"/>
      <c r="H423" s="128"/>
      <c r="I423" s="106"/>
      <c r="J423" s="106"/>
      <c r="K423" s="106"/>
      <c r="L423" s="106"/>
      <c r="M423" s="106"/>
      <c r="N423" s="106"/>
      <c r="O423" s="106"/>
      <c r="P423" s="106"/>
      <c r="Q423" s="106"/>
      <c r="R423" s="106"/>
      <c r="S423" s="106"/>
      <c r="T423" s="106"/>
      <c r="U423" s="106"/>
    </row>
    <row r="424">
      <c r="A424" s="123">
        <v>12.0</v>
      </c>
      <c r="B424" s="94" t="s">
        <v>7084</v>
      </c>
      <c r="C424" s="124">
        <v>2.42510199E8</v>
      </c>
      <c r="D424" s="94" t="s">
        <v>9084</v>
      </c>
      <c r="E424" s="150" t="s">
        <v>6279</v>
      </c>
      <c r="F424" s="128"/>
      <c r="G424" s="128"/>
      <c r="H424" s="128"/>
      <c r="I424" s="106"/>
      <c r="J424" s="106"/>
      <c r="K424" s="106"/>
      <c r="L424" s="106"/>
      <c r="M424" s="106"/>
      <c r="N424" s="106"/>
      <c r="O424" s="106"/>
      <c r="P424" s="106"/>
      <c r="Q424" s="106"/>
      <c r="R424" s="106"/>
      <c r="S424" s="106"/>
      <c r="T424" s="106"/>
      <c r="U424" s="106"/>
    </row>
    <row r="425">
      <c r="A425" s="123">
        <v>13.0</v>
      </c>
      <c r="B425" s="94" t="s">
        <v>7147</v>
      </c>
      <c r="C425" s="124">
        <v>2.4251022E8</v>
      </c>
      <c r="D425" s="94" t="s">
        <v>9085</v>
      </c>
      <c r="E425" s="150" t="s">
        <v>6279</v>
      </c>
      <c r="F425" s="128"/>
      <c r="G425" s="128"/>
      <c r="H425" s="128"/>
      <c r="I425" s="106"/>
      <c r="J425" s="106"/>
      <c r="K425" s="106"/>
      <c r="L425" s="106"/>
      <c r="M425" s="106"/>
      <c r="N425" s="106"/>
      <c r="O425" s="106"/>
      <c r="P425" s="106"/>
      <c r="Q425" s="106"/>
      <c r="R425" s="106"/>
      <c r="S425" s="106"/>
      <c r="T425" s="106"/>
      <c r="U425" s="106"/>
    </row>
    <row r="426">
      <c r="A426" s="123">
        <v>14.0</v>
      </c>
      <c r="B426" s="94" t="s">
        <v>7002</v>
      </c>
      <c r="C426" s="124">
        <v>2.42510222E8</v>
      </c>
      <c r="D426" s="94" t="s">
        <v>9086</v>
      </c>
      <c r="E426" s="150" t="s">
        <v>6279</v>
      </c>
      <c r="F426" s="128"/>
      <c r="G426" s="128"/>
      <c r="H426" s="128"/>
      <c r="I426" s="106"/>
      <c r="J426" s="106"/>
      <c r="K426" s="106"/>
      <c r="L426" s="106"/>
      <c r="M426" s="106"/>
      <c r="N426" s="106"/>
      <c r="O426" s="106"/>
      <c r="P426" s="106"/>
      <c r="Q426" s="106"/>
      <c r="R426" s="106"/>
      <c r="S426" s="106"/>
      <c r="T426" s="106"/>
      <c r="U426" s="106"/>
    </row>
    <row r="427">
      <c r="A427" s="123">
        <v>15.0</v>
      </c>
      <c r="B427" s="94" t="s">
        <v>7004</v>
      </c>
      <c r="C427" s="124">
        <v>2.4251023E8</v>
      </c>
      <c r="D427" s="94" t="s">
        <v>9087</v>
      </c>
      <c r="E427" s="150" t="s">
        <v>6279</v>
      </c>
      <c r="F427" s="128"/>
      <c r="G427" s="128"/>
      <c r="H427" s="128"/>
      <c r="I427" s="106"/>
      <c r="J427" s="106"/>
      <c r="K427" s="106"/>
      <c r="L427" s="106"/>
      <c r="M427" s="106"/>
      <c r="N427" s="106"/>
      <c r="O427" s="106"/>
      <c r="P427" s="106"/>
      <c r="Q427" s="106"/>
      <c r="R427" s="106"/>
      <c r="S427" s="106"/>
      <c r="T427" s="106"/>
      <c r="U427" s="106"/>
    </row>
    <row r="428">
      <c r="A428" s="123">
        <v>16.0</v>
      </c>
      <c r="B428" s="94" t="s">
        <v>7008</v>
      </c>
      <c r="C428" s="124">
        <v>2.42510232E8</v>
      </c>
      <c r="D428" s="94" t="s">
        <v>9088</v>
      </c>
      <c r="E428" s="150" t="s">
        <v>6279</v>
      </c>
      <c r="F428" s="128"/>
      <c r="G428" s="128"/>
      <c r="H428" s="128"/>
      <c r="I428" s="106"/>
      <c r="J428" s="106"/>
      <c r="K428" s="106"/>
      <c r="L428" s="106"/>
      <c r="M428" s="106"/>
      <c r="N428" s="106"/>
      <c r="O428" s="106"/>
      <c r="P428" s="106"/>
      <c r="Q428" s="106"/>
      <c r="R428" s="106"/>
      <c r="S428" s="106"/>
      <c r="T428" s="106"/>
      <c r="U428" s="106"/>
    </row>
    <row r="429">
      <c r="A429" s="123">
        <v>17.0</v>
      </c>
      <c r="B429" s="94" t="s">
        <v>7445</v>
      </c>
      <c r="C429" s="124">
        <v>2.42510235E8</v>
      </c>
      <c r="D429" s="94" t="s">
        <v>9089</v>
      </c>
      <c r="E429" s="150" t="s">
        <v>6279</v>
      </c>
      <c r="F429" s="128"/>
      <c r="G429" s="128"/>
      <c r="H429" s="128"/>
      <c r="I429" s="106"/>
      <c r="J429" s="106"/>
      <c r="K429" s="106"/>
      <c r="L429" s="106"/>
      <c r="M429" s="106"/>
      <c r="N429" s="106"/>
      <c r="O429" s="106"/>
      <c r="P429" s="106"/>
      <c r="Q429" s="106"/>
      <c r="R429" s="106"/>
      <c r="S429" s="106"/>
      <c r="T429" s="106"/>
      <c r="U429" s="106"/>
    </row>
    <row r="430">
      <c r="A430" s="123">
        <v>18.0</v>
      </c>
      <c r="B430" s="94" t="s">
        <v>7679</v>
      </c>
      <c r="C430" s="124">
        <v>2.42510236E8</v>
      </c>
      <c r="D430" s="94" t="s">
        <v>9090</v>
      </c>
      <c r="E430" s="150" t="s">
        <v>6279</v>
      </c>
      <c r="F430" s="128"/>
      <c r="G430" s="128"/>
      <c r="H430" s="128"/>
      <c r="I430" s="106"/>
      <c r="J430" s="106"/>
      <c r="K430" s="106"/>
      <c r="L430" s="106"/>
      <c r="M430" s="106"/>
      <c r="N430" s="106"/>
      <c r="O430" s="106"/>
      <c r="P430" s="106"/>
      <c r="Q430" s="106"/>
      <c r="R430" s="106"/>
      <c r="S430" s="106"/>
      <c r="T430" s="106"/>
      <c r="U430" s="106"/>
    </row>
    <row r="431">
      <c r="A431" s="123">
        <v>19.0</v>
      </c>
      <c r="B431" s="94" t="s">
        <v>6934</v>
      </c>
      <c r="C431" s="124">
        <v>2.42510238E8</v>
      </c>
      <c r="D431" s="94" t="s">
        <v>9091</v>
      </c>
      <c r="E431" s="150" t="s">
        <v>6279</v>
      </c>
      <c r="F431" s="128"/>
      <c r="G431" s="128"/>
      <c r="H431" s="128"/>
      <c r="I431" s="106"/>
      <c r="J431" s="106"/>
      <c r="K431" s="106"/>
      <c r="L431" s="106"/>
      <c r="M431" s="106"/>
      <c r="N431" s="106"/>
      <c r="O431" s="106"/>
      <c r="P431" s="106"/>
      <c r="Q431" s="106"/>
      <c r="R431" s="106"/>
      <c r="S431" s="106"/>
      <c r="T431" s="106"/>
      <c r="U431" s="106"/>
    </row>
    <row r="432">
      <c r="A432" s="123">
        <v>20.0</v>
      </c>
      <c r="B432" s="94" t="s">
        <v>7088</v>
      </c>
      <c r="C432" s="124">
        <v>2.42510239E8</v>
      </c>
      <c r="D432" s="94" t="s">
        <v>9092</v>
      </c>
      <c r="E432" s="150" t="s">
        <v>6279</v>
      </c>
      <c r="F432" s="128"/>
      <c r="G432" s="128"/>
      <c r="H432" s="128"/>
      <c r="I432" s="106"/>
      <c r="J432" s="106"/>
      <c r="K432" s="106"/>
      <c r="L432" s="106"/>
      <c r="M432" s="106"/>
      <c r="N432" s="106"/>
      <c r="O432" s="106"/>
      <c r="P432" s="106"/>
      <c r="Q432" s="106"/>
      <c r="R432" s="106"/>
      <c r="S432" s="106"/>
      <c r="T432" s="106"/>
      <c r="U432" s="106"/>
    </row>
    <row r="433">
      <c r="A433" s="123">
        <v>21.0</v>
      </c>
      <c r="B433" s="94" t="s">
        <v>7388</v>
      </c>
      <c r="C433" s="124">
        <v>2.42510255E8</v>
      </c>
      <c r="D433" s="94" t="s">
        <v>9093</v>
      </c>
      <c r="E433" s="150" t="s">
        <v>6279</v>
      </c>
      <c r="F433" s="128"/>
      <c r="G433" s="128"/>
      <c r="H433" s="128"/>
      <c r="I433" s="106"/>
      <c r="J433" s="106"/>
      <c r="K433" s="106"/>
      <c r="L433" s="106"/>
      <c r="M433" s="106"/>
      <c r="N433" s="106"/>
      <c r="O433" s="106"/>
      <c r="P433" s="106"/>
      <c r="Q433" s="106"/>
      <c r="R433" s="106"/>
      <c r="S433" s="106"/>
      <c r="T433" s="106"/>
      <c r="U433" s="106"/>
    </row>
    <row r="434">
      <c r="A434" s="123">
        <v>22.0</v>
      </c>
      <c r="B434" s="92" t="s">
        <v>7457</v>
      </c>
      <c r="C434" s="124">
        <v>2.42510262E8</v>
      </c>
      <c r="D434" s="94" t="s">
        <v>4608</v>
      </c>
      <c r="E434" s="150" t="s">
        <v>6279</v>
      </c>
      <c r="F434" s="128"/>
      <c r="G434" s="128"/>
      <c r="H434" s="128"/>
      <c r="I434" s="106"/>
      <c r="J434" s="106"/>
      <c r="K434" s="106"/>
      <c r="L434" s="106"/>
      <c r="M434" s="106"/>
      <c r="N434" s="106"/>
      <c r="O434" s="106"/>
      <c r="P434" s="106"/>
      <c r="Q434" s="106"/>
      <c r="R434" s="106"/>
      <c r="S434" s="106"/>
      <c r="T434" s="106"/>
      <c r="U434" s="106"/>
    </row>
    <row r="435">
      <c r="A435" s="123">
        <v>23.0</v>
      </c>
      <c r="B435" s="94" t="s">
        <v>7526</v>
      </c>
      <c r="C435" s="124">
        <v>2.42510264E8</v>
      </c>
      <c r="D435" s="94" t="s">
        <v>9094</v>
      </c>
      <c r="E435" s="150" t="s">
        <v>6279</v>
      </c>
      <c r="F435" s="128"/>
      <c r="G435" s="128"/>
      <c r="H435" s="128"/>
      <c r="I435" s="106"/>
      <c r="J435" s="106"/>
      <c r="K435" s="106"/>
      <c r="L435" s="106"/>
      <c r="M435" s="106"/>
      <c r="N435" s="106"/>
      <c r="O435" s="106"/>
      <c r="P435" s="106"/>
      <c r="Q435" s="106"/>
      <c r="R435" s="106"/>
      <c r="S435" s="106"/>
      <c r="T435" s="106"/>
      <c r="U435" s="106"/>
    </row>
    <row r="436">
      <c r="A436" s="123">
        <v>24.0</v>
      </c>
      <c r="B436" s="94" t="s">
        <v>7459</v>
      </c>
      <c r="C436" s="124">
        <v>2.42510265E8</v>
      </c>
      <c r="D436" s="94" t="s">
        <v>9095</v>
      </c>
      <c r="E436" s="150" t="s">
        <v>6279</v>
      </c>
      <c r="F436" s="128"/>
      <c r="G436" s="128"/>
      <c r="H436" s="128"/>
      <c r="I436" s="106"/>
      <c r="J436" s="106"/>
      <c r="K436" s="106"/>
      <c r="L436" s="106"/>
      <c r="M436" s="106"/>
      <c r="N436" s="106"/>
      <c r="O436" s="106"/>
      <c r="P436" s="106"/>
      <c r="Q436" s="106"/>
      <c r="R436" s="106"/>
      <c r="S436" s="106"/>
      <c r="T436" s="106"/>
      <c r="U436" s="106"/>
    </row>
    <row r="437">
      <c r="A437" s="123">
        <v>25.0</v>
      </c>
      <c r="B437" s="94" t="s">
        <v>7020</v>
      </c>
      <c r="C437" s="124">
        <v>2.42510298E8</v>
      </c>
      <c r="D437" s="94" t="s">
        <v>9096</v>
      </c>
      <c r="E437" s="150" t="s">
        <v>6279</v>
      </c>
      <c r="F437" s="128"/>
      <c r="G437" s="128"/>
      <c r="H437" s="128"/>
      <c r="I437" s="106"/>
      <c r="J437" s="106"/>
      <c r="K437" s="106"/>
      <c r="L437" s="106"/>
      <c r="M437" s="106"/>
      <c r="N437" s="106"/>
      <c r="O437" s="106"/>
      <c r="P437" s="106"/>
      <c r="Q437" s="106"/>
      <c r="R437" s="106"/>
      <c r="S437" s="106"/>
      <c r="T437" s="106"/>
      <c r="U437" s="106"/>
    </row>
    <row r="438">
      <c r="A438" s="123">
        <v>26.0</v>
      </c>
      <c r="B438" s="94" t="s">
        <v>7610</v>
      </c>
      <c r="C438" s="124">
        <v>2.42510311E8</v>
      </c>
      <c r="D438" s="94" t="s">
        <v>9097</v>
      </c>
      <c r="E438" s="150" t="s">
        <v>6279</v>
      </c>
      <c r="F438" s="128"/>
      <c r="G438" s="128"/>
      <c r="H438" s="128"/>
      <c r="I438" s="106"/>
      <c r="J438" s="106"/>
      <c r="K438" s="106"/>
      <c r="L438" s="106"/>
      <c r="M438" s="106"/>
      <c r="N438" s="106"/>
      <c r="O438" s="106"/>
      <c r="P438" s="106"/>
      <c r="Q438" s="106"/>
      <c r="R438" s="106"/>
      <c r="S438" s="106"/>
      <c r="T438" s="106"/>
      <c r="U438" s="106"/>
    </row>
    <row r="439">
      <c r="A439" s="123">
        <v>27.0</v>
      </c>
      <c r="B439" s="92" t="s">
        <v>7167</v>
      </c>
      <c r="C439" s="124">
        <v>2.42510315E8</v>
      </c>
      <c r="D439" s="94" t="s">
        <v>9098</v>
      </c>
      <c r="E439" s="150" t="s">
        <v>6279</v>
      </c>
      <c r="F439" s="128"/>
      <c r="G439" s="128"/>
      <c r="H439" s="128"/>
      <c r="I439" s="106"/>
      <c r="J439" s="106"/>
      <c r="K439" s="106"/>
      <c r="L439" s="106"/>
      <c r="M439" s="106"/>
      <c r="N439" s="106"/>
      <c r="O439" s="106"/>
      <c r="P439" s="106"/>
      <c r="Q439" s="106"/>
      <c r="R439" s="106"/>
      <c r="S439" s="106"/>
      <c r="T439" s="106"/>
      <c r="U439" s="106"/>
    </row>
    <row r="440">
      <c r="A440" s="123">
        <v>28.0</v>
      </c>
      <c r="B440" s="94" t="s">
        <v>7242</v>
      </c>
      <c r="C440" s="124">
        <v>2.42510317E8</v>
      </c>
      <c r="D440" s="94" t="s">
        <v>9099</v>
      </c>
      <c r="E440" s="150" t="s">
        <v>6279</v>
      </c>
      <c r="F440" s="128"/>
      <c r="G440" s="128"/>
      <c r="H440" s="128"/>
      <c r="I440" s="106"/>
      <c r="J440" s="106"/>
      <c r="K440" s="106"/>
      <c r="L440" s="106"/>
      <c r="M440" s="106"/>
      <c r="N440" s="106"/>
      <c r="O440" s="106"/>
      <c r="P440" s="106"/>
      <c r="Q440" s="106"/>
      <c r="R440" s="106"/>
      <c r="S440" s="106"/>
      <c r="T440" s="106"/>
      <c r="U440" s="106"/>
    </row>
    <row r="441">
      <c r="A441" s="123">
        <v>29.0</v>
      </c>
      <c r="B441" s="92" t="s">
        <v>7614</v>
      </c>
      <c r="C441" s="124">
        <v>2.42510331E8</v>
      </c>
      <c r="D441" s="94" t="s">
        <v>9100</v>
      </c>
      <c r="E441" s="150" t="s">
        <v>6279</v>
      </c>
      <c r="F441" s="128"/>
      <c r="G441" s="128"/>
      <c r="H441" s="128"/>
      <c r="I441" s="106"/>
      <c r="J441" s="106"/>
      <c r="K441" s="106"/>
      <c r="L441" s="106"/>
      <c r="M441" s="106"/>
      <c r="N441" s="106"/>
      <c r="O441" s="106"/>
      <c r="P441" s="106"/>
      <c r="Q441" s="106"/>
      <c r="R441" s="106"/>
      <c r="S441" s="106"/>
      <c r="T441" s="106"/>
      <c r="U441" s="106"/>
    </row>
    <row r="442">
      <c r="A442" s="123">
        <v>30.0</v>
      </c>
      <c r="B442" s="94" t="s">
        <v>7616</v>
      </c>
      <c r="C442" s="124">
        <v>2.42510332E8</v>
      </c>
      <c r="D442" s="94" t="s">
        <v>9101</v>
      </c>
      <c r="E442" s="150" t="s">
        <v>6279</v>
      </c>
      <c r="F442" s="128"/>
      <c r="G442" s="128"/>
      <c r="H442" s="128"/>
      <c r="I442" s="106"/>
      <c r="J442" s="106"/>
      <c r="K442" s="106"/>
      <c r="L442" s="106"/>
      <c r="M442" s="106"/>
      <c r="N442" s="106"/>
      <c r="O442" s="106"/>
      <c r="P442" s="106"/>
      <c r="Q442" s="106"/>
      <c r="R442" s="106"/>
      <c r="S442" s="106"/>
      <c r="T442" s="106"/>
      <c r="U442" s="106"/>
    </row>
    <row r="443">
      <c r="A443" s="123">
        <v>31.0</v>
      </c>
      <c r="B443" s="94" t="s">
        <v>7179</v>
      </c>
      <c r="C443" s="124">
        <v>2.42510363E8</v>
      </c>
      <c r="D443" s="94" t="s">
        <v>9102</v>
      </c>
      <c r="E443" s="150" t="s">
        <v>6279</v>
      </c>
      <c r="F443" s="128"/>
      <c r="G443" s="128"/>
      <c r="H443" s="128"/>
      <c r="I443" s="106"/>
      <c r="J443" s="106"/>
      <c r="K443" s="106"/>
      <c r="L443" s="106"/>
      <c r="M443" s="106"/>
      <c r="N443" s="106"/>
      <c r="O443" s="106"/>
      <c r="P443" s="106"/>
      <c r="Q443" s="106"/>
      <c r="R443" s="106"/>
      <c r="S443" s="106"/>
      <c r="T443" s="106"/>
      <c r="U443" s="106"/>
    </row>
    <row r="444">
      <c r="A444" s="123">
        <v>32.0</v>
      </c>
      <c r="B444" s="94" t="s">
        <v>7620</v>
      </c>
      <c r="C444" s="124">
        <v>2.42510389E8</v>
      </c>
      <c r="D444" s="94" t="s">
        <v>9103</v>
      </c>
      <c r="E444" s="150" t="s">
        <v>6279</v>
      </c>
      <c r="F444" s="128"/>
      <c r="G444" s="128"/>
      <c r="H444" s="128"/>
      <c r="I444" s="106"/>
      <c r="J444" s="106"/>
      <c r="K444" s="106"/>
      <c r="L444" s="106"/>
      <c r="M444" s="106"/>
      <c r="N444" s="106"/>
      <c r="O444" s="106"/>
      <c r="P444" s="106"/>
      <c r="Q444" s="106"/>
      <c r="R444" s="106"/>
      <c r="S444" s="106"/>
      <c r="T444" s="106"/>
      <c r="U444" s="106"/>
    </row>
    <row r="445">
      <c r="A445" s="123">
        <v>33.0</v>
      </c>
      <c r="B445" s="94" t="s">
        <v>9104</v>
      </c>
      <c r="C445" s="124">
        <v>2.42510399E8</v>
      </c>
      <c r="D445" s="94" t="s">
        <v>9105</v>
      </c>
      <c r="E445" s="150" t="s">
        <v>6279</v>
      </c>
      <c r="F445" s="128"/>
      <c r="G445" s="128"/>
      <c r="H445" s="128"/>
      <c r="I445" s="106"/>
      <c r="J445" s="106"/>
      <c r="K445" s="106"/>
      <c r="L445" s="106"/>
      <c r="M445" s="106"/>
      <c r="N445" s="106"/>
      <c r="O445" s="106"/>
      <c r="P445" s="106"/>
      <c r="Q445" s="106"/>
      <c r="R445" s="106"/>
      <c r="S445" s="106"/>
      <c r="T445" s="106"/>
      <c r="U445" s="106"/>
    </row>
    <row r="446">
      <c r="A446" s="123">
        <v>34.0</v>
      </c>
      <c r="B446" s="92" t="s">
        <v>7410</v>
      </c>
      <c r="C446" s="124">
        <v>2.42510407E8</v>
      </c>
      <c r="D446" s="94" t="s">
        <v>9106</v>
      </c>
      <c r="E446" s="150" t="s">
        <v>6279</v>
      </c>
      <c r="F446" s="128"/>
      <c r="G446" s="128"/>
      <c r="H446" s="128"/>
      <c r="I446" s="106"/>
      <c r="J446" s="106"/>
      <c r="K446" s="106"/>
      <c r="L446" s="106"/>
      <c r="M446" s="106"/>
      <c r="N446" s="106"/>
      <c r="O446" s="106"/>
      <c r="P446" s="106"/>
      <c r="Q446" s="106"/>
      <c r="R446" s="106"/>
      <c r="S446" s="106"/>
      <c r="T446" s="106"/>
      <c r="U446" s="106"/>
    </row>
    <row r="447">
      <c r="A447" s="123">
        <v>35.0</v>
      </c>
      <c r="B447" s="94" t="s">
        <v>7040</v>
      </c>
      <c r="C447" s="124">
        <v>2.42510409E8</v>
      </c>
      <c r="D447" s="94" t="s">
        <v>9107</v>
      </c>
      <c r="E447" s="150" t="s">
        <v>6279</v>
      </c>
      <c r="F447" s="128"/>
      <c r="G447" s="128"/>
      <c r="H447" s="128"/>
      <c r="I447" s="106"/>
      <c r="J447" s="106"/>
      <c r="K447" s="106"/>
      <c r="L447" s="106"/>
      <c r="M447" s="106"/>
      <c r="N447" s="106"/>
      <c r="O447" s="106"/>
      <c r="P447" s="106"/>
      <c r="Q447" s="106"/>
      <c r="R447" s="106"/>
      <c r="S447" s="106"/>
      <c r="T447" s="106"/>
      <c r="U447" s="106"/>
    </row>
    <row r="448">
      <c r="A448" s="123">
        <v>36.0</v>
      </c>
      <c r="B448" s="92" t="s">
        <v>7118</v>
      </c>
      <c r="C448" s="124">
        <v>2.4251042E8</v>
      </c>
      <c r="D448" s="94" t="s">
        <v>9108</v>
      </c>
      <c r="E448" s="150" t="s">
        <v>6279</v>
      </c>
      <c r="F448" s="128"/>
      <c r="G448" s="128"/>
      <c r="H448" s="128"/>
      <c r="I448" s="106"/>
      <c r="J448" s="106"/>
      <c r="K448" s="106"/>
      <c r="L448" s="106"/>
      <c r="M448" s="106"/>
      <c r="N448" s="106"/>
      <c r="O448" s="106"/>
      <c r="P448" s="106"/>
      <c r="Q448" s="106"/>
      <c r="R448" s="106"/>
      <c r="S448" s="106"/>
      <c r="T448" s="106"/>
      <c r="U448" s="106"/>
    </row>
    <row r="449">
      <c r="A449" s="123">
        <v>37.0</v>
      </c>
      <c r="B449" s="127"/>
      <c r="C449" s="127"/>
      <c r="D449" s="127"/>
      <c r="E449" s="127"/>
      <c r="F449" s="128"/>
      <c r="G449" s="128"/>
      <c r="H449" s="128"/>
      <c r="I449" s="106"/>
      <c r="J449" s="106"/>
      <c r="K449" s="106"/>
      <c r="L449" s="106"/>
      <c r="M449" s="106"/>
      <c r="N449" s="106"/>
      <c r="O449" s="106"/>
      <c r="P449" s="106"/>
      <c r="Q449" s="106"/>
      <c r="R449" s="106"/>
      <c r="S449" s="106"/>
      <c r="T449" s="106"/>
      <c r="U449" s="106"/>
    </row>
    <row r="450">
      <c r="A450" s="123">
        <v>38.0</v>
      </c>
      <c r="B450" s="127"/>
      <c r="C450" s="127"/>
      <c r="D450" s="127"/>
      <c r="E450" s="127"/>
      <c r="F450" s="128"/>
      <c r="G450" s="128"/>
      <c r="H450" s="128"/>
      <c r="I450" s="106"/>
      <c r="J450" s="106"/>
      <c r="K450" s="106"/>
      <c r="L450" s="106"/>
      <c r="M450" s="106"/>
      <c r="N450" s="106"/>
      <c r="O450" s="106"/>
      <c r="P450" s="106"/>
      <c r="Q450" s="106"/>
      <c r="R450" s="106"/>
      <c r="S450" s="106"/>
      <c r="T450" s="106"/>
      <c r="U450" s="106"/>
    </row>
    <row r="451">
      <c r="A451" s="123">
        <v>39.0</v>
      </c>
      <c r="B451" s="127"/>
      <c r="C451" s="127"/>
      <c r="D451" s="127"/>
      <c r="E451" s="127"/>
      <c r="F451" s="127"/>
      <c r="G451" s="127"/>
      <c r="H451" s="127"/>
      <c r="I451" s="127"/>
      <c r="J451" s="127"/>
      <c r="K451" s="127"/>
      <c r="L451" s="127"/>
      <c r="M451" s="127"/>
      <c r="N451" s="127"/>
      <c r="O451" s="127"/>
      <c r="P451" s="127"/>
      <c r="Q451" s="127"/>
      <c r="R451" s="127"/>
      <c r="S451" s="127"/>
      <c r="T451" s="127"/>
    </row>
    <row r="452">
      <c r="A452" s="129"/>
      <c r="B452" s="130" t="s">
        <v>8789</v>
      </c>
      <c r="C452" s="129"/>
      <c r="D452" s="131">
        <f>COUNTIF(E413:E451,"L")</f>
        <v>0</v>
      </c>
      <c r="E452" s="129"/>
      <c r="F452" s="129"/>
      <c r="G452" s="129"/>
      <c r="H452" s="129"/>
      <c r="I452" s="129"/>
      <c r="J452" s="129"/>
      <c r="K452" s="129"/>
      <c r="L452" s="129"/>
      <c r="M452" s="129"/>
      <c r="N452" s="129"/>
      <c r="O452" s="129"/>
      <c r="P452" s="129"/>
      <c r="Q452" s="129"/>
      <c r="R452" s="129"/>
      <c r="S452" s="129"/>
      <c r="T452" s="129"/>
    </row>
    <row r="453">
      <c r="A453" s="129"/>
      <c r="B453" s="130" t="s">
        <v>8790</v>
      </c>
      <c r="C453" s="129"/>
      <c r="D453" s="131">
        <f>COUNTIF(E413:E451,"P")</f>
        <v>0</v>
      </c>
      <c r="E453" s="129"/>
      <c r="F453" s="129"/>
      <c r="G453" s="129"/>
      <c r="H453" s="129"/>
      <c r="I453" s="129"/>
      <c r="J453" s="129"/>
      <c r="K453" s="144" t="s">
        <v>8791</v>
      </c>
      <c r="L453" s="141"/>
      <c r="M453" s="141"/>
      <c r="N453" s="141"/>
      <c r="O453" s="141"/>
      <c r="P453" s="141"/>
      <c r="Q453" s="141"/>
      <c r="R453" s="141"/>
      <c r="S453" s="141"/>
      <c r="T453" s="141"/>
    </row>
    <row r="454">
      <c r="A454" s="129"/>
      <c r="B454" s="130" t="s">
        <v>8792</v>
      </c>
      <c r="C454" s="129"/>
      <c r="D454" s="131">
        <f>SUM(D452:D453)</f>
        <v>0</v>
      </c>
      <c r="E454" s="129"/>
      <c r="F454" s="129"/>
      <c r="G454" s="129"/>
      <c r="H454" s="129"/>
      <c r="I454" s="129"/>
      <c r="J454" s="129"/>
      <c r="K454" s="132" t="s">
        <v>8793</v>
      </c>
      <c r="L454" s="133"/>
      <c r="M454" s="133"/>
      <c r="N454" s="133"/>
      <c r="O454" s="133"/>
      <c r="P454" s="133"/>
      <c r="Q454" s="133"/>
      <c r="R454" s="133"/>
      <c r="S454" s="133"/>
      <c r="T454" s="134"/>
    </row>
    <row r="455">
      <c r="A455" s="129"/>
      <c r="B455" s="129"/>
      <c r="C455" s="129"/>
      <c r="D455" s="129"/>
      <c r="E455" s="129"/>
      <c r="F455" s="129"/>
      <c r="G455" s="129"/>
      <c r="H455" s="129"/>
      <c r="I455" s="129"/>
      <c r="J455" s="129"/>
      <c r="K455" s="141"/>
      <c r="L455" s="141"/>
      <c r="M455" s="141"/>
      <c r="N455" s="141"/>
      <c r="O455" s="141"/>
      <c r="P455" s="141"/>
      <c r="Q455" s="141"/>
      <c r="R455" s="141"/>
      <c r="S455" s="141"/>
      <c r="T455" s="141"/>
    </row>
    <row r="456">
      <c r="A456" s="129"/>
      <c r="B456" s="129"/>
      <c r="C456" s="129"/>
      <c r="D456" s="129"/>
      <c r="E456" s="129"/>
      <c r="F456" s="129"/>
      <c r="G456" s="129"/>
      <c r="H456" s="129"/>
      <c r="I456" s="129"/>
      <c r="J456" s="129"/>
      <c r="K456" s="141"/>
      <c r="L456" s="141"/>
      <c r="M456" s="141"/>
      <c r="N456" s="141"/>
      <c r="O456" s="141"/>
      <c r="P456" s="141"/>
      <c r="Q456" s="141"/>
      <c r="R456" s="141"/>
      <c r="S456" s="141"/>
      <c r="T456" s="141"/>
    </row>
    <row r="457">
      <c r="A457" s="97" t="s">
        <v>8743</v>
      </c>
      <c r="B457" s="97"/>
      <c r="C457" s="97"/>
      <c r="D457" s="97"/>
      <c r="E457" s="97"/>
      <c r="F457" s="97"/>
      <c r="G457" s="97"/>
      <c r="H457" s="97"/>
      <c r="I457" s="97"/>
      <c r="J457" s="97"/>
      <c r="K457" s="97"/>
      <c r="L457" s="97"/>
      <c r="M457" s="97"/>
      <c r="N457" s="97"/>
      <c r="O457" s="97"/>
      <c r="P457" s="97"/>
      <c r="Q457" s="97"/>
      <c r="R457" s="97"/>
      <c r="S457" s="97"/>
      <c r="T457" s="97"/>
    </row>
    <row r="458">
      <c r="A458" s="135" t="s">
        <v>8744</v>
      </c>
      <c r="B458" s="136"/>
      <c r="C458" s="136"/>
      <c r="D458" s="136"/>
      <c r="E458" s="136"/>
      <c r="F458" s="136"/>
      <c r="G458" s="136"/>
      <c r="H458" s="136"/>
      <c r="I458" s="136"/>
      <c r="J458" s="136"/>
      <c r="K458" s="136"/>
      <c r="L458" s="136"/>
      <c r="M458" s="136"/>
      <c r="N458" s="136"/>
      <c r="O458" s="136"/>
      <c r="P458" s="136"/>
      <c r="Q458" s="136"/>
      <c r="R458" s="136"/>
      <c r="S458" s="136"/>
      <c r="T458" s="137"/>
    </row>
    <row r="459">
      <c r="A459" s="102" t="s">
        <v>8745</v>
      </c>
      <c r="B459" s="103"/>
      <c r="C459" s="103"/>
      <c r="D459" s="103"/>
      <c r="E459" s="103"/>
      <c r="F459" s="103"/>
      <c r="G459" s="103"/>
      <c r="H459" s="103"/>
      <c r="I459" s="103"/>
      <c r="J459" s="103"/>
      <c r="K459" s="103"/>
      <c r="L459" s="103"/>
      <c r="M459" s="103"/>
      <c r="N459" s="103"/>
      <c r="O459" s="103"/>
      <c r="P459" s="103"/>
      <c r="Q459" s="103"/>
      <c r="R459" s="103"/>
      <c r="S459" s="103"/>
      <c r="T459" s="104"/>
    </row>
    <row r="460">
      <c r="A460" s="105" t="s">
        <v>9109</v>
      </c>
      <c r="B460" s="106"/>
      <c r="C460" s="106"/>
      <c r="D460" s="106"/>
      <c r="E460" s="106"/>
      <c r="F460" s="106"/>
      <c r="G460" s="106"/>
      <c r="H460" s="106"/>
      <c r="I460" s="106"/>
      <c r="J460" s="106"/>
      <c r="K460" s="106"/>
      <c r="L460" s="106"/>
      <c r="M460" s="106"/>
      <c r="N460" s="106"/>
      <c r="O460" s="106"/>
      <c r="P460" s="106"/>
      <c r="Q460" s="106"/>
      <c r="R460" s="106"/>
      <c r="S460" s="106"/>
      <c r="T460" s="107"/>
    </row>
    <row r="461">
      <c r="A461" s="108" t="s">
        <v>9110</v>
      </c>
      <c r="B461" s="109"/>
      <c r="C461" s="109"/>
      <c r="D461" s="109"/>
      <c r="E461" s="109"/>
      <c r="F461" s="110"/>
      <c r="G461" s="110"/>
      <c r="H461" s="110"/>
      <c r="I461" s="110"/>
      <c r="J461" s="110"/>
      <c r="K461" s="110"/>
      <c r="L461" s="110"/>
      <c r="M461" s="110"/>
      <c r="N461" s="110"/>
      <c r="O461" s="110"/>
      <c r="P461" s="110"/>
      <c r="Q461" s="110"/>
      <c r="R461" s="110"/>
      <c r="S461" s="110"/>
      <c r="T461" s="110"/>
    </row>
    <row r="462">
      <c r="A462" s="111" t="s">
        <v>8748</v>
      </c>
      <c r="B462" s="111" t="s">
        <v>9</v>
      </c>
      <c r="C462" s="111" t="s">
        <v>5246</v>
      </c>
      <c r="D462" s="111" t="s">
        <v>8680</v>
      </c>
      <c r="E462" s="138" t="s">
        <v>13</v>
      </c>
      <c r="F462" s="113" t="s">
        <v>8749</v>
      </c>
      <c r="G462" s="113" t="s">
        <v>8750</v>
      </c>
      <c r="H462" s="114" t="s">
        <v>217</v>
      </c>
      <c r="I462" s="106"/>
      <c r="J462" s="106"/>
      <c r="K462" s="106"/>
      <c r="L462" s="106"/>
      <c r="M462" s="106"/>
      <c r="N462" s="106"/>
      <c r="O462" s="106"/>
      <c r="P462" s="106"/>
      <c r="Q462" s="106"/>
      <c r="R462" s="106"/>
      <c r="S462" s="106"/>
      <c r="T462" s="106"/>
      <c r="U462" s="106"/>
    </row>
    <row r="463">
      <c r="A463" s="115"/>
      <c r="B463" s="115"/>
      <c r="C463" s="115"/>
      <c r="D463" s="115"/>
      <c r="E463" s="139"/>
      <c r="F463" s="117"/>
      <c r="G463" s="117"/>
      <c r="H463" s="118"/>
      <c r="I463" s="106"/>
      <c r="J463" s="106"/>
      <c r="K463" s="106"/>
      <c r="L463" s="106"/>
      <c r="M463" s="106"/>
      <c r="N463" s="106"/>
      <c r="O463" s="106"/>
      <c r="P463" s="106"/>
      <c r="Q463" s="106"/>
      <c r="R463" s="106"/>
      <c r="S463" s="106"/>
      <c r="T463" s="106"/>
      <c r="U463" s="106"/>
    </row>
    <row r="464">
      <c r="A464" s="119"/>
      <c r="B464" s="119"/>
      <c r="C464" s="119"/>
      <c r="D464" s="119"/>
      <c r="E464" s="140"/>
      <c r="F464" s="121"/>
      <c r="G464" s="121"/>
      <c r="H464" s="122"/>
      <c r="I464" s="106"/>
      <c r="J464" s="106"/>
      <c r="K464" s="106"/>
      <c r="L464" s="106"/>
      <c r="M464" s="106"/>
      <c r="N464" s="106"/>
      <c r="O464" s="106"/>
      <c r="P464" s="106"/>
      <c r="Q464" s="106"/>
      <c r="R464" s="106"/>
      <c r="S464" s="106"/>
      <c r="T464" s="106"/>
      <c r="U464" s="106"/>
    </row>
    <row r="465">
      <c r="A465" s="123">
        <v>1.0</v>
      </c>
      <c r="B465" s="94" t="s">
        <v>6900</v>
      </c>
      <c r="C465" s="124">
        <v>2.42510007E8</v>
      </c>
      <c r="D465" s="94" t="s">
        <v>9111</v>
      </c>
      <c r="E465" s="125" t="s">
        <v>6421</v>
      </c>
      <c r="F465" s="126"/>
      <c r="G465" s="126"/>
      <c r="H465" s="126"/>
      <c r="I465" s="106"/>
      <c r="J465" s="106"/>
      <c r="K465" s="106"/>
      <c r="L465" s="106"/>
      <c r="M465" s="106"/>
      <c r="N465" s="106"/>
      <c r="O465" s="106"/>
      <c r="P465" s="106"/>
      <c r="Q465" s="106"/>
      <c r="R465" s="106"/>
      <c r="S465" s="106"/>
      <c r="T465" s="106"/>
      <c r="U465" s="106"/>
    </row>
    <row r="466">
      <c r="A466" s="123">
        <v>2.0</v>
      </c>
      <c r="B466" s="94" t="s">
        <v>7633</v>
      </c>
      <c r="C466" s="124">
        <v>2.42510015E8</v>
      </c>
      <c r="D466" s="94" t="s">
        <v>9112</v>
      </c>
      <c r="E466" s="125" t="s">
        <v>6421</v>
      </c>
      <c r="F466" s="128"/>
      <c r="G466" s="128"/>
      <c r="H466" s="128"/>
      <c r="I466" s="106"/>
      <c r="J466" s="106"/>
      <c r="K466" s="106"/>
      <c r="L466" s="106"/>
      <c r="M466" s="106"/>
      <c r="N466" s="106"/>
      <c r="O466" s="106"/>
      <c r="P466" s="106"/>
      <c r="Q466" s="106"/>
      <c r="R466" s="106"/>
      <c r="S466" s="106"/>
      <c r="T466" s="106"/>
      <c r="U466" s="106"/>
    </row>
    <row r="467">
      <c r="A467" s="123">
        <v>3.0</v>
      </c>
      <c r="B467" s="94" t="s">
        <v>7485</v>
      </c>
      <c r="C467" s="124">
        <v>2.42510029E8</v>
      </c>
      <c r="D467" s="94" t="s">
        <v>9113</v>
      </c>
      <c r="E467" s="125" t="s">
        <v>6421</v>
      </c>
      <c r="F467" s="128"/>
      <c r="G467" s="128"/>
      <c r="H467" s="128"/>
      <c r="I467" s="106"/>
      <c r="J467" s="106"/>
      <c r="K467" s="106"/>
      <c r="L467" s="106"/>
      <c r="M467" s="106"/>
      <c r="N467" s="106"/>
      <c r="O467" s="106"/>
      <c r="P467" s="106"/>
      <c r="Q467" s="106"/>
      <c r="R467" s="106"/>
      <c r="S467" s="106"/>
      <c r="T467" s="106"/>
      <c r="U467" s="106"/>
    </row>
    <row r="468">
      <c r="A468" s="123">
        <v>4.0</v>
      </c>
      <c r="B468" s="94" t="s">
        <v>7346</v>
      </c>
      <c r="C468" s="124">
        <v>2.42510034E8</v>
      </c>
      <c r="D468" s="94" t="s">
        <v>9114</v>
      </c>
      <c r="E468" s="125" t="s">
        <v>6421</v>
      </c>
      <c r="F468" s="128"/>
      <c r="G468" s="128"/>
      <c r="H468" s="128"/>
      <c r="I468" s="106"/>
      <c r="J468" s="106"/>
      <c r="K468" s="106"/>
      <c r="L468" s="106"/>
      <c r="M468" s="106"/>
      <c r="N468" s="106"/>
      <c r="O468" s="106"/>
      <c r="P468" s="106"/>
      <c r="Q468" s="106"/>
      <c r="R468" s="106"/>
      <c r="S468" s="106"/>
      <c r="T468" s="106"/>
      <c r="U468" s="106"/>
    </row>
    <row r="469">
      <c r="A469" s="123">
        <v>5.0</v>
      </c>
      <c r="B469" s="94" t="s">
        <v>7131</v>
      </c>
      <c r="C469" s="124">
        <v>2.42510044E8</v>
      </c>
      <c r="D469" s="94" t="s">
        <v>9115</v>
      </c>
      <c r="E469" s="125" t="s">
        <v>6421</v>
      </c>
      <c r="F469" s="128"/>
      <c r="G469" s="128"/>
      <c r="H469" s="128"/>
      <c r="I469" s="106"/>
      <c r="J469" s="106"/>
      <c r="K469" s="106"/>
      <c r="L469" s="106"/>
      <c r="M469" s="106"/>
      <c r="N469" s="106"/>
      <c r="O469" s="106"/>
      <c r="P469" s="106"/>
      <c r="Q469" s="106"/>
      <c r="R469" s="106"/>
      <c r="S469" s="106"/>
      <c r="T469" s="106"/>
      <c r="U469" s="106"/>
    </row>
    <row r="470">
      <c r="A470" s="123">
        <v>6.0</v>
      </c>
      <c r="B470" s="92" t="s">
        <v>7133</v>
      </c>
      <c r="C470" s="124">
        <v>2.42510054E8</v>
      </c>
      <c r="D470" s="94" t="s">
        <v>9116</v>
      </c>
      <c r="E470" s="125" t="s">
        <v>6421</v>
      </c>
      <c r="F470" s="128"/>
      <c r="G470" s="128"/>
      <c r="H470" s="128"/>
      <c r="I470" s="106"/>
      <c r="J470" s="106"/>
      <c r="K470" s="106"/>
      <c r="L470" s="106"/>
      <c r="M470" s="106"/>
      <c r="N470" s="106"/>
      <c r="O470" s="106"/>
      <c r="P470" s="106"/>
      <c r="Q470" s="106"/>
      <c r="R470" s="106"/>
      <c r="S470" s="106"/>
      <c r="T470" s="106"/>
      <c r="U470" s="106"/>
    </row>
    <row r="471">
      <c r="A471" s="123">
        <v>7.0</v>
      </c>
      <c r="B471" s="94" t="s">
        <v>7198</v>
      </c>
      <c r="C471" s="124">
        <v>2.42510056E8</v>
      </c>
      <c r="D471" s="94" t="s">
        <v>9117</v>
      </c>
      <c r="E471" s="125" t="s">
        <v>6421</v>
      </c>
      <c r="F471" s="128"/>
      <c r="G471" s="128"/>
      <c r="H471" s="128"/>
      <c r="I471" s="106"/>
      <c r="J471" s="106"/>
      <c r="K471" s="106"/>
      <c r="L471" s="106"/>
      <c r="M471" s="106"/>
      <c r="N471" s="106"/>
      <c r="O471" s="106"/>
      <c r="P471" s="106"/>
      <c r="Q471" s="106"/>
      <c r="R471" s="106"/>
      <c r="S471" s="106"/>
      <c r="T471" s="106"/>
      <c r="U471" s="106"/>
    </row>
    <row r="472">
      <c r="A472" s="123">
        <v>8.0</v>
      </c>
      <c r="B472" s="94" t="s">
        <v>7494</v>
      </c>
      <c r="C472" s="124">
        <v>2.42510062E8</v>
      </c>
      <c r="D472" s="94" t="s">
        <v>9118</v>
      </c>
      <c r="E472" s="125" t="s">
        <v>6421</v>
      </c>
      <c r="F472" s="128"/>
      <c r="G472" s="128"/>
      <c r="H472" s="128"/>
      <c r="I472" s="106"/>
      <c r="J472" s="106"/>
      <c r="K472" s="106"/>
      <c r="L472" s="106"/>
      <c r="M472" s="106"/>
      <c r="N472" s="106"/>
      <c r="O472" s="106"/>
      <c r="P472" s="106"/>
      <c r="Q472" s="106"/>
      <c r="R472" s="106"/>
      <c r="S472" s="106"/>
      <c r="T472" s="106"/>
      <c r="U472" s="106"/>
    </row>
    <row r="473">
      <c r="A473" s="123">
        <v>9.0</v>
      </c>
      <c r="B473" s="94" t="s">
        <v>7056</v>
      </c>
      <c r="C473" s="124">
        <v>2.42510086E8</v>
      </c>
      <c r="D473" s="94" t="s">
        <v>9119</v>
      </c>
      <c r="E473" s="125" t="s">
        <v>6421</v>
      </c>
      <c r="F473" s="128"/>
      <c r="G473" s="128"/>
      <c r="H473" s="128"/>
      <c r="I473" s="106"/>
      <c r="J473" s="106"/>
      <c r="K473" s="106"/>
      <c r="L473" s="106"/>
      <c r="M473" s="106"/>
      <c r="N473" s="106"/>
      <c r="O473" s="106"/>
      <c r="P473" s="106"/>
      <c r="Q473" s="106"/>
      <c r="R473" s="106"/>
      <c r="S473" s="106"/>
      <c r="T473" s="106"/>
      <c r="U473" s="106"/>
    </row>
    <row r="474">
      <c r="A474" s="123">
        <v>10.0</v>
      </c>
      <c r="B474" s="94" t="s">
        <v>7058</v>
      </c>
      <c r="C474" s="124">
        <v>2.42510091E8</v>
      </c>
      <c r="D474" s="94" t="s">
        <v>9120</v>
      </c>
      <c r="E474" s="125" t="s">
        <v>6421</v>
      </c>
      <c r="F474" s="128"/>
      <c r="G474" s="128"/>
      <c r="H474" s="128"/>
      <c r="I474" s="106"/>
      <c r="J474" s="106"/>
      <c r="K474" s="106"/>
      <c r="L474" s="106"/>
      <c r="M474" s="106"/>
      <c r="N474" s="106"/>
      <c r="O474" s="106"/>
      <c r="P474" s="106"/>
      <c r="Q474" s="106"/>
      <c r="R474" s="106"/>
      <c r="S474" s="106"/>
      <c r="T474" s="106"/>
      <c r="U474" s="106"/>
    </row>
    <row r="475">
      <c r="A475" s="123">
        <v>11.0</v>
      </c>
      <c r="B475" s="94" t="s">
        <v>7651</v>
      </c>
      <c r="C475" s="124">
        <v>2.42510109E8</v>
      </c>
      <c r="D475" s="94" t="s">
        <v>9121</v>
      </c>
      <c r="E475" s="125" t="s">
        <v>6421</v>
      </c>
      <c r="F475" s="128"/>
      <c r="G475" s="128"/>
      <c r="H475" s="128"/>
      <c r="I475" s="106"/>
      <c r="J475" s="106"/>
      <c r="K475" s="106"/>
      <c r="L475" s="106"/>
      <c r="M475" s="106"/>
      <c r="N475" s="106"/>
      <c r="O475" s="106"/>
      <c r="P475" s="106"/>
      <c r="Q475" s="106"/>
      <c r="R475" s="106"/>
      <c r="S475" s="106"/>
      <c r="T475" s="106"/>
      <c r="U475" s="106"/>
    </row>
    <row r="476">
      <c r="A476" s="123">
        <v>12.0</v>
      </c>
      <c r="B476" s="94" t="s">
        <v>6837</v>
      </c>
      <c r="C476" s="124">
        <v>2.42510111E8</v>
      </c>
      <c r="D476" s="94" t="s">
        <v>9122</v>
      </c>
      <c r="E476" s="125" t="s">
        <v>6421</v>
      </c>
      <c r="F476" s="128"/>
      <c r="G476" s="128"/>
      <c r="H476" s="128"/>
      <c r="I476" s="106"/>
      <c r="J476" s="106"/>
      <c r="K476" s="106"/>
      <c r="L476" s="106"/>
      <c r="M476" s="106"/>
      <c r="N476" s="106"/>
      <c r="O476" s="106"/>
      <c r="P476" s="106"/>
      <c r="Q476" s="106"/>
      <c r="R476" s="106"/>
      <c r="S476" s="106"/>
      <c r="T476" s="106"/>
      <c r="U476" s="106"/>
    </row>
    <row r="477">
      <c r="A477" s="123">
        <v>13.0</v>
      </c>
      <c r="B477" s="92" t="s">
        <v>7653</v>
      </c>
      <c r="C477" s="124">
        <v>2.42510125E8</v>
      </c>
      <c r="D477" s="94" t="s">
        <v>9123</v>
      </c>
      <c r="E477" s="125" t="s">
        <v>6421</v>
      </c>
      <c r="F477" s="128"/>
      <c r="G477" s="128"/>
      <c r="H477" s="128"/>
      <c r="I477" s="106"/>
      <c r="J477" s="106"/>
      <c r="K477" s="106"/>
      <c r="L477" s="106"/>
      <c r="M477" s="106"/>
      <c r="N477" s="106"/>
      <c r="O477" s="106"/>
      <c r="P477" s="106"/>
      <c r="Q477" s="106"/>
      <c r="R477" s="106"/>
      <c r="S477" s="106"/>
      <c r="T477" s="106"/>
      <c r="U477" s="106"/>
    </row>
    <row r="478">
      <c r="A478" s="123">
        <v>14.0</v>
      </c>
      <c r="B478" s="94" t="s">
        <v>7064</v>
      </c>
      <c r="C478" s="124">
        <v>2.42510134E8</v>
      </c>
      <c r="D478" s="94" t="s">
        <v>9124</v>
      </c>
      <c r="E478" s="125" t="s">
        <v>6421</v>
      </c>
      <c r="F478" s="128"/>
      <c r="G478" s="128"/>
      <c r="H478" s="128"/>
      <c r="I478" s="106"/>
      <c r="J478" s="106"/>
      <c r="K478" s="106"/>
      <c r="L478" s="106"/>
      <c r="M478" s="106"/>
      <c r="N478" s="106"/>
      <c r="O478" s="106"/>
      <c r="P478" s="106"/>
      <c r="Q478" s="106"/>
      <c r="R478" s="106"/>
      <c r="S478" s="106"/>
      <c r="T478" s="106"/>
      <c r="U478" s="106"/>
    </row>
    <row r="479">
      <c r="A479" s="123">
        <v>15.0</v>
      </c>
      <c r="B479" s="94" t="s">
        <v>7072</v>
      </c>
      <c r="C479" s="124">
        <v>2.42510167E8</v>
      </c>
      <c r="D479" s="94" t="s">
        <v>9125</v>
      </c>
      <c r="E479" s="125" t="s">
        <v>6421</v>
      </c>
      <c r="F479" s="128"/>
      <c r="G479" s="128"/>
      <c r="H479" s="128"/>
      <c r="I479" s="106"/>
      <c r="J479" s="106"/>
      <c r="K479" s="106"/>
      <c r="L479" s="106"/>
      <c r="M479" s="106"/>
      <c r="N479" s="106"/>
      <c r="O479" s="106"/>
      <c r="P479" s="106"/>
      <c r="Q479" s="106"/>
      <c r="R479" s="106"/>
      <c r="S479" s="106"/>
      <c r="T479" s="106"/>
      <c r="U479" s="106"/>
    </row>
    <row r="480">
      <c r="A480" s="123">
        <v>16.0</v>
      </c>
      <c r="B480" s="94" t="s">
        <v>7074</v>
      </c>
      <c r="C480" s="124">
        <v>2.42510169E8</v>
      </c>
      <c r="D480" s="94" t="s">
        <v>9126</v>
      </c>
      <c r="E480" s="125" t="s">
        <v>6421</v>
      </c>
      <c r="F480" s="128"/>
      <c r="G480" s="128"/>
      <c r="H480" s="128"/>
      <c r="I480" s="106"/>
      <c r="J480" s="106"/>
      <c r="K480" s="106"/>
      <c r="L480" s="106"/>
      <c r="M480" s="106"/>
      <c r="N480" s="106"/>
      <c r="O480" s="106"/>
      <c r="P480" s="106"/>
      <c r="Q480" s="106"/>
      <c r="R480" s="106"/>
      <c r="S480" s="106"/>
      <c r="T480" s="106"/>
      <c r="U480" s="106"/>
    </row>
    <row r="481">
      <c r="A481" s="123">
        <v>17.0</v>
      </c>
      <c r="B481" s="94" t="s">
        <v>7512</v>
      </c>
      <c r="C481" s="124">
        <v>2.4251017E8</v>
      </c>
      <c r="D481" s="94" t="s">
        <v>9127</v>
      </c>
      <c r="E481" s="125" t="s">
        <v>6421</v>
      </c>
      <c r="F481" s="128"/>
      <c r="G481" s="128"/>
      <c r="H481" s="128"/>
      <c r="I481" s="106"/>
      <c r="J481" s="106"/>
      <c r="K481" s="106"/>
      <c r="L481" s="106"/>
      <c r="M481" s="106"/>
      <c r="N481" s="106"/>
      <c r="O481" s="106"/>
      <c r="P481" s="106"/>
      <c r="Q481" s="106"/>
      <c r="R481" s="106"/>
      <c r="S481" s="106"/>
      <c r="T481" s="106"/>
      <c r="U481" s="106"/>
    </row>
    <row r="482">
      <c r="A482" s="123">
        <v>18.0</v>
      </c>
      <c r="B482" s="94" t="s">
        <v>6988</v>
      </c>
      <c r="C482" s="124">
        <v>2.4251018E8</v>
      </c>
      <c r="D482" s="94" t="s">
        <v>9128</v>
      </c>
      <c r="E482" s="125" t="s">
        <v>6421</v>
      </c>
      <c r="F482" s="128"/>
      <c r="G482" s="128"/>
      <c r="H482" s="128"/>
      <c r="I482" s="106"/>
      <c r="J482" s="106"/>
      <c r="K482" s="106"/>
      <c r="L482" s="106"/>
      <c r="M482" s="106"/>
      <c r="N482" s="106"/>
      <c r="O482" s="106"/>
      <c r="P482" s="106"/>
      <c r="Q482" s="106"/>
      <c r="R482" s="106"/>
      <c r="S482" s="106"/>
      <c r="T482" s="106"/>
      <c r="U482" s="106"/>
    </row>
    <row r="483">
      <c r="A483" s="123">
        <v>19.0</v>
      </c>
      <c r="B483" s="92" t="s">
        <v>7224</v>
      </c>
      <c r="C483" s="124">
        <v>2.42510182E8</v>
      </c>
      <c r="D483" s="94" t="s">
        <v>9129</v>
      </c>
      <c r="E483" s="125" t="s">
        <v>6421</v>
      </c>
      <c r="F483" s="128"/>
      <c r="G483" s="128"/>
      <c r="H483" s="128"/>
      <c r="I483" s="106"/>
      <c r="J483" s="106"/>
      <c r="K483" s="106"/>
      <c r="L483" s="106"/>
      <c r="M483" s="106"/>
      <c r="N483" s="106"/>
      <c r="O483" s="106"/>
      <c r="P483" s="106"/>
      <c r="Q483" s="106"/>
      <c r="R483" s="106"/>
      <c r="S483" s="106"/>
      <c r="T483" s="106"/>
      <c r="U483" s="106"/>
    </row>
    <row r="484">
      <c r="A484" s="123">
        <v>20.0</v>
      </c>
      <c r="B484" s="94" t="s">
        <v>6864</v>
      </c>
      <c r="C484" s="124">
        <v>2.42510209E8</v>
      </c>
      <c r="D484" s="94" t="s">
        <v>9130</v>
      </c>
      <c r="E484" s="125" t="s">
        <v>6421</v>
      </c>
      <c r="F484" s="128"/>
      <c r="G484" s="128"/>
      <c r="H484" s="128"/>
      <c r="I484" s="106"/>
      <c r="J484" s="106"/>
      <c r="K484" s="106"/>
      <c r="L484" s="106"/>
      <c r="M484" s="106"/>
      <c r="N484" s="106"/>
      <c r="O484" s="106"/>
      <c r="P484" s="106"/>
      <c r="Q484" s="106"/>
      <c r="R484" s="106"/>
      <c r="S484" s="106"/>
      <c r="T484" s="106"/>
      <c r="U484" s="106"/>
    </row>
    <row r="485">
      <c r="A485" s="123">
        <v>21.0</v>
      </c>
      <c r="B485" s="94" t="s">
        <v>7305</v>
      </c>
      <c r="C485" s="124">
        <v>2.42510217E8</v>
      </c>
      <c r="D485" s="94" t="s">
        <v>9131</v>
      </c>
      <c r="E485" s="125" t="s">
        <v>6421</v>
      </c>
      <c r="F485" s="128"/>
      <c r="G485" s="128"/>
      <c r="H485" s="128"/>
      <c r="I485" s="106"/>
      <c r="J485" s="106"/>
      <c r="K485" s="106"/>
      <c r="L485" s="106"/>
      <c r="M485" s="106"/>
      <c r="N485" s="106"/>
      <c r="O485" s="106"/>
      <c r="P485" s="106"/>
      <c r="Q485" s="106"/>
      <c r="R485" s="106"/>
      <c r="S485" s="106"/>
      <c r="T485" s="106"/>
      <c r="U485" s="106"/>
    </row>
    <row r="486">
      <c r="A486" s="123">
        <v>22.0</v>
      </c>
      <c r="B486" s="94" t="s">
        <v>7449</v>
      </c>
      <c r="C486" s="124">
        <v>2.42510242E8</v>
      </c>
      <c r="D486" s="94" t="s">
        <v>9132</v>
      </c>
      <c r="E486" s="125" t="s">
        <v>6421</v>
      </c>
      <c r="F486" s="128"/>
      <c r="G486" s="128"/>
      <c r="H486" s="128"/>
      <c r="I486" s="106"/>
      <c r="J486" s="106"/>
      <c r="K486" s="106"/>
      <c r="L486" s="106"/>
      <c r="M486" s="106"/>
      <c r="N486" s="106"/>
      <c r="O486" s="106"/>
      <c r="P486" s="106"/>
      <c r="Q486" s="106"/>
      <c r="R486" s="106"/>
      <c r="S486" s="106"/>
      <c r="T486" s="106"/>
      <c r="U486" s="106"/>
    </row>
    <row r="487">
      <c r="A487" s="123">
        <v>23.0</v>
      </c>
      <c r="B487" s="94" t="s">
        <v>43</v>
      </c>
      <c r="C487" s="124">
        <v>2.42510294E8</v>
      </c>
      <c r="D487" s="94" t="s">
        <v>9133</v>
      </c>
      <c r="E487" s="125" t="s">
        <v>6421</v>
      </c>
      <c r="F487" s="128"/>
      <c r="G487" s="128"/>
      <c r="H487" s="128"/>
      <c r="I487" s="106"/>
      <c r="J487" s="106"/>
      <c r="K487" s="106"/>
      <c r="L487" s="106"/>
      <c r="M487" s="106"/>
      <c r="N487" s="106"/>
      <c r="O487" s="106"/>
      <c r="P487" s="106"/>
      <c r="Q487" s="106"/>
      <c r="R487" s="106"/>
      <c r="S487" s="106"/>
      <c r="T487" s="106"/>
      <c r="U487" s="106"/>
    </row>
    <row r="488">
      <c r="A488" s="123">
        <v>24.0</v>
      </c>
      <c r="B488" s="94" t="s">
        <v>7163</v>
      </c>
      <c r="C488" s="124">
        <v>2.42510299E8</v>
      </c>
      <c r="D488" s="94" t="s">
        <v>9134</v>
      </c>
      <c r="E488" s="125" t="s">
        <v>6421</v>
      </c>
      <c r="F488" s="128"/>
      <c r="G488" s="128"/>
      <c r="H488" s="128"/>
      <c r="I488" s="106"/>
      <c r="J488" s="106"/>
      <c r="K488" s="106"/>
      <c r="L488" s="106"/>
      <c r="M488" s="106"/>
      <c r="N488" s="106"/>
      <c r="O488" s="106"/>
      <c r="P488" s="106"/>
      <c r="Q488" s="106"/>
      <c r="R488" s="106"/>
      <c r="S488" s="106"/>
      <c r="T488" s="106"/>
      <c r="U488" s="106"/>
    </row>
    <row r="489">
      <c r="A489" s="123">
        <v>25.0</v>
      </c>
      <c r="B489" s="92" t="s">
        <v>7467</v>
      </c>
      <c r="C489" s="124">
        <v>2.42510302E8</v>
      </c>
      <c r="D489" s="94" t="s">
        <v>9135</v>
      </c>
      <c r="E489" s="125" t="s">
        <v>6421</v>
      </c>
      <c r="F489" s="128"/>
      <c r="G489" s="128"/>
      <c r="H489" s="128"/>
      <c r="I489" s="106"/>
      <c r="J489" s="106"/>
      <c r="K489" s="106"/>
      <c r="L489" s="106"/>
      <c r="M489" s="106"/>
      <c r="N489" s="106"/>
      <c r="O489" s="106"/>
      <c r="P489" s="106"/>
      <c r="Q489" s="106"/>
      <c r="R489" s="106"/>
      <c r="S489" s="106"/>
      <c r="T489" s="106"/>
      <c r="U489" s="106"/>
    </row>
    <row r="490">
      <c r="A490" s="123">
        <v>26.0</v>
      </c>
      <c r="B490" s="92" t="s">
        <v>7244</v>
      </c>
      <c r="C490" s="124">
        <v>2.42510326E8</v>
      </c>
      <c r="D490" s="94" t="s">
        <v>9136</v>
      </c>
      <c r="E490" s="125" t="s">
        <v>6421</v>
      </c>
      <c r="F490" s="128"/>
      <c r="G490" s="128"/>
      <c r="H490" s="128"/>
      <c r="I490" s="106"/>
      <c r="J490" s="106"/>
      <c r="K490" s="106"/>
      <c r="L490" s="106"/>
      <c r="M490" s="106"/>
      <c r="N490" s="106"/>
      <c r="O490" s="106"/>
      <c r="P490" s="106"/>
      <c r="Q490" s="106"/>
      <c r="R490" s="106"/>
      <c r="S490" s="106"/>
      <c r="T490" s="106"/>
      <c r="U490" s="106"/>
    </row>
    <row r="491">
      <c r="A491" s="123">
        <v>27.0</v>
      </c>
      <c r="B491" s="94" t="s">
        <v>7317</v>
      </c>
      <c r="C491" s="124">
        <v>2.42510327E8</v>
      </c>
      <c r="D491" s="94" t="s">
        <v>9137</v>
      </c>
      <c r="E491" s="125" t="s">
        <v>6421</v>
      </c>
      <c r="F491" s="128"/>
      <c r="G491" s="128"/>
      <c r="H491" s="128"/>
      <c r="I491" s="106"/>
      <c r="J491" s="106"/>
      <c r="K491" s="106"/>
      <c r="L491" s="106"/>
      <c r="M491" s="106"/>
      <c r="N491" s="106"/>
      <c r="O491" s="106"/>
      <c r="P491" s="106"/>
      <c r="Q491" s="106"/>
      <c r="R491" s="106"/>
      <c r="S491" s="106"/>
      <c r="T491" s="106"/>
      <c r="U491" s="106"/>
    </row>
    <row r="492">
      <c r="A492" s="123">
        <v>28.0</v>
      </c>
      <c r="B492" s="94" t="s">
        <v>7024</v>
      </c>
      <c r="C492" s="124">
        <v>2.42510328E8</v>
      </c>
      <c r="D492" s="94" t="s">
        <v>9138</v>
      </c>
      <c r="E492" s="125" t="s">
        <v>6421</v>
      </c>
      <c r="F492" s="128"/>
      <c r="G492" s="128"/>
      <c r="H492" s="128"/>
      <c r="I492" s="106"/>
      <c r="J492" s="106"/>
      <c r="K492" s="106"/>
      <c r="L492" s="106"/>
      <c r="M492" s="106"/>
      <c r="N492" s="106"/>
      <c r="O492" s="106"/>
      <c r="P492" s="106"/>
      <c r="Q492" s="106"/>
      <c r="R492" s="106"/>
      <c r="S492" s="106"/>
      <c r="T492" s="106"/>
      <c r="U492" s="106"/>
    </row>
    <row r="493">
      <c r="A493" s="123">
        <v>29.0</v>
      </c>
      <c r="B493" s="92" t="s">
        <v>7026</v>
      </c>
      <c r="C493" s="124">
        <v>2.42510343E8</v>
      </c>
      <c r="D493" s="94" t="s">
        <v>9139</v>
      </c>
      <c r="E493" s="125" t="s">
        <v>6421</v>
      </c>
      <c r="F493" s="128"/>
      <c r="G493" s="128"/>
      <c r="H493" s="128"/>
      <c r="I493" s="106"/>
      <c r="J493" s="106"/>
      <c r="K493" s="106"/>
      <c r="L493" s="106"/>
      <c r="M493" s="106"/>
      <c r="N493" s="106"/>
      <c r="O493" s="106"/>
      <c r="P493" s="106"/>
      <c r="Q493" s="106"/>
      <c r="R493" s="106"/>
      <c r="S493" s="106"/>
      <c r="T493" s="106"/>
      <c r="U493" s="106"/>
    </row>
    <row r="494">
      <c r="A494" s="123">
        <v>30.0</v>
      </c>
      <c r="B494" s="94" t="s">
        <v>7539</v>
      </c>
      <c r="C494" s="124">
        <v>2.42510357E8</v>
      </c>
      <c r="D494" s="94" t="s">
        <v>9140</v>
      </c>
      <c r="E494" s="125" t="s">
        <v>6421</v>
      </c>
      <c r="F494" s="128"/>
      <c r="G494" s="128"/>
      <c r="H494" s="128"/>
      <c r="I494" s="106"/>
      <c r="J494" s="106"/>
      <c r="K494" s="106"/>
      <c r="L494" s="106"/>
      <c r="M494" s="106"/>
      <c r="N494" s="106"/>
      <c r="O494" s="106"/>
      <c r="P494" s="106"/>
      <c r="Q494" s="106"/>
      <c r="R494" s="106"/>
      <c r="S494" s="106"/>
      <c r="T494" s="106"/>
      <c r="U494" s="106"/>
    </row>
    <row r="495">
      <c r="A495" s="123">
        <v>31.0</v>
      </c>
      <c r="B495" s="94" t="s">
        <v>7112</v>
      </c>
      <c r="C495" s="124">
        <v>2.42510362E8</v>
      </c>
      <c r="D495" s="94" t="s">
        <v>9141</v>
      </c>
      <c r="E495" s="125" t="s">
        <v>6421</v>
      </c>
      <c r="F495" s="128"/>
      <c r="G495" s="128"/>
      <c r="H495" s="128"/>
      <c r="I495" s="106"/>
      <c r="J495" s="106"/>
      <c r="K495" s="106"/>
      <c r="L495" s="106"/>
      <c r="M495" s="106"/>
      <c r="N495" s="106"/>
      <c r="O495" s="106"/>
      <c r="P495" s="106"/>
      <c r="Q495" s="106"/>
      <c r="R495" s="106"/>
      <c r="S495" s="106"/>
      <c r="T495" s="106"/>
      <c r="U495" s="106"/>
    </row>
    <row r="496">
      <c r="A496" s="123">
        <v>32.0</v>
      </c>
      <c r="B496" s="94" t="s">
        <v>7032</v>
      </c>
      <c r="C496" s="124">
        <v>2.42510373E8</v>
      </c>
      <c r="D496" s="94" t="s">
        <v>9142</v>
      </c>
      <c r="E496" s="125" t="s">
        <v>6421</v>
      </c>
      <c r="F496" s="128"/>
      <c r="G496" s="128"/>
      <c r="H496" s="128"/>
      <c r="I496" s="106"/>
      <c r="J496" s="106"/>
      <c r="K496" s="106"/>
      <c r="L496" s="106"/>
      <c r="M496" s="106"/>
      <c r="N496" s="106"/>
      <c r="O496" s="106"/>
      <c r="P496" s="106"/>
      <c r="Q496" s="106"/>
      <c r="R496" s="106"/>
      <c r="S496" s="106"/>
      <c r="T496" s="106"/>
      <c r="U496" s="106"/>
    </row>
    <row r="497">
      <c r="A497" s="123">
        <v>33.0</v>
      </c>
      <c r="B497" s="94" t="s">
        <v>7325</v>
      </c>
      <c r="C497" s="124">
        <v>2.42510376E8</v>
      </c>
      <c r="D497" s="94" t="s">
        <v>9143</v>
      </c>
      <c r="E497" s="125" t="s">
        <v>6421</v>
      </c>
      <c r="F497" s="128"/>
      <c r="G497" s="128"/>
      <c r="H497" s="128"/>
      <c r="I497" s="106"/>
      <c r="J497" s="106"/>
      <c r="K497" s="106"/>
      <c r="L497" s="106"/>
      <c r="M497" s="106"/>
      <c r="N497" s="106"/>
      <c r="O497" s="106"/>
      <c r="P497" s="106"/>
      <c r="Q497" s="106"/>
      <c r="R497" s="106"/>
      <c r="S497" s="106"/>
      <c r="T497" s="106"/>
      <c r="U497" s="106"/>
    </row>
    <row r="498">
      <c r="A498" s="123">
        <v>34.0</v>
      </c>
      <c r="B498" s="94" t="s">
        <v>7187</v>
      </c>
      <c r="C498" s="124">
        <v>2.42510391E8</v>
      </c>
      <c r="D498" s="94" t="s">
        <v>9144</v>
      </c>
      <c r="E498" s="125" t="s">
        <v>6421</v>
      </c>
      <c r="F498" s="128"/>
      <c r="G498" s="128"/>
      <c r="H498" s="128"/>
      <c r="I498" s="106"/>
      <c r="J498" s="106"/>
      <c r="K498" s="106"/>
      <c r="L498" s="106"/>
      <c r="M498" s="106"/>
      <c r="N498" s="106"/>
      <c r="O498" s="106"/>
      <c r="P498" s="106"/>
      <c r="Q498" s="106"/>
      <c r="R498" s="106"/>
      <c r="S498" s="106"/>
      <c r="T498" s="106"/>
      <c r="U498" s="106"/>
    </row>
    <row r="499">
      <c r="A499" s="123">
        <v>35.0</v>
      </c>
      <c r="B499" s="94" t="s">
        <v>7622</v>
      </c>
      <c r="C499" s="124">
        <v>2.42510394E8</v>
      </c>
      <c r="D499" s="94" t="s">
        <v>9145</v>
      </c>
      <c r="E499" s="125" t="s">
        <v>6421</v>
      </c>
      <c r="F499" s="128"/>
      <c r="G499" s="128"/>
      <c r="H499" s="128"/>
      <c r="I499" s="106"/>
      <c r="J499" s="106"/>
      <c r="K499" s="106"/>
      <c r="L499" s="106"/>
      <c r="M499" s="106"/>
      <c r="N499" s="106"/>
      <c r="O499" s="106"/>
      <c r="P499" s="106"/>
      <c r="Q499" s="106"/>
      <c r="R499" s="106"/>
      <c r="S499" s="106"/>
      <c r="T499" s="106"/>
      <c r="U499" s="106"/>
    </row>
    <row r="500">
      <c r="A500" s="123">
        <v>36.0</v>
      </c>
      <c r="B500" s="94" t="s">
        <v>7191</v>
      </c>
      <c r="C500" s="124">
        <v>2.4251041E8</v>
      </c>
      <c r="D500" s="94" t="s">
        <v>9146</v>
      </c>
      <c r="E500" s="125" t="s">
        <v>6421</v>
      </c>
      <c r="F500" s="128"/>
      <c r="G500" s="128"/>
      <c r="H500" s="128"/>
      <c r="I500" s="106"/>
      <c r="J500" s="106"/>
      <c r="K500" s="106"/>
      <c r="L500" s="106"/>
      <c r="M500" s="106"/>
      <c r="N500" s="106"/>
      <c r="O500" s="106"/>
      <c r="P500" s="106"/>
      <c r="Q500" s="106"/>
      <c r="R500" s="106"/>
      <c r="S500" s="106"/>
      <c r="T500" s="106"/>
      <c r="U500" s="106"/>
    </row>
    <row r="501">
      <c r="A501" s="123">
        <v>37.0</v>
      </c>
      <c r="B501" s="127"/>
      <c r="C501" s="127"/>
      <c r="D501" s="127"/>
      <c r="E501" s="127"/>
      <c r="F501" s="128"/>
      <c r="G501" s="128"/>
      <c r="H501" s="128"/>
      <c r="I501" s="106"/>
      <c r="J501" s="106"/>
      <c r="K501" s="106"/>
      <c r="L501" s="106"/>
      <c r="M501" s="106"/>
      <c r="N501" s="106"/>
      <c r="O501" s="106"/>
      <c r="P501" s="106"/>
      <c r="Q501" s="106"/>
      <c r="R501" s="106"/>
      <c r="S501" s="106"/>
      <c r="T501" s="106"/>
      <c r="U501" s="106"/>
    </row>
    <row r="502">
      <c r="A502" s="123">
        <v>38.0</v>
      </c>
      <c r="B502" s="127"/>
      <c r="C502" s="127"/>
      <c r="D502" s="127"/>
      <c r="E502" s="127"/>
      <c r="F502" s="128"/>
      <c r="G502" s="128"/>
      <c r="H502" s="128"/>
      <c r="I502" s="106"/>
      <c r="J502" s="106"/>
      <c r="K502" s="106"/>
      <c r="L502" s="106"/>
      <c r="M502" s="106"/>
      <c r="N502" s="106"/>
      <c r="O502" s="106"/>
      <c r="P502" s="106"/>
      <c r="Q502" s="106"/>
      <c r="R502" s="106"/>
      <c r="S502" s="106"/>
      <c r="T502" s="106"/>
      <c r="U502" s="106"/>
    </row>
    <row r="503">
      <c r="A503" s="129"/>
      <c r="B503" s="129"/>
      <c r="C503" s="129"/>
      <c r="D503" s="129"/>
      <c r="E503" s="129"/>
      <c r="F503" s="129"/>
      <c r="G503" s="129"/>
      <c r="H503" s="129"/>
      <c r="I503" s="129"/>
      <c r="J503" s="129"/>
      <c r="K503" s="129"/>
      <c r="L503" s="129"/>
      <c r="M503" s="129"/>
      <c r="N503" s="129"/>
      <c r="O503" s="129"/>
      <c r="P503" s="129"/>
      <c r="Q503" s="129"/>
      <c r="R503" s="129"/>
      <c r="S503" s="129"/>
      <c r="T503" s="129"/>
    </row>
    <row r="504">
      <c r="A504" s="129"/>
      <c r="B504" s="130" t="s">
        <v>8789</v>
      </c>
      <c r="C504" s="129"/>
      <c r="D504" s="131">
        <f>COUNTIF(E465:E503,"L")</f>
        <v>0</v>
      </c>
      <c r="E504" s="129"/>
      <c r="F504" s="129"/>
      <c r="G504" s="129"/>
      <c r="H504" s="129"/>
      <c r="I504" s="129"/>
      <c r="J504" s="129"/>
      <c r="K504" s="129"/>
      <c r="L504" s="129"/>
      <c r="M504" s="129"/>
      <c r="N504" s="129"/>
      <c r="O504" s="129"/>
      <c r="P504" s="129"/>
      <c r="Q504" s="129"/>
      <c r="R504" s="129"/>
      <c r="S504" s="129"/>
      <c r="T504" s="129"/>
    </row>
    <row r="505">
      <c r="A505" s="129"/>
      <c r="B505" s="130" t="s">
        <v>8790</v>
      </c>
      <c r="C505" s="129"/>
      <c r="D505" s="131">
        <f>COUNTIF(E465:E503,"P")</f>
        <v>0</v>
      </c>
      <c r="E505" s="129"/>
      <c r="F505" s="129"/>
      <c r="G505" s="129"/>
      <c r="H505" s="129"/>
      <c r="I505" s="129"/>
      <c r="J505" s="129"/>
      <c r="K505" s="144" t="s">
        <v>8791</v>
      </c>
      <c r="L505" s="141"/>
      <c r="M505" s="141"/>
      <c r="N505" s="141"/>
      <c r="O505" s="141"/>
      <c r="P505" s="141"/>
      <c r="Q505" s="141"/>
      <c r="R505" s="141"/>
      <c r="S505" s="141"/>
      <c r="T505" s="141"/>
    </row>
    <row r="506">
      <c r="A506" s="129"/>
      <c r="B506" s="130" t="s">
        <v>8792</v>
      </c>
      <c r="C506" s="129"/>
      <c r="D506" s="131">
        <f>SUM(D504:D505)</f>
        <v>0</v>
      </c>
      <c r="E506" s="129"/>
      <c r="F506" s="129"/>
      <c r="G506" s="129"/>
      <c r="H506" s="129"/>
      <c r="I506" s="129"/>
      <c r="J506" s="129"/>
      <c r="K506" s="132" t="s">
        <v>8793</v>
      </c>
      <c r="L506" s="133"/>
      <c r="M506" s="133"/>
      <c r="N506" s="133"/>
      <c r="O506" s="133"/>
      <c r="P506" s="133"/>
      <c r="Q506" s="133"/>
      <c r="R506" s="133"/>
      <c r="S506" s="133"/>
      <c r="T506" s="134"/>
    </row>
    <row r="507">
      <c r="A507" s="129"/>
      <c r="B507" s="129"/>
      <c r="C507" s="129"/>
      <c r="D507" s="129"/>
      <c r="E507" s="129"/>
      <c r="F507" s="129"/>
      <c r="G507" s="129"/>
      <c r="H507" s="129"/>
      <c r="I507" s="129"/>
      <c r="J507" s="129"/>
      <c r="K507" s="141"/>
      <c r="L507" s="141"/>
      <c r="M507" s="141"/>
      <c r="N507" s="141"/>
      <c r="O507" s="141"/>
      <c r="P507" s="141"/>
      <c r="Q507" s="141"/>
      <c r="R507" s="141"/>
      <c r="S507" s="141"/>
      <c r="T507" s="141"/>
    </row>
    <row r="508">
      <c r="A508" s="97" t="s">
        <v>8743</v>
      </c>
      <c r="B508" s="97"/>
      <c r="C508" s="97"/>
      <c r="D508" s="97"/>
      <c r="E508" s="97"/>
      <c r="F508" s="97"/>
      <c r="G508" s="97"/>
      <c r="H508" s="97"/>
      <c r="I508" s="97"/>
      <c r="J508" s="97"/>
      <c r="K508" s="97"/>
      <c r="L508" s="97"/>
      <c r="M508" s="97"/>
      <c r="N508" s="97"/>
      <c r="O508" s="97"/>
      <c r="P508" s="97"/>
      <c r="Q508" s="97"/>
      <c r="R508" s="97"/>
      <c r="S508" s="97"/>
      <c r="T508" s="97"/>
    </row>
    <row r="509">
      <c r="A509" s="135" t="s">
        <v>8744</v>
      </c>
      <c r="B509" s="136"/>
      <c r="C509" s="136"/>
      <c r="D509" s="136"/>
      <c r="E509" s="136"/>
      <c r="F509" s="136"/>
      <c r="G509" s="136"/>
      <c r="H509" s="136"/>
      <c r="I509" s="136"/>
      <c r="J509" s="136"/>
      <c r="K509" s="136"/>
      <c r="L509" s="136"/>
      <c r="M509" s="136"/>
      <c r="N509" s="136"/>
      <c r="O509" s="136"/>
      <c r="P509" s="136"/>
      <c r="Q509" s="136"/>
      <c r="R509" s="136"/>
      <c r="S509" s="136"/>
      <c r="T509" s="137"/>
    </row>
    <row r="510">
      <c r="A510" s="102" t="s">
        <v>8745</v>
      </c>
      <c r="B510" s="103"/>
      <c r="C510" s="103"/>
      <c r="D510" s="103"/>
      <c r="E510" s="103"/>
      <c r="F510" s="103"/>
      <c r="G510" s="103"/>
      <c r="H510" s="103"/>
      <c r="I510" s="103"/>
      <c r="J510" s="103"/>
      <c r="K510" s="103"/>
      <c r="L510" s="103"/>
      <c r="M510" s="103"/>
      <c r="N510" s="103"/>
      <c r="O510" s="103"/>
      <c r="P510" s="103"/>
      <c r="Q510" s="103"/>
      <c r="R510" s="103"/>
      <c r="S510" s="103"/>
      <c r="T510" s="104"/>
    </row>
    <row r="511">
      <c r="A511" s="105" t="s">
        <v>9147</v>
      </c>
      <c r="B511" s="106"/>
      <c r="C511" s="106"/>
      <c r="D511" s="106"/>
      <c r="E511" s="106"/>
      <c r="F511" s="106"/>
      <c r="G511" s="106"/>
      <c r="H511" s="106"/>
      <c r="I511" s="106"/>
      <c r="J511" s="106"/>
      <c r="K511" s="106"/>
      <c r="L511" s="106"/>
      <c r="M511" s="106"/>
      <c r="N511" s="106"/>
      <c r="O511" s="106"/>
      <c r="P511" s="106"/>
      <c r="Q511" s="106"/>
      <c r="R511" s="106"/>
      <c r="S511" s="106"/>
      <c r="T511" s="107"/>
    </row>
    <row r="512">
      <c r="A512" s="108" t="s">
        <v>9148</v>
      </c>
      <c r="B512" s="109"/>
      <c r="C512" s="109"/>
      <c r="D512" s="109"/>
      <c r="E512" s="109"/>
      <c r="F512" s="110"/>
      <c r="G512" s="110"/>
      <c r="H512" s="110"/>
      <c r="I512" s="110"/>
      <c r="J512" s="110"/>
      <c r="K512" s="110"/>
      <c r="L512" s="110"/>
      <c r="M512" s="110"/>
      <c r="N512" s="110"/>
      <c r="O512" s="110"/>
      <c r="P512" s="110"/>
      <c r="Q512" s="110"/>
      <c r="R512" s="110"/>
      <c r="S512" s="110"/>
      <c r="T512" s="110"/>
    </row>
    <row r="513">
      <c r="A513" s="111" t="s">
        <v>8748</v>
      </c>
      <c r="B513" s="111" t="s">
        <v>9</v>
      </c>
      <c r="C513" s="111" t="s">
        <v>5246</v>
      </c>
      <c r="D513" s="111" t="s">
        <v>8680</v>
      </c>
      <c r="E513" s="138" t="s">
        <v>13</v>
      </c>
      <c r="F513" s="113" t="s">
        <v>8749</v>
      </c>
      <c r="G513" s="113" t="s">
        <v>8750</v>
      </c>
      <c r="H513" s="114" t="s">
        <v>217</v>
      </c>
      <c r="I513" s="106"/>
      <c r="J513" s="106"/>
      <c r="K513" s="106"/>
      <c r="L513" s="106"/>
      <c r="M513" s="106"/>
      <c r="N513" s="106"/>
      <c r="O513" s="106"/>
      <c r="P513" s="106"/>
      <c r="Q513" s="106"/>
      <c r="R513" s="106"/>
      <c r="S513" s="106"/>
      <c r="T513" s="106"/>
      <c r="U513" s="106"/>
    </row>
    <row r="514">
      <c r="A514" s="115"/>
      <c r="B514" s="115"/>
      <c r="C514" s="115"/>
      <c r="D514" s="115"/>
      <c r="E514" s="139"/>
      <c r="F514" s="117"/>
      <c r="G514" s="117"/>
      <c r="H514" s="118"/>
      <c r="I514" s="106"/>
      <c r="J514" s="106"/>
      <c r="K514" s="106"/>
      <c r="L514" s="106"/>
      <c r="M514" s="106"/>
      <c r="N514" s="106"/>
      <c r="O514" s="106"/>
      <c r="P514" s="106"/>
      <c r="Q514" s="106"/>
      <c r="R514" s="106"/>
      <c r="S514" s="106"/>
      <c r="T514" s="106"/>
      <c r="U514" s="106"/>
    </row>
    <row r="515">
      <c r="A515" s="145"/>
      <c r="B515" s="119"/>
      <c r="C515" s="119"/>
      <c r="D515" s="119"/>
      <c r="E515" s="140"/>
      <c r="F515" s="121"/>
      <c r="G515" s="121"/>
      <c r="H515" s="122"/>
      <c r="I515" s="106"/>
      <c r="J515" s="106"/>
      <c r="K515" s="106"/>
      <c r="L515" s="106"/>
      <c r="M515" s="106"/>
      <c r="N515" s="106"/>
      <c r="O515" s="106"/>
      <c r="P515" s="106"/>
      <c r="Q515" s="106"/>
      <c r="R515" s="106"/>
      <c r="S515" s="106"/>
      <c r="T515" s="106"/>
      <c r="U515" s="106"/>
    </row>
    <row r="516">
      <c r="A516" s="146">
        <v>1.0</v>
      </c>
      <c r="B516" s="94" t="s">
        <v>6819</v>
      </c>
      <c r="C516" s="124">
        <v>2.42510008E8</v>
      </c>
      <c r="D516" s="94" t="s">
        <v>9149</v>
      </c>
      <c r="E516" s="125" t="s">
        <v>6549</v>
      </c>
      <c r="F516" s="126"/>
      <c r="G516" s="126"/>
      <c r="H516" s="126"/>
      <c r="I516" s="106"/>
      <c r="J516" s="106"/>
      <c r="K516" s="106"/>
      <c r="L516" s="106"/>
      <c r="M516" s="106"/>
      <c r="N516" s="106"/>
      <c r="O516" s="106"/>
      <c r="P516" s="106"/>
      <c r="Q516" s="106"/>
      <c r="R516" s="106"/>
      <c r="S516" s="106"/>
      <c r="T516" s="106"/>
      <c r="U516" s="106"/>
    </row>
    <row r="517">
      <c r="A517" s="123">
        <v>2.0</v>
      </c>
      <c r="B517" s="94" t="s">
        <v>7046</v>
      </c>
      <c r="C517" s="124">
        <v>2.42510017E8</v>
      </c>
      <c r="D517" s="94" t="s">
        <v>9150</v>
      </c>
      <c r="E517" s="125" t="s">
        <v>6549</v>
      </c>
      <c r="F517" s="128"/>
      <c r="G517" s="128"/>
      <c r="H517" s="128"/>
      <c r="I517" s="106"/>
      <c r="J517" s="106"/>
      <c r="K517" s="106"/>
      <c r="L517" s="106"/>
      <c r="M517" s="106"/>
      <c r="N517" s="106"/>
      <c r="O517" s="106"/>
      <c r="P517" s="106"/>
      <c r="Q517" s="106"/>
      <c r="R517" s="106"/>
      <c r="S517" s="106"/>
      <c r="T517" s="106"/>
      <c r="U517" s="106"/>
    </row>
    <row r="518">
      <c r="A518" s="146">
        <v>3.0</v>
      </c>
      <c r="B518" s="94" t="s">
        <v>7273</v>
      </c>
      <c r="C518" s="124">
        <v>2.4251003E8</v>
      </c>
      <c r="D518" s="94" t="s">
        <v>9151</v>
      </c>
      <c r="E518" s="125" t="s">
        <v>6549</v>
      </c>
      <c r="F518" s="128"/>
      <c r="G518" s="128"/>
      <c r="H518" s="128"/>
      <c r="I518" s="106"/>
      <c r="J518" s="106"/>
      <c r="K518" s="106"/>
      <c r="L518" s="106"/>
      <c r="M518" s="106"/>
      <c r="N518" s="106"/>
      <c r="O518" s="106"/>
      <c r="P518" s="106"/>
      <c r="Q518" s="106"/>
      <c r="R518" s="106"/>
      <c r="S518" s="106"/>
      <c r="T518" s="106"/>
      <c r="U518" s="106"/>
    </row>
    <row r="519">
      <c r="A519" s="123">
        <v>4.0</v>
      </c>
      <c r="B519" s="92" t="s">
        <v>7490</v>
      </c>
      <c r="C519" s="124">
        <v>2.4251004E8</v>
      </c>
      <c r="D519" s="94" t="s">
        <v>9152</v>
      </c>
      <c r="E519" s="125" t="s">
        <v>6549</v>
      </c>
      <c r="F519" s="128"/>
      <c r="G519" s="128"/>
      <c r="H519" s="128"/>
      <c r="I519" s="106"/>
      <c r="J519" s="106"/>
      <c r="K519" s="106"/>
      <c r="L519" s="106"/>
      <c r="M519" s="106"/>
      <c r="N519" s="106"/>
      <c r="O519" s="106"/>
      <c r="P519" s="106"/>
      <c r="Q519" s="106"/>
      <c r="R519" s="106"/>
      <c r="S519" s="106"/>
      <c r="T519" s="106"/>
      <c r="U519" s="106"/>
    </row>
    <row r="520">
      <c r="A520" s="146">
        <v>5.0</v>
      </c>
      <c r="B520" s="94" t="s">
        <v>7358</v>
      </c>
      <c r="C520" s="124">
        <v>2.42510073E8</v>
      </c>
      <c r="D520" s="94" t="s">
        <v>9153</v>
      </c>
      <c r="E520" s="125" t="s">
        <v>6549</v>
      </c>
      <c r="F520" s="128"/>
      <c r="G520" s="128"/>
      <c r="H520" s="128"/>
      <c r="I520" s="106"/>
      <c r="J520" s="106"/>
      <c r="K520" s="106"/>
      <c r="L520" s="106"/>
      <c r="M520" s="106"/>
      <c r="N520" s="106"/>
      <c r="O520" s="106"/>
      <c r="P520" s="106"/>
      <c r="Q520" s="106"/>
      <c r="R520" s="106"/>
      <c r="S520" s="106"/>
      <c r="T520" s="106"/>
      <c r="U520" s="106"/>
    </row>
    <row r="521">
      <c r="A521" s="123">
        <v>6.0</v>
      </c>
      <c r="B521" s="94" t="s">
        <v>7283</v>
      </c>
      <c r="C521" s="124">
        <v>2.42510077E8</v>
      </c>
      <c r="D521" s="94" t="s">
        <v>9154</v>
      </c>
      <c r="E521" s="125" t="s">
        <v>6549</v>
      </c>
      <c r="F521" s="128"/>
      <c r="G521" s="128"/>
      <c r="H521" s="128"/>
      <c r="I521" s="106"/>
      <c r="J521" s="106"/>
      <c r="K521" s="106"/>
      <c r="L521" s="106"/>
      <c r="M521" s="106"/>
      <c r="N521" s="106"/>
      <c r="O521" s="106"/>
      <c r="P521" s="106"/>
      <c r="Q521" s="106"/>
      <c r="R521" s="106"/>
      <c r="S521" s="106"/>
      <c r="T521" s="106"/>
      <c r="U521" s="106"/>
    </row>
    <row r="522">
      <c r="A522" s="146">
        <v>7.0</v>
      </c>
      <c r="B522" s="94" t="s">
        <v>7206</v>
      </c>
      <c r="C522" s="124">
        <v>2.42510085E8</v>
      </c>
      <c r="D522" s="94" t="s">
        <v>9155</v>
      </c>
      <c r="E522" s="125" t="s">
        <v>6549</v>
      </c>
      <c r="F522" s="128"/>
      <c r="G522" s="128"/>
      <c r="H522" s="128"/>
      <c r="I522" s="106"/>
      <c r="J522" s="106"/>
      <c r="K522" s="106"/>
      <c r="L522" s="106"/>
      <c r="M522" s="106"/>
      <c r="N522" s="106"/>
      <c r="O522" s="106"/>
      <c r="P522" s="106"/>
      <c r="Q522" s="106"/>
      <c r="R522" s="106"/>
      <c r="S522" s="106"/>
      <c r="T522" s="106"/>
      <c r="U522" s="106"/>
    </row>
    <row r="523">
      <c r="A523" s="123">
        <v>8.0</v>
      </c>
      <c r="B523" s="94" t="s">
        <v>9156</v>
      </c>
      <c r="C523" s="124">
        <v>2.42510108E8</v>
      </c>
      <c r="D523" s="94" t="s">
        <v>9157</v>
      </c>
      <c r="E523" s="125" t="s">
        <v>6549</v>
      </c>
      <c r="F523" s="128"/>
      <c r="G523" s="128"/>
      <c r="H523" s="128"/>
      <c r="I523" s="106"/>
      <c r="J523" s="106"/>
      <c r="K523" s="106"/>
      <c r="L523" s="106"/>
      <c r="M523" s="106"/>
      <c r="N523" s="106"/>
      <c r="O523" s="106"/>
      <c r="P523" s="106"/>
      <c r="Q523" s="106"/>
      <c r="R523" s="106"/>
      <c r="S523" s="106"/>
      <c r="T523" s="106"/>
      <c r="U523" s="106"/>
    </row>
    <row r="524">
      <c r="A524" s="146">
        <v>9.0</v>
      </c>
      <c r="B524" s="94" t="s">
        <v>6916</v>
      </c>
      <c r="C524" s="124">
        <v>2.42510117E8</v>
      </c>
      <c r="D524" s="94" t="s">
        <v>9158</v>
      </c>
      <c r="E524" s="125" t="s">
        <v>6549</v>
      </c>
      <c r="F524" s="128"/>
      <c r="G524" s="128"/>
      <c r="H524" s="128"/>
      <c r="I524" s="106"/>
      <c r="J524" s="106"/>
      <c r="K524" s="106"/>
      <c r="L524" s="106"/>
      <c r="M524" s="106"/>
      <c r="N524" s="106"/>
      <c r="O524" s="106"/>
      <c r="P524" s="106"/>
      <c r="Q524" s="106"/>
      <c r="R524" s="106"/>
      <c r="S524" s="106"/>
      <c r="T524" s="106"/>
      <c r="U524" s="106"/>
    </row>
    <row r="525">
      <c r="A525" s="123">
        <v>10.0</v>
      </c>
      <c r="B525" s="94" t="s">
        <v>7431</v>
      </c>
      <c r="C525" s="124">
        <v>2.42510123E8</v>
      </c>
      <c r="D525" s="94" t="s">
        <v>9159</v>
      </c>
      <c r="E525" s="125" t="s">
        <v>6549</v>
      </c>
      <c r="F525" s="128"/>
      <c r="G525" s="128"/>
      <c r="H525" s="128"/>
      <c r="I525" s="106"/>
      <c r="J525" s="106"/>
      <c r="K525" s="106"/>
      <c r="L525" s="106"/>
      <c r="M525" s="106"/>
      <c r="N525" s="106"/>
      <c r="O525" s="106"/>
      <c r="P525" s="106"/>
      <c r="Q525" s="106"/>
      <c r="R525" s="106"/>
      <c r="S525" s="106"/>
      <c r="T525" s="106"/>
      <c r="U525" s="106"/>
    </row>
    <row r="526">
      <c r="A526" s="146">
        <v>11.0</v>
      </c>
      <c r="B526" s="94" t="s">
        <v>7655</v>
      </c>
      <c r="C526" s="124">
        <v>2.42510127E8</v>
      </c>
      <c r="D526" s="94" t="s">
        <v>9160</v>
      </c>
      <c r="E526" s="125" t="s">
        <v>6549</v>
      </c>
      <c r="F526" s="128"/>
      <c r="G526" s="128"/>
      <c r="H526" s="128"/>
      <c r="I526" s="106"/>
      <c r="J526" s="106"/>
      <c r="K526" s="106"/>
      <c r="L526" s="106"/>
      <c r="M526" s="106"/>
      <c r="N526" s="106"/>
      <c r="O526" s="106"/>
      <c r="P526" s="106"/>
      <c r="Q526" s="106"/>
      <c r="R526" s="106"/>
      <c r="S526" s="106"/>
      <c r="T526" s="106"/>
      <c r="U526" s="106"/>
    </row>
    <row r="527">
      <c r="A527" s="123">
        <v>12.0</v>
      </c>
      <c r="B527" s="94" t="s">
        <v>7372</v>
      </c>
      <c r="C527" s="124">
        <v>2.42510137E8</v>
      </c>
      <c r="D527" s="94" t="s">
        <v>9161</v>
      </c>
      <c r="E527" s="125" t="s">
        <v>6549</v>
      </c>
      <c r="F527" s="128"/>
      <c r="G527" s="128"/>
      <c r="H527" s="128"/>
      <c r="I527" s="106"/>
      <c r="J527" s="106"/>
      <c r="K527" s="106"/>
      <c r="L527" s="106"/>
      <c r="M527" s="106"/>
      <c r="N527" s="106"/>
      <c r="O527" s="106"/>
      <c r="P527" s="106"/>
      <c r="Q527" s="106"/>
      <c r="R527" s="106"/>
      <c r="S527" s="106"/>
      <c r="T527" s="106"/>
      <c r="U527" s="106"/>
    </row>
    <row r="528">
      <c r="A528" s="146">
        <v>13.0</v>
      </c>
      <c r="B528" s="94" t="s">
        <v>6926</v>
      </c>
      <c r="C528" s="124">
        <v>2.42510153E8</v>
      </c>
      <c r="D528" s="94" t="s">
        <v>9162</v>
      </c>
      <c r="E528" s="125" t="s">
        <v>6549</v>
      </c>
      <c r="F528" s="128"/>
      <c r="G528" s="128"/>
      <c r="H528" s="128"/>
      <c r="I528" s="106"/>
      <c r="J528" s="106"/>
      <c r="K528" s="106"/>
      <c r="L528" s="106"/>
      <c r="M528" s="106"/>
      <c r="N528" s="106"/>
      <c r="O528" s="106"/>
      <c r="P528" s="106"/>
      <c r="Q528" s="106"/>
      <c r="R528" s="106"/>
      <c r="S528" s="106"/>
      <c r="T528" s="106"/>
      <c r="U528" s="106"/>
    </row>
    <row r="529">
      <c r="A529" s="123">
        <v>14.0</v>
      </c>
      <c r="B529" s="94" t="s">
        <v>7588</v>
      </c>
      <c r="C529" s="124">
        <v>2.42510157E8</v>
      </c>
      <c r="D529" s="94" t="s">
        <v>9163</v>
      </c>
      <c r="E529" s="125" t="s">
        <v>6549</v>
      </c>
      <c r="F529" s="128"/>
      <c r="G529" s="128"/>
      <c r="H529" s="128"/>
      <c r="I529" s="106"/>
      <c r="J529" s="106"/>
      <c r="K529" s="106"/>
      <c r="L529" s="106"/>
      <c r="M529" s="106"/>
      <c r="N529" s="106"/>
      <c r="O529" s="106"/>
      <c r="P529" s="106"/>
      <c r="Q529" s="106"/>
      <c r="R529" s="106"/>
      <c r="S529" s="106"/>
      <c r="T529" s="106"/>
      <c r="U529" s="106"/>
    </row>
    <row r="530">
      <c r="A530" s="146">
        <v>15.0</v>
      </c>
      <c r="B530" s="94" t="s">
        <v>7516</v>
      </c>
      <c r="C530" s="124">
        <v>2.42510177E8</v>
      </c>
      <c r="D530" s="94" t="s">
        <v>9164</v>
      </c>
      <c r="E530" s="125" t="s">
        <v>6549</v>
      </c>
      <c r="F530" s="128"/>
      <c r="G530" s="128"/>
      <c r="H530" s="128"/>
      <c r="I530" s="106"/>
      <c r="J530" s="106"/>
      <c r="K530" s="106"/>
      <c r="L530" s="106"/>
      <c r="M530" s="106"/>
      <c r="N530" s="106"/>
      <c r="O530" s="106"/>
      <c r="P530" s="106"/>
      <c r="Q530" s="106"/>
      <c r="R530" s="106"/>
      <c r="S530" s="106"/>
      <c r="T530" s="106"/>
      <c r="U530" s="106"/>
    </row>
    <row r="531">
      <c r="A531" s="123">
        <v>16.0</v>
      </c>
      <c r="B531" s="94" t="s">
        <v>6992</v>
      </c>
      <c r="C531" s="124">
        <v>2.42510187E8</v>
      </c>
      <c r="D531" s="94" t="s">
        <v>9165</v>
      </c>
      <c r="E531" s="125" t="s">
        <v>6549</v>
      </c>
      <c r="F531" s="128"/>
      <c r="G531" s="128"/>
      <c r="H531" s="128"/>
      <c r="I531" s="106"/>
      <c r="J531" s="106"/>
      <c r="K531" s="106"/>
      <c r="L531" s="106"/>
      <c r="M531" s="106"/>
      <c r="N531" s="106"/>
      <c r="O531" s="106"/>
      <c r="P531" s="106"/>
      <c r="Q531" s="106"/>
      <c r="R531" s="106"/>
      <c r="S531" s="106"/>
      <c r="T531" s="106"/>
      <c r="U531" s="106"/>
    </row>
    <row r="532">
      <c r="A532" s="146">
        <v>17.0</v>
      </c>
      <c r="B532" s="94" t="s">
        <v>7141</v>
      </c>
      <c r="C532" s="124">
        <v>2.425102E8</v>
      </c>
      <c r="D532" s="94" t="s">
        <v>9166</v>
      </c>
      <c r="E532" s="125" t="s">
        <v>6549</v>
      </c>
      <c r="F532" s="128"/>
      <c r="G532" s="128"/>
      <c r="H532" s="128"/>
      <c r="I532" s="106"/>
      <c r="J532" s="106"/>
      <c r="K532" s="106"/>
      <c r="L532" s="106"/>
      <c r="M532" s="106"/>
      <c r="N532" s="106"/>
      <c r="O532" s="106"/>
      <c r="P532" s="106"/>
      <c r="Q532" s="106"/>
      <c r="R532" s="106"/>
      <c r="S532" s="106"/>
      <c r="T532" s="106"/>
      <c r="U532" s="106"/>
    </row>
    <row r="533">
      <c r="A533" s="123">
        <v>18.0</v>
      </c>
      <c r="B533" s="94" t="s">
        <v>7441</v>
      </c>
      <c r="C533" s="124">
        <v>2.42510225E8</v>
      </c>
      <c r="D533" s="94" t="s">
        <v>9167</v>
      </c>
      <c r="E533" s="125" t="s">
        <v>6549</v>
      </c>
      <c r="F533" s="128"/>
      <c r="G533" s="128"/>
      <c r="H533" s="128"/>
      <c r="I533" s="106"/>
      <c r="J533" s="106"/>
      <c r="K533" s="106"/>
      <c r="L533" s="106"/>
      <c r="M533" s="106"/>
      <c r="N533" s="106"/>
      <c r="O533" s="106"/>
      <c r="P533" s="106"/>
      <c r="Q533" s="106"/>
      <c r="R533" s="106"/>
      <c r="S533" s="106"/>
      <c r="T533" s="106"/>
      <c r="U533" s="106"/>
    </row>
    <row r="534">
      <c r="A534" s="146">
        <v>19.0</v>
      </c>
      <c r="B534" s="94" t="s">
        <v>7232</v>
      </c>
      <c r="C534" s="124">
        <v>2.42510226E8</v>
      </c>
      <c r="D534" s="94" t="s">
        <v>9168</v>
      </c>
      <c r="E534" s="125" t="s">
        <v>6549</v>
      </c>
      <c r="F534" s="128"/>
      <c r="G534" s="128"/>
      <c r="H534" s="128"/>
      <c r="I534" s="106"/>
      <c r="J534" s="106"/>
      <c r="K534" s="106"/>
      <c r="L534" s="106"/>
      <c r="M534" s="106"/>
      <c r="N534" s="106"/>
      <c r="O534" s="106"/>
      <c r="P534" s="106"/>
      <c r="Q534" s="106"/>
      <c r="R534" s="106"/>
      <c r="S534" s="106"/>
      <c r="T534" s="106"/>
      <c r="U534" s="106"/>
    </row>
    <row r="535">
      <c r="A535" s="123">
        <v>20.0</v>
      </c>
      <c r="B535" s="92" t="s">
        <v>7384</v>
      </c>
      <c r="C535" s="124">
        <v>2.42510246E8</v>
      </c>
      <c r="D535" s="94" t="s">
        <v>9169</v>
      </c>
      <c r="E535" s="125" t="s">
        <v>6549</v>
      </c>
      <c r="F535" s="128"/>
      <c r="G535" s="128"/>
      <c r="H535" s="128"/>
      <c r="I535" s="106"/>
      <c r="J535" s="106"/>
      <c r="K535" s="106"/>
      <c r="L535" s="106"/>
      <c r="M535" s="106"/>
      <c r="N535" s="106"/>
      <c r="O535" s="106"/>
      <c r="P535" s="106"/>
      <c r="Q535" s="106"/>
      <c r="R535" s="106"/>
      <c r="S535" s="106"/>
      <c r="T535" s="106"/>
      <c r="U535" s="106"/>
    </row>
    <row r="536">
      <c r="A536" s="146">
        <v>21.0</v>
      </c>
      <c r="B536" s="94" t="s">
        <v>7307</v>
      </c>
      <c r="C536" s="124">
        <v>2.42510256E8</v>
      </c>
      <c r="D536" s="94" t="s">
        <v>9170</v>
      </c>
      <c r="E536" s="125" t="s">
        <v>6549</v>
      </c>
      <c r="F536" s="128"/>
      <c r="G536" s="128"/>
      <c r="H536" s="128"/>
      <c r="I536" s="106"/>
      <c r="J536" s="106"/>
      <c r="K536" s="106"/>
      <c r="L536" s="106"/>
      <c r="M536" s="106"/>
      <c r="N536" s="106"/>
      <c r="O536" s="106"/>
      <c r="P536" s="106"/>
      <c r="Q536" s="106"/>
      <c r="R536" s="106"/>
      <c r="S536" s="106"/>
      <c r="T536" s="106"/>
      <c r="U536" s="106"/>
    </row>
    <row r="537">
      <c r="A537" s="123">
        <v>22.0</v>
      </c>
      <c r="B537" s="94" t="s">
        <v>7236</v>
      </c>
      <c r="C537" s="124">
        <v>2.42510268E8</v>
      </c>
      <c r="D537" s="94" t="s">
        <v>9171</v>
      </c>
      <c r="E537" s="125" t="s">
        <v>6549</v>
      </c>
      <c r="F537" s="128"/>
      <c r="G537" s="128"/>
      <c r="H537" s="128"/>
      <c r="I537" s="106"/>
      <c r="J537" s="106"/>
      <c r="K537" s="106"/>
      <c r="L537" s="106"/>
      <c r="M537" s="106"/>
      <c r="N537" s="106"/>
      <c r="O537" s="106"/>
      <c r="P537" s="106"/>
      <c r="Q537" s="106"/>
      <c r="R537" s="106"/>
      <c r="S537" s="106"/>
      <c r="T537" s="106"/>
      <c r="U537" s="106"/>
    </row>
    <row r="538">
      <c r="A538" s="146">
        <v>23.0</v>
      </c>
      <c r="B538" s="92" t="s">
        <v>7098</v>
      </c>
      <c r="C538" s="124">
        <v>2.42510312E8</v>
      </c>
      <c r="D538" s="94" t="s">
        <v>9172</v>
      </c>
      <c r="E538" s="125" t="s">
        <v>6549</v>
      </c>
      <c r="F538" s="128"/>
      <c r="G538" s="128"/>
      <c r="H538" s="128"/>
      <c r="I538" s="106"/>
      <c r="J538" s="106"/>
      <c r="K538" s="106"/>
      <c r="L538" s="106"/>
      <c r="M538" s="106"/>
      <c r="N538" s="106"/>
      <c r="O538" s="106"/>
      <c r="P538" s="106"/>
      <c r="Q538" s="106"/>
      <c r="R538" s="106"/>
      <c r="S538" s="106"/>
      <c r="T538" s="106"/>
      <c r="U538" s="106"/>
    </row>
    <row r="539">
      <c r="A539" s="123">
        <v>24.0</v>
      </c>
      <c r="B539" s="94" t="s">
        <v>7169</v>
      </c>
      <c r="C539" s="124">
        <v>2.42510318E8</v>
      </c>
      <c r="D539" s="94" t="s">
        <v>9173</v>
      </c>
      <c r="E539" s="125" t="s">
        <v>6549</v>
      </c>
      <c r="F539" s="128"/>
      <c r="G539" s="128"/>
      <c r="H539" s="128"/>
      <c r="I539" s="106"/>
      <c r="J539" s="106"/>
      <c r="K539" s="106"/>
      <c r="L539" s="106"/>
      <c r="M539" s="106"/>
      <c r="N539" s="106"/>
      <c r="O539" s="106"/>
      <c r="P539" s="106"/>
      <c r="Q539" s="106"/>
      <c r="R539" s="106"/>
      <c r="S539" s="106"/>
      <c r="T539" s="106"/>
      <c r="U539" s="106"/>
    </row>
    <row r="540">
      <c r="A540" s="146">
        <v>25.0</v>
      </c>
      <c r="B540" s="94" t="s">
        <v>7100</v>
      </c>
      <c r="C540" s="124">
        <v>2.42510321E8</v>
      </c>
      <c r="D540" s="94" t="s">
        <v>9174</v>
      </c>
      <c r="E540" s="125" t="s">
        <v>6549</v>
      </c>
      <c r="F540" s="128"/>
      <c r="G540" s="128"/>
      <c r="H540" s="128"/>
      <c r="I540" s="106"/>
      <c r="J540" s="106"/>
      <c r="K540" s="106"/>
      <c r="L540" s="106"/>
      <c r="M540" s="106"/>
      <c r="N540" s="106"/>
      <c r="O540" s="106"/>
      <c r="P540" s="106"/>
      <c r="Q540" s="106"/>
      <c r="R540" s="106"/>
      <c r="S540" s="106"/>
      <c r="T540" s="106"/>
      <c r="U540" s="106"/>
    </row>
    <row r="541">
      <c r="A541" s="123">
        <v>26.0</v>
      </c>
      <c r="B541" s="94" t="s">
        <v>7400</v>
      </c>
      <c r="C541" s="124">
        <v>2.42510334E8</v>
      </c>
      <c r="D541" s="94" t="s">
        <v>9175</v>
      </c>
      <c r="E541" s="125" t="s">
        <v>6549</v>
      </c>
      <c r="F541" s="128"/>
      <c r="G541" s="128"/>
      <c r="H541" s="128"/>
      <c r="I541" s="106"/>
      <c r="J541" s="106"/>
      <c r="K541" s="106"/>
      <c r="L541" s="106"/>
      <c r="M541" s="106"/>
      <c r="N541" s="106"/>
      <c r="O541" s="106"/>
      <c r="P541" s="106"/>
      <c r="Q541" s="106"/>
      <c r="R541" s="106"/>
      <c r="S541" s="106"/>
      <c r="T541" s="106"/>
      <c r="U541" s="106"/>
    </row>
    <row r="542">
      <c r="A542" s="146">
        <v>27.0</v>
      </c>
      <c r="B542" s="92" t="s">
        <v>7108</v>
      </c>
      <c r="C542" s="124">
        <v>2.42510348E8</v>
      </c>
      <c r="D542" s="94" t="s">
        <v>9176</v>
      </c>
      <c r="E542" s="125" t="s">
        <v>6549</v>
      </c>
      <c r="F542" s="128"/>
      <c r="G542" s="128"/>
      <c r="H542" s="128"/>
      <c r="I542" s="106"/>
      <c r="J542" s="106"/>
      <c r="K542" s="106"/>
      <c r="L542" s="106"/>
      <c r="M542" s="106"/>
      <c r="N542" s="106"/>
      <c r="O542" s="106"/>
      <c r="P542" s="106"/>
      <c r="Q542" s="106"/>
      <c r="R542" s="106"/>
      <c r="S542" s="106"/>
      <c r="T542" s="106"/>
      <c r="U542" s="106"/>
    </row>
    <row r="543">
      <c r="A543" s="123">
        <v>28.0</v>
      </c>
      <c r="B543" s="92" t="s">
        <v>7181</v>
      </c>
      <c r="C543" s="124">
        <v>2.42510367E8</v>
      </c>
      <c r="D543" s="94" t="s">
        <v>9177</v>
      </c>
      <c r="E543" s="125" t="s">
        <v>6549</v>
      </c>
      <c r="F543" s="128"/>
      <c r="G543" s="128"/>
      <c r="H543" s="128"/>
      <c r="I543" s="106"/>
      <c r="J543" s="106"/>
      <c r="K543" s="106"/>
      <c r="L543" s="106"/>
      <c r="M543" s="106"/>
      <c r="N543" s="106"/>
      <c r="O543" s="106"/>
      <c r="P543" s="106"/>
      <c r="Q543" s="106"/>
      <c r="R543" s="106"/>
      <c r="S543" s="106"/>
      <c r="T543" s="106"/>
      <c r="U543" s="106"/>
    </row>
    <row r="544">
      <c r="A544" s="146">
        <v>29.0</v>
      </c>
      <c r="B544" s="94" t="s">
        <v>9178</v>
      </c>
      <c r="C544" s="124">
        <v>2.42510375E8</v>
      </c>
      <c r="D544" s="94" t="s">
        <v>9179</v>
      </c>
      <c r="E544" s="125" t="s">
        <v>6549</v>
      </c>
      <c r="F544" s="128"/>
      <c r="G544" s="128"/>
      <c r="H544" s="128"/>
      <c r="I544" s="106"/>
      <c r="J544" s="106"/>
      <c r="K544" s="106"/>
      <c r="L544" s="106"/>
      <c r="M544" s="106"/>
      <c r="N544" s="106"/>
      <c r="O544" s="106"/>
      <c r="P544" s="106"/>
      <c r="Q544" s="106"/>
      <c r="R544" s="106"/>
      <c r="S544" s="106"/>
      <c r="T544" s="106"/>
      <c r="U544" s="106"/>
    </row>
    <row r="545">
      <c r="A545" s="123">
        <v>30.0</v>
      </c>
      <c r="B545" s="92" t="s">
        <v>7545</v>
      </c>
      <c r="C545" s="124">
        <v>2.42510384E8</v>
      </c>
      <c r="D545" s="94" t="s">
        <v>9180</v>
      </c>
      <c r="E545" s="125" t="s">
        <v>6549</v>
      </c>
      <c r="F545" s="128"/>
      <c r="G545" s="128"/>
      <c r="H545" s="128"/>
      <c r="I545" s="106"/>
      <c r="J545" s="106"/>
      <c r="K545" s="106"/>
      <c r="L545" s="106"/>
      <c r="M545" s="106"/>
      <c r="N545" s="106"/>
      <c r="O545" s="106"/>
      <c r="P545" s="106"/>
      <c r="Q545" s="106"/>
      <c r="R545" s="106"/>
      <c r="S545" s="106"/>
      <c r="T545" s="106"/>
      <c r="U545" s="106"/>
    </row>
    <row r="546">
      <c r="A546" s="146">
        <v>31.0</v>
      </c>
      <c r="B546" s="94" t="s">
        <v>6882</v>
      </c>
      <c r="C546" s="124">
        <v>2.42510388E8</v>
      </c>
      <c r="D546" s="94" t="s">
        <v>9181</v>
      </c>
      <c r="E546" s="125" t="s">
        <v>6549</v>
      </c>
      <c r="F546" s="128"/>
      <c r="G546" s="128"/>
      <c r="H546" s="128"/>
      <c r="I546" s="106"/>
      <c r="J546" s="106"/>
      <c r="K546" s="106"/>
      <c r="L546" s="106"/>
      <c r="M546" s="106"/>
      <c r="N546" s="106"/>
      <c r="O546" s="106"/>
      <c r="P546" s="106"/>
      <c r="Q546" s="106"/>
      <c r="R546" s="106"/>
      <c r="S546" s="106"/>
      <c r="T546" s="106"/>
      <c r="U546" s="106"/>
    </row>
    <row r="547">
      <c r="A547" s="123">
        <v>32.0</v>
      </c>
      <c r="B547" s="94" t="s">
        <v>9182</v>
      </c>
      <c r="C547" s="124">
        <v>2.42510402E8</v>
      </c>
      <c r="D547" s="94" t="s">
        <v>9183</v>
      </c>
      <c r="E547" s="125" t="s">
        <v>6549</v>
      </c>
      <c r="F547" s="128"/>
      <c r="G547" s="128"/>
      <c r="H547" s="128"/>
      <c r="I547" s="106"/>
      <c r="J547" s="106"/>
      <c r="K547" s="106"/>
      <c r="L547" s="106"/>
      <c r="M547" s="106"/>
      <c r="N547" s="106"/>
      <c r="O547" s="106"/>
      <c r="P547" s="106"/>
      <c r="Q547" s="106"/>
      <c r="R547" s="106"/>
      <c r="S547" s="106"/>
      <c r="T547" s="106"/>
      <c r="U547" s="106"/>
    </row>
    <row r="548">
      <c r="A548" s="146">
        <v>33.0</v>
      </c>
      <c r="B548" s="94" t="s">
        <v>6885</v>
      </c>
      <c r="C548" s="124">
        <v>2.42510406E8</v>
      </c>
      <c r="D548" s="94" t="s">
        <v>9184</v>
      </c>
      <c r="E548" s="125" t="s">
        <v>6549</v>
      </c>
      <c r="F548" s="128"/>
      <c r="G548" s="128"/>
      <c r="H548" s="128"/>
      <c r="I548" s="106"/>
      <c r="J548" s="106"/>
      <c r="K548" s="106"/>
      <c r="L548" s="106"/>
      <c r="M548" s="106"/>
      <c r="N548" s="106"/>
      <c r="O548" s="106"/>
      <c r="P548" s="106"/>
      <c r="Q548" s="106"/>
      <c r="R548" s="106"/>
      <c r="S548" s="106"/>
      <c r="T548" s="106"/>
      <c r="U548" s="106"/>
    </row>
    <row r="549">
      <c r="A549" s="123">
        <v>34.0</v>
      </c>
      <c r="B549" s="94" t="s">
        <v>7626</v>
      </c>
      <c r="C549" s="124">
        <v>2.42510411E8</v>
      </c>
      <c r="D549" s="94" t="s">
        <v>9185</v>
      </c>
      <c r="E549" s="125" t="s">
        <v>6549</v>
      </c>
      <c r="F549" s="128"/>
      <c r="G549" s="128"/>
      <c r="H549" s="128"/>
      <c r="I549" s="106"/>
      <c r="J549" s="106"/>
      <c r="K549" s="106"/>
      <c r="L549" s="106"/>
      <c r="M549" s="106"/>
      <c r="N549" s="106"/>
      <c r="O549" s="106"/>
      <c r="P549" s="106"/>
      <c r="Q549" s="106"/>
      <c r="R549" s="106"/>
      <c r="S549" s="106"/>
      <c r="T549" s="106"/>
      <c r="U549" s="106"/>
    </row>
    <row r="550">
      <c r="A550" s="146">
        <v>35.0</v>
      </c>
      <c r="B550" s="94" t="s">
        <v>7044</v>
      </c>
      <c r="C550" s="124">
        <v>2.42510421E8</v>
      </c>
      <c r="D550" s="94" t="s">
        <v>9186</v>
      </c>
      <c r="E550" s="125" t="s">
        <v>6549</v>
      </c>
      <c r="F550" s="128"/>
      <c r="G550" s="128"/>
      <c r="H550" s="128"/>
      <c r="I550" s="106"/>
      <c r="J550" s="106"/>
      <c r="K550" s="106"/>
      <c r="L550" s="106"/>
      <c r="M550" s="106"/>
      <c r="N550" s="106"/>
      <c r="O550" s="106"/>
      <c r="P550" s="106"/>
      <c r="Q550" s="106"/>
      <c r="R550" s="106"/>
      <c r="S550" s="106"/>
      <c r="T550" s="106"/>
      <c r="U550" s="106"/>
    </row>
    <row r="551">
      <c r="A551" s="123">
        <v>36.0</v>
      </c>
      <c r="B551" s="94" t="s">
        <v>6891</v>
      </c>
      <c r="C551" s="124">
        <v>2.42510426E8</v>
      </c>
      <c r="D551" s="94" t="s">
        <v>9187</v>
      </c>
      <c r="E551" s="125" t="s">
        <v>6549</v>
      </c>
      <c r="F551" s="128"/>
      <c r="G551" s="128"/>
      <c r="H551" s="128"/>
      <c r="I551" s="106"/>
      <c r="J551" s="106"/>
      <c r="K551" s="106"/>
      <c r="L551" s="106"/>
      <c r="M551" s="106"/>
      <c r="N551" s="106"/>
      <c r="O551" s="106"/>
      <c r="P551" s="106"/>
      <c r="Q551" s="106"/>
      <c r="R551" s="106"/>
      <c r="S551" s="106"/>
      <c r="T551" s="106"/>
      <c r="U551" s="106"/>
    </row>
    <row r="552">
      <c r="A552" s="129"/>
      <c r="B552" s="129"/>
      <c r="C552" s="129"/>
      <c r="D552" s="129"/>
      <c r="E552" s="129"/>
      <c r="F552" s="129"/>
      <c r="G552" s="129"/>
      <c r="H552" s="129"/>
      <c r="I552" s="129"/>
      <c r="J552" s="129"/>
      <c r="K552" s="106"/>
      <c r="L552" s="106"/>
      <c r="M552" s="106"/>
      <c r="N552" s="106"/>
      <c r="O552" s="106"/>
      <c r="P552" s="106"/>
      <c r="Q552" s="106"/>
      <c r="R552" s="106"/>
      <c r="S552" s="106"/>
      <c r="T552" s="106"/>
      <c r="U552" s="106"/>
    </row>
    <row r="553">
      <c r="A553" s="129"/>
      <c r="B553" s="130" t="s">
        <v>8789</v>
      </c>
      <c r="C553" s="129"/>
      <c r="D553" s="131">
        <f>COUNTIF(E514:E552,"L")</f>
        <v>0</v>
      </c>
      <c r="E553" s="129"/>
      <c r="F553" s="129"/>
      <c r="G553" s="129"/>
      <c r="H553" s="129"/>
      <c r="I553" s="129"/>
      <c r="J553" s="129"/>
      <c r="K553" s="106"/>
      <c r="L553" s="106"/>
      <c r="M553" s="106"/>
      <c r="N553" s="106"/>
      <c r="O553" s="106"/>
      <c r="P553" s="106"/>
      <c r="Q553" s="106"/>
      <c r="R553" s="106"/>
      <c r="S553" s="106"/>
      <c r="T553" s="106"/>
      <c r="U553" s="106"/>
    </row>
    <row r="554">
      <c r="A554" s="129"/>
      <c r="B554" s="130" t="s">
        <v>8790</v>
      </c>
      <c r="C554" s="129"/>
      <c r="D554" s="131">
        <f>COUNTIF(E514:E552,"P")</f>
        <v>0</v>
      </c>
      <c r="E554" s="129"/>
      <c r="F554" s="129"/>
      <c r="G554" s="129"/>
      <c r="H554" s="129"/>
      <c r="I554" s="129"/>
      <c r="J554" s="129"/>
      <c r="K554" s="132" t="s">
        <v>8793</v>
      </c>
      <c r="L554" s="133"/>
      <c r="M554" s="133"/>
      <c r="N554" s="133"/>
      <c r="O554" s="133"/>
      <c r="P554" s="133"/>
      <c r="Q554" s="133"/>
      <c r="R554" s="133"/>
      <c r="S554" s="133"/>
      <c r="T554" s="134"/>
    </row>
    <row r="555">
      <c r="A555" s="129"/>
      <c r="B555" s="130" t="s">
        <v>8792</v>
      </c>
      <c r="C555" s="129"/>
      <c r="D555" s="131">
        <f>SUM(D553:D554)</f>
        <v>0</v>
      </c>
      <c r="E555" s="129"/>
      <c r="F555" s="129"/>
      <c r="G555" s="129"/>
      <c r="H555" s="129"/>
      <c r="I555" s="129"/>
      <c r="J555" s="129"/>
      <c r="K555" s="141"/>
      <c r="L555" s="141"/>
      <c r="M555" s="141"/>
      <c r="N555" s="141"/>
      <c r="O555" s="141"/>
      <c r="P555" s="141"/>
      <c r="Q555" s="141"/>
      <c r="R555" s="141"/>
      <c r="S555" s="141"/>
      <c r="T555" s="141"/>
    </row>
    <row r="556">
      <c r="A556" s="97" t="s">
        <v>8743</v>
      </c>
      <c r="B556" s="97"/>
      <c r="C556" s="97"/>
      <c r="D556" s="97"/>
      <c r="E556" s="97"/>
      <c r="F556" s="97"/>
      <c r="G556" s="97"/>
      <c r="H556" s="97"/>
      <c r="I556" s="97"/>
      <c r="J556" s="97"/>
      <c r="K556" s="97"/>
      <c r="L556" s="97"/>
      <c r="M556" s="97"/>
      <c r="N556" s="97"/>
      <c r="O556" s="97"/>
      <c r="P556" s="97"/>
      <c r="Q556" s="97"/>
      <c r="R556" s="97"/>
      <c r="S556" s="97"/>
      <c r="T556" s="97"/>
    </row>
    <row r="557">
      <c r="A557" s="135" t="s">
        <v>8744</v>
      </c>
      <c r="B557" s="136"/>
      <c r="C557" s="136"/>
      <c r="D557" s="136"/>
      <c r="E557" s="136"/>
      <c r="F557" s="136"/>
      <c r="G557" s="136"/>
      <c r="H557" s="136"/>
      <c r="I557" s="136"/>
      <c r="J557" s="136"/>
      <c r="K557" s="136"/>
      <c r="L557" s="136"/>
      <c r="M557" s="136"/>
      <c r="N557" s="136"/>
      <c r="O557" s="136"/>
      <c r="P557" s="136"/>
      <c r="Q557" s="136"/>
      <c r="R557" s="136"/>
      <c r="S557" s="136"/>
      <c r="T557" s="137"/>
    </row>
    <row r="558">
      <c r="A558" s="102" t="s">
        <v>8745</v>
      </c>
      <c r="B558" s="103"/>
      <c r="C558" s="103"/>
      <c r="D558" s="103"/>
      <c r="E558" s="103"/>
      <c r="F558" s="103"/>
      <c r="G558" s="103"/>
      <c r="H558" s="103"/>
      <c r="I558" s="103"/>
      <c r="J558" s="103"/>
      <c r="K558" s="103"/>
      <c r="L558" s="103"/>
      <c r="M558" s="103"/>
      <c r="N558" s="103"/>
      <c r="O558" s="103"/>
      <c r="P558" s="103"/>
      <c r="Q558" s="103"/>
      <c r="R558" s="103"/>
      <c r="S558" s="103"/>
      <c r="T558" s="104"/>
    </row>
    <row r="559">
      <c r="A559" s="105" t="s">
        <v>9188</v>
      </c>
      <c r="B559" s="106"/>
      <c r="C559" s="106"/>
      <c r="D559" s="106"/>
      <c r="E559" s="106"/>
      <c r="F559" s="106"/>
      <c r="G559" s="106"/>
      <c r="H559" s="106"/>
      <c r="I559" s="106"/>
      <c r="J559" s="106"/>
      <c r="K559" s="106"/>
      <c r="L559" s="106"/>
      <c r="M559" s="106"/>
      <c r="N559" s="106"/>
      <c r="O559" s="106"/>
      <c r="P559" s="106"/>
      <c r="Q559" s="106"/>
      <c r="R559" s="106"/>
      <c r="S559" s="106"/>
      <c r="T559" s="107"/>
    </row>
    <row r="560">
      <c r="A560" s="108" t="s">
        <v>9189</v>
      </c>
      <c r="B560" s="109"/>
      <c r="C560" s="109"/>
      <c r="D560" s="109"/>
      <c r="E560" s="109"/>
      <c r="F560" s="110"/>
      <c r="G560" s="110"/>
      <c r="H560" s="110"/>
      <c r="I560" s="110"/>
      <c r="J560" s="110"/>
      <c r="K560" s="110"/>
      <c r="L560" s="110"/>
      <c r="M560" s="110"/>
      <c r="N560" s="110"/>
      <c r="O560" s="110"/>
      <c r="P560" s="110"/>
      <c r="Q560" s="110"/>
      <c r="R560" s="110"/>
      <c r="S560" s="110"/>
      <c r="T560" s="110"/>
    </row>
    <row r="561">
      <c r="A561" s="111" t="s">
        <v>8748</v>
      </c>
      <c r="B561" s="111" t="s">
        <v>9</v>
      </c>
      <c r="C561" s="111" t="s">
        <v>5246</v>
      </c>
      <c r="D561" s="111" t="s">
        <v>8680</v>
      </c>
      <c r="E561" s="138" t="s">
        <v>13</v>
      </c>
      <c r="F561" s="113" t="s">
        <v>8749</v>
      </c>
      <c r="G561" s="113" t="s">
        <v>8750</v>
      </c>
      <c r="H561" s="114" t="s">
        <v>217</v>
      </c>
      <c r="I561" s="106"/>
      <c r="J561" s="106"/>
      <c r="K561" s="106"/>
      <c r="L561" s="106"/>
      <c r="M561" s="106"/>
      <c r="N561" s="106"/>
      <c r="O561" s="106"/>
      <c r="P561" s="106"/>
      <c r="Q561" s="106"/>
      <c r="R561" s="106"/>
      <c r="S561" s="106"/>
      <c r="T561" s="106"/>
      <c r="U561" s="106"/>
    </row>
    <row r="562">
      <c r="A562" s="115"/>
      <c r="B562" s="115"/>
      <c r="C562" s="115"/>
      <c r="D562" s="115"/>
      <c r="E562" s="139"/>
      <c r="F562" s="117"/>
      <c r="G562" s="117"/>
      <c r="H562" s="118"/>
      <c r="I562" s="106"/>
      <c r="J562" s="106"/>
      <c r="K562" s="106"/>
      <c r="L562" s="106"/>
      <c r="M562" s="106"/>
      <c r="N562" s="106"/>
      <c r="O562" s="106"/>
      <c r="P562" s="106"/>
      <c r="Q562" s="106"/>
      <c r="R562" s="106"/>
      <c r="S562" s="106"/>
      <c r="T562" s="106"/>
      <c r="U562" s="106"/>
    </row>
    <row r="563">
      <c r="A563" s="119"/>
      <c r="B563" s="119"/>
      <c r="C563" s="119"/>
      <c r="D563" s="119"/>
      <c r="E563" s="140"/>
      <c r="F563" s="121"/>
      <c r="G563" s="121"/>
      <c r="H563" s="122"/>
      <c r="I563" s="106"/>
      <c r="J563" s="106"/>
      <c r="K563" s="106"/>
      <c r="L563" s="106"/>
      <c r="M563" s="106"/>
      <c r="N563" s="106"/>
      <c r="O563" s="106"/>
      <c r="P563" s="106"/>
      <c r="Q563" s="106"/>
      <c r="R563" s="106"/>
      <c r="S563" s="106"/>
      <c r="T563" s="106"/>
      <c r="U563" s="106"/>
    </row>
    <row r="564">
      <c r="A564" s="123">
        <v>1.0</v>
      </c>
      <c r="B564" s="94" t="s">
        <v>7129</v>
      </c>
      <c r="C564" s="124">
        <v>2.42510036E8</v>
      </c>
      <c r="D564" s="94" t="s">
        <v>9190</v>
      </c>
      <c r="E564" s="125" t="s">
        <v>6685</v>
      </c>
      <c r="F564" s="126"/>
      <c r="G564" s="126"/>
      <c r="H564" s="126"/>
      <c r="I564" s="106"/>
      <c r="J564" s="106"/>
      <c r="K564" s="106"/>
      <c r="L564" s="106"/>
      <c r="M564" s="106"/>
      <c r="N564" s="106"/>
      <c r="O564" s="106"/>
      <c r="P564" s="106"/>
      <c r="Q564" s="106"/>
      <c r="R564" s="106"/>
      <c r="S564" s="106"/>
      <c r="T564" s="106"/>
      <c r="U564" s="106"/>
    </row>
    <row r="565">
      <c r="A565" s="123">
        <v>2.0</v>
      </c>
      <c r="B565" s="94" t="s">
        <v>7200</v>
      </c>
      <c r="C565" s="124">
        <v>2.42510058E8</v>
      </c>
      <c r="D565" s="94" t="s">
        <v>9191</v>
      </c>
      <c r="E565" s="125" t="s">
        <v>6685</v>
      </c>
      <c r="F565" s="128"/>
      <c r="G565" s="128"/>
      <c r="H565" s="128"/>
      <c r="I565" s="106"/>
      <c r="J565" s="106"/>
      <c r="K565" s="106"/>
      <c r="L565" s="106"/>
      <c r="M565" s="106"/>
      <c r="N565" s="106"/>
      <c r="O565" s="106"/>
      <c r="P565" s="106"/>
      <c r="Q565" s="106"/>
      <c r="R565" s="106"/>
      <c r="S565" s="106"/>
      <c r="T565" s="106"/>
      <c r="U565" s="106"/>
    </row>
    <row r="566">
      <c r="A566" s="123">
        <v>3.0</v>
      </c>
      <c r="B566" s="94" t="s">
        <v>7204</v>
      </c>
      <c r="C566" s="124">
        <v>2.42510072E8</v>
      </c>
      <c r="D566" s="94" t="s">
        <v>9192</v>
      </c>
      <c r="E566" s="125" t="s">
        <v>6685</v>
      </c>
      <c r="F566" s="128"/>
      <c r="G566" s="128"/>
      <c r="H566" s="128"/>
      <c r="I566" s="106"/>
      <c r="J566" s="106"/>
      <c r="K566" s="106"/>
      <c r="L566" s="106"/>
      <c r="M566" s="106"/>
      <c r="N566" s="106"/>
      <c r="O566" s="106"/>
      <c r="P566" s="106"/>
      <c r="Q566" s="106"/>
      <c r="R566" s="106"/>
      <c r="S566" s="106"/>
      <c r="T566" s="106"/>
      <c r="U566" s="106"/>
    </row>
    <row r="567">
      <c r="A567" s="123">
        <v>4.0</v>
      </c>
      <c r="B567" s="94" t="s">
        <v>7641</v>
      </c>
      <c r="C567" s="124">
        <v>2.42510078E8</v>
      </c>
      <c r="D567" s="94" t="s">
        <v>9193</v>
      </c>
      <c r="E567" s="125" t="s">
        <v>6685</v>
      </c>
      <c r="F567" s="128"/>
      <c r="G567" s="128"/>
      <c r="H567" s="128"/>
      <c r="I567" s="106"/>
      <c r="J567" s="106"/>
      <c r="K567" s="106"/>
      <c r="L567" s="106"/>
      <c r="M567" s="106"/>
      <c r="N567" s="106"/>
      <c r="O567" s="106"/>
      <c r="P567" s="106"/>
      <c r="Q567" s="106"/>
      <c r="R567" s="106"/>
      <c r="S567" s="106"/>
      <c r="T567" s="106"/>
      <c r="U567" s="106"/>
    </row>
    <row r="568">
      <c r="A568" s="123">
        <v>5.0</v>
      </c>
      <c r="B568" s="92" t="s">
        <v>7500</v>
      </c>
      <c r="C568" s="124">
        <v>2.42510082E8</v>
      </c>
      <c r="D568" s="94" t="s">
        <v>9194</v>
      </c>
      <c r="E568" s="125" t="s">
        <v>6685</v>
      </c>
      <c r="F568" s="128"/>
      <c r="G568" s="128"/>
      <c r="H568" s="128"/>
      <c r="I568" s="106"/>
      <c r="J568" s="106"/>
      <c r="K568" s="106"/>
      <c r="L568" s="106"/>
      <c r="M568" s="106"/>
      <c r="N568" s="106"/>
      <c r="O568" s="106"/>
      <c r="P568" s="106"/>
      <c r="Q568" s="106"/>
      <c r="R568" s="106"/>
      <c r="S568" s="106"/>
      <c r="T568" s="106"/>
      <c r="U568" s="106"/>
    </row>
    <row r="569">
      <c r="A569" s="123">
        <v>6.0</v>
      </c>
      <c r="B569" s="94" t="s">
        <v>7362</v>
      </c>
      <c r="C569" s="124">
        <v>2.42510084E8</v>
      </c>
      <c r="D569" s="94" t="s">
        <v>9195</v>
      </c>
      <c r="E569" s="125" t="s">
        <v>6685</v>
      </c>
      <c r="F569" s="128"/>
      <c r="G569" s="128"/>
      <c r="H569" s="128"/>
      <c r="I569" s="106"/>
      <c r="J569" s="106"/>
      <c r="K569" s="106"/>
      <c r="L569" s="106"/>
      <c r="M569" s="106"/>
      <c r="N569" s="106"/>
      <c r="O569" s="106"/>
      <c r="P569" s="106"/>
      <c r="Q569" s="106"/>
      <c r="R569" s="106"/>
      <c r="S569" s="106"/>
      <c r="T569" s="106"/>
      <c r="U569" s="106"/>
    </row>
    <row r="570">
      <c r="A570" s="123">
        <v>7.0</v>
      </c>
      <c r="B570" s="92" t="s">
        <v>7137</v>
      </c>
      <c r="C570" s="124">
        <v>2.42510088E8</v>
      </c>
      <c r="D570" s="94" t="s">
        <v>9196</v>
      </c>
      <c r="E570" s="125" t="s">
        <v>6685</v>
      </c>
      <c r="F570" s="128"/>
      <c r="G570" s="128"/>
      <c r="H570" s="128"/>
      <c r="I570" s="106"/>
      <c r="J570" s="106"/>
      <c r="K570" s="106"/>
      <c r="L570" s="106"/>
      <c r="M570" s="106"/>
      <c r="N570" s="106"/>
      <c r="O570" s="106"/>
      <c r="P570" s="106"/>
      <c r="Q570" s="106"/>
      <c r="R570" s="106"/>
      <c r="S570" s="106"/>
      <c r="T570" s="106"/>
      <c r="U570" s="106"/>
    </row>
    <row r="571">
      <c r="A571" s="123">
        <v>8.0</v>
      </c>
      <c r="B571" s="94" t="s">
        <v>7368</v>
      </c>
      <c r="C571" s="124">
        <v>2.42510094E8</v>
      </c>
      <c r="D571" s="94" t="s">
        <v>9197</v>
      </c>
      <c r="E571" s="125" t="s">
        <v>6685</v>
      </c>
      <c r="F571" s="128"/>
      <c r="G571" s="128"/>
      <c r="H571" s="128"/>
      <c r="I571" s="106"/>
      <c r="J571" s="106"/>
      <c r="K571" s="106"/>
      <c r="L571" s="106"/>
      <c r="M571" s="106"/>
      <c r="N571" s="106"/>
      <c r="O571" s="106"/>
      <c r="P571" s="106"/>
      <c r="Q571" s="106"/>
      <c r="R571" s="106"/>
      <c r="S571" s="106"/>
      <c r="T571" s="106"/>
      <c r="U571" s="106"/>
    </row>
    <row r="572">
      <c r="A572" s="123">
        <v>9.0</v>
      </c>
      <c r="B572" s="94" t="s">
        <v>7214</v>
      </c>
      <c r="C572" s="124">
        <v>2.42510112E8</v>
      </c>
      <c r="D572" s="94" t="s">
        <v>9198</v>
      </c>
      <c r="E572" s="125" t="s">
        <v>6685</v>
      </c>
      <c r="F572" s="128"/>
      <c r="G572" s="128"/>
      <c r="H572" s="128"/>
      <c r="I572" s="106"/>
      <c r="J572" s="106"/>
      <c r="K572" s="106"/>
      <c r="L572" s="106"/>
      <c r="M572" s="106"/>
      <c r="N572" s="106"/>
      <c r="O572" s="106"/>
      <c r="P572" s="106"/>
      <c r="Q572" s="106"/>
      <c r="R572" s="106"/>
      <c r="S572" s="106"/>
      <c r="T572" s="106"/>
      <c r="U572" s="106"/>
    </row>
    <row r="573">
      <c r="A573" s="123">
        <v>10.0</v>
      </c>
      <c r="B573" s="94" t="s">
        <v>6844</v>
      </c>
      <c r="C573" s="124">
        <v>2.42510126E8</v>
      </c>
      <c r="D573" s="94" t="s">
        <v>9199</v>
      </c>
      <c r="E573" s="125" t="s">
        <v>6685</v>
      </c>
      <c r="F573" s="128"/>
      <c r="G573" s="128"/>
      <c r="H573" s="128"/>
      <c r="I573" s="106"/>
      <c r="J573" s="106"/>
      <c r="K573" s="106"/>
      <c r="L573" s="106"/>
      <c r="M573" s="106"/>
      <c r="N573" s="106"/>
      <c r="O573" s="106"/>
      <c r="P573" s="106"/>
      <c r="Q573" s="106"/>
      <c r="R573" s="106"/>
      <c r="S573" s="106"/>
      <c r="T573" s="106"/>
      <c r="U573" s="106"/>
    </row>
    <row r="574">
      <c r="A574" s="123">
        <v>11.0</v>
      </c>
      <c r="B574" s="94" t="s">
        <v>7506</v>
      </c>
      <c r="C574" s="124">
        <v>2.42510131E8</v>
      </c>
      <c r="D574" s="94" t="s">
        <v>9200</v>
      </c>
      <c r="E574" s="125" t="s">
        <v>6685</v>
      </c>
      <c r="F574" s="128"/>
      <c r="G574" s="128"/>
      <c r="H574" s="128"/>
      <c r="I574" s="106"/>
      <c r="J574" s="106"/>
      <c r="K574" s="106"/>
      <c r="L574" s="106"/>
      <c r="M574" s="106"/>
      <c r="N574" s="106"/>
      <c r="O574" s="106"/>
      <c r="P574" s="106"/>
      <c r="Q574" s="106"/>
      <c r="R574" s="106"/>
      <c r="S574" s="106"/>
      <c r="T574" s="106"/>
      <c r="U574" s="106"/>
    </row>
    <row r="575">
      <c r="A575" s="123">
        <v>12.0</v>
      </c>
      <c r="B575" s="94" t="s">
        <v>7374</v>
      </c>
      <c r="C575" s="124">
        <v>2.4251015E8</v>
      </c>
      <c r="D575" s="94" t="s">
        <v>9201</v>
      </c>
      <c r="E575" s="125" t="s">
        <v>6685</v>
      </c>
      <c r="F575" s="128"/>
      <c r="G575" s="128"/>
      <c r="H575" s="128"/>
      <c r="I575" s="106"/>
      <c r="J575" s="106"/>
      <c r="K575" s="106"/>
      <c r="L575" s="106"/>
      <c r="M575" s="106"/>
      <c r="N575" s="106"/>
      <c r="O575" s="106"/>
      <c r="P575" s="106"/>
      <c r="Q575" s="106"/>
      <c r="R575" s="106"/>
      <c r="S575" s="106"/>
      <c r="T575" s="106"/>
      <c r="U575" s="106"/>
    </row>
    <row r="576">
      <c r="A576" s="123">
        <v>13.0</v>
      </c>
      <c r="B576" s="94" t="s">
        <v>7297</v>
      </c>
      <c r="C576" s="124">
        <v>2.42510151E8</v>
      </c>
      <c r="D576" s="94" t="s">
        <v>9202</v>
      </c>
      <c r="E576" s="125" t="s">
        <v>6685</v>
      </c>
      <c r="F576" s="128"/>
      <c r="G576" s="128"/>
      <c r="H576" s="128"/>
      <c r="I576" s="106"/>
      <c r="J576" s="106"/>
      <c r="K576" s="106"/>
      <c r="L576" s="106"/>
      <c r="M576" s="106"/>
      <c r="N576" s="106"/>
      <c r="O576" s="106"/>
      <c r="P576" s="106"/>
      <c r="Q576" s="106"/>
      <c r="R576" s="106"/>
      <c r="S576" s="106"/>
      <c r="T576" s="106"/>
      <c r="U576" s="106"/>
    </row>
    <row r="577">
      <c r="A577" s="123">
        <v>14.0</v>
      </c>
      <c r="B577" s="94" t="s">
        <v>7508</v>
      </c>
      <c r="C577" s="124">
        <v>2.42510163E8</v>
      </c>
      <c r="D577" s="94" t="s">
        <v>9203</v>
      </c>
      <c r="E577" s="125" t="s">
        <v>6685</v>
      </c>
      <c r="F577" s="128"/>
      <c r="G577" s="128"/>
      <c r="H577" s="128"/>
      <c r="I577" s="106"/>
      <c r="J577" s="106"/>
      <c r="K577" s="106"/>
      <c r="L577" s="106"/>
      <c r="M577" s="106"/>
      <c r="N577" s="106"/>
      <c r="O577" s="106"/>
      <c r="P577" s="106"/>
      <c r="Q577" s="106"/>
      <c r="R577" s="106"/>
      <c r="S577" s="106"/>
      <c r="T577" s="106"/>
      <c r="U577" s="106"/>
    </row>
    <row r="578">
      <c r="A578" s="123">
        <v>15.0</v>
      </c>
      <c r="B578" s="94" t="s">
        <v>7149</v>
      </c>
      <c r="C578" s="124">
        <v>2.42510221E8</v>
      </c>
      <c r="D578" s="94" t="s">
        <v>9204</v>
      </c>
      <c r="E578" s="125" t="s">
        <v>6685</v>
      </c>
      <c r="F578" s="128"/>
      <c r="G578" s="128"/>
      <c r="H578" s="128"/>
      <c r="I578" s="106"/>
      <c r="J578" s="106"/>
      <c r="K578" s="106"/>
      <c r="L578" s="106"/>
      <c r="M578" s="106"/>
      <c r="N578" s="106"/>
      <c r="O578" s="106"/>
      <c r="P578" s="106"/>
      <c r="Q578" s="106"/>
      <c r="R578" s="106"/>
      <c r="S578" s="106"/>
      <c r="T578" s="106"/>
      <c r="U578" s="106"/>
    </row>
    <row r="579">
      <c r="A579" s="123">
        <v>16.0</v>
      </c>
      <c r="B579" s="94" t="s">
        <v>6932</v>
      </c>
      <c r="C579" s="124">
        <v>2.42510227E8</v>
      </c>
      <c r="D579" s="94" t="s">
        <v>9205</v>
      </c>
      <c r="E579" s="125" t="s">
        <v>6685</v>
      </c>
      <c r="F579" s="128"/>
      <c r="G579" s="128"/>
      <c r="H579" s="128"/>
      <c r="I579" s="106"/>
      <c r="J579" s="106"/>
      <c r="K579" s="106"/>
      <c r="L579" s="106"/>
      <c r="M579" s="106"/>
      <c r="N579" s="106"/>
      <c r="O579" s="106"/>
      <c r="P579" s="106"/>
      <c r="Q579" s="106"/>
      <c r="R579" s="106"/>
      <c r="S579" s="106"/>
      <c r="T579" s="106"/>
      <c r="U579" s="106"/>
    </row>
    <row r="580">
      <c r="A580" s="123">
        <v>17.0</v>
      </c>
      <c r="B580" s="94" t="s">
        <v>7675</v>
      </c>
      <c r="C580" s="124">
        <v>2.42510228E8</v>
      </c>
      <c r="D580" s="94" t="s">
        <v>9206</v>
      </c>
      <c r="E580" s="125" t="s">
        <v>6685</v>
      </c>
      <c r="F580" s="128"/>
      <c r="G580" s="128"/>
      <c r="H580" s="128"/>
      <c r="I580" s="106"/>
      <c r="J580" s="106"/>
      <c r="K580" s="106"/>
      <c r="L580" s="106"/>
      <c r="M580" s="106"/>
      <c r="N580" s="106"/>
      <c r="O580" s="106"/>
      <c r="P580" s="106"/>
      <c r="Q580" s="106"/>
      <c r="R580" s="106"/>
      <c r="S580" s="106"/>
      <c r="T580" s="106"/>
      <c r="U580" s="106"/>
    </row>
    <row r="581">
      <c r="A581" s="123">
        <v>18.0</v>
      </c>
      <c r="B581" s="92" t="s">
        <v>7010</v>
      </c>
      <c r="C581" s="124">
        <v>2.42510233E8</v>
      </c>
      <c r="D581" s="94" t="s">
        <v>9207</v>
      </c>
      <c r="E581" s="125" t="s">
        <v>6685</v>
      </c>
      <c r="F581" s="128"/>
      <c r="G581" s="128"/>
      <c r="H581" s="128"/>
      <c r="I581" s="106"/>
      <c r="J581" s="106"/>
      <c r="K581" s="106"/>
      <c r="L581" s="106"/>
      <c r="M581" s="106"/>
      <c r="N581" s="106"/>
      <c r="O581" s="106"/>
      <c r="P581" s="106"/>
      <c r="Q581" s="106"/>
      <c r="R581" s="106"/>
      <c r="S581" s="106"/>
      <c r="T581" s="106"/>
      <c r="U581" s="106"/>
    </row>
    <row r="582">
      <c r="A582" s="123">
        <v>19.0</v>
      </c>
      <c r="B582" s="94" t="s">
        <v>7453</v>
      </c>
      <c r="C582" s="124">
        <v>2.42510259E8</v>
      </c>
      <c r="D582" s="94" t="s">
        <v>9208</v>
      </c>
      <c r="E582" s="125" t="s">
        <v>6685</v>
      </c>
      <c r="F582" s="128"/>
      <c r="G582" s="128"/>
      <c r="H582" s="128"/>
      <c r="I582" s="106"/>
      <c r="J582" s="106"/>
      <c r="K582" s="106"/>
      <c r="L582" s="106"/>
      <c r="M582" s="106"/>
      <c r="N582" s="106"/>
      <c r="O582" s="106"/>
      <c r="P582" s="106"/>
      <c r="Q582" s="106"/>
      <c r="R582" s="106"/>
      <c r="S582" s="106"/>
      <c r="T582" s="106"/>
      <c r="U582" s="106"/>
    </row>
    <row r="583">
      <c r="A583" s="123">
        <v>20.0</v>
      </c>
      <c r="B583" s="94" t="s">
        <v>7455</v>
      </c>
      <c r="C583" s="124">
        <v>2.4251026E8</v>
      </c>
      <c r="D583" s="94" t="s">
        <v>9209</v>
      </c>
      <c r="E583" s="125" t="s">
        <v>6685</v>
      </c>
      <c r="F583" s="128"/>
      <c r="G583" s="128"/>
      <c r="H583" s="128"/>
      <c r="I583" s="106"/>
      <c r="J583" s="106"/>
      <c r="K583" s="106"/>
      <c r="L583" s="106"/>
      <c r="M583" s="106"/>
      <c r="N583" s="106"/>
      <c r="O583" s="106"/>
      <c r="P583" s="106"/>
      <c r="Q583" s="106"/>
      <c r="R583" s="106"/>
      <c r="S583" s="106"/>
      <c r="T583" s="106"/>
      <c r="U583" s="106"/>
    </row>
    <row r="584">
      <c r="A584" s="123">
        <v>21.0</v>
      </c>
      <c r="B584" s="94" t="s">
        <v>7687</v>
      </c>
      <c r="C584" s="124">
        <v>2.42510267E8</v>
      </c>
      <c r="D584" s="94" t="s">
        <v>9210</v>
      </c>
      <c r="E584" s="125" t="s">
        <v>6685</v>
      </c>
      <c r="F584" s="128"/>
      <c r="G584" s="128"/>
      <c r="H584" s="128"/>
      <c r="I584" s="106"/>
      <c r="J584" s="106"/>
      <c r="K584" s="106"/>
      <c r="L584" s="106"/>
      <c r="M584" s="106"/>
      <c r="N584" s="106"/>
      <c r="O584" s="106"/>
      <c r="P584" s="106"/>
      <c r="Q584" s="106"/>
      <c r="R584" s="106"/>
      <c r="S584" s="106"/>
      <c r="T584" s="106"/>
      <c r="U584" s="106"/>
    </row>
    <row r="585">
      <c r="A585" s="123">
        <v>22.0</v>
      </c>
      <c r="B585" s="94" t="s">
        <v>7311</v>
      </c>
      <c r="C585" s="124">
        <v>2.42510277E8</v>
      </c>
      <c r="D585" s="94" t="s">
        <v>9211</v>
      </c>
      <c r="E585" s="125" t="s">
        <v>6685</v>
      </c>
      <c r="F585" s="128"/>
      <c r="G585" s="128"/>
      <c r="H585" s="128"/>
      <c r="I585" s="106"/>
      <c r="J585" s="106"/>
      <c r="K585" s="106"/>
      <c r="L585" s="106"/>
      <c r="M585" s="106"/>
      <c r="N585" s="106"/>
      <c r="O585" s="106"/>
      <c r="P585" s="106"/>
      <c r="Q585" s="106"/>
      <c r="R585" s="106"/>
      <c r="S585" s="106"/>
      <c r="T585" s="106"/>
      <c r="U585" s="106"/>
    </row>
    <row r="586">
      <c r="A586" s="123">
        <v>23.0</v>
      </c>
      <c r="B586" s="92" t="s">
        <v>6946</v>
      </c>
      <c r="C586" s="124">
        <v>2.42510308E8</v>
      </c>
      <c r="D586" s="94" t="s">
        <v>9212</v>
      </c>
      <c r="E586" s="125" t="s">
        <v>6685</v>
      </c>
      <c r="F586" s="128"/>
      <c r="G586" s="128"/>
      <c r="H586" s="128"/>
      <c r="I586" s="106"/>
      <c r="J586" s="106"/>
      <c r="K586" s="106"/>
      <c r="L586" s="106"/>
      <c r="M586" s="106"/>
      <c r="N586" s="106"/>
      <c r="O586" s="106"/>
      <c r="P586" s="106"/>
      <c r="Q586" s="106"/>
      <c r="R586" s="106"/>
      <c r="S586" s="106"/>
      <c r="T586" s="106"/>
      <c r="U586" s="106"/>
    </row>
    <row r="587">
      <c r="A587" s="123">
        <v>24.0</v>
      </c>
      <c r="B587" s="94" t="s">
        <v>7022</v>
      </c>
      <c r="C587" s="124">
        <v>2.42510313E8</v>
      </c>
      <c r="D587" s="94" t="s">
        <v>9213</v>
      </c>
      <c r="E587" s="125" t="s">
        <v>6685</v>
      </c>
      <c r="F587" s="128"/>
      <c r="G587" s="128"/>
      <c r="H587" s="128"/>
      <c r="I587" s="106"/>
      <c r="J587" s="106"/>
      <c r="K587" s="106"/>
      <c r="L587" s="106"/>
      <c r="M587" s="106"/>
      <c r="N587" s="106"/>
      <c r="O587" s="106"/>
      <c r="P587" s="106"/>
      <c r="Q587" s="106"/>
      <c r="R587" s="106"/>
      <c r="S587" s="106"/>
      <c r="T587" s="106"/>
      <c r="U587" s="106"/>
    </row>
    <row r="588">
      <c r="A588" s="123">
        <v>25.0</v>
      </c>
      <c r="B588" s="92" t="s">
        <v>6950</v>
      </c>
      <c r="C588" s="124">
        <v>2.42510329E8</v>
      </c>
      <c r="D588" s="94" t="s">
        <v>9214</v>
      </c>
      <c r="E588" s="125" t="s">
        <v>6685</v>
      </c>
      <c r="F588" s="128"/>
      <c r="G588" s="128"/>
      <c r="H588" s="128"/>
      <c r="I588" s="106"/>
      <c r="J588" s="106"/>
      <c r="K588" s="106"/>
      <c r="L588" s="106"/>
      <c r="M588" s="106"/>
      <c r="N588" s="106"/>
      <c r="O588" s="106"/>
      <c r="P588" s="106"/>
      <c r="Q588" s="106"/>
      <c r="R588" s="106"/>
      <c r="S588" s="106"/>
      <c r="T588" s="106"/>
      <c r="U588" s="106"/>
    </row>
    <row r="589">
      <c r="A589" s="123">
        <v>26.0</v>
      </c>
      <c r="B589" s="94" t="s">
        <v>6953</v>
      </c>
      <c r="C589" s="124">
        <v>2.42510338E8</v>
      </c>
      <c r="D589" s="94" t="s">
        <v>9215</v>
      </c>
      <c r="E589" s="125" t="s">
        <v>6685</v>
      </c>
      <c r="F589" s="128"/>
      <c r="G589" s="128"/>
      <c r="H589" s="128"/>
      <c r="I589" s="106"/>
      <c r="J589" s="106"/>
      <c r="K589" s="106"/>
      <c r="L589" s="106"/>
      <c r="M589" s="106"/>
      <c r="N589" s="106"/>
      <c r="O589" s="106"/>
      <c r="P589" s="106"/>
      <c r="Q589" s="106"/>
      <c r="R589" s="106"/>
      <c r="S589" s="106"/>
      <c r="T589" s="106"/>
      <c r="U589" s="106"/>
    </row>
    <row r="590">
      <c r="A590" s="123">
        <v>27.0</v>
      </c>
      <c r="B590" s="94" t="s">
        <v>7246</v>
      </c>
      <c r="C590" s="124">
        <v>2.4251034E8</v>
      </c>
      <c r="D590" s="94" t="s">
        <v>9216</v>
      </c>
      <c r="E590" s="125" t="s">
        <v>6685</v>
      </c>
      <c r="F590" s="128"/>
      <c r="G590" s="128"/>
      <c r="H590" s="128"/>
      <c r="I590" s="106"/>
      <c r="J590" s="106"/>
      <c r="K590" s="106"/>
      <c r="L590" s="106"/>
      <c r="M590" s="106"/>
      <c r="N590" s="106"/>
      <c r="O590" s="106"/>
      <c r="P590" s="106"/>
      <c r="Q590" s="106"/>
      <c r="R590" s="106"/>
      <c r="S590" s="106"/>
      <c r="T590" s="106"/>
      <c r="U590" s="106"/>
    </row>
    <row r="591">
      <c r="A591" s="123">
        <v>28.0</v>
      </c>
      <c r="B591" s="94" t="s">
        <v>7028</v>
      </c>
      <c r="C591" s="124">
        <v>2.4251035E8</v>
      </c>
      <c r="D591" s="94" t="s">
        <v>9217</v>
      </c>
      <c r="E591" s="125" t="s">
        <v>6685</v>
      </c>
      <c r="F591" s="128"/>
      <c r="G591" s="128"/>
      <c r="H591" s="128"/>
      <c r="I591" s="106"/>
      <c r="J591" s="106"/>
      <c r="K591" s="106"/>
      <c r="L591" s="106"/>
      <c r="M591" s="106"/>
      <c r="N591" s="106"/>
      <c r="O591" s="106"/>
      <c r="P591" s="106"/>
      <c r="Q591" s="106"/>
      <c r="R591" s="106"/>
      <c r="S591" s="106"/>
      <c r="T591" s="106"/>
      <c r="U591" s="106"/>
    </row>
    <row r="592">
      <c r="A592" s="123">
        <v>29.0</v>
      </c>
      <c r="B592" s="94" t="s">
        <v>6959</v>
      </c>
      <c r="C592" s="124">
        <v>2.42510366E8</v>
      </c>
      <c r="D592" s="94" t="s">
        <v>9218</v>
      </c>
      <c r="E592" s="125" t="s">
        <v>6685</v>
      </c>
      <c r="F592" s="128"/>
      <c r="G592" s="128"/>
      <c r="H592" s="128"/>
      <c r="I592" s="106"/>
      <c r="J592" s="106"/>
      <c r="K592" s="106"/>
      <c r="L592" s="106"/>
      <c r="M592" s="106"/>
      <c r="N592" s="106"/>
      <c r="O592" s="106"/>
      <c r="P592" s="106"/>
      <c r="Q592" s="106"/>
      <c r="R592" s="106"/>
      <c r="S592" s="106"/>
      <c r="T592" s="106"/>
      <c r="U592" s="106"/>
    </row>
    <row r="593">
      <c r="A593" s="123">
        <v>30.0</v>
      </c>
      <c r="B593" s="94" t="s">
        <v>7185</v>
      </c>
      <c r="C593" s="124">
        <v>2.4251038E8</v>
      </c>
      <c r="D593" s="94" t="s">
        <v>9219</v>
      </c>
      <c r="E593" s="125" t="s">
        <v>6685</v>
      </c>
      <c r="F593" s="128"/>
      <c r="G593" s="128"/>
      <c r="H593" s="128"/>
      <c r="I593" s="106"/>
      <c r="J593" s="106"/>
      <c r="K593" s="106"/>
      <c r="L593" s="106"/>
      <c r="M593" s="106"/>
      <c r="N593" s="106"/>
      <c r="O593" s="106"/>
      <c r="P593" s="106"/>
      <c r="Q593" s="106"/>
      <c r="R593" s="106"/>
      <c r="S593" s="106"/>
      <c r="T593" s="106"/>
      <c r="U593" s="106"/>
    </row>
    <row r="594">
      <c r="A594" s="123">
        <v>31.0</v>
      </c>
      <c r="B594" s="94" t="s">
        <v>7114</v>
      </c>
      <c r="C594" s="124">
        <v>2.42510382E8</v>
      </c>
      <c r="D594" s="94" t="s">
        <v>9220</v>
      </c>
      <c r="E594" s="125" t="s">
        <v>6685</v>
      </c>
      <c r="F594" s="128"/>
      <c r="G594" s="128"/>
      <c r="H594" s="128"/>
      <c r="I594" s="106"/>
      <c r="J594" s="106"/>
      <c r="K594" s="106"/>
      <c r="L594" s="106"/>
      <c r="M594" s="106"/>
      <c r="N594" s="106"/>
      <c r="O594" s="106"/>
      <c r="P594" s="106"/>
      <c r="Q594" s="106"/>
      <c r="R594" s="106"/>
      <c r="S594" s="106"/>
      <c r="T594" s="106"/>
      <c r="U594" s="106"/>
    </row>
    <row r="595">
      <c r="A595" s="123">
        <v>32.0</v>
      </c>
      <c r="B595" s="94" t="s">
        <v>7547</v>
      </c>
      <c r="C595" s="124">
        <v>2.42510386E8</v>
      </c>
      <c r="D595" s="94" t="s">
        <v>9221</v>
      </c>
      <c r="E595" s="125" t="s">
        <v>6685</v>
      </c>
      <c r="F595" s="128"/>
      <c r="G595" s="128"/>
      <c r="H595" s="128"/>
      <c r="I595" s="106"/>
      <c r="J595" s="106"/>
      <c r="K595" s="106"/>
      <c r="L595" s="106"/>
      <c r="M595" s="106"/>
      <c r="N595" s="106"/>
      <c r="O595" s="106"/>
      <c r="P595" s="106"/>
      <c r="Q595" s="106"/>
      <c r="R595" s="106"/>
      <c r="S595" s="106"/>
      <c r="T595" s="106"/>
      <c r="U595" s="106"/>
    </row>
    <row r="596">
      <c r="A596" s="123">
        <v>33.0</v>
      </c>
      <c r="B596" s="94" t="s">
        <v>6967</v>
      </c>
      <c r="C596" s="124">
        <v>2.4251039E8</v>
      </c>
      <c r="D596" s="94" t="s">
        <v>9222</v>
      </c>
      <c r="E596" s="125" t="s">
        <v>6685</v>
      </c>
      <c r="F596" s="128"/>
      <c r="G596" s="128"/>
      <c r="H596" s="128"/>
      <c r="I596" s="106"/>
      <c r="J596" s="106"/>
      <c r="K596" s="106"/>
      <c r="L596" s="106"/>
      <c r="M596" s="106"/>
      <c r="N596" s="106"/>
      <c r="O596" s="106"/>
      <c r="P596" s="106"/>
      <c r="Q596" s="106"/>
      <c r="R596" s="106"/>
      <c r="S596" s="106"/>
      <c r="T596" s="106"/>
      <c r="U596" s="106"/>
    </row>
    <row r="597">
      <c r="A597" s="123">
        <v>34.0</v>
      </c>
      <c r="B597" s="94" t="s">
        <v>7038</v>
      </c>
      <c r="C597" s="124">
        <v>2.42510408E8</v>
      </c>
      <c r="D597" s="94" t="s">
        <v>9223</v>
      </c>
      <c r="E597" s="125" t="s">
        <v>6685</v>
      </c>
      <c r="F597" s="128"/>
      <c r="G597" s="128"/>
      <c r="H597" s="128"/>
      <c r="I597" s="106"/>
      <c r="J597" s="106"/>
      <c r="K597" s="106"/>
      <c r="L597" s="106"/>
      <c r="M597" s="106"/>
      <c r="N597" s="106"/>
      <c r="O597" s="106"/>
      <c r="P597" s="106"/>
      <c r="Q597" s="106"/>
      <c r="R597" s="106"/>
      <c r="S597" s="106"/>
      <c r="T597" s="106"/>
      <c r="U597" s="106"/>
    </row>
    <row r="598">
      <c r="A598" s="123">
        <v>35.0</v>
      </c>
      <c r="B598" s="94" t="s">
        <v>7042</v>
      </c>
      <c r="C598" s="124">
        <v>2.42510417E8</v>
      </c>
      <c r="D598" s="94" t="s">
        <v>9224</v>
      </c>
      <c r="E598" s="125" t="s">
        <v>6685</v>
      </c>
      <c r="F598" s="128"/>
      <c r="G598" s="128"/>
      <c r="H598" s="128"/>
      <c r="I598" s="106"/>
      <c r="J598" s="106"/>
      <c r="K598" s="106"/>
      <c r="L598" s="106"/>
      <c r="M598" s="106"/>
      <c r="N598" s="106"/>
      <c r="O598" s="106"/>
      <c r="P598" s="106"/>
      <c r="Q598" s="106"/>
      <c r="R598" s="106"/>
      <c r="S598" s="106"/>
      <c r="T598" s="106"/>
      <c r="U598" s="106"/>
    </row>
    <row r="599">
      <c r="A599" s="123">
        <v>36.0</v>
      </c>
      <c r="B599" s="94" t="s">
        <v>7264</v>
      </c>
      <c r="C599" s="124">
        <v>2.42510428E8</v>
      </c>
      <c r="D599" s="94" t="s">
        <v>9225</v>
      </c>
      <c r="E599" s="125" t="s">
        <v>6685</v>
      </c>
      <c r="F599" s="128"/>
      <c r="G599" s="128"/>
      <c r="H599" s="128"/>
      <c r="I599" s="106"/>
      <c r="J599" s="106"/>
      <c r="K599" s="106"/>
      <c r="L599" s="106"/>
      <c r="M599" s="106"/>
      <c r="N599" s="106"/>
      <c r="O599" s="106"/>
      <c r="P599" s="106"/>
      <c r="Q599" s="106"/>
      <c r="R599" s="106"/>
      <c r="S599" s="106"/>
      <c r="T599" s="106"/>
      <c r="U599" s="106"/>
    </row>
    <row r="600">
      <c r="A600" s="151"/>
      <c r="B600" s="129"/>
      <c r="C600" s="129"/>
      <c r="D600" s="129"/>
      <c r="E600" s="129"/>
      <c r="F600" s="129"/>
      <c r="G600" s="129"/>
      <c r="H600" s="129"/>
      <c r="I600" s="106"/>
      <c r="J600" s="106"/>
      <c r="K600" s="106"/>
      <c r="L600" s="106"/>
      <c r="M600" s="106"/>
      <c r="N600" s="106"/>
      <c r="O600" s="106"/>
      <c r="P600" s="106"/>
      <c r="Q600" s="106"/>
      <c r="R600" s="106"/>
      <c r="S600" s="106"/>
      <c r="T600" s="106"/>
      <c r="U600" s="106"/>
    </row>
    <row r="601">
      <c r="A601" s="151"/>
      <c r="B601" s="130" t="s">
        <v>8789</v>
      </c>
      <c r="C601" s="129"/>
      <c r="D601" s="131">
        <f>COUNTIF(E561:E600,"L")</f>
        <v>0</v>
      </c>
      <c r="E601" s="129"/>
      <c r="F601" s="129"/>
      <c r="G601" s="129"/>
      <c r="H601" s="129"/>
      <c r="I601" s="106"/>
      <c r="J601" s="106"/>
      <c r="K601" s="106"/>
      <c r="L601" s="106"/>
      <c r="M601" s="106"/>
      <c r="N601" s="106"/>
      <c r="O601" s="106"/>
      <c r="P601" s="106"/>
      <c r="Q601" s="106"/>
      <c r="R601" s="106"/>
      <c r="S601" s="106"/>
      <c r="T601" s="106"/>
      <c r="U601" s="106"/>
    </row>
    <row r="602">
      <c r="A602" s="151"/>
      <c r="B602" s="130" t="s">
        <v>8790</v>
      </c>
      <c r="C602" s="129"/>
      <c r="D602" s="131">
        <f>COUNTIF(E561:E600,"P")</f>
        <v>0</v>
      </c>
      <c r="E602" s="129"/>
      <c r="F602" s="129"/>
      <c r="G602" s="129"/>
      <c r="H602" s="129"/>
      <c r="I602" s="129"/>
      <c r="J602" s="144" t="s">
        <v>8791</v>
      </c>
      <c r="K602" s="141"/>
      <c r="L602" s="141"/>
      <c r="M602" s="141"/>
      <c r="N602" s="141"/>
      <c r="O602" s="141"/>
      <c r="P602" s="141"/>
      <c r="Q602" s="141"/>
      <c r="R602" s="141"/>
      <c r="S602" s="141"/>
      <c r="T602" s="129"/>
    </row>
    <row r="603">
      <c r="A603" s="151"/>
      <c r="B603" s="130" t="s">
        <v>8792</v>
      </c>
      <c r="C603" s="129"/>
      <c r="D603" s="131">
        <f>SUM(D601:D602)</f>
        <v>0</v>
      </c>
      <c r="E603" s="129"/>
      <c r="F603" s="129"/>
      <c r="G603" s="129"/>
      <c r="H603" s="129"/>
      <c r="I603" s="129"/>
      <c r="J603" s="132" t="s">
        <v>8793</v>
      </c>
      <c r="K603" s="133"/>
      <c r="L603" s="133"/>
      <c r="M603" s="133"/>
      <c r="N603" s="133"/>
      <c r="O603" s="133"/>
      <c r="P603" s="133"/>
      <c r="Q603" s="133"/>
      <c r="R603" s="133"/>
      <c r="S603" s="134"/>
      <c r="T603" s="129"/>
    </row>
    <row r="604">
      <c r="A604" s="151"/>
      <c r="B604" s="129"/>
      <c r="C604" s="129"/>
      <c r="D604" s="129"/>
      <c r="E604" s="129"/>
      <c r="F604" s="129"/>
      <c r="G604" s="129"/>
      <c r="H604" s="129"/>
      <c r="I604" s="129"/>
      <c r="J604" s="129"/>
      <c r="K604" s="129"/>
      <c r="L604" s="129"/>
      <c r="M604" s="129"/>
      <c r="N604" s="129"/>
      <c r="O604" s="129"/>
      <c r="P604" s="129"/>
      <c r="Q604" s="129"/>
      <c r="R604" s="129"/>
      <c r="S604" s="129"/>
      <c r="T604" s="129"/>
    </row>
    <row r="605">
      <c r="A605" s="151"/>
      <c r="B605" s="129"/>
      <c r="C605" s="129"/>
      <c r="D605" s="129"/>
      <c r="E605" s="129"/>
      <c r="F605" s="129"/>
      <c r="G605" s="129"/>
      <c r="H605" s="129"/>
      <c r="I605" s="129"/>
      <c r="J605" s="129"/>
      <c r="K605" s="129"/>
      <c r="L605" s="129"/>
      <c r="M605" s="129"/>
      <c r="N605" s="129"/>
      <c r="O605" s="129"/>
      <c r="P605" s="129"/>
      <c r="Q605" s="129"/>
      <c r="R605" s="129"/>
      <c r="S605" s="129"/>
      <c r="T605" s="129"/>
    </row>
    <row r="606">
      <c r="A606" s="151"/>
      <c r="B606" s="129"/>
      <c r="C606" s="129"/>
      <c r="D606" s="129"/>
      <c r="E606" s="129"/>
      <c r="F606" s="129"/>
      <c r="G606" s="129"/>
      <c r="H606" s="129"/>
      <c r="I606" s="129"/>
      <c r="J606" s="129"/>
      <c r="K606" s="129"/>
      <c r="L606" s="129"/>
      <c r="M606" s="129"/>
      <c r="N606" s="129"/>
      <c r="O606" s="129"/>
      <c r="P606" s="129"/>
      <c r="Q606" s="129"/>
      <c r="R606" s="129"/>
      <c r="S606" s="129"/>
      <c r="T606" s="129"/>
    </row>
    <row r="607">
      <c r="A607" s="151"/>
      <c r="B607" s="129"/>
      <c r="C607" s="129"/>
      <c r="D607" s="129"/>
      <c r="E607" s="129"/>
      <c r="F607" s="129"/>
      <c r="G607" s="129"/>
      <c r="H607" s="129"/>
      <c r="I607" s="129"/>
      <c r="J607" s="129"/>
      <c r="K607" s="129"/>
      <c r="L607" s="129"/>
      <c r="M607" s="129"/>
      <c r="N607" s="129"/>
      <c r="O607" s="129"/>
      <c r="P607" s="129"/>
      <c r="Q607" s="129"/>
      <c r="R607" s="129"/>
      <c r="S607" s="129"/>
      <c r="T607" s="129"/>
    </row>
    <row r="608">
      <c r="A608" s="151"/>
      <c r="B608" s="129"/>
      <c r="C608" s="129"/>
      <c r="D608" s="129"/>
      <c r="E608" s="129"/>
      <c r="F608" s="129"/>
      <c r="G608" s="129"/>
      <c r="H608" s="129"/>
      <c r="I608" s="129"/>
      <c r="J608" s="129"/>
      <c r="K608" s="129"/>
      <c r="L608" s="129"/>
      <c r="M608" s="129"/>
      <c r="N608" s="129"/>
      <c r="O608" s="129"/>
      <c r="P608" s="129"/>
      <c r="Q608" s="129"/>
      <c r="R608" s="129"/>
      <c r="S608" s="129"/>
      <c r="T608" s="129"/>
    </row>
    <row r="609">
      <c r="A609" s="151"/>
      <c r="B609" s="129"/>
      <c r="C609" s="129"/>
      <c r="D609" s="129"/>
      <c r="E609" s="129"/>
      <c r="F609" s="129"/>
      <c r="G609" s="129"/>
      <c r="H609" s="129"/>
      <c r="I609" s="129"/>
      <c r="J609" s="129"/>
      <c r="K609" s="129"/>
      <c r="L609" s="129"/>
      <c r="M609" s="129"/>
      <c r="N609" s="129"/>
      <c r="O609" s="129"/>
      <c r="P609" s="129"/>
      <c r="Q609" s="129"/>
      <c r="R609" s="129"/>
      <c r="S609" s="129"/>
      <c r="T609" s="129"/>
    </row>
    <row r="610">
      <c r="A610" s="151"/>
      <c r="B610" s="129"/>
      <c r="C610" s="129"/>
      <c r="D610" s="129"/>
      <c r="E610" s="129"/>
      <c r="F610" s="129"/>
      <c r="G610" s="129"/>
      <c r="H610" s="129"/>
      <c r="I610" s="129"/>
      <c r="J610" s="129"/>
      <c r="K610" s="129"/>
      <c r="L610" s="129"/>
      <c r="M610" s="129"/>
      <c r="N610" s="129"/>
      <c r="O610" s="129"/>
      <c r="P610" s="129"/>
      <c r="Q610" s="129"/>
      <c r="R610" s="129"/>
      <c r="S610" s="129"/>
      <c r="T610" s="129"/>
    </row>
    <row r="611">
      <c r="A611" s="151"/>
      <c r="B611" s="129"/>
      <c r="C611" s="129"/>
      <c r="D611" s="129"/>
      <c r="E611" s="129"/>
      <c r="F611" s="129"/>
      <c r="G611" s="129"/>
      <c r="H611" s="129"/>
      <c r="I611" s="129"/>
      <c r="J611" s="129"/>
      <c r="K611" s="129"/>
      <c r="L611" s="129"/>
      <c r="M611" s="129"/>
      <c r="N611" s="129"/>
      <c r="O611" s="129"/>
      <c r="P611" s="129"/>
      <c r="Q611" s="129"/>
      <c r="R611" s="129"/>
      <c r="S611" s="129"/>
      <c r="T611" s="129"/>
    </row>
    <row r="612">
      <c r="A612" s="151"/>
      <c r="B612" s="129"/>
      <c r="C612" s="129"/>
      <c r="D612" s="129"/>
      <c r="E612" s="129"/>
      <c r="F612" s="129"/>
      <c r="G612" s="129"/>
      <c r="H612" s="129"/>
      <c r="I612" s="129"/>
      <c r="J612" s="129"/>
      <c r="K612" s="129"/>
      <c r="L612" s="129"/>
      <c r="M612" s="129"/>
      <c r="N612" s="129"/>
      <c r="O612" s="129"/>
      <c r="P612" s="129"/>
      <c r="Q612" s="129"/>
      <c r="R612" s="129"/>
      <c r="S612" s="129"/>
      <c r="T612" s="129"/>
    </row>
    <row r="613">
      <c r="A613" s="151"/>
      <c r="B613" s="129"/>
      <c r="C613" s="129"/>
      <c r="D613" s="129"/>
      <c r="E613" s="129"/>
      <c r="F613" s="129"/>
      <c r="G613" s="129"/>
      <c r="H613" s="129"/>
      <c r="I613" s="129"/>
      <c r="J613" s="129"/>
      <c r="K613" s="129"/>
      <c r="L613" s="129"/>
      <c r="M613" s="129"/>
      <c r="N613" s="129"/>
      <c r="O613" s="129"/>
      <c r="P613" s="129"/>
      <c r="Q613" s="129"/>
      <c r="R613" s="129"/>
      <c r="S613" s="129"/>
      <c r="T613" s="129"/>
    </row>
    <row r="614">
      <c r="A614" s="151"/>
      <c r="B614" s="129"/>
      <c r="C614" s="129"/>
      <c r="D614" s="129"/>
      <c r="E614" s="129"/>
      <c r="F614" s="129"/>
      <c r="G614" s="129"/>
      <c r="H614" s="129"/>
      <c r="I614" s="129"/>
      <c r="J614" s="129"/>
      <c r="K614" s="129"/>
      <c r="L614" s="129"/>
      <c r="M614" s="129"/>
      <c r="N614" s="129"/>
      <c r="O614" s="129"/>
      <c r="P614" s="129"/>
      <c r="Q614" s="129"/>
      <c r="R614" s="129"/>
      <c r="S614" s="129"/>
      <c r="T614" s="129"/>
    </row>
    <row r="615">
      <c r="A615" s="151"/>
      <c r="B615" s="129"/>
      <c r="C615" s="129"/>
      <c r="D615" s="129"/>
      <c r="E615" s="129"/>
      <c r="F615" s="129"/>
      <c r="G615" s="129"/>
      <c r="H615" s="129"/>
      <c r="I615" s="129"/>
      <c r="J615" s="129"/>
      <c r="K615" s="129"/>
      <c r="L615" s="129"/>
      <c r="M615" s="129"/>
      <c r="N615" s="129"/>
      <c r="O615" s="129"/>
      <c r="P615" s="129"/>
      <c r="Q615" s="129"/>
      <c r="R615" s="129"/>
      <c r="S615" s="129"/>
      <c r="T615" s="129"/>
    </row>
    <row r="616">
      <c r="A616" s="151"/>
      <c r="B616" s="129"/>
      <c r="C616" s="129"/>
      <c r="D616" s="129"/>
      <c r="E616" s="129"/>
      <c r="F616" s="129"/>
      <c r="G616" s="129"/>
      <c r="H616" s="129"/>
      <c r="I616" s="129"/>
      <c r="J616" s="129"/>
      <c r="K616" s="129"/>
      <c r="L616" s="129"/>
      <c r="M616" s="129"/>
      <c r="N616" s="129"/>
      <c r="O616" s="129"/>
      <c r="P616" s="129"/>
      <c r="Q616" s="129"/>
      <c r="R616" s="129"/>
      <c r="S616" s="129"/>
      <c r="T616" s="129"/>
    </row>
    <row r="617">
      <c r="A617" s="151"/>
      <c r="B617" s="129"/>
      <c r="C617" s="129"/>
      <c r="D617" s="129"/>
      <c r="E617" s="129"/>
      <c r="F617" s="129"/>
      <c r="G617" s="129"/>
      <c r="H617" s="129"/>
      <c r="I617" s="129"/>
      <c r="J617" s="129"/>
      <c r="K617" s="129"/>
      <c r="L617" s="129"/>
      <c r="M617" s="129"/>
      <c r="N617" s="129"/>
      <c r="O617" s="129"/>
      <c r="P617" s="129"/>
      <c r="Q617" s="129"/>
      <c r="R617" s="129"/>
      <c r="S617" s="129"/>
      <c r="T617" s="129"/>
    </row>
    <row r="618">
      <c r="A618" s="151"/>
      <c r="B618" s="129"/>
      <c r="C618" s="129"/>
      <c r="D618" s="129"/>
      <c r="E618" s="129"/>
      <c r="F618" s="129"/>
      <c r="G618" s="129"/>
      <c r="H618" s="129"/>
      <c r="I618" s="129"/>
      <c r="J618" s="129"/>
      <c r="K618" s="129"/>
      <c r="L618" s="129"/>
      <c r="M618" s="129"/>
      <c r="N618" s="129"/>
      <c r="O618" s="129"/>
      <c r="P618" s="129"/>
      <c r="Q618" s="129"/>
      <c r="R618" s="129"/>
      <c r="S618" s="129"/>
      <c r="T618" s="129"/>
    </row>
    <row r="619">
      <c r="A619" s="151"/>
      <c r="B619" s="129"/>
      <c r="C619" s="129"/>
      <c r="D619" s="129"/>
      <c r="E619" s="129"/>
      <c r="F619" s="129"/>
      <c r="G619" s="129"/>
      <c r="H619" s="129"/>
      <c r="I619" s="129"/>
      <c r="J619" s="129"/>
      <c r="K619" s="129"/>
      <c r="L619" s="129"/>
      <c r="M619" s="129"/>
      <c r="N619" s="129"/>
      <c r="O619" s="129"/>
      <c r="P619" s="129"/>
      <c r="Q619" s="129"/>
      <c r="R619" s="129"/>
      <c r="S619" s="129"/>
      <c r="T619" s="129"/>
    </row>
    <row r="620">
      <c r="A620" s="151"/>
      <c r="B620" s="129"/>
      <c r="C620" s="129"/>
      <c r="D620" s="129"/>
      <c r="E620" s="129"/>
      <c r="F620" s="129"/>
      <c r="G620" s="129"/>
      <c r="H620" s="129"/>
      <c r="I620" s="129"/>
      <c r="J620" s="129"/>
      <c r="K620" s="129"/>
      <c r="L620" s="129"/>
      <c r="M620" s="129"/>
      <c r="N620" s="129"/>
      <c r="O620" s="129"/>
      <c r="P620" s="129"/>
      <c r="Q620" s="129"/>
      <c r="R620" s="129"/>
      <c r="S620" s="129"/>
      <c r="T620" s="129"/>
    </row>
    <row r="621">
      <c r="A621" s="151"/>
      <c r="B621" s="129"/>
      <c r="C621" s="129"/>
      <c r="D621" s="129"/>
      <c r="E621" s="129"/>
      <c r="F621" s="129"/>
      <c r="G621" s="129"/>
      <c r="H621" s="129"/>
      <c r="I621" s="129"/>
      <c r="J621" s="129"/>
      <c r="K621" s="129"/>
      <c r="L621" s="129"/>
      <c r="M621" s="129"/>
      <c r="N621" s="129"/>
      <c r="O621" s="129"/>
      <c r="P621" s="129"/>
      <c r="Q621" s="129"/>
      <c r="R621" s="129"/>
      <c r="S621" s="129"/>
      <c r="T621" s="129"/>
    </row>
    <row r="622">
      <c r="A622" s="151"/>
      <c r="B622" s="129"/>
      <c r="C622" s="129"/>
      <c r="D622" s="129"/>
      <c r="E622" s="129"/>
      <c r="F622" s="129"/>
      <c r="G622" s="129"/>
      <c r="H622" s="129"/>
      <c r="I622" s="129"/>
      <c r="J622" s="129"/>
      <c r="K622" s="129"/>
      <c r="L622" s="129"/>
      <c r="M622" s="129"/>
      <c r="N622" s="129"/>
      <c r="O622" s="129"/>
      <c r="P622" s="129"/>
      <c r="Q622" s="129"/>
      <c r="R622" s="129"/>
      <c r="S622" s="129"/>
      <c r="T622" s="129"/>
    </row>
    <row r="623">
      <c r="A623" s="151"/>
      <c r="B623" s="129"/>
      <c r="C623" s="129"/>
      <c r="D623" s="129"/>
      <c r="E623" s="129"/>
      <c r="F623" s="129"/>
      <c r="G623" s="129"/>
      <c r="H623" s="129"/>
      <c r="I623" s="129"/>
      <c r="J623" s="129"/>
      <c r="K623" s="129"/>
      <c r="L623" s="129"/>
      <c r="M623" s="129"/>
      <c r="N623" s="129"/>
      <c r="O623" s="129"/>
      <c r="P623" s="129"/>
      <c r="Q623" s="129"/>
      <c r="R623" s="129"/>
      <c r="S623" s="129"/>
      <c r="T623" s="129"/>
    </row>
    <row r="624">
      <c r="A624" s="151"/>
      <c r="B624" s="129"/>
      <c r="C624" s="129"/>
      <c r="D624" s="129"/>
      <c r="E624" s="129"/>
      <c r="F624" s="129"/>
      <c r="G624" s="129"/>
      <c r="H624" s="129"/>
      <c r="I624" s="129"/>
      <c r="J624" s="129"/>
      <c r="K624" s="129"/>
      <c r="L624" s="129"/>
      <c r="M624" s="129"/>
      <c r="N624" s="129"/>
      <c r="O624" s="129"/>
      <c r="P624" s="129"/>
      <c r="Q624" s="129"/>
      <c r="R624" s="129"/>
      <c r="S624" s="129"/>
      <c r="T624" s="129"/>
    </row>
    <row r="625">
      <c r="A625" s="151"/>
      <c r="B625" s="129"/>
      <c r="C625" s="129"/>
      <c r="D625" s="129"/>
      <c r="E625" s="129"/>
      <c r="F625" s="129"/>
      <c r="G625" s="129"/>
      <c r="H625" s="129"/>
      <c r="I625" s="129"/>
      <c r="J625" s="129"/>
      <c r="K625" s="129"/>
      <c r="L625" s="129"/>
      <c r="M625" s="129"/>
      <c r="N625" s="129"/>
      <c r="O625" s="129"/>
      <c r="P625" s="129"/>
      <c r="Q625" s="129"/>
      <c r="R625" s="129"/>
      <c r="S625" s="129"/>
      <c r="T625" s="129"/>
    </row>
    <row r="626">
      <c r="A626" s="151"/>
      <c r="B626" s="129"/>
      <c r="C626" s="129"/>
      <c r="D626" s="129"/>
      <c r="E626" s="129"/>
      <c r="F626" s="129"/>
      <c r="G626" s="129"/>
      <c r="H626" s="129"/>
      <c r="I626" s="129"/>
      <c r="J626" s="129"/>
      <c r="K626" s="129"/>
      <c r="L626" s="129"/>
      <c r="M626" s="129"/>
      <c r="N626" s="129"/>
      <c r="O626" s="129"/>
      <c r="P626" s="129"/>
      <c r="Q626" s="129"/>
      <c r="R626" s="129"/>
      <c r="S626" s="129"/>
      <c r="T626" s="129"/>
    </row>
    <row r="627">
      <c r="A627" s="151"/>
      <c r="B627" s="129"/>
      <c r="C627" s="129"/>
      <c r="D627" s="129"/>
      <c r="E627" s="129"/>
      <c r="F627" s="129"/>
      <c r="G627" s="129"/>
      <c r="H627" s="129"/>
      <c r="I627" s="129"/>
      <c r="J627" s="129"/>
      <c r="K627" s="129"/>
      <c r="L627" s="129"/>
      <c r="M627" s="129"/>
      <c r="N627" s="129"/>
      <c r="O627" s="129"/>
      <c r="P627" s="129"/>
      <c r="Q627" s="129"/>
      <c r="R627" s="129"/>
      <c r="S627" s="129"/>
      <c r="T627" s="129"/>
    </row>
    <row r="628">
      <c r="A628" s="151"/>
      <c r="B628" s="129"/>
      <c r="C628" s="129"/>
      <c r="D628" s="129"/>
      <c r="E628" s="129"/>
      <c r="F628" s="129"/>
      <c r="G628" s="129"/>
      <c r="H628" s="129"/>
      <c r="I628" s="129"/>
      <c r="J628" s="129"/>
      <c r="K628" s="129"/>
      <c r="L628" s="129"/>
      <c r="M628" s="129"/>
      <c r="N628" s="129"/>
      <c r="O628" s="129"/>
      <c r="P628" s="129"/>
      <c r="Q628" s="129"/>
      <c r="R628" s="129"/>
      <c r="S628" s="129"/>
      <c r="T628" s="129"/>
    </row>
    <row r="629">
      <c r="A629" s="151"/>
      <c r="B629" s="129"/>
      <c r="C629" s="129"/>
      <c r="D629" s="129"/>
      <c r="E629" s="129"/>
      <c r="F629" s="129"/>
      <c r="G629" s="129"/>
      <c r="H629" s="129"/>
      <c r="I629" s="129"/>
      <c r="J629" s="129"/>
      <c r="K629" s="129"/>
      <c r="L629" s="129"/>
      <c r="M629" s="129"/>
      <c r="N629" s="129"/>
      <c r="O629" s="129"/>
      <c r="P629" s="129"/>
      <c r="Q629" s="129"/>
      <c r="R629" s="129"/>
      <c r="S629" s="129"/>
      <c r="T629" s="129"/>
    </row>
    <row r="630">
      <c r="A630" s="151"/>
      <c r="B630" s="129"/>
      <c r="C630" s="129"/>
      <c r="D630" s="129"/>
      <c r="E630" s="129"/>
      <c r="F630" s="129"/>
      <c r="G630" s="129"/>
      <c r="H630" s="129"/>
      <c r="I630" s="129"/>
      <c r="J630" s="129"/>
      <c r="K630" s="129"/>
      <c r="L630" s="129"/>
      <c r="M630" s="129"/>
      <c r="N630" s="129"/>
      <c r="O630" s="129"/>
      <c r="P630" s="129"/>
      <c r="Q630" s="129"/>
      <c r="R630" s="129"/>
      <c r="S630" s="129"/>
      <c r="T630" s="129"/>
    </row>
    <row r="631">
      <c r="A631" s="151"/>
      <c r="B631" s="129"/>
      <c r="C631" s="129"/>
      <c r="D631" s="129"/>
      <c r="E631" s="129"/>
      <c r="F631" s="129"/>
      <c r="G631" s="129"/>
      <c r="H631" s="129"/>
      <c r="I631" s="129"/>
      <c r="J631" s="129"/>
      <c r="K631" s="129"/>
      <c r="L631" s="129"/>
      <c r="M631" s="129"/>
      <c r="N631" s="129"/>
      <c r="O631" s="129"/>
      <c r="P631" s="129"/>
      <c r="Q631" s="129"/>
      <c r="R631" s="129"/>
      <c r="S631" s="129"/>
      <c r="T631" s="129"/>
    </row>
    <row r="632">
      <c r="A632" s="151"/>
      <c r="B632" s="129"/>
      <c r="C632" s="129"/>
      <c r="D632" s="129"/>
      <c r="E632" s="129"/>
      <c r="F632" s="129"/>
      <c r="G632" s="129"/>
      <c r="H632" s="129"/>
      <c r="I632" s="129"/>
      <c r="J632" s="129"/>
      <c r="K632" s="129"/>
      <c r="L632" s="129"/>
      <c r="M632" s="129"/>
      <c r="N632" s="129"/>
      <c r="O632" s="129"/>
      <c r="P632" s="129"/>
      <c r="Q632" s="129"/>
      <c r="R632" s="129"/>
      <c r="S632" s="129"/>
      <c r="T632" s="129"/>
    </row>
    <row r="633">
      <c r="A633" s="151"/>
      <c r="B633" s="129"/>
      <c r="C633" s="129"/>
      <c r="D633" s="129"/>
      <c r="E633" s="129"/>
      <c r="F633" s="129"/>
      <c r="G633" s="129"/>
      <c r="H633" s="129"/>
      <c r="I633" s="129"/>
      <c r="J633" s="129"/>
      <c r="K633" s="129"/>
      <c r="L633" s="129"/>
      <c r="M633" s="129"/>
      <c r="N633" s="129"/>
      <c r="O633" s="129"/>
      <c r="P633" s="129"/>
      <c r="Q633" s="129"/>
      <c r="R633" s="129"/>
      <c r="S633" s="129"/>
      <c r="T633" s="129"/>
    </row>
    <row r="634">
      <c r="A634" s="151"/>
      <c r="B634" s="129"/>
      <c r="C634" s="129"/>
      <c r="D634" s="129"/>
      <c r="E634" s="129"/>
      <c r="F634" s="129"/>
      <c r="G634" s="129"/>
      <c r="H634" s="129"/>
      <c r="I634" s="129"/>
      <c r="J634" s="129"/>
      <c r="K634" s="129"/>
      <c r="L634" s="129"/>
      <c r="M634" s="129"/>
      <c r="N634" s="129"/>
      <c r="O634" s="129"/>
      <c r="P634" s="129"/>
      <c r="Q634" s="129"/>
      <c r="R634" s="129"/>
      <c r="S634" s="129"/>
      <c r="T634" s="129"/>
    </row>
    <row r="635">
      <c r="A635" s="151"/>
      <c r="B635" s="129"/>
      <c r="C635" s="129"/>
      <c r="D635" s="129"/>
      <c r="E635" s="129"/>
      <c r="F635" s="129"/>
      <c r="G635" s="129"/>
      <c r="H635" s="129"/>
      <c r="I635" s="129"/>
      <c r="J635" s="129"/>
      <c r="K635" s="129"/>
      <c r="L635" s="129"/>
      <c r="M635" s="129"/>
      <c r="N635" s="129"/>
      <c r="O635" s="129"/>
      <c r="P635" s="129"/>
      <c r="Q635" s="129"/>
      <c r="R635" s="129"/>
      <c r="S635" s="129"/>
      <c r="T635" s="129"/>
    </row>
    <row r="636">
      <c r="A636" s="151"/>
      <c r="B636" s="129"/>
      <c r="C636" s="129"/>
      <c r="D636" s="129"/>
      <c r="E636" s="129"/>
      <c r="F636" s="129"/>
      <c r="G636" s="129"/>
      <c r="H636" s="129"/>
      <c r="I636" s="129"/>
      <c r="J636" s="129"/>
      <c r="K636" s="129"/>
      <c r="L636" s="129"/>
      <c r="M636" s="129"/>
      <c r="N636" s="129"/>
      <c r="O636" s="129"/>
      <c r="P636" s="129"/>
      <c r="Q636" s="129"/>
      <c r="R636" s="129"/>
      <c r="S636" s="129"/>
      <c r="T636" s="129"/>
    </row>
    <row r="637">
      <c r="A637" s="151"/>
      <c r="B637" s="129"/>
      <c r="C637" s="129"/>
      <c r="D637" s="129"/>
      <c r="E637" s="129"/>
      <c r="F637" s="129"/>
      <c r="G637" s="129"/>
      <c r="H637" s="129"/>
      <c r="I637" s="129"/>
      <c r="J637" s="129"/>
      <c r="K637" s="129"/>
      <c r="L637" s="129"/>
      <c r="M637" s="129"/>
      <c r="N637" s="129"/>
      <c r="O637" s="129"/>
      <c r="P637" s="129"/>
      <c r="Q637" s="129"/>
      <c r="R637" s="129"/>
      <c r="S637" s="129"/>
      <c r="T637" s="129"/>
    </row>
    <row r="638">
      <c r="A638" s="151"/>
      <c r="B638" s="129"/>
      <c r="C638" s="129"/>
      <c r="D638" s="129"/>
      <c r="E638" s="129"/>
      <c r="F638" s="129"/>
      <c r="G638" s="129"/>
      <c r="H638" s="129"/>
      <c r="I638" s="129"/>
      <c r="J638" s="129"/>
      <c r="K638" s="129"/>
      <c r="L638" s="129"/>
      <c r="M638" s="129"/>
      <c r="N638" s="129"/>
      <c r="O638" s="129"/>
      <c r="P638" s="129"/>
      <c r="Q638" s="129"/>
      <c r="R638" s="129"/>
      <c r="S638" s="129"/>
      <c r="T638" s="129"/>
    </row>
    <row r="639">
      <c r="A639" s="151"/>
      <c r="B639" s="129"/>
      <c r="C639" s="129"/>
      <c r="D639" s="129"/>
      <c r="E639" s="129"/>
      <c r="F639" s="129"/>
      <c r="G639" s="129"/>
      <c r="H639" s="129"/>
      <c r="I639" s="129"/>
      <c r="J639" s="129"/>
      <c r="K639" s="129"/>
      <c r="L639" s="129"/>
      <c r="M639" s="129"/>
      <c r="N639" s="129"/>
      <c r="O639" s="129"/>
      <c r="P639" s="129"/>
      <c r="Q639" s="129"/>
      <c r="R639" s="129"/>
      <c r="S639" s="129"/>
      <c r="T639" s="129"/>
    </row>
    <row r="640">
      <c r="A640" s="151"/>
      <c r="B640" s="129"/>
      <c r="C640" s="129"/>
      <c r="D640" s="129"/>
      <c r="E640" s="129"/>
      <c r="F640" s="129"/>
      <c r="G640" s="129"/>
      <c r="H640" s="129"/>
      <c r="I640" s="129"/>
      <c r="J640" s="129"/>
      <c r="K640" s="129"/>
      <c r="L640" s="129"/>
      <c r="M640" s="129"/>
      <c r="N640" s="129"/>
      <c r="O640" s="129"/>
      <c r="P640" s="129"/>
      <c r="Q640" s="129"/>
      <c r="R640" s="129"/>
      <c r="S640" s="129"/>
      <c r="T640" s="129"/>
    </row>
    <row r="641">
      <c r="A641" s="151"/>
      <c r="B641" s="129"/>
      <c r="C641" s="129"/>
      <c r="D641" s="129"/>
      <c r="E641" s="129"/>
      <c r="F641" s="129"/>
      <c r="G641" s="129"/>
      <c r="H641" s="129"/>
      <c r="I641" s="129"/>
      <c r="J641" s="129"/>
      <c r="K641" s="129"/>
      <c r="L641" s="129"/>
      <c r="M641" s="129"/>
      <c r="N641" s="129"/>
      <c r="O641" s="129"/>
      <c r="P641" s="129"/>
      <c r="Q641" s="129"/>
      <c r="R641" s="129"/>
      <c r="S641" s="129"/>
      <c r="T641" s="129"/>
    </row>
    <row r="642">
      <c r="A642" s="151"/>
      <c r="B642" s="129"/>
      <c r="C642" s="129"/>
      <c r="D642" s="129"/>
      <c r="E642" s="129"/>
      <c r="F642" s="129"/>
      <c r="G642" s="129"/>
      <c r="H642" s="129"/>
      <c r="I642" s="129"/>
      <c r="J642" s="129"/>
      <c r="K642" s="129"/>
      <c r="L642" s="129"/>
      <c r="M642" s="129"/>
      <c r="N642" s="129"/>
      <c r="O642" s="129"/>
      <c r="P642" s="129"/>
      <c r="Q642" s="129"/>
      <c r="R642" s="129"/>
      <c r="S642" s="129"/>
      <c r="T642" s="129"/>
    </row>
    <row r="643">
      <c r="A643" s="151"/>
      <c r="B643" s="129"/>
      <c r="C643" s="129"/>
      <c r="D643" s="129"/>
      <c r="E643" s="129"/>
      <c r="F643" s="129"/>
      <c r="G643" s="129"/>
      <c r="H643" s="129"/>
      <c r="I643" s="129"/>
      <c r="J643" s="129"/>
      <c r="K643" s="129"/>
      <c r="L643" s="129"/>
      <c r="M643" s="129"/>
      <c r="N643" s="129"/>
      <c r="O643" s="129"/>
      <c r="P643" s="129"/>
      <c r="Q643" s="129"/>
      <c r="R643" s="129"/>
      <c r="S643" s="129"/>
      <c r="T643" s="129"/>
    </row>
    <row r="644">
      <c r="A644" s="151"/>
      <c r="B644" s="129"/>
      <c r="C644" s="129"/>
      <c r="D644" s="129"/>
      <c r="E644" s="129"/>
      <c r="F644" s="129"/>
      <c r="G644" s="129"/>
      <c r="H644" s="129"/>
      <c r="I644" s="129"/>
      <c r="J644" s="129"/>
      <c r="K644" s="129"/>
      <c r="L644" s="129"/>
      <c r="M644" s="129"/>
      <c r="N644" s="129"/>
      <c r="O644" s="129"/>
      <c r="P644" s="129"/>
      <c r="Q644" s="129"/>
      <c r="R644" s="129"/>
      <c r="S644" s="129"/>
      <c r="T644" s="129"/>
    </row>
    <row r="645">
      <c r="A645" s="151"/>
      <c r="B645" s="129"/>
      <c r="C645" s="129"/>
      <c r="D645" s="129"/>
      <c r="E645" s="129"/>
      <c r="F645" s="129"/>
      <c r="G645" s="129"/>
      <c r="H645" s="129"/>
      <c r="I645" s="129"/>
      <c r="J645" s="129"/>
      <c r="K645" s="129"/>
      <c r="L645" s="129"/>
      <c r="M645" s="129"/>
      <c r="N645" s="129"/>
      <c r="O645" s="129"/>
      <c r="P645" s="129"/>
      <c r="Q645" s="129"/>
      <c r="R645" s="129"/>
      <c r="S645" s="129"/>
      <c r="T645" s="129"/>
    </row>
    <row r="646">
      <c r="A646" s="151"/>
      <c r="B646" s="129"/>
      <c r="C646" s="129"/>
      <c r="D646" s="129"/>
      <c r="E646" s="129"/>
      <c r="F646" s="129"/>
      <c r="G646" s="129"/>
      <c r="H646" s="129"/>
      <c r="I646" s="129"/>
      <c r="J646" s="129"/>
      <c r="K646" s="129"/>
      <c r="L646" s="129"/>
      <c r="M646" s="129"/>
      <c r="N646" s="129"/>
      <c r="O646" s="129"/>
      <c r="P646" s="129"/>
      <c r="Q646" s="129"/>
      <c r="R646" s="129"/>
      <c r="S646" s="129"/>
      <c r="T646" s="129"/>
    </row>
    <row r="647">
      <c r="A647" s="151"/>
      <c r="B647" s="129"/>
      <c r="C647" s="129"/>
      <c r="D647" s="129"/>
      <c r="E647" s="129"/>
      <c r="F647" s="129"/>
      <c r="G647" s="129"/>
      <c r="H647" s="129"/>
      <c r="I647" s="129"/>
      <c r="J647" s="129"/>
      <c r="K647" s="129"/>
      <c r="L647" s="129"/>
      <c r="M647" s="129"/>
      <c r="N647" s="129"/>
      <c r="O647" s="129"/>
      <c r="P647" s="129"/>
      <c r="Q647" s="129"/>
      <c r="R647" s="129"/>
      <c r="S647" s="129"/>
      <c r="T647" s="129"/>
    </row>
    <row r="648">
      <c r="A648" s="151"/>
      <c r="B648" s="129"/>
      <c r="C648" s="129"/>
      <c r="D648" s="129"/>
      <c r="E648" s="129"/>
      <c r="F648" s="129"/>
      <c r="G648" s="129"/>
      <c r="H648" s="129"/>
      <c r="I648" s="129"/>
      <c r="J648" s="129"/>
      <c r="K648" s="129"/>
      <c r="L648" s="129"/>
      <c r="M648" s="129"/>
      <c r="N648" s="129"/>
      <c r="O648" s="129"/>
      <c r="P648" s="129"/>
      <c r="Q648" s="129"/>
      <c r="R648" s="129"/>
      <c r="S648" s="129"/>
      <c r="T648" s="129"/>
    </row>
    <row r="649">
      <c r="A649" s="151"/>
      <c r="B649" s="129"/>
      <c r="C649" s="129"/>
      <c r="D649" s="129"/>
      <c r="E649" s="129"/>
      <c r="F649" s="129"/>
      <c r="G649" s="129"/>
      <c r="H649" s="129"/>
      <c r="I649" s="129"/>
      <c r="J649" s="129"/>
      <c r="K649" s="129"/>
      <c r="L649" s="129"/>
      <c r="M649" s="129"/>
      <c r="N649" s="129"/>
      <c r="O649" s="129"/>
      <c r="P649" s="129"/>
      <c r="Q649" s="129"/>
      <c r="R649" s="129"/>
      <c r="S649" s="129"/>
      <c r="T649" s="129"/>
    </row>
    <row r="650">
      <c r="A650" s="151"/>
      <c r="B650" s="129"/>
      <c r="C650" s="129"/>
      <c r="D650" s="129"/>
      <c r="E650" s="129"/>
      <c r="F650" s="129"/>
      <c r="G650" s="129"/>
      <c r="H650" s="129"/>
      <c r="I650" s="129"/>
      <c r="J650" s="129"/>
      <c r="K650" s="129"/>
      <c r="L650" s="129"/>
      <c r="M650" s="129"/>
      <c r="N650" s="129"/>
      <c r="O650" s="129"/>
      <c r="P650" s="129"/>
      <c r="Q650" s="129"/>
      <c r="R650" s="129"/>
      <c r="S650" s="129"/>
      <c r="T650" s="129"/>
    </row>
    <row r="651">
      <c r="A651" s="151"/>
      <c r="B651" s="129"/>
      <c r="C651" s="129"/>
      <c r="D651" s="129"/>
      <c r="E651" s="129"/>
      <c r="F651" s="129"/>
      <c r="G651" s="129"/>
      <c r="H651" s="129"/>
      <c r="I651" s="129"/>
      <c r="J651" s="129"/>
      <c r="K651" s="129"/>
      <c r="L651" s="129"/>
      <c r="M651" s="129"/>
      <c r="N651" s="129"/>
      <c r="O651" s="129"/>
      <c r="P651" s="129"/>
      <c r="Q651" s="129"/>
      <c r="R651" s="129"/>
      <c r="S651" s="129"/>
      <c r="T651" s="129"/>
    </row>
    <row r="652">
      <c r="A652" s="151"/>
      <c r="B652" s="129"/>
      <c r="C652" s="129"/>
      <c r="D652" s="129"/>
      <c r="E652" s="129"/>
      <c r="F652" s="129"/>
      <c r="G652" s="129"/>
      <c r="H652" s="129"/>
      <c r="I652" s="129"/>
      <c r="J652" s="129"/>
      <c r="K652" s="129"/>
      <c r="L652" s="129"/>
      <c r="M652" s="129"/>
      <c r="N652" s="129"/>
      <c r="O652" s="129"/>
      <c r="P652" s="129"/>
      <c r="Q652" s="129"/>
      <c r="R652" s="129"/>
      <c r="S652" s="129"/>
      <c r="T652" s="129"/>
    </row>
    <row r="653">
      <c r="A653" s="151"/>
      <c r="B653" s="129"/>
      <c r="C653" s="129"/>
      <c r="D653" s="129"/>
      <c r="E653" s="129"/>
      <c r="F653" s="129"/>
      <c r="G653" s="129"/>
      <c r="H653" s="129"/>
      <c r="I653" s="129"/>
      <c r="J653" s="129"/>
      <c r="K653" s="129"/>
      <c r="L653" s="129"/>
      <c r="M653" s="129"/>
      <c r="N653" s="129"/>
      <c r="O653" s="129"/>
      <c r="P653" s="129"/>
      <c r="Q653" s="129"/>
      <c r="R653" s="129"/>
      <c r="S653" s="129"/>
      <c r="T653" s="129"/>
    </row>
    <row r="654">
      <c r="A654" s="151"/>
      <c r="B654" s="129"/>
      <c r="C654" s="129"/>
      <c r="D654" s="129"/>
      <c r="E654" s="129"/>
      <c r="F654" s="129"/>
      <c r="G654" s="129"/>
      <c r="H654" s="129"/>
      <c r="I654" s="129"/>
      <c r="J654" s="129"/>
      <c r="K654" s="129"/>
      <c r="L654" s="129"/>
      <c r="M654" s="129"/>
      <c r="N654" s="129"/>
      <c r="O654" s="129"/>
      <c r="P654" s="129"/>
      <c r="Q654" s="129"/>
      <c r="R654" s="129"/>
      <c r="S654" s="129"/>
      <c r="T654" s="129"/>
    </row>
    <row r="655">
      <c r="A655" s="151"/>
      <c r="B655" s="129"/>
      <c r="C655" s="129"/>
      <c r="D655" s="129"/>
      <c r="E655" s="129"/>
      <c r="F655" s="129"/>
      <c r="G655" s="129"/>
      <c r="H655" s="129"/>
      <c r="I655" s="129"/>
      <c r="J655" s="129"/>
      <c r="K655" s="129"/>
      <c r="L655" s="129"/>
      <c r="M655" s="129"/>
      <c r="N655" s="129"/>
      <c r="O655" s="129"/>
      <c r="P655" s="129"/>
      <c r="Q655" s="129"/>
      <c r="R655" s="129"/>
      <c r="S655" s="129"/>
      <c r="T655" s="129"/>
    </row>
    <row r="656">
      <c r="A656" s="151"/>
      <c r="B656" s="129"/>
      <c r="C656" s="129"/>
      <c r="D656" s="129"/>
      <c r="E656" s="129"/>
      <c r="F656" s="129"/>
      <c r="G656" s="129"/>
      <c r="H656" s="129"/>
      <c r="I656" s="129"/>
      <c r="J656" s="129"/>
      <c r="K656" s="129"/>
      <c r="L656" s="129"/>
      <c r="M656" s="129"/>
      <c r="N656" s="129"/>
      <c r="O656" s="129"/>
      <c r="P656" s="129"/>
      <c r="Q656" s="129"/>
      <c r="R656" s="129"/>
      <c r="S656" s="129"/>
      <c r="T656" s="129"/>
    </row>
    <row r="657">
      <c r="A657" s="151"/>
      <c r="B657" s="129"/>
      <c r="C657" s="129"/>
      <c r="D657" s="129"/>
      <c r="E657" s="129"/>
      <c r="F657" s="129"/>
      <c r="G657" s="129"/>
      <c r="H657" s="129"/>
      <c r="I657" s="129"/>
      <c r="J657" s="129"/>
      <c r="K657" s="129"/>
      <c r="L657" s="129"/>
      <c r="M657" s="129"/>
      <c r="N657" s="129"/>
      <c r="O657" s="129"/>
      <c r="P657" s="129"/>
      <c r="Q657" s="129"/>
      <c r="R657" s="129"/>
      <c r="S657" s="129"/>
      <c r="T657" s="129"/>
    </row>
    <row r="658">
      <c r="A658" s="151"/>
      <c r="B658" s="129"/>
      <c r="C658" s="129"/>
      <c r="D658" s="129"/>
      <c r="E658" s="129"/>
      <c r="F658" s="129"/>
      <c r="G658" s="129"/>
      <c r="H658" s="129"/>
      <c r="I658" s="129"/>
      <c r="J658" s="129"/>
      <c r="K658" s="129"/>
      <c r="L658" s="129"/>
      <c r="M658" s="129"/>
      <c r="N658" s="129"/>
      <c r="O658" s="129"/>
      <c r="P658" s="129"/>
      <c r="Q658" s="129"/>
      <c r="R658" s="129"/>
      <c r="S658" s="129"/>
      <c r="T658" s="129"/>
    </row>
    <row r="659">
      <c r="A659" s="151"/>
      <c r="B659" s="129"/>
      <c r="C659" s="129"/>
      <c r="D659" s="129"/>
      <c r="E659" s="129"/>
      <c r="F659" s="129"/>
      <c r="G659" s="129"/>
      <c r="H659" s="129"/>
      <c r="I659" s="129"/>
      <c r="J659" s="129"/>
      <c r="K659" s="129"/>
      <c r="L659" s="129"/>
      <c r="M659" s="129"/>
      <c r="N659" s="129"/>
      <c r="O659" s="129"/>
      <c r="P659" s="129"/>
      <c r="Q659" s="129"/>
      <c r="R659" s="129"/>
      <c r="S659" s="129"/>
      <c r="T659" s="129"/>
    </row>
    <row r="660">
      <c r="A660" s="151"/>
      <c r="B660" s="129"/>
      <c r="C660" s="129"/>
      <c r="D660" s="129"/>
      <c r="E660" s="129"/>
      <c r="F660" s="129"/>
      <c r="G660" s="129"/>
      <c r="H660" s="129"/>
      <c r="I660" s="129"/>
      <c r="J660" s="129"/>
      <c r="K660" s="129"/>
      <c r="L660" s="129"/>
      <c r="M660" s="129"/>
      <c r="N660" s="129"/>
      <c r="O660" s="129"/>
      <c r="P660" s="129"/>
      <c r="Q660" s="129"/>
      <c r="R660" s="129"/>
      <c r="S660" s="129"/>
      <c r="T660" s="129"/>
    </row>
    <row r="661">
      <c r="A661" s="151"/>
      <c r="B661" s="129"/>
      <c r="C661" s="129"/>
      <c r="D661" s="129"/>
      <c r="E661" s="129"/>
      <c r="F661" s="129"/>
      <c r="G661" s="129"/>
      <c r="H661" s="129"/>
      <c r="I661" s="129"/>
      <c r="J661" s="129"/>
      <c r="K661" s="129"/>
      <c r="L661" s="129"/>
      <c r="M661" s="129"/>
      <c r="N661" s="129"/>
      <c r="O661" s="129"/>
      <c r="P661" s="129"/>
      <c r="Q661" s="129"/>
      <c r="R661" s="129"/>
      <c r="S661" s="129"/>
      <c r="T661" s="129"/>
    </row>
    <row r="662">
      <c r="A662" s="151"/>
      <c r="B662" s="129"/>
      <c r="C662" s="129"/>
      <c r="D662" s="129"/>
      <c r="E662" s="129"/>
      <c r="F662" s="129"/>
      <c r="G662" s="129"/>
      <c r="H662" s="129"/>
      <c r="I662" s="129"/>
      <c r="J662" s="129"/>
      <c r="K662" s="129"/>
      <c r="L662" s="129"/>
      <c r="M662" s="129"/>
      <c r="N662" s="129"/>
      <c r="O662" s="129"/>
      <c r="P662" s="129"/>
      <c r="Q662" s="129"/>
      <c r="R662" s="129"/>
      <c r="S662" s="129"/>
      <c r="T662" s="129"/>
    </row>
    <row r="663">
      <c r="A663" s="151"/>
      <c r="B663" s="129"/>
      <c r="C663" s="129"/>
      <c r="D663" s="129"/>
      <c r="E663" s="129"/>
      <c r="F663" s="129"/>
      <c r="G663" s="129"/>
      <c r="H663" s="129"/>
      <c r="I663" s="129"/>
      <c r="J663" s="129"/>
      <c r="K663" s="129"/>
      <c r="L663" s="129"/>
      <c r="M663" s="129"/>
      <c r="N663" s="129"/>
      <c r="O663" s="129"/>
      <c r="P663" s="129"/>
      <c r="Q663" s="129"/>
      <c r="R663" s="129"/>
      <c r="S663" s="129"/>
      <c r="T663" s="129"/>
    </row>
    <row r="664">
      <c r="A664" s="151"/>
      <c r="B664" s="129"/>
      <c r="C664" s="129"/>
      <c r="D664" s="129"/>
      <c r="E664" s="129"/>
      <c r="F664" s="129"/>
      <c r="G664" s="129"/>
      <c r="H664" s="129"/>
      <c r="I664" s="129"/>
      <c r="J664" s="129"/>
      <c r="K664" s="129"/>
      <c r="L664" s="129"/>
      <c r="M664" s="129"/>
      <c r="N664" s="129"/>
      <c r="O664" s="129"/>
      <c r="P664" s="129"/>
      <c r="Q664" s="129"/>
      <c r="R664" s="129"/>
      <c r="S664" s="129"/>
      <c r="T664" s="129"/>
    </row>
    <row r="665">
      <c r="A665" s="151"/>
      <c r="B665" s="129"/>
      <c r="C665" s="129"/>
      <c r="D665" s="129"/>
      <c r="E665" s="129"/>
      <c r="F665" s="129"/>
      <c r="G665" s="129"/>
      <c r="H665" s="129"/>
      <c r="I665" s="129"/>
      <c r="J665" s="129"/>
      <c r="K665" s="129"/>
      <c r="L665" s="129"/>
      <c r="M665" s="129"/>
      <c r="N665" s="129"/>
      <c r="O665" s="129"/>
      <c r="P665" s="129"/>
      <c r="Q665" s="129"/>
      <c r="R665" s="129"/>
      <c r="S665" s="129"/>
      <c r="T665" s="129"/>
    </row>
    <row r="666">
      <c r="A666" s="151"/>
      <c r="B666" s="129"/>
      <c r="C666" s="129"/>
      <c r="D666" s="129"/>
      <c r="E666" s="129"/>
      <c r="F666" s="129"/>
      <c r="G666" s="129"/>
      <c r="H666" s="129"/>
      <c r="I666" s="129"/>
      <c r="J666" s="129"/>
      <c r="K666" s="129"/>
      <c r="L666" s="129"/>
      <c r="M666" s="129"/>
      <c r="N666" s="129"/>
      <c r="O666" s="129"/>
      <c r="P666" s="129"/>
      <c r="Q666" s="129"/>
      <c r="R666" s="129"/>
      <c r="S666" s="129"/>
      <c r="T666" s="129"/>
    </row>
    <row r="667">
      <c r="A667" s="151"/>
      <c r="B667" s="129"/>
      <c r="C667" s="129"/>
      <c r="D667" s="129"/>
      <c r="E667" s="129"/>
      <c r="F667" s="129"/>
      <c r="G667" s="129"/>
      <c r="H667" s="129"/>
      <c r="I667" s="129"/>
      <c r="J667" s="129"/>
      <c r="K667" s="129"/>
      <c r="L667" s="129"/>
      <c r="M667" s="129"/>
      <c r="N667" s="129"/>
      <c r="O667" s="129"/>
      <c r="P667" s="129"/>
      <c r="Q667" s="129"/>
      <c r="R667" s="129"/>
      <c r="S667" s="129"/>
      <c r="T667" s="129"/>
    </row>
    <row r="668">
      <c r="A668" s="151"/>
      <c r="B668" s="129"/>
      <c r="C668" s="129"/>
      <c r="D668" s="129"/>
      <c r="E668" s="129"/>
      <c r="F668" s="129"/>
      <c r="G668" s="129"/>
      <c r="H668" s="129"/>
      <c r="I668" s="129"/>
      <c r="J668" s="129"/>
      <c r="K668" s="129"/>
      <c r="L668" s="129"/>
      <c r="M668" s="129"/>
      <c r="N668" s="129"/>
      <c r="O668" s="129"/>
      <c r="P668" s="129"/>
      <c r="Q668" s="129"/>
      <c r="R668" s="129"/>
      <c r="S668" s="129"/>
      <c r="T668" s="129"/>
    </row>
    <row r="669">
      <c r="A669" s="151"/>
      <c r="B669" s="129"/>
      <c r="C669" s="129"/>
      <c r="D669" s="129"/>
      <c r="E669" s="129"/>
      <c r="F669" s="129"/>
      <c r="G669" s="129"/>
      <c r="H669" s="129"/>
      <c r="I669" s="129"/>
      <c r="J669" s="129"/>
      <c r="K669" s="129"/>
      <c r="L669" s="129"/>
      <c r="M669" s="129"/>
      <c r="N669" s="129"/>
      <c r="O669" s="129"/>
      <c r="P669" s="129"/>
      <c r="Q669" s="129"/>
      <c r="R669" s="129"/>
      <c r="S669" s="129"/>
      <c r="T669" s="129"/>
    </row>
    <row r="670">
      <c r="A670" s="151"/>
      <c r="B670" s="129"/>
      <c r="C670" s="129"/>
      <c r="D670" s="129"/>
      <c r="E670" s="129"/>
      <c r="F670" s="129"/>
      <c r="G670" s="129"/>
      <c r="H670" s="129"/>
      <c r="I670" s="129"/>
      <c r="J670" s="129"/>
      <c r="K670" s="129"/>
      <c r="L670" s="129"/>
      <c r="M670" s="129"/>
      <c r="N670" s="129"/>
      <c r="O670" s="129"/>
      <c r="P670" s="129"/>
      <c r="Q670" s="129"/>
      <c r="R670" s="129"/>
      <c r="S670" s="129"/>
      <c r="T670" s="129"/>
    </row>
    <row r="671">
      <c r="A671" s="151"/>
      <c r="B671" s="129"/>
      <c r="C671" s="129"/>
      <c r="D671" s="129"/>
      <c r="E671" s="129"/>
      <c r="F671" s="129"/>
      <c r="G671" s="129"/>
      <c r="H671" s="129"/>
      <c r="I671" s="129"/>
      <c r="J671" s="129"/>
      <c r="K671" s="129"/>
      <c r="L671" s="129"/>
      <c r="M671" s="129"/>
      <c r="N671" s="129"/>
      <c r="O671" s="129"/>
      <c r="P671" s="129"/>
      <c r="Q671" s="129"/>
      <c r="R671" s="129"/>
      <c r="S671" s="129"/>
      <c r="T671" s="129"/>
    </row>
    <row r="672">
      <c r="A672" s="151"/>
      <c r="B672" s="129"/>
      <c r="C672" s="129"/>
      <c r="D672" s="129"/>
      <c r="E672" s="129"/>
      <c r="F672" s="129"/>
      <c r="G672" s="129"/>
      <c r="H672" s="129"/>
      <c r="I672" s="129"/>
      <c r="J672" s="129"/>
      <c r="K672" s="129"/>
      <c r="L672" s="129"/>
      <c r="M672" s="129"/>
      <c r="N672" s="129"/>
      <c r="O672" s="129"/>
      <c r="P672" s="129"/>
      <c r="Q672" s="129"/>
      <c r="R672" s="129"/>
      <c r="S672" s="129"/>
      <c r="T672" s="129"/>
    </row>
    <row r="673">
      <c r="A673" s="151"/>
      <c r="B673" s="129"/>
      <c r="C673" s="129"/>
      <c r="D673" s="129"/>
      <c r="E673" s="129"/>
      <c r="F673" s="129"/>
      <c r="G673" s="129"/>
      <c r="H673" s="129"/>
      <c r="I673" s="129"/>
      <c r="J673" s="129"/>
      <c r="K673" s="129"/>
      <c r="L673" s="129"/>
      <c r="M673" s="129"/>
      <c r="N673" s="129"/>
      <c r="O673" s="129"/>
      <c r="P673" s="129"/>
      <c r="Q673" s="129"/>
      <c r="R673" s="129"/>
      <c r="S673" s="129"/>
      <c r="T673" s="129"/>
    </row>
    <row r="674">
      <c r="A674" s="151"/>
      <c r="B674" s="129"/>
      <c r="C674" s="129"/>
      <c r="D674" s="129"/>
      <c r="E674" s="129"/>
      <c r="F674" s="129"/>
      <c r="G674" s="129"/>
      <c r="H674" s="129"/>
      <c r="I674" s="129"/>
      <c r="J674" s="129"/>
      <c r="K674" s="129"/>
      <c r="L674" s="129"/>
      <c r="M674" s="129"/>
      <c r="N674" s="129"/>
      <c r="O674" s="129"/>
      <c r="P674" s="129"/>
      <c r="Q674" s="129"/>
      <c r="R674" s="129"/>
      <c r="S674" s="129"/>
      <c r="T674" s="129"/>
    </row>
    <row r="675">
      <c r="A675" s="151"/>
      <c r="B675" s="129"/>
      <c r="C675" s="129"/>
      <c r="D675" s="129"/>
      <c r="E675" s="129"/>
      <c r="F675" s="129"/>
      <c r="G675" s="129"/>
      <c r="H675" s="129"/>
      <c r="I675" s="129"/>
      <c r="J675" s="129"/>
      <c r="K675" s="129"/>
      <c r="L675" s="129"/>
      <c r="M675" s="129"/>
      <c r="N675" s="129"/>
      <c r="O675" s="129"/>
      <c r="P675" s="129"/>
      <c r="Q675" s="129"/>
      <c r="R675" s="129"/>
      <c r="S675" s="129"/>
      <c r="T675" s="129"/>
    </row>
    <row r="676">
      <c r="A676" s="151"/>
      <c r="B676" s="129"/>
      <c r="C676" s="129"/>
      <c r="D676" s="129"/>
      <c r="E676" s="129"/>
      <c r="F676" s="129"/>
      <c r="G676" s="129"/>
      <c r="H676" s="129"/>
      <c r="I676" s="129"/>
      <c r="J676" s="129"/>
      <c r="K676" s="129"/>
      <c r="L676" s="129"/>
      <c r="M676" s="129"/>
      <c r="N676" s="129"/>
      <c r="O676" s="129"/>
      <c r="P676" s="129"/>
      <c r="Q676" s="129"/>
      <c r="R676" s="129"/>
      <c r="S676" s="129"/>
      <c r="T676" s="129"/>
    </row>
    <row r="677">
      <c r="A677" s="151"/>
      <c r="B677" s="129"/>
      <c r="C677" s="129"/>
      <c r="D677" s="129"/>
      <c r="E677" s="129"/>
      <c r="F677" s="129"/>
      <c r="G677" s="129"/>
      <c r="H677" s="129"/>
      <c r="I677" s="129"/>
      <c r="J677" s="129"/>
      <c r="K677" s="129"/>
      <c r="L677" s="129"/>
      <c r="M677" s="129"/>
      <c r="N677" s="129"/>
      <c r="O677" s="129"/>
      <c r="P677" s="129"/>
      <c r="Q677" s="129"/>
      <c r="R677" s="129"/>
      <c r="S677" s="129"/>
      <c r="T677" s="129"/>
    </row>
    <row r="678">
      <c r="A678" s="151"/>
      <c r="B678" s="129"/>
      <c r="C678" s="129"/>
      <c r="D678" s="129"/>
      <c r="E678" s="129"/>
      <c r="F678" s="129"/>
      <c r="G678" s="129"/>
      <c r="H678" s="129"/>
      <c r="I678" s="129"/>
      <c r="J678" s="129"/>
      <c r="K678" s="129"/>
      <c r="L678" s="129"/>
      <c r="M678" s="129"/>
      <c r="N678" s="129"/>
      <c r="O678" s="129"/>
      <c r="P678" s="129"/>
      <c r="Q678" s="129"/>
      <c r="R678" s="129"/>
      <c r="S678" s="129"/>
      <c r="T678" s="129"/>
    </row>
    <row r="679">
      <c r="A679" s="151"/>
      <c r="B679" s="129"/>
      <c r="C679" s="129"/>
      <c r="D679" s="129"/>
      <c r="E679" s="129"/>
      <c r="F679" s="129"/>
      <c r="G679" s="129"/>
      <c r="H679" s="129"/>
      <c r="I679" s="129"/>
      <c r="J679" s="129"/>
      <c r="K679" s="129"/>
      <c r="L679" s="129"/>
      <c r="M679" s="129"/>
      <c r="N679" s="129"/>
      <c r="O679" s="129"/>
      <c r="P679" s="129"/>
      <c r="Q679" s="129"/>
      <c r="R679" s="129"/>
      <c r="S679" s="129"/>
      <c r="T679" s="129"/>
    </row>
    <row r="680">
      <c r="A680" s="151"/>
      <c r="B680" s="129"/>
      <c r="C680" s="129"/>
      <c r="D680" s="129"/>
      <c r="E680" s="129"/>
      <c r="F680" s="129"/>
      <c r="G680" s="129"/>
      <c r="H680" s="129"/>
      <c r="I680" s="129"/>
      <c r="J680" s="129"/>
      <c r="K680" s="129"/>
      <c r="L680" s="129"/>
      <c r="M680" s="129"/>
      <c r="N680" s="129"/>
      <c r="O680" s="129"/>
      <c r="P680" s="129"/>
      <c r="Q680" s="129"/>
      <c r="R680" s="129"/>
      <c r="S680" s="129"/>
      <c r="T680" s="129"/>
    </row>
    <row r="681">
      <c r="A681" s="151"/>
      <c r="B681" s="129"/>
      <c r="C681" s="129"/>
      <c r="D681" s="129"/>
      <c r="E681" s="129"/>
      <c r="F681" s="129"/>
      <c r="G681" s="129"/>
      <c r="H681" s="129"/>
      <c r="I681" s="129"/>
      <c r="J681" s="129"/>
      <c r="K681" s="129"/>
      <c r="L681" s="129"/>
      <c r="M681" s="129"/>
      <c r="N681" s="129"/>
      <c r="O681" s="129"/>
      <c r="P681" s="129"/>
      <c r="Q681" s="129"/>
      <c r="R681" s="129"/>
      <c r="S681" s="129"/>
      <c r="T681" s="129"/>
    </row>
    <row r="682">
      <c r="A682" s="151"/>
      <c r="B682" s="129"/>
      <c r="C682" s="129"/>
      <c r="D682" s="129"/>
      <c r="E682" s="129"/>
      <c r="F682" s="129"/>
      <c r="G682" s="129"/>
      <c r="H682" s="129"/>
      <c r="I682" s="129"/>
      <c r="J682" s="129"/>
      <c r="K682" s="129"/>
      <c r="L682" s="129"/>
      <c r="M682" s="129"/>
      <c r="N682" s="129"/>
      <c r="O682" s="129"/>
      <c r="P682" s="129"/>
      <c r="Q682" s="129"/>
      <c r="R682" s="129"/>
      <c r="S682" s="129"/>
      <c r="T682" s="129"/>
    </row>
    <row r="683">
      <c r="A683" s="151"/>
      <c r="B683" s="129"/>
      <c r="C683" s="129"/>
      <c r="D683" s="129"/>
      <c r="E683" s="129"/>
      <c r="F683" s="129"/>
      <c r="G683" s="129"/>
      <c r="H683" s="129"/>
      <c r="I683" s="129"/>
      <c r="J683" s="129"/>
      <c r="K683" s="129"/>
      <c r="L683" s="129"/>
      <c r="M683" s="129"/>
      <c r="N683" s="129"/>
      <c r="O683" s="129"/>
      <c r="P683" s="129"/>
      <c r="Q683" s="129"/>
      <c r="R683" s="129"/>
      <c r="S683" s="129"/>
      <c r="T683" s="129"/>
    </row>
    <row r="684">
      <c r="A684" s="151"/>
      <c r="B684" s="129"/>
      <c r="C684" s="129"/>
      <c r="D684" s="129"/>
      <c r="E684" s="129"/>
      <c r="F684" s="129"/>
      <c r="G684" s="129"/>
      <c r="H684" s="129"/>
      <c r="I684" s="129"/>
      <c r="J684" s="129"/>
      <c r="K684" s="129"/>
      <c r="L684" s="129"/>
      <c r="M684" s="129"/>
      <c r="N684" s="129"/>
      <c r="O684" s="129"/>
      <c r="P684" s="129"/>
      <c r="Q684" s="129"/>
      <c r="R684" s="129"/>
      <c r="S684" s="129"/>
      <c r="T684" s="129"/>
    </row>
    <row r="685">
      <c r="A685" s="151"/>
      <c r="B685" s="129"/>
      <c r="C685" s="129"/>
      <c r="D685" s="129"/>
      <c r="E685" s="129"/>
      <c r="F685" s="129"/>
      <c r="G685" s="129"/>
      <c r="H685" s="129"/>
      <c r="I685" s="129"/>
      <c r="J685" s="129"/>
      <c r="K685" s="129"/>
      <c r="L685" s="129"/>
      <c r="M685" s="129"/>
      <c r="N685" s="129"/>
      <c r="O685" s="129"/>
      <c r="P685" s="129"/>
      <c r="Q685" s="129"/>
      <c r="R685" s="129"/>
      <c r="S685" s="129"/>
      <c r="T685" s="129"/>
    </row>
    <row r="686">
      <c r="A686" s="151"/>
      <c r="B686" s="129"/>
      <c r="C686" s="129"/>
      <c r="D686" s="129"/>
      <c r="E686" s="129"/>
      <c r="F686" s="129"/>
      <c r="G686" s="129"/>
      <c r="H686" s="129"/>
      <c r="I686" s="129"/>
      <c r="J686" s="129"/>
      <c r="K686" s="129"/>
      <c r="L686" s="129"/>
      <c r="M686" s="129"/>
      <c r="N686" s="129"/>
      <c r="O686" s="129"/>
      <c r="P686" s="129"/>
      <c r="Q686" s="129"/>
      <c r="R686" s="129"/>
      <c r="S686" s="129"/>
      <c r="T686" s="129"/>
    </row>
    <row r="687">
      <c r="A687" s="151"/>
      <c r="B687" s="129"/>
      <c r="C687" s="129"/>
      <c r="D687" s="129"/>
      <c r="E687" s="129"/>
      <c r="F687" s="129"/>
      <c r="G687" s="129"/>
      <c r="H687" s="129"/>
      <c r="I687" s="129"/>
      <c r="J687" s="129"/>
      <c r="K687" s="129"/>
      <c r="L687" s="129"/>
      <c r="M687" s="129"/>
      <c r="N687" s="129"/>
      <c r="O687" s="129"/>
      <c r="P687" s="129"/>
      <c r="Q687" s="129"/>
      <c r="R687" s="129"/>
      <c r="S687" s="129"/>
      <c r="T687" s="129"/>
    </row>
    <row r="688">
      <c r="A688" s="151"/>
      <c r="B688" s="129"/>
      <c r="C688" s="129"/>
      <c r="D688" s="129"/>
      <c r="E688" s="129"/>
      <c r="F688" s="129"/>
      <c r="G688" s="129"/>
      <c r="H688" s="129"/>
      <c r="I688" s="129"/>
      <c r="J688" s="129"/>
      <c r="K688" s="129"/>
      <c r="L688" s="129"/>
      <c r="M688" s="129"/>
      <c r="N688" s="129"/>
      <c r="O688" s="129"/>
      <c r="P688" s="129"/>
      <c r="Q688" s="129"/>
      <c r="R688" s="129"/>
      <c r="S688" s="129"/>
      <c r="T688" s="129"/>
    </row>
    <row r="689">
      <c r="A689" s="151"/>
      <c r="B689" s="129"/>
      <c r="C689" s="129"/>
      <c r="D689" s="129"/>
      <c r="E689" s="129"/>
      <c r="F689" s="129"/>
      <c r="G689" s="129"/>
      <c r="H689" s="129"/>
      <c r="I689" s="129"/>
      <c r="J689" s="129"/>
      <c r="K689" s="129"/>
      <c r="L689" s="129"/>
      <c r="M689" s="129"/>
      <c r="N689" s="129"/>
      <c r="O689" s="129"/>
      <c r="P689" s="129"/>
      <c r="Q689" s="129"/>
      <c r="R689" s="129"/>
      <c r="S689" s="129"/>
      <c r="T689" s="129"/>
    </row>
    <row r="690">
      <c r="A690" s="151"/>
      <c r="B690" s="129"/>
      <c r="C690" s="129"/>
      <c r="D690" s="129"/>
      <c r="E690" s="129"/>
      <c r="F690" s="129"/>
      <c r="G690" s="129"/>
      <c r="H690" s="129"/>
      <c r="I690" s="129"/>
      <c r="J690" s="129"/>
      <c r="K690" s="129"/>
      <c r="L690" s="129"/>
      <c r="M690" s="129"/>
      <c r="N690" s="129"/>
      <c r="O690" s="129"/>
      <c r="P690" s="129"/>
      <c r="Q690" s="129"/>
      <c r="R690" s="129"/>
      <c r="S690" s="129"/>
      <c r="T690" s="129"/>
    </row>
    <row r="691">
      <c r="A691" s="151"/>
      <c r="B691" s="129"/>
      <c r="C691" s="129"/>
      <c r="D691" s="129"/>
      <c r="E691" s="129"/>
      <c r="F691" s="129"/>
      <c r="G691" s="129"/>
      <c r="H691" s="129"/>
      <c r="I691" s="129"/>
      <c r="J691" s="129"/>
      <c r="K691" s="129"/>
      <c r="L691" s="129"/>
      <c r="M691" s="129"/>
      <c r="N691" s="129"/>
      <c r="O691" s="129"/>
      <c r="P691" s="129"/>
      <c r="Q691" s="129"/>
      <c r="R691" s="129"/>
      <c r="S691" s="129"/>
      <c r="T691" s="129"/>
    </row>
    <row r="692">
      <c r="A692" s="151"/>
      <c r="B692" s="129"/>
      <c r="C692" s="129"/>
      <c r="D692" s="129"/>
      <c r="E692" s="129"/>
      <c r="F692" s="129"/>
      <c r="G692" s="129"/>
      <c r="H692" s="129"/>
      <c r="I692" s="129"/>
      <c r="J692" s="129"/>
      <c r="K692" s="129"/>
      <c r="L692" s="129"/>
      <c r="M692" s="129"/>
      <c r="N692" s="129"/>
      <c r="O692" s="129"/>
      <c r="P692" s="129"/>
      <c r="Q692" s="129"/>
      <c r="R692" s="129"/>
      <c r="S692" s="129"/>
      <c r="T692" s="129"/>
    </row>
    <row r="693">
      <c r="A693" s="151"/>
      <c r="B693" s="129"/>
      <c r="C693" s="129"/>
      <c r="D693" s="129"/>
      <c r="E693" s="129"/>
      <c r="F693" s="129"/>
      <c r="G693" s="129"/>
      <c r="H693" s="129"/>
      <c r="I693" s="129"/>
      <c r="J693" s="129"/>
      <c r="K693" s="129"/>
      <c r="L693" s="129"/>
      <c r="M693" s="129"/>
      <c r="N693" s="129"/>
      <c r="O693" s="129"/>
      <c r="P693" s="129"/>
      <c r="Q693" s="129"/>
      <c r="R693" s="129"/>
      <c r="S693" s="129"/>
      <c r="T693" s="129"/>
    </row>
    <row r="694">
      <c r="A694" s="151"/>
      <c r="B694" s="129"/>
      <c r="C694" s="129"/>
      <c r="D694" s="129"/>
      <c r="E694" s="129"/>
      <c r="F694" s="129"/>
      <c r="G694" s="129"/>
      <c r="H694" s="129"/>
      <c r="I694" s="129"/>
      <c r="J694" s="129"/>
      <c r="K694" s="129"/>
      <c r="L694" s="129"/>
      <c r="M694" s="129"/>
      <c r="N694" s="129"/>
      <c r="O694" s="129"/>
      <c r="P694" s="129"/>
      <c r="Q694" s="129"/>
      <c r="R694" s="129"/>
      <c r="S694" s="129"/>
      <c r="T694" s="129"/>
    </row>
    <row r="695">
      <c r="A695" s="151"/>
      <c r="B695" s="129"/>
      <c r="C695" s="129"/>
      <c r="D695" s="129"/>
      <c r="E695" s="129"/>
      <c r="F695" s="129"/>
      <c r="G695" s="129"/>
      <c r="H695" s="129"/>
      <c r="I695" s="129"/>
      <c r="J695" s="129"/>
      <c r="K695" s="129"/>
      <c r="L695" s="129"/>
      <c r="M695" s="129"/>
      <c r="N695" s="129"/>
      <c r="O695" s="129"/>
      <c r="P695" s="129"/>
      <c r="Q695" s="129"/>
      <c r="R695" s="129"/>
      <c r="S695" s="129"/>
      <c r="T695" s="129"/>
    </row>
    <row r="696">
      <c r="A696" s="151"/>
      <c r="B696" s="129"/>
      <c r="C696" s="129"/>
      <c r="D696" s="129"/>
      <c r="E696" s="129"/>
      <c r="F696" s="129"/>
      <c r="G696" s="129"/>
      <c r="H696" s="129"/>
      <c r="I696" s="129"/>
      <c r="J696" s="129"/>
      <c r="K696" s="129"/>
      <c r="L696" s="129"/>
      <c r="M696" s="129"/>
      <c r="N696" s="129"/>
      <c r="O696" s="129"/>
      <c r="P696" s="129"/>
      <c r="Q696" s="129"/>
      <c r="R696" s="129"/>
      <c r="S696" s="129"/>
      <c r="T696" s="129"/>
    </row>
    <row r="697">
      <c r="A697" s="151"/>
      <c r="B697" s="129"/>
      <c r="C697" s="129"/>
      <c r="D697" s="129"/>
      <c r="E697" s="129"/>
      <c r="F697" s="129"/>
      <c r="G697" s="129"/>
      <c r="H697" s="129"/>
      <c r="I697" s="129"/>
      <c r="J697" s="129"/>
      <c r="K697" s="129"/>
      <c r="L697" s="129"/>
      <c r="M697" s="129"/>
      <c r="N697" s="129"/>
      <c r="O697" s="129"/>
      <c r="P697" s="129"/>
      <c r="Q697" s="129"/>
      <c r="R697" s="129"/>
      <c r="S697" s="129"/>
      <c r="T697" s="129"/>
    </row>
    <row r="698">
      <c r="A698" s="151"/>
      <c r="B698" s="129"/>
      <c r="C698" s="129"/>
      <c r="D698" s="129"/>
      <c r="E698" s="129"/>
      <c r="F698" s="129"/>
      <c r="G698" s="129"/>
      <c r="H698" s="129"/>
      <c r="I698" s="129"/>
      <c r="J698" s="129"/>
      <c r="K698" s="129"/>
      <c r="L698" s="129"/>
      <c r="M698" s="129"/>
      <c r="N698" s="129"/>
      <c r="O698" s="129"/>
      <c r="P698" s="129"/>
      <c r="Q698" s="129"/>
      <c r="R698" s="129"/>
      <c r="S698" s="129"/>
      <c r="T698" s="129"/>
    </row>
    <row r="699">
      <c r="A699" s="151"/>
      <c r="B699" s="129"/>
      <c r="C699" s="129"/>
      <c r="D699" s="129"/>
      <c r="E699" s="129"/>
      <c r="F699" s="129"/>
      <c r="G699" s="129"/>
      <c r="H699" s="129"/>
      <c r="I699" s="129"/>
      <c r="J699" s="129"/>
      <c r="K699" s="129"/>
      <c r="L699" s="129"/>
      <c r="M699" s="129"/>
      <c r="N699" s="129"/>
      <c r="O699" s="129"/>
      <c r="P699" s="129"/>
      <c r="Q699" s="129"/>
      <c r="R699" s="129"/>
      <c r="S699" s="129"/>
      <c r="T699" s="129"/>
    </row>
    <row r="700">
      <c r="A700" s="151"/>
      <c r="B700" s="129"/>
      <c r="C700" s="129"/>
      <c r="D700" s="129"/>
      <c r="E700" s="129"/>
      <c r="F700" s="129"/>
      <c r="G700" s="129"/>
      <c r="H700" s="129"/>
      <c r="I700" s="129"/>
      <c r="J700" s="129"/>
      <c r="K700" s="129"/>
      <c r="L700" s="129"/>
      <c r="M700" s="129"/>
      <c r="N700" s="129"/>
      <c r="O700" s="129"/>
      <c r="P700" s="129"/>
      <c r="Q700" s="129"/>
      <c r="R700" s="129"/>
      <c r="S700" s="129"/>
      <c r="T700" s="129"/>
    </row>
    <row r="701">
      <c r="A701" s="151"/>
      <c r="B701" s="129"/>
      <c r="C701" s="129"/>
      <c r="D701" s="129"/>
      <c r="E701" s="129"/>
      <c r="F701" s="129"/>
      <c r="G701" s="129"/>
      <c r="H701" s="129"/>
      <c r="I701" s="129"/>
      <c r="J701" s="129"/>
      <c r="K701" s="129"/>
      <c r="L701" s="129"/>
      <c r="M701" s="129"/>
      <c r="N701" s="129"/>
      <c r="O701" s="129"/>
      <c r="P701" s="129"/>
      <c r="Q701" s="129"/>
      <c r="R701" s="129"/>
      <c r="S701" s="129"/>
      <c r="T701" s="129"/>
    </row>
    <row r="702">
      <c r="A702" s="151"/>
      <c r="B702" s="129"/>
      <c r="C702" s="129"/>
      <c r="D702" s="129"/>
      <c r="E702" s="129"/>
      <c r="F702" s="129"/>
      <c r="G702" s="129"/>
      <c r="H702" s="129"/>
      <c r="I702" s="129"/>
      <c r="J702" s="129"/>
      <c r="K702" s="129"/>
      <c r="L702" s="129"/>
      <c r="M702" s="129"/>
      <c r="N702" s="129"/>
      <c r="O702" s="129"/>
      <c r="P702" s="129"/>
      <c r="Q702" s="129"/>
      <c r="R702" s="129"/>
      <c r="S702" s="129"/>
      <c r="T702" s="129"/>
    </row>
    <row r="703">
      <c r="A703" s="151"/>
      <c r="B703" s="129"/>
      <c r="C703" s="129"/>
      <c r="D703" s="129"/>
      <c r="E703" s="129"/>
      <c r="F703" s="129"/>
      <c r="G703" s="129"/>
      <c r="H703" s="129"/>
      <c r="I703" s="129"/>
      <c r="J703" s="129"/>
      <c r="K703" s="129"/>
      <c r="L703" s="129"/>
      <c r="M703" s="129"/>
      <c r="N703" s="129"/>
      <c r="O703" s="129"/>
      <c r="P703" s="129"/>
      <c r="Q703" s="129"/>
      <c r="R703" s="129"/>
      <c r="S703" s="129"/>
      <c r="T703" s="129"/>
    </row>
    <row r="704">
      <c r="A704" s="151"/>
      <c r="B704" s="129"/>
      <c r="C704" s="129"/>
      <c r="D704" s="129"/>
      <c r="E704" s="129"/>
      <c r="F704" s="129"/>
      <c r="G704" s="129"/>
      <c r="H704" s="129"/>
      <c r="I704" s="129"/>
      <c r="J704" s="129"/>
      <c r="K704" s="129"/>
      <c r="L704" s="129"/>
      <c r="M704" s="129"/>
      <c r="N704" s="129"/>
      <c r="O704" s="129"/>
      <c r="P704" s="129"/>
      <c r="Q704" s="129"/>
      <c r="R704" s="129"/>
      <c r="S704" s="129"/>
      <c r="T704" s="129"/>
    </row>
    <row r="705">
      <c r="A705" s="151"/>
      <c r="B705" s="129"/>
      <c r="C705" s="129"/>
      <c r="D705" s="129"/>
      <c r="E705" s="129"/>
      <c r="F705" s="129"/>
      <c r="G705" s="129"/>
      <c r="H705" s="129"/>
      <c r="I705" s="129"/>
      <c r="J705" s="129"/>
      <c r="K705" s="129"/>
      <c r="L705" s="129"/>
      <c r="M705" s="129"/>
      <c r="N705" s="129"/>
      <c r="O705" s="129"/>
      <c r="P705" s="129"/>
      <c r="Q705" s="129"/>
      <c r="R705" s="129"/>
      <c r="S705" s="129"/>
      <c r="T705" s="129"/>
    </row>
    <row r="706">
      <c r="A706" s="151"/>
      <c r="B706" s="129"/>
      <c r="C706" s="129"/>
      <c r="D706" s="129"/>
      <c r="E706" s="129"/>
      <c r="F706" s="129"/>
      <c r="G706" s="129"/>
      <c r="H706" s="129"/>
      <c r="I706" s="129"/>
      <c r="J706" s="129"/>
      <c r="K706" s="129"/>
      <c r="L706" s="129"/>
      <c r="M706" s="129"/>
      <c r="N706" s="129"/>
      <c r="O706" s="129"/>
      <c r="P706" s="129"/>
      <c r="Q706" s="129"/>
      <c r="R706" s="129"/>
      <c r="S706" s="129"/>
      <c r="T706" s="129"/>
    </row>
    <row r="707">
      <c r="A707" s="151"/>
      <c r="B707" s="129"/>
      <c r="C707" s="129"/>
      <c r="D707" s="129"/>
      <c r="E707" s="129"/>
      <c r="F707" s="129"/>
      <c r="G707" s="129"/>
      <c r="H707" s="129"/>
      <c r="I707" s="129"/>
      <c r="J707" s="129"/>
      <c r="K707" s="129"/>
      <c r="L707" s="129"/>
      <c r="M707" s="129"/>
      <c r="N707" s="129"/>
      <c r="O707" s="129"/>
      <c r="P707" s="129"/>
      <c r="Q707" s="129"/>
      <c r="R707" s="129"/>
      <c r="S707" s="129"/>
      <c r="T707" s="129"/>
    </row>
    <row r="708">
      <c r="A708" s="151"/>
      <c r="B708" s="129"/>
      <c r="C708" s="129"/>
      <c r="D708" s="129"/>
      <c r="E708" s="129"/>
      <c r="F708" s="129"/>
      <c r="G708" s="129"/>
      <c r="H708" s="129"/>
      <c r="I708" s="129"/>
      <c r="J708" s="129"/>
      <c r="K708" s="129"/>
      <c r="L708" s="129"/>
      <c r="M708" s="129"/>
      <c r="N708" s="129"/>
      <c r="O708" s="129"/>
      <c r="P708" s="129"/>
      <c r="Q708" s="129"/>
      <c r="R708" s="129"/>
      <c r="S708" s="129"/>
      <c r="T708" s="129"/>
    </row>
    <row r="709">
      <c r="A709" s="151"/>
      <c r="B709" s="129"/>
      <c r="C709" s="129"/>
      <c r="D709" s="129"/>
      <c r="E709" s="129"/>
      <c r="F709" s="129"/>
      <c r="G709" s="129"/>
      <c r="H709" s="129"/>
      <c r="I709" s="129"/>
      <c r="J709" s="129"/>
      <c r="K709" s="129"/>
      <c r="L709" s="129"/>
      <c r="M709" s="129"/>
      <c r="N709" s="129"/>
      <c r="O709" s="129"/>
      <c r="P709" s="129"/>
      <c r="Q709" s="129"/>
      <c r="R709" s="129"/>
      <c r="S709" s="129"/>
      <c r="T709" s="129"/>
    </row>
    <row r="710">
      <c r="A710" s="151"/>
      <c r="B710" s="129"/>
      <c r="C710" s="129"/>
      <c r="D710" s="129"/>
      <c r="E710" s="129"/>
      <c r="F710" s="129"/>
      <c r="G710" s="129"/>
      <c r="H710" s="129"/>
      <c r="I710" s="129"/>
      <c r="J710" s="129"/>
      <c r="K710" s="129"/>
      <c r="L710" s="129"/>
      <c r="M710" s="129"/>
      <c r="N710" s="129"/>
      <c r="O710" s="129"/>
      <c r="P710" s="129"/>
      <c r="Q710" s="129"/>
      <c r="R710" s="129"/>
      <c r="S710" s="129"/>
      <c r="T710" s="129"/>
    </row>
    <row r="711">
      <c r="A711" s="151"/>
      <c r="B711" s="129"/>
      <c r="C711" s="129"/>
      <c r="D711" s="129"/>
      <c r="E711" s="129"/>
      <c r="F711" s="129"/>
      <c r="G711" s="129"/>
      <c r="H711" s="129"/>
      <c r="I711" s="129"/>
      <c r="J711" s="129"/>
      <c r="K711" s="129"/>
      <c r="L711" s="129"/>
      <c r="M711" s="129"/>
      <c r="N711" s="129"/>
      <c r="O711" s="129"/>
      <c r="P711" s="129"/>
      <c r="Q711" s="129"/>
      <c r="R711" s="129"/>
      <c r="S711" s="129"/>
      <c r="T711" s="129"/>
    </row>
    <row r="712">
      <c r="A712" s="151"/>
      <c r="B712" s="129"/>
      <c r="C712" s="129"/>
      <c r="D712" s="129"/>
      <c r="E712" s="129"/>
      <c r="F712" s="129"/>
      <c r="G712" s="129"/>
      <c r="H712" s="129"/>
      <c r="I712" s="129"/>
      <c r="J712" s="129"/>
      <c r="K712" s="129"/>
      <c r="L712" s="129"/>
      <c r="M712" s="129"/>
      <c r="N712" s="129"/>
      <c r="O712" s="129"/>
      <c r="P712" s="129"/>
      <c r="Q712" s="129"/>
      <c r="R712" s="129"/>
      <c r="S712" s="129"/>
      <c r="T712" s="129"/>
    </row>
    <row r="713">
      <c r="A713" s="151"/>
      <c r="B713" s="129"/>
      <c r="C713" s="129"/>
      <c r="D713" s="129"/>
      <c r="E713" s="129"/>
      <c r="F713" s="129"/>
      <c r="G713" s="129"/>
      <c r="H713" s="129"/>
      <c r="I713" s="129"/>
      <c r="J713" s="129"/>
      <c r="K713" s="129"/>
      <c r="L713" s="129"/>
      <c r="M713" s="129"/>
      <c r="N713" s="129"/>
      <c r="O713" s="129"/>
      <c r="P713" s="129"/>
      <c r="Q713" s="129"/>
      <c r="R713" s="129"/>
      <c r="S713" s="129"/>
      <c r="T713" s="129"/>
    </row>
    <row r="714">
      <c r="A714" s="151"/>
      <c r="B714" s="129"/>
      <c r="C714" s="129"/>
      <c r="D714" s="129"/>
      <c r="E714" s="129"/>
      <c r="F714" s="129"/>
      <c r="G714" s="129"/>
      <c r="H714" s="129"/>
      <c r="I714" s="129"/>
      <c r="J714" s="129"/>
      <c r="K714" s="129"/>
      <c r="L714" s="129"/>
      <c r="M714" s="129"/>
      <c r="N714" s="129"/>
      <c r="O714" s="129"/>
      <c r="P714" s="129"/>
      <c r="Q714" s="129"/>
      <c r="R714" s="129"/>
      <c r="S714" s="129"/>
      <c r="T714" s="129"/>
    </row>
    <row r="715">
      <c r="A715" s="151"/>
      <c r="B715" s="129"/>
      <c r="C715" s="129"/>
      <c r="D715" s="129"/>
      <c r="E715" s="129"/>
      <c r="F715" s="129"/>
      <c r="G715" s="129"/>
      <c r="H715" s="129"/>
      <c r="I715" s="129"/>
      <c r="J715" s="129"/>
      <c r="K715" s="129"/>
      <c r="L715" s="129"/>
      <c r="M715" s="129"/>
      <c r="N715" s="129"/>
      <c r="O715" s="129"/>
      <c r="P715" s="129"/>
      <c r="Q715" s="129"/>
      <c r="R715" s="129"/>
      <c r="S715" s="129"/>
      <c r="T715" s="129"/>
    </row>
    <row r="716">
      <c r="A716" s="151"/>
      <c r="B716" s="129"/>
      <c r="C716" s="129"/>
      <c r="D716" s="129"/>
      <c r="E716" s="129"/>
      <c r="F716" s="129"/>
      <c r="G716" s="129"/>
      <c r="H716" s="129"/>
      <c r="I716" s="129"/>
      <c r="J716" s="129"/>
      <c r="K716" s="129"/>
      <c r="L716" s="129"/>
      <c r="M716" s="129"/>
      <c r="N716" s="129"/>
      <c r="O716" s="129"/>
      <c r="P716" s="129"/>
      <c r="Q716" s="129"/>
      <c r="R716" s="129"/>
      <c r="S716" s="129"/>
      <c r="T716" s="129"/>
    </row>
    <row r="717">
      <c r="A717" s="151"/>
      <c r="B717" s="129"/>
      <c r="C717" s="129"/>
      <c r="D717" s="129"/>
      <c r="E717" s="129"/>
      <c r="F717" s="129"/>
      <c r="G717" s="129"/>
      <c r="H717" s="129"/>
      <c r="I717" s="129"/>
      <c r="J717" s="129"/>
      <c r="K717" s="129"/>
      <c r="L717" s="129"/>
      <c r="M717" s="129"/>
      <c r="N717" s="129"/>
      <c r="O717" s="129"/>
      <c r="P717" s="129"/>
      <c r="Q717" s="129"/>
      <c r="R717" s="129"/>
      <c r="S717" s="129"/>
      <c r="T717" s="129"/>
    </row>
    <row r="718">
      <c r="A718" s="151"/>
      <c r="B718" s="129"/>
      <c r="C718" s="129"/>
      <c r="D718" s="129"/>
      <c r="E718" s="129"/>
      <c r="F718" s="129"/>
      <c r="G718" s="129"/>
      <c r="H718" s="129"/>
      <c r="I718" s="129"/>
      <c r="J718" s="129"/>
      <c r="K718" s="129"/>
      <c r="L718" s="129"/>
      <c r="M718" s="129"/>
      <c r="N718" s="129"/>
      <c r="O718" s="129"/>
      <c r="P718" s="129"/>
      <c r="Q718" s="129"/>
      <c r="R718" s="129"/>
      <c r="S718" s="129"/>
      <c r="T718" s="129"/>
    </row>
    <row r="719">
      <c r="A719" s="151"/>
      <c r="B719" s="129"/>
      <c r="C719" s="129"/>
      <c r="D719" s="129"/>
      <c r="E719" s="129"/>
      <c r="F719" s="129"/>
      <c r="G719" s="129"/>
      <c r="H719" s="129"/>
      <c r="I719" s="129"/>
      <c r="J719" s="129"/>
      <c r="K719" s="129"/>
      <c r="L719" s="129"/>
      <c r="M719" s="129"/>
      <c r="N719" s="129"/>
      <c r="O719" s="129"/>
      <c r="P719" s="129"/>
      <c r="Q719" s="129"/>
      <c r="R719" s="129"/>
      <c r="S719" s="129"/>
      <c r="T719" s="129"/>
    </row>
    <row r="720">
      <c r="A720" s="151"/>
      <c r="B720" s="129"/>
      <c r="C720" s="129"/>
      <c r="D720" s="129"/>
      <c r="E720" s="129"/>
      <c r="F720" s="129"/>
      <c r="G720" s="129"/>
      <c r="H720" s="129"/>
      <c r="I720" s="129"/>
      <c r="J720" s="129"/>
      <c r="K720" s="129"/>
      <c r="L720" s="129"/>
      <c r="M720" s="129"/>
      <c r="N720" s="129"/>
      <c r="O720" s="129"/>
      <c r="P720" s="129"/>
      <c r="Q720" s="129"/>
      <c r="R720" s="129"/>
      <c r="S720" s="129"/>
      <c r="T720" s="129"/>
    </row>
    <row r="721">
      <c r="A721" s="151"/>
      <c r="B721" s="129"/>
      <c r="C721" s="129"/>
      <c r="D721" s="129"/>
      <c r="E721" s="129"/>
      <c r="F721" s="129"/>
      <c r="G721" s="129"/>
      <c r="H721" s="129"/>
      <c r="I721" s="129"/>
      <c r="J721" s="129"/>
      <c r="K721" s="129"/>
      <c r="L721" s="129"/>
      <c r="M721" s="129"/>
      <c r="N721" s="129"/>
      <c r="O721" s="129"/>
      <c r="P721" s="129"/>
      <c r="Q721" s="129"/>
      <c r="R721" s="129"/>
      <c r="S721" s="129"/>
      <c r="T721" s="129"/>
    </row>
    <row r="722">
      <c r="A722" s="151"/>
      <c r="B722" s="129"/>
      <c r="C722" s="129"/>
      <c r="D722" s="129"/>
      <c r="E722" s="129"/>
      <c r="F722" s="129"/>
      <c r="G722" s="129"/>
      <c r="H722" s="129"/>
      <c r="I722" s="129"/>
      <c r="J722" s="129"/>
      <c r="K722" s="129"/>
      <c r="L722" s="129"/>
      <c r="M722" s="129"/>
      <c r="N722" s="129"/>
      <c r="O722" s="129"/>
      <c r="P722" s="129"/>
      <c r="Q722" s="129"/>
      <c r="R722" s="129"/>
      <c r="S722" s="129"/>
      <c r="T722" s="129"/>
    </row>
    <row r="723">
      <c r="A723" s="151"/>
      <c r="B723" s="129"/>
      <c r="C723" s="129"/>
      <c r="D723" s="129"/>
      <c r="E723" s="129"/>
      <c r="F723" s="129"/>
      <c r="G723" s="129"/>
      <c r="H723" s="129"/>
      <c r="I723" s="129"/>
      <c r="J723" s="129"/>
      <c r="K723" s="129"/>
      <c r="L723" s="129"/>
      <c r="M723" s="129"/>
      <c r="N723" s="129"/>
      <c r="O723" s="129"/>
      <c r="P723" s="129"/>
      <c r="Q723" s="129"/>
      <c r="R723" s="129"/>
      <c r="S723" s="129"/>
      <c r="T723" s="129"/>
    </row>
    <row r="724">
      <c r="A724" s="151"/>
      <c r="B724" s="129"/>
      <c r="C724" s="129"/>
      <c r="D724" s="129"/>
      <c r="E724" s="129"/>
      <c r="F724" s="129"/>
      <c r="G724" s="129"/>
      <c r="H724" s="129"/>
      <c r="I724" s="129"/>
      <c r="J724" s="129"/>
      <c r="K724" s="129"/>
      <c r="L724" s="129"/>
      <c r="M724" s="129"/>
      <c r="N724" s="129"/>
      <c r="O724" s="129"/>
      <c r="P724" s="129"/>
      <c r="Q724" s="129"/>
      <c r="R724" s="129"/>
      <c r="S724" s="129"/>
      <c r="T724" s="129"/>
    </row>
    <row r="725">
      <c r="A725" s="151"/>
      <c r="B725" s="129"/>
      <c r="C725" s="129"/>
      <c r="D725" s="129"/>
      <c r="E725" s="129"/>
      <c r="F725" s="129"/>
      <c r="G725" s="129"/>
      <c r="H725" s="129"/>
      <c r="I725" s="129"/>
      <c r="J725" s="129"/>
      <c r="K725" s="129"/>
      <c r="L725" s="129"/>
      <c r="M725" s="129"/>
      <c r="N725" s="129"/>
      <c r="O725" s="129"/>
      <c r="P725" s="129"/>
      <c r="Q725" s="129"/>
      <c r="R725" s="129"/>
      <c r="S725" s="129"/>
      <c r="T725" s="129"/>
    </row>
    <row r="726">
      <c r="A726" s="151"/>
      <c r="B726" s="129"/>
      <c r="C726" s="129"/>
      <c r="D726" s="129"/>
      <c r="E726" s="129"/>
      <c r="F726" s="129"/>
      <c r="G726" s="129"/>
      <c r="H726" s="129"/>
      <c r="I726" s="129"/>
      <c r="J726" s="129"/>
      <c r="K726" s="129"/>
      <c r="L726" s="129"/>
      <c r="M726" s="129"/>
      <c r="N726" s="129"/>
      <c r="O726" s="129"/>
      <c r="P726" s="129"/>
      <c r="Q726" s="129"/>
      <c r="R726" s="129"/>
      <c r="S726" s="129"/>
      <c r="T726" s="129"/>
    </row>
    <row r="727">
      <c r="A727" s="151"/>
      <c r="B727" s="129"/>
      <c r="C727" s="129"/>
      <c r="D727" s="129"/>
      <c r="E727" s="129"/>
      <c r="F727" s="129"/>
      <c r="G727" s="129"/>
      <c r="H727" s="129"/>
      <c r="I727" s="129"/>
      <c r="J727" s="129"/>
      <c r="K727" s="129"/>
      <c r="L727" s="129"/>
      <c r="M727" s="129"/>
      <c r="N727" s="129"/>
      <c r="O727" s="129"/>
      <c r="P727" s="129"/>
      <c r="Q727" s="129"/>
      <c r="R727" s="129"/>
      <c r="S727" s="129"/>
      <c r="T727" s="129"/>
    </row>
    <row r="728">
      <c r="A728" s="151"/>
      <c r="B728" s="129"/>
      <c r="C728" s="129"/>
      <c r="D728" s="129"/>
      <c r="E728" s="129"/>
      <c r="F728" s="129"/>
      <c r="G728" s="129"/>
      <c r="H728" s="129"/>
      <c r="I728" s="129"/>
      <c r="J728" s="129"/>
      <c r="K728" s="129"/>
      <c r="L728" s="129"/>
      <c r="M728" s="129"/>
      <c r="N728" s="129"/>
      <c r="O728" s="129"/>
      <c r="P728" s="129"/>
      <c r="Q728" s="129"/>
      <c r="R728" s="129"/>
      <c r="S728" s="129"/>
      <c r="T728" s="129"/>
    </row>
    <row r="729">
      <c r="A729" s="151"/>
      <c r="B729" s="129"/>
      <c r="C729" s="129"/>
      <c r="D729" s="129"/>
      <c r="E729" s="129"/>
      <c r="F729" s="129"/>
      <c r="G729" s="129"/>
      <c r="H729" s="129"/>
      <c r="I729" s="129"/>
      <c r="J729" s="129"/>
      <c r="K729" s="129"/>
      <c r="L729" s="129"/>
      <c r="M729" s="129"/>
      <c r="N729" s="129"/>
      <c r="O729" s="129"/>
      <c r="P729" s="129"/>
      <c r="Q729" s="129"/>
      <c r="R729" s="129"/>
      <c r="S729" s="129"/>
      <c r="T729" s="129"/>
    </row>
    <row r="730">
      <c r="A730" s="151"/>
      <c r="B730" s="129"/>
      <c r="C730" s="129"/>
      <c r="D730" s="129"/>
      <c r="E730" s="129"/>
      <c r="F730" s="129"/>
      <c r="G730" s="129"/>
      <c r="H730" s="129"/>
      <c r="I730" s="129"/>
      <c r="J730" s="129"/>
      <c r="K730" s="129"/>
      <c r="L730" s="129"/>
      <c r="M730" s="129"/>
      <c r="N730" s="129"/>
      <c r="O730" s="129"/>
      <c r="P730" s="129"/>
      <c r="Q730" s="129"/>
      <c r="R730" s="129"/>
      <c r="S730" s="129"/>
      <c r="T730" s="129"/>
    </row>
    <row r="731">
      <c r="A731" s="151"/>
      <c r="B731" s="129"/>
      <c r="C731" s="129"/>
      <c r="D731" s="129"/>
      <c r="E731" s="129"/>
      <c r="F731" s="129"/>
      <c r="G731" s="129"/>
      <c r="H731" s="129"/>
      <c r="I731" s="129"/>
      <c r="J731" s="129"/>
      <c r="K731" s="129"/>
      <c r="L731" s="129"/>
      <c r="M731" s="129"/>
      <c r="N731" s="129"/>
      <c r="O731" s="129"/>
      <c r="P731" s="129"/>
      <c r="Q731" s="129"/>
      <c r="R731" s="129"/>
      <c r="S731" s="129"/>
      <c r="T731" s="129"/>
    </row>
    <row r="732">
      <c r="A732" s="151"/>
      <c r="B732" s="129"/>
      <c r="C732" s="129"/>
      <c r="D732" s="129"/>
      <c r="E732" s="129"/>
      <c r="F732" s="129"/>
      <c r="G732" s="129"/>
      <c r="H732" s="129"/>
      <c r="I732" s="129"/>
      <c r="J732" s="129"/>
      <c r="K732" s="129"/>
      <c r="L732" s="129"/>
      <c r="M732" s="129"/>
      <c r="N732" s="129"/>
      <c r="O732" s="129"/>
      <c r="P732" s="129"/>
      <c r="Q732" s="129"/>
      <c r="R732" s="129"/>
      <c r="S732" s="129"/>
      <c r="T732" s="129"/>
    </row>
    <row r="733">
      <c r="A733" s="151"/>
      <c r="B733" s="129"/>
      <c r="C733" s="129"/>
      <c r="D733" s="129"/>
      <c r="E733" s="129"/>
      <c r="F733" s="129"/>
      <c r="G733" s="129"/>
      <c r="H733" s="129"/>
      <c r="I733" s="129"/>
      <c r="J733" s="129"/>
      <c r="K733" s="129"/>
      <c r="L733" s="129"/>
      <c r="M733" s="129"/>
      <c r="N733" s="129"/>
      <c r="O733" s="129"/>
      <c r="P733" s="129"/>
      <c r="Q733" s="129"/>
      <c r="R733" s="129"/>
      <c r="S733" s="129"/>
      <c r="T733" s="129"/>
    </row>
    <row r="734">
      <c r="A734" s="151"/>
      <c r="B734" s="129"/>
      <c r="C734" s="129"/>
      <c r="D734" s="129"/>
      <c r="E734" s="129"/>
      <c r="F734" s="129"/>
      <c r="G734" s="129"/>
      <c r="H734" s="129"/>
      <c r="I734" s="129"/>
      <c r="J734" s="129"/>
      <c r="K734" s="129"/>
      <c r="L734" s="129"/>
      <c r="M734" s="129"/>
      <c r="N734" s="129"/>
      <c r="O734" s="129"/>
      <c r="P734" s="129"/>
      <c r="Q734" s="129"/>
      <c r="R734" s="129"/>
      <c r="S734" s="129"/>
      <c r="T734" s="129"/>
    </row>
    <row r="735">
      <c r="A735" s="151"/>
      <c r="B735" s="129"/>
      <c r="C735" s="129"/>
      <c r="D735" s="129"/>
      <c r="E735" s="129"/>
      <c r="F735" s="129"/>
      <c r="G735" s="129"/>
      <c r="H735" s="129"/>
      <c r="I735" s="129"/>
      <c r="J735" s="129"/>
      <c r="K735" s="129"/>
      <c r="L735" s="129"/>
      <c r="M735" s="129"/>
      <c r="N735" s="129"/>
      <c r="O735" s="129"/>
      <c r="P735" s="129"/>
      <c r="Q735" s="129"/>
      <c r="R735" s="129"/>
      <c r="S735" s="129"/>
      <c r="T735" s="129"/>
    </row>
    <row r="736">
      <c r="A736" s="151"/>
      <c r="B736" s="129"/>
      <c r="C736" s="129"/>
      <c r="D736" s="129"/>
      <c r="E736" s="129"/>
      <c r="F736" s="129"/>
      <c r="G736" s="129"/>
      <c r="H736" s="129"/>
      <c r="I736" s="129"/>
      <c r="J736" s="129"/>
      <c r="K736" s="129"/>
      <c r="L736" s="129"/>
      <c r="M736" s="129"/>
      <c r="N736" s="129"/>
      <c r="O736" s="129"/>
      <c r="P736" s="129"/>
      <c r="Q736" s="129"/>
      <c r="R736" s="129"/>
      <c r="S736" s="129"/>
      <c r="T736" s="129"/>
    </row>
    <row r="737">
      <c r="A737" s="151"/>
      <c r="B737" s="129"/>
      <c r="C737" s="129"/>
      <c r="D737" s="129"/>
      <c r="E737" s="129"/>
      <c r="F737" s="129"/>
      <c r="G737" s="129"/>
      <c r="H737" s="129"/>
      <c r="I737" s="129"/>
      <c r="J737" s="129"/>
      <c r="K737" s="129"/>
      <c r="L737" s="129"/>
      <c r="M737" s="129"/>
      <c r="N737" s="129"/>
      <c r="O737" s="129"/>
      <c r="P737" s="129"/>
      <c r="Q737" s="129"/>
      <c r="R737" s="129"/>
      <c r="S737" s="129"/>
      <c r="T737" s="129"/>
    </row>
    <row r="738">
      <c r="A738" s="151"/>
      <c r="B738" s="129"/>
      <c r="C738" s="129"/>
      <c r="D738" s="129"/>
      <c r="E738" s="129"/>
      <c r="F738" s="129"/>
      <c r="G738" s="129"/>
      <c r="H738" s="129"/>
      <c r="I738" s="129"/>
      <c r="J738" s="129"/>
      <c r="K738" s="129"/>
      <c r="L738" s="129"/>
      <c r="M738" s="129"/>
      <c r="N738" s="129"/>
      <c r="O738" s="129"/>
      <c r="P738" s="129"/>
      <c r="Q738" s="129"/>
      <c r="R738" s="129"/>
      <c r="S738" s="129"/>
      <c r="T738" s="129"/>
    </row>
    <row r="739">
      <c r="A739" s="151"/>
      <c r="B739" s="129"/>
      <c r="C739" s="129"/>
      <c r="D739" s="129"/>
      <c r="E739" s="129"/>
      <c r="F739" s="129"/>
      <c r="G739" s="129"/>
      <c r="H739" s="129"/>
      <c r="I739" s="129"/>
      <c r="J739" s="129"/>
      <c r="K739" s="129"/>
      <c r="L739" s="129"/>
      <c r="M739" s="129"/>
      <c r="N739" s="129"/>
      <c r="O739" s="129"/>
      <c r="P739" s="129"/>
      <c r="Q739" s="129"/>
      <c r="R739" s="129"/>
      <c r="S739" s="129"/>
      <c r="T739" s="129"/>
    </row>
    <row r="740">
      <c r="A740" s="151"/>
      <c r="B740" s="129"/>
      <c r="C740" s="129"/>
      <c r="D740" s="129"/>
      <c r="E740" s="129"/>
      <c r="F740" s="129"/>
      <c r="G740" s="129"/>
      <c r="H740" s="129"/>
      <c r="I740" s="129"/>
      <c r="J740" s="129"/>
      <c r="K740" s="129"/>
      <c r="L740" s="129"/>
      <c r="M740" s="129"/>
      <c r="N740" s="129"/>
      <c r="O740" s="129"/>
      <c r="P740" s="129"/>
      <c r="Q740" s="129"/>
      <c r="R740" s="129"/>
      <c r="S740" s="129"/>
      <c r="T740" s="129"/>
    </row>
    <row r="741">
      <c r="A741" s="151"/>
      <c r="B741" s="129"/>
      <c r="C741" s="129"/>
      <c r="D741" s="129"/>
      <c r="E741" s="129"/>
      <c r="F741" s="129"/>
      <c r="G741" s="129"/>
      <c r="H741" s="129"/>
      <c r="I741" s="129"/>
      <c r="J741" s="129"/>
      <c r="K741" s="129"/>
      <c r="L741" s="129"/>
      <c r="M741" s="129"/>
      <c r="N741" s="129"/>
      <c r="O741" s="129"/>
      <c r="P741" s="129"/>
      <c r="Q741" s="129"/>
      <c r="R741" s="129"/>
      <c r="S741" s="129"/>
      <c r="T741" s="129"/>
    </row>
    <row r="742">
      <c r="A742" s="151"/>
      <c r="B742" s="129"/>
      <c r="C742" s="129"/>
      <c r="D742" s="129"/>
      <c r="E742" s="129"/>
      <c r="F742" s="129"/>
      <c r="G742" s="129"/>
      <c r="H742" s="129"/>
      <c r="I742" s="129"/>
      <c r="J742" s="129"/>
      <c r="K742" s="129"/>
      <c r="L742" s="129"/>
      <c r="M742" s="129"/>
      <c r="N742" s="129"/>
      <c r="O742" s="129"/>
      <c r="P742" s="129"/>
      <c r="Q742" s="129"/>
      <c r="R742" s="129"/>
      <c r="S742" s="129"/>
      <c r="T742" s="129"/>
    </row>
    <row r="743">
      <c r="A743" s="151"/>
      <c r="B743" s="129"/>
      <c r="C743" s="129"/>
      <c r="D743" s="129"/>
      <c r="E743" s="129"/>
      <c r="F743" s="129"/>
      <c r="G743" s="129"/>
      <c r="H743" s="129"/>
      <c r="I743" s="129"/>
      <c r="J743" s="129"/>
      <c r="K743" s="129"/>
      <c r="L743" s="129"/>
      <c r="M743" s="129"/>
      <c r="N743" s="129"/>
      <c r="O743" s="129"/>
      <c r="P743" s="129"/>
      <c r="Q743" s="129"/>
      <c r="R743" s="129"/>
      <c r="S743" s="129"/>
      <c r="T743" s="129"/>
    </row>
    <row r="744">
      <c r="A744" s="151"/>
      <c r="B744" s="129"/>
      <c r="C744" s="129"/>
      <c r="D744" s="129"/>
      <c r="E744" s="129"/>
      <c r="F744" s="129"/>
      <c r="G744" s="129"/>
      <c r="H744" s="129"/>
      <c r="I744" s="129"/>
      <c r="J744" s="129"/>
      <c r="K744" s="129"/>
      <c r="L744" s="129"/>
      <c r="M744" s="129"/>
      <c r="N744" s="129"/>
      <c r="O744" s="129"/>
      <c r="P744" s="129"/>
      <c r="Q744" s="129"/>
      <c r="R744" s="129"/>
      <c r="S744" s="129"/>
      <c r="T744" s="129"/>
    </row>
    <row r="745">
      <c r="A745" s="151"/>
      <c r="B745" s="129"/>
      <c r="C745" s="129"/>
      <c r="D745" s="129"/>
      <c r="E745" s="129"/>
      <c r="F745" s="129"/>
      <c r="G745" s="129"/>
      <c r="H745" s="129"/>
      <c r="I745" s="129"/>
      <c r="J745" s="129"/>
      <c r="K745" s="129"/>
      <c r="L745" s="129"/>
      <c r="M745" s="129"/>
      <c r="N745" s="129"/>
      <c r="O745" s="129"/>
      <c r="P745" s="129"/>
      <c r="Q745" s="129"/>
      <c r="R745" s="129"/>
      <c r="S745" s="129"/>
      <c r="T745" s="129"/>
    </row>
    <row r="746">
      <c r="A746" s="151"/>
      <c r="B746" s="129"/>
      <c r="C746" s="129"/>
      <c r="D746" s="129"/>
      <c r="E746" s="129"/>
      <c r="F746" s="129"/>
      <c r="G746" s="129"/>
      <c r="H746" s="129"/>
      <c r="I746" s="129"/>
      <c r="J746" s="129"/>
      <c r="K746" s="129"/>
      <c r="L746" s="129"/>
      <c r="M746" s="129"/>
      <c r="N746" s="129"/>
      <c r="O746" s="129"/>
      <c r="P746" s="129"/>
      <c r="Q746" s="129"/>
      <c r="R746" s="129"/>
      <c r="S746" s="129"/>
      <c r="T746" s="129"/>
    </row>
    <row r="747">
      <c r="A747" s="151"/>
      <c r="B747" s="129"/>
      <c r="C747" s="129"/>
      <c r="D747" s="129"/>
      <c r="E747" s="129"/>
      <c r="F747" s="129"/>
      <c r="G747" s="129"/>
      <c r="H747" s="129"/>
      <c r="I747" s="129"/>
      <c r="J747" s="129"/>
      <c r="K747" s="129"/>
      <c r="L747" s="129"/>
      <c r="M747" s="129"/>
      <c r="N747" s="129"/>
      <c r="O747" s="129"/>
      <c r="P747" s="129"/>
      <c r="Q747" s="129"/>
      <c r="R747" s="129"/>
      <c r="S747" s="129"/>
      <c r="T747" s="129"/>
    </row>
    <row r="748">
      <c r="A748" s="151"/>
      <c r="B748" s="129"/>
      <c r="C748" s="129"/>
      <c r="D748" s="129"/>
      <c r="E748" s="129"/>
      <c r="F748" s="129"/>
      <c r="G748" s="129"/>
      <c r="H748" s="129"/>
      <c r="I748" s="129"/>
      <c r="J748" s="129"/>
      <c r="K748" s="129"/>
      <c r="L748" s="129"/>
      <c r="M748" s="129"/>
      <c r="N748" s="129"/>
      <c r="O748" s="129"/>
      <c r="P748" s="129"/>
      <c r="Q748" s="129"/>
      <c r="R748" s="129"/>
      <c r="S748" s="129"/>
      <c r="T748" s="129"/>
    </row>
    <row r="749">
      <c r="A749" s="151"/>
      <c r="B749" s="129"/>
      <c r="C749" s="129"/>
      <c r="D749" s="129"/>
      <c r="E749" s="129"/>
      <c r="F749" s="129"/>
      <c r="G749" s="129"/>
      <c r="H749" s="129"/>
      <c r="I749" s="129"/>
      <c r="J749" s="129"/>
      <c r="K749" s="129"/>
      <c r="L749" s="129"/>
      <c r="M749" s="129"/>
      <c r="N749" s="129"/>
      <c r="O749" s="129"/>
      <c r="P749" s="129"/>
      <c r="Q749" s="129"/>
      <c r="R749" s="129"/>
      <c r="S749" s="129"/>
      <c r="T749" s="129"/>
    </row>
    <row r="750">
      <c r="A750" s="151"/>
      <c r="B750" s="129"/>
      <c r="C750" s="129"/>
      <c r="D750" s="129"/>
      <c r="E750" s="129"/>
      <c r="F750" s="129"/>
      <c r="G750" s="129"/>
      <c r="H750" s="129"/>
      <c r="I750" s="129"/>
      <c r="J750" s="129"/>
      <c r="K750" s="129"/>
      <c r="L750" s="129"/>
      <c r="M750" s="129"/>
      <c r="N750" s="129"/>
      <c r="O750" s="129"/>
      <c r="P750" s="129"/>
      <c r="Q750" s="129"/>
      <c r="R750" s="129"/>
      <c r="S750" s="129"/>
      <c r="T750" s="129"/>
    </row>
    <row r="751">
      <c r="A751" s="151"/>
      <c r="B751" s="129"/>
      <c r="C751" s="129"/>
      <c r="D751" s="129"/>
      <c r="E751" s="129"/>
      <c r="F751" s="129"/>
      <c r="G751" s="129"/>
      <c r="H751" s="129"/>
      <c r="I751" s="129"/>
      <c r="J751" s="129"/>
      <c r="K751" s="129"/>
      <c r="L751" s="129"/>
      <c r="M751" s="129"/>
      <c r="N751" s="129"/>
      <c r="O751" s="129"/>
      <c r="P751" s="129"/>
      <c r="Q751" s="129"/>
      <c r="R751" s="129"/>
      <c r="S751" s="129"/>
      <c r="T751" s="129"/>
    </row>
    <row r="752">
      <c r="A752" s="151"/>
      <c r="B752" s="129"/>
      <c r="C752" s="129"/>
      <c r="D752" s="129"/>
      <c r="E752" s="129"/>
      <c r="F752" s="129"/>
      <c r="G752" s="129"/>
      <c r="H752" s="129"/>
      <c r="I752" s="129"/>
      <c r="J752" s="129"/>
      <c r="K752" s="129"/>
      <c r="L752" s="129"/>
      <c r="M752" s="129"/>
      <c r="N752" s="129"/>
      <c r="O752" s="129"/>
      <c r="P752" s="129"/>
      <c r="Q752" s="129"/>
      <c r="R752" s="129"/>
      <c r="S752" s="129"/>
      <c r="T752" s="129"/>
    </row>
    <row r="753">
      <c r="A753" s="151"/>
      <c r="B753" s="129"/>
      <c r="C753" s="129"/>
      <c r="D753" s="129"/>
      <c r="E753" s="129"/>
      <c r="F753" s="129"/>
      <c r="G753" s="129"/>
      <c r="H753" s="129"/>
      <c r="I753" s="129"/>
      <c r="J753" s="129"/>
      <c r="K753" s="129"/>
      <c r="L753" s="129"/>
      <c r="M753" s="129"/>
      <c r="N753" s="129"/>
      <c r="O753" s="129"/>
      <c r="P753" s="129"/>
      <c r="Q753" s="129"/>
      <c r="R753" s="129"/>
      <c r="S753" s="129"/>
      <c r="T753" s="129"/>
    </row>
    <row r="754">
      <c r="A754" s="151"/>
      <c r="B754" s="129"/>
      <c r="C754" s="129"/>
      <c r="D754" s="129"/>
      <c r="E754" s="129"/>
      <c r="F754" s="129"/>
      <c r="G754" s="129"/>
      <c r="H754" s="129"/>
      <c r="I754" s="129"/>
      <c r="J754" s="129"/>
      <c r="K754" s="129"/>
      <c r="L754" s="129"/>
      <c r="M754" s="129"/>
      <c r="N754" s="129"/>
      <c r="O754" s="129"/>
      <c r="P754" s="129"/>
      <c r="Q754" s="129"/>
      <c r="R754" s="129"/>
      <c r="S754" s="129"/>
      <c r="T754" s="129"/>
    </row>
    <row r="755">
      <c r="A755" s="151"/>
      <c r="B755" s="129"/>
      <c r="C755" s="129"/>
      <c r="D755" s="129"/>
      <c r="E755" s="129"/>
      <c r="F755" s="129"/>
      <c r="G755" s="129"/>
      <c r="H755" s="129"/>
      <c r="I755" s="129"/>
      <c r="J755" s="129"/>
      <c r="K755" s="129"/>
      <c r="L755" s="129"/>
      <c r="M755" s="129"/>
      <c r="N755" s="129"/>
      <c r="O755" s="129"/>
      <c r="P755" s="129"/>
      <c r="Q755" s="129"/>
      <c r="R755" s="129"/>
      <c r="S755" s="129"/>
      <c r="T755" s="129"/>
    </row>
    <row r="756">
      <c r="A756" s="151"/>
      <c r="B756" s="129"/>
      <c r="C756" s="129"/>
      <c r="D756" s="129"/>
      <c r="E756" s="129"/>
      <c r="F756" s="129"/>
      <c r="G756" s="129"/>
      <c r="H756" s="129"/>
      <c r="I756" s="129"/>
      <c r="J756" s="129"/>
      <c r="K756" s="129"/>
      <c r="L756" s="129"/>
      <c r="M756" s="129"/>
      <c r="N756" s="129"/>
      <c r="O756" s="129"/>
      <c r="P756" s="129"/>
      <c r="Q756" s="129"/>
      <c r="R756" s="129"/>
      <c r="S756" s="129"/>
      <c r="T756" s="129"/>
    </row>
    <row r="757">
      <c r="A757" s="151"/>
      <c r="B757" s="129"/>
      <c r="C757" s="129"/>
      <c r="D757" s="129"/>
      <c r="E757" s="129"/>
      <c r="F757" s="129"/>
      <c r="G757" s="129"/>
      <c r="H757" s="129"/>
      <c r="I757" s="129"/>
      <c r="J757" s="129"/>
      <c r="K757" s="129"/>
      <c r="L757" s="129"/>
      <c r="M757" s="129"/>
      <c r="N757" s="129"/>
      <c r="O757" s="129"/>
      <c r="P757" s="129"/>
      <c r="Q757" s="129"/>
      <c r="R757" s="129"/>
      <c r="S757" s="129"/>
      <c r="T757" s="129"/>
    </row>
    <row r="758">
      <c r="A758" s="151"/>
      <c r="B758" s="129"/>
      <c r="C758" s="129"/>
      <c r="D758" s="129"/>
      <c r="E758" s="129"/>
      <c r="F758" s="129"/>
      <c r="G758" s="129"/>
      <c r="H758" s="129"/>
      <c r="I758" s="129"/>
      <c r="J758" s="129"/>
      <c r="K758" s="129"/>
      <c r="L758" s="129"/>
      <c r="M758" s="129"/>
      <c r="N758" s="129"/>
      <c r="O758" s="129"/>
      <c r="P758" s="129"/>
      <c r="Q758" s="129"/>
      <c r="R758" s="129"/>
      <c r="S758" s="129"/>
      <c r="T758" s="129"/>
    </row>
    <row r="759">
      <c r="A759" s="151"/>
      <c r="B759" s="129"/>
      <c r="C759" s="129"/>
      <c r="D759" s="129"/>
      <c r="E759" s="129"/>
      <c r="F759" s="129"/>
      <c r="G759" s="129"/>
      <c r="H759" s="129"/>
      <c r="I759" s="129"/>
      <c r="J759" s="129"/>
      <c r="K759" s="129"/>
      <c r="L759" s="129"/>
      <c r="M759" s="129"/>
      <c r="N759" s="129"/>
      <c r="O759" s="129"/>
      <c r="P759" s="129"/>
      <c r="Q759" s="129"/>
      <c r="R759" s="129"/>
      <c r="S759" s="129"/>
      <c r="T759" s="129"/>
    </row>
    <row r="760">
      <c r="A760" s="151"/>
      <c r="B760" s="129"/>
      <c r="C760" s="129"/>
      <c r="D760" s="129"/>
      <c r="E760" s="129"/>
      <c r="F760" s="129"/>
      <c r="G760" s="129"/>
      <c r="H760" s="129"/>
      <c r="I760" s="129"/>
      <c r="J760" s="129"/>
      <c r="K760" s="129"/>
      <c r="L760" s="129"/>
      <c r="M760" s="129"/>
      <c r="N760" s="129"/>
      <c r="O760" s="129"/>
      <c r="P760" s="129"/>
      <c r="Q760" s="129"/>
      <c r="R760" s="129"/>
      <c r="S760" s="129"/>
      <c r="T760" s="129"/>
    </row>
    <row r="761">
      <c r="A761" s="151"/>
      <c r="B761" s="129"/>
      <c r="C761" s="129"/>
      <c r="D761" s="129"/>
      <c r="E761" s="129"/>
      <c r="F761" s="129"/>
      <c r="G761" s="129"/>
      <c r="H761" s="129"/>
      <c r="I761" s="129"/>
      <c r="J761" s="129"/>
      <c r="K761" s="129"/>
      <c r="L761" s="129"/>
      <c r="M761" s="129"/>
      <c r="N761" s="129"/>
      <c r="O761" s="129"/>
      <c r="P761" s="129"/>
      <c r="Q761" s="129"/>
      <c r="R761" s="129"/>
      <c r="S761" s="129"/>
      <c r="T761" s="129"/>
    </row>
    <row r="762">
      <c r="A762" s="151"/>
      <c r="B762" s="129"/>
      <c r="C762" s="129"/>
      <c r="D762" s="129"/>
      <c r="E762" s="129"/>
      <c r="F762" s="129"/>
      <c r="G762" s="129"/>
      <c r="H762" s="129"/>
      <c r="I762" s="129"/>
      <c r="J762" s="129"/>
      <c r="K762" s="129"/>
      <c r="L762" s="129"/>
      <c r="M762" s="129"/>
      <c r="N762" s="129"/>
      <c r="O762" s="129"/>
      <c r="P762" s="129"/>
      <c r="Q762" s="129"/>
      <c r="R762" s="129"/>
      <c r="S762" s="129"/>
      <c r="T762" s="129"/>
    </row>
    <row r="763">
      <c r="A763" s="151"/>
      <c r="B763" s="129"/>
      <c r="C763" s="129"/>
      <c r="D763" s="129"/>
      <c r="E763" s="129"/>
      <c r="F763" s="129"/>
      <c r="G763" s="129"/>
      <c r="H763" s="129"/>
      <c r="I763" s="129"/>
      <c r="J763" s="129"/>
      <c r="K763" s="129"/>
      <c r="L763" s="129"/>
      <c r="M763" s="129"/>
      <c r="N763" s="129"/>
      <c r="O763" s="129"/>
      <c r="P763" s="129"/>
      <c r="Q763" s="129"/>
      <c r="R763" s="129"/>
      <c r="S763" s="129"/>
      <c r="T763" s="129"/>
    </row>
    <row r="764">
      <c r="A764" s="151"/>
      <c r="B764" s="129"/>
      <c r="C764" s="129"/>
      <c r="D764" s="129"/>
      <c r="E764" s="129"/>
      <c r="F764" s="129"/>
      <c r="G764" s="129"/>
      <c r="H764" s="129"/>
      <c r="I764" s="129"/>
      <c r="J764" s="129"/>
      <c r="K764" s="129"/>
      <c r="L764" s="129"/>
      <c r="M764" s="129"/>
      <c r="N764" s="129"/>
      <c r="O764" s="129"/>
      <c r="P764" s="129"/>
      <c r="Q764" s="129"/>
      <c r="R764" s="129"/>
      <c r="S764" s="129"/>
      <c r="T764" s="129"/>
    </row>
    <row r="765">
      <c r="A765" s="151"/>
      <c r="B765" s="129"/>
      <c r="C765" s="129"/>
      <c r="D765" s="129"/>
      <c r="E765" s="129"/>
      <c r="F765" s="129"/>
      <c r="G765" s="129"/>
      <c r="H765" s="129"/>
      <c r="I765" s="129"/>
      <c r="J765" s="129"/>
      <c r="K765" s="129"/>
      <c r="L765" s="129"/>
      <c r="M765" s="129"/>
      <c r="N765" s="129"/>
      <c r="O765" s="129"/>
      <c r="P765" s="129"/>
      <c r="Q765" s="129"/>
      <c r="R765" s="129"/>
      <c r="S765" s="129"/>
      <c r="T765" s="129"/>
    </row>
    <row r="766">
      <c r="A766" s="151"/>
      <c r="B766" s="129"/>
      <c r="C766" s="129"/>
      <c r="D766" s="129"/>
      <c r="E766" s="129"/>
      <c r="F766" s="129"/>
      <c r="G766" s="129"/>
      <c r="H766" s="129"/>
      <c r="I766" s="129"/>
      <c r="J766" s="129"/>
      <c r="K766" s="129"/>
      <c r="L766" s="129"/>
      <c r="M766" s="129"/>
      <c r="N766" s="129"/>
      <c r="O766" s="129"/>
      <c r="P766" s="129"/>
      <c r="Q766" s="129"/>
      <c r="R766" s="129"/>
      <c r="S766" s="129"/>
      <c r="T766" s="129"/>
    </row>
    <row r="767">
      <c r="A767" s="151"/>
      <c r="B767" s="129"/>
      <c r="C767" s="129"/>
      <c r="D767" s="129"/>
      <c r="E767" s="129"/>
      <c r="F767" s="129"/>
      <c r="G767" s="129"/>
      <c r="H767" s="129"/>
      <c r="I767" s="129"/>
      <c r="J767" s="129"/>
      <c r="K767" s="129"/>
      <c r="L767" s="129"/>
      <c r="M767" s="129"/>
      <c r="N767" s="129"/>
      <c r="O767" s="129"/>
      <c r="P767" s="129"/>
      <c r="Q767" s="129"/>
      <c r="R767" s="129"/>
      <c r="S767" s="129"/>
      <c r="T767" s="129"/>
    </row>
    <row r="768">
      <c r="A768" s="151"/>
      <c r="B768" s="129"/>
      <c r="C768" s="129"/>
      <c r="D768" s="129"/>
      <c r="E768" s="129"/>
      <c r="F768" s="129"/>
      <c r="G768" s="129"/>
      <c r="H768" s="129"/>
      <c r="I768" s="129"/>
      <c r="J768" s="129"/>
      <c r="K768" s="129"/>
      <c r="L768" s="129"/>
      <c r="M768" s="129"/>
      <c r="N768" s="129"/>
      <c r="O768" s="129"/>
      <c r="P768" s="129"/>
      <c r="Q768" s="129"/>
      <c r="R768" s="129"/>
      <c r="S768" s="129"/>
      <c r="T768" s="129"/>
    </row>
    <row r="769">
      <c r="A769" s="151"/>
      <c r="B769" s="129"/>
      <c r="C769" s="129"/>
      <c r="D769" s="129"/>
      <c r="E769" s="129"/>
      <c r="F769" s="129"/>
      <c r="G769" s="129"/>
      <c r="H769" s="129"/>
      <c r="I769" s="129"/>
      <c r="J769" s="129"/>
      <c r="K769" s="129"/>
      <c r="L769" s="129"/>
      <c r="M769" s="129"/>
      <c r="N769" s="129"/>
      <c r="O769" s="129"/>
      <c r="P769" s="129"/>
      <c r="Q769" s="129"/>
      <c r="R769" s="129"/>
      <c r="S769" s="129"/>
      <c r="T769" s="129"/>
    </row>
    <row r="770">
      <c r="A770" s="151"/>
      <c r="B770" s="129"/>
      <c r="C770" s="129"/>
      <c r="D770" s="129"/>
      <c r="E770" s="129"/>
      <c r="F770" s="129"/>
      <c r="G770" s="129"/>
      <c r="H770" s="129"/>
      <c r="I770" s="129"/>
      <c r="J770" s="129"/>
      <c r="K770" s="129"/>
      <c r="L770" s="129"/>
      <c r="M770" s="129"/>
      <c r="N770" s="129"/>
      <c r="O770" s="129"/>
      <c r="P770" s="129"/>
      <c r="Q770" s="129"/>
      <c r="R770" s="129"/>
      <c r="S770" s="129"/>
      <c r="T770" s="129"/>
    </row>
    <row r="771">
      <c r="A771" s="151"/>
      <c r="B771" s="129"/>
      <c r="C771" s="129"/>
      <c r="D771" s="129"/>
      <c r="E771" s="129"/>
      <c r="F771" s="129"/>
      <c r="G771" s="129"/>
      <c r="H771" s="129"/>
      <c r="I771" s="129"/>
      <c r="J771" s="129"/>
      <c r="K771" s="129"/>
      <c r="L771" s="129"/>
      <c r="M771" s="129"/>
      <c r="N771" s="129"/>
      <c r="O771" s="129"/>
      <c r="P771" s="129"/>
      <c r="Q771" s="129"/>
      <c r="R771" s="129"/>
      <c r="S771" s="129"/>
      <c r="T771" s="129"/>
    </row>
    <row r="772">
      <c r="A772" s="151"/>
      <c r="B772" s="129"/>
      <c r="C772" s="129"/>
      <c r="D772" s="129"/>
      <c r="E772" s="129"/>
      <c r="F772" s="129"/>
      <c r="G772" s="129"/>
      <c r="H772" s="129"/>
      <c r="I772" s="129"/>
      <c r="J772" s="129"/>
      <c r="K772" s="129"/>
      <c r="L772" s="129"/>
      <c r="M772" s="129"/>
      <c r="N772" s="129"/>
      <c r="O772" s="129"/>
      <c r="P772" s="129"/>
      <c r="Q772" s="129"/>
      <c r="R772" s="129"/>
      <c r="S772" s="129"/>
      <c r="T772" s="129"/>
    </row>
    <row r="773">
      <c r="A773" s="151"/>
      <c r="B773" s="129"/>
      <c r="C773" s="129"/>
      <c r="D773" s="129"/>
      <c r="E773" s="129"/>
      <c r="F773" s="129"/>
      <c r="G773" s="129"/>
      <c r="H773" s="129"/>
      <c r="I773" s="129"/>
      <c r="J773" s="129"/>
      <c r="K773" s="129"/>
      <c r="L773" s="129"/>
      <c r="M773" s="129"/>
      <c r="N773" s="129"/>
      <c r="O773" s="129"/>
      <c r="P773" s="129"/>
      <c r="Q773" s="129"/>
      <c r="R773" s="129"/>
      <c r="S773" s="129"/>
      <c r="T773" s="129"/>
    </row>
    <row r="774">
      <c r="A774" s="151"/>
      <c r="B774" s="129"/>
      <c r="C774" s="129"/>
      <c r="D774" s="129"/>
      <c r="E774" s="129"/>
      <c r="F774" s="129"/>
      <c r="G774" s="129"/>
      <c r="H774" s="129"/>
      <c r="I774" s="129"/>
      <c r="J774" s="129"/>
      <c r="K774" s="129"/>
      <c r="L774" s="129"/>
      <c r="M774" s="129"/>
      <c r="N774" s="129"/>
      <c r="O774" s="129"/>
      <c r="P774" s="129"/>
      <c r="Q774" s="129"/>
      <c r="R774" s="129"/>
      <c r="S774" s="129"/>
      <c r="T774" s="129"/>
    </row>
    <row r="775">
      <c r="A775" s="151"/>
      <c r="B775" s="129"/>
      <c r="C775" s="129"/>
      <c r="D775" s="129"/>
      <c r="E775" s="129"/>
      <c r="F775" s="129"/>
      <c r="G775" s="129"/>
      <c r="H775" s="129"/>
      <c r="I775" s="129"/>
      <c r="J775" s="129"/>
      <c r="K775" s="129"/>
      <c r="L775" s="129"/>
      <c r="M775" s="129"/>
      <c r="N775" s="129"/>
      <c r="O775" s="129"/>
      <c r="P775" s="129"/>
      <c r="Q775" s="129"/>
      <c r="R775" s="129"/>
      <c r="S775" s="129"/>
      <c r="T775" s="129"/>
    </row>
    <row r="776">
      <c r="A776" s="151"/>
      <c r="B776" s="129"/>
      <c r="C776" s="129"/>
      <c r="D776" s="129"/>
      <c r="E776" s="129"/>
      <c r="F776" s="129"/>
      <c r="G776" s="129"/>
      <c r="H776" s="129"/>
      <c r="I776" s="129"/>
      <c r="J776" s="129"/>
      <c r="K776" s="129"/>
      <c r="L776" s="129"/>
      <c r="M776" s="129"/>
      <c r="N776" s="129"/>
      <c r="O776" s="129"/>
      <c r="P776" s="129"/>
      <c r="Q776" s="129"/>
      <c r="R776" s="129"/>
      <c r="S776" s="129"/>
      <c r="T776" s="129"/>
    </row>
    <row r="777">
      <c r="A777" s="151"/>
      <c r="B777" s="129"/>
      <c r="C777" s="129"/>
      <c r="D777" s="129"/>
      <c r="E777" s="129"/>
      <c r="F777" s="129"/>
      <c r="G777" s="129"/>
      <c r="H777" s="129"/>
      <c r="I777" s="129"/>
      <c r="J777" s="129"/>
      <c r="K777" s="129"/>
      <c r="L777" s="129"/>
      <c r="M777" s="129"/>
      <c r="N777" s="129"/>
      <c r="O777" s="129"/>
      <c r="P777" s="129"/>
      <c r="Q777" s="129"/>
      <c r="R777" s="129"/>
      <c r="S777" s="129"/>
      <c r="T777" s="129"/>
    </row>
    <row r="778">
      <c r="A778" s="151"/>
      <c r="B778" s="129"/>
      <c r="C778" s="129"/>
      <c r="D778" s="129"/>
      <c r="E778" s="129"/>
      <c r="F778" s="129"/>
      <c r="G778" s="129"/>
      <c r="H778" s="129"/>
      <c r="I778" s="129"/>
      <c r="J778" s="129"/>
      <c r="K778" s="129"/>
      <c r="L778" s="129"/>
      <c r="M778" s="129"/>
      <c r="N778" s="129"/>
      <c r="O778" s="129"/>
      <c r="P778" s="129"/>
      <c r="Q778" s="129"/>
      <c r="R778" s="129"/>
      <c r="S778" s="129"/>
      <c r="T778" s="129"/>
    </row>
    <row r="779">
      <c r="A779" s="151"/>
      <c r="B779" s="129"/>
      <c r="C779" s="129"/>
      <c r="D779" s="129"/>
      <c r="E779" s="129"/>
      <c r="F779" s="129"/>
      <c r="G779" s="129"/>
      <c r="H779" s="129"/>
      <c r="I779" s="129"/>
      <c r="J779" s="129"/>
      <c r="K779" s="129"/>
      <c r="L779" s="129"/>
      <c r="M779" s="129"/>
      <c r="N779" s="129"/>
      <c r="O779" s="129"/>
      <c r="P779" s="129"/>
      <c r="Q779" s="129"/>
      <c r="R779" s="129"/>
      <c r="S779" s="129"/>
      <c r="T779" s="129"/>
    </row>
    <row r="780">
      <c r="A780" s="151"/>
      <c r="B780" s="129"/>
      <c r="C780" s="129"/>
      <c r="D780" s="129"/>
      <c r="E780" s="129"/>
      <c r="F780" s="129"/>
      <c r="G780" s="129"/>
      <c r="H780" s="129"/>
      <c r="I780" s="129"/>
      <c r="J780" s="129"/>
      <c r="K780" s="129"/>
      <c r="L780" s="129"/>
      <c r="M780" s="129"/>
      <c r="N780" s="129"/>
      <c r="O780" s="129"/>
      <c r="P780" s="129"/>
      <c r="Q780" s="129"/>
      <c r="R780" s="129"/>
      <c r="S780" s="129"/>
      <c r="T780" s="129"/>
    </row>
    <row r="781">
      <c r="A781" s="151"/>
      <c r="B781" s="129"/>
      <c r="C781" s="129"/>
      <c r="D781" s="129"/>
      <c r="E781" s="129"/>
      <c r="F781" s="129"/>
      <c r="G781" s="129"/>
      <c r="H781" s="129"/>
      <c r="I781" s="129"/>
      <c r="J781" s="129"/>
      <c r="K781" s="129"/>
      <c r="L781" s="129"/>
      <c r="M781" s="129"/>
      <c r="N781" s="129"/>
      <c r="O781" s="129"/>
      <c r="P781" s="129"/>
      <c r="Q781" s="129"/>
      <c r="R781" s="129"/>
      <c r="S781" s="129"/>
      <c r="T781" s="129"/>
    </row>
    <row r="782">
      <c r="A782" s="151"/>
      <c r="B782" s="129"/>
      <c r="C782" s="129"/>
      <c r="D782" s="129"/>
      <c r="E782" s="129"/>
      <c r="F782" s="129"/>
      <c r="G782" s="129"/>
      <c r="H782" s="129"/>
      <c r="I782" s="129"/>
      <c r="J782" s="129"/>
      <c r="K782" s="129"/>
      <c r="L782" s="129"/>
      <c r="M782" s="129"/>
      <c r="N782" s="129"/>
      <c r="O782" s="129"/>
      <c r="P782" s="129"/>
      <c r="Q782" s="129"/>
      <c r="R782" s="129"/>
      <c r="S782" s="129"/>
      <c r="T782" s="129"/>
    </row>
    <row r="783">
      <c r="A783" s="151"/>
      <c r="B783" s="129"/>
      <c r="C783" s="129"/>
      <c r="D783" s="129"/>
      <c r="E783" s="129"/>
      <c r="F783" s="129"/>
      <c r="G783" s="129"/>
      <c r="H783" s="129"/>
      <c r="I783" s="129"/>
      <c r="J783" s="129"/>
      <c r="K783" s="129"/>
      <c r="L783" s="129"/>
      <c r="M783" s="129"/>
      <c r="N783" s="129"/>
      <c r="O783" s="129"/>
      <c r="P783" s="129"/>
      <c r="Q783" s="129"/>
      <c r="R783" s="129"/>
      <c r="S783" s="129"/>
      <c r="T783" s="129"/>
    </row>
    <row r="784">
      <c r="A784" s="151"/>
      <c r="B784" s="129"/>
      <c r="C784" s="129"/>
      <c r="D784" s="129"/>
      <c r="E784" s="129"/>
      <c r="F784" s="129"/>
      <c r="G784" s="129"/>
      <c r="H784" s="129"/>
      <c r="I784" s="129"/>
      <c r="J784" s="129"/>
      <c r="K784" s="129"/>
      <c r="L784" s="129"/>
      <c r="M784" s="129"/>
      <c r="N784" s="129"/>
      <c r="O784" s="129"/>
      <c r="P784" s="129"/>
      <c r="Q784" s="129"/>
      <c r="R784" s="129"/>
      <c r="S784" s="129"/>
      <c r="T784" s="129"/>
    </row>
    <row r="785">
      <c r="A785" s="151"/>
      <c r="B785" s="129"/>
      <c r="C785" s="129"/>
      <c r="D785" s="129"/>
      <c r="E785" s="129"/>
      <c r="F785" s="129"/>
      <c r="G785" s="129"/>
      <c r="H785" s="129"/>
      <c r="I785" s="129"/>
      <c r="J785" s="129"/>
      <c r="K785" s="129"/>
      <c r="L785" s="129"/>
      <c r="M785" s="129"/>
      <c r="N785" s="129"/>
      <c r="O785" s="129"/>
      <c r="P785" s="129"/>
      <c r="Q785" s="129"/>
      <c r="R785" s="129"/>
      <c r="S785" s="129"/>
      <c r="T785" s="129"/>
    </row>
    <row r="786">
      <c r="A786" s="151"/>
      <c r="B786" s="129"/>
      <c r="C786" s="129"/>
      <c r="D786" s="129"/>
      <c r="E786" s="129"/>
      <c r="F786" s="129"/>
      <c r="G786" s="129"/>
      <c r="H786" s="129"/>
      <c r="I786" s="129"/>
      <c r="J786" s="129"/>
      <c r="K786" s="129"/>
      <c r="L786" s="129"/>
      <c r="M786" s="129"/>
      <c r="N786" s="129"/>
      <c r="O786" s="129"/>
      <c r="P786" s="129"/>
      <c r="Q786" s="129"/>
      <c r="R786" s="129"/>
      <c r="S786" s="129"/>
      <c r="T786" s="129"/>
    </row>
    <row r="787">
      <c r="A787" s="151"/>
      <c r="B787" s="129"/>
      <c r="C787" s="129"/>
      <c r="D787" s="129"/>
      <c r="E787" s="129"/>
      <c r="F787" s="129"/>
      <c r="G787" s="129"/>
      <c r="H787" s="129"/>
      <c r="I787" s="129"/>
      <c r="J787" s="129"/>
      <c r="K787" s="129"/>
      <c r="L787" s="129"/>
      <c r="M787" s="129"/>
      <c r="N787" s="129"/>
      <c r="O787" s="129"/>
      <c r="P787" s="129"/>
      <c r="Q787" s="129"/>
      <c r="R787" s="129"/>
      <c r="S787" s="129"/>
      <c r="T787" s="129"/>
    </row>
    <row r="788">
      <c r="A788" s="151"/>
      <c r="B788" s="129"/>
      <c r="C788" s="129"/>
      <c r="D788" s="129"/>
      <c r="E788" s="129"/>
      <c r="F788" s="129"/>
      <c r="G788" s="129"/>
      <c r="H788" s="129"/>
      <c r="I788" s="129"/>
      <c r="J788" s="129"/>
      <c r="K788" s="129"/>
      <c r="L788" s="129"/>
      <c r="M788" s="129"/>
      <c r="N788" s="129"/>
      <c r="O788" s="129"/>
      <c r="P788" s="129"/>
      <c r="Q788" s="129"/>
      <c r="R788" s="129"/>
      <c r="S788" s="129"/>
      <c r="T788" s="129"/>
    </row>
    <row r="789">
      <c r="A789" s="151"/>
      <c r="B789" s="129"/>
      <c r="C789" s="129"/>
      <c r="D789" s="129"/>
      <c r="E789" s="129"/>
      <c r="F789" s="129"/>
      <c r="G789" s="129"/>
      <c r="H789" s="129"/>
      <c r="I789" s="129"/>
      <c r="J789" s="129"/>
      <c r="K789" s="129"/>
      <c r="L789" s="129"/>
      <c r="M789" s="129"/>
      <c r="N789" s="129"/>
      <c r="O789" s="129"/>
      <c r="P789" s="129"/>
      <c r="Q789" s="129"/>
      <c r="R789" s="129"/>
      <c r="S789" s="129"/>
      <c r="T789" s="129"/>
    </row>
    <row r="790">
      <c r="A790" s="151"/>
      <c r="B790" s="129"/>
      <c r="C790" s="129"/>
      <c r="D790" s="129"/>
      <c r="E790" s="129"/>
      <c r="F790" s="129"/>
      <c r="G790" s="129"/>
      <c r="H790" s="129"/>
      <c r="I790" s="129"/>
      <c r="J790" s="129"/>
      <c r="K790" s="129"/>
      <c r="L790" s="129"/>
      <c r="M790" s="129"/>
      <c r="N790" s="129"/>
      <c r="O790" s="129"/>
      <c r="P790" s="129"/>
      <c r="Q790" s="129"/>
      <c r="R790" s="129"/>
      <c r="S790" s="129"/>
      <c r="T790" s="129"/>
    </row>
    <row r="791">
      <c r="A791" s="151"/>
      <c r="B791" s="129"/>
      <c r="C791" s="129"/>
      <c r="D791" s="129"/>
      <c r="E791" s="129"/>
      <c r="F791" s="129"/>
      <c r="G791" s="129"/>
      <c r="H791" s="129"/>
      <c r="I791" s="129"/>
      <c r="J791" s="129"/>
      <c r="K791" s="129"/>
      <c r="L791" s="129"/>
      <c r="M791" s="129"/>
      <c r="N791" s="129"/>
      <c r="O791" s="129"/>
      <c r="P791" s="129"/>
      <c r="Q791" s="129"/>
      <c r="R791" s="129"/>
      <c r="S791" s="129"/>
      <c r="T791" s="129"/>
    </row>
    <row r="792">
      <c r="A792" s="151"/>
      <c r="B792" s="129"/>
      <c r="C792" s="129"/>
      <c r="D792" s="129"/>
      <c r="E792" s="129"/>
      <c r="F792" s="129"/>
      <c r="G792" s="129"/>
      <c r="H792" s="129"/>
      <c r="I792" s="129"/>
      <c r="J792" s="129"/>
      <c r="K792" s="129"/>
      <c r="L792" s="129"/>
      <c r="M792" s="129"/>
      <c r="N792" s="129"/>
      <c r="O792" s="129"/>
      <c r="P792" s="129"/>
      <c r="Q792" s="129"/>
      <c r="R792" s="129"/>
      <c r="S792" s="129"/>
      <c r="T792" s="129"/>
    </row>
    <row r="793">
      <c r="A793" s="151"/>
      <c r="B793" s="129"/>
      <c r="C793" s="129"/>
      <c r="D793" s="129"/>
      <c r="E793" s="129"/>
      <c r="F793" s="129"/>
      <c r="G793" s="129"/>
      <c r="H793" s="129"/>
      <c r="I793" s="129"/>
      <c r="J793" s="129"/>
      <c r="K793" s="129"/>
      <c r="L793" s="129"/>
      <c r="M793" s="129"/>
      <c r="N793" s="129"/>
      <c r="O793" s="129"/>
      <c r="P793" s="129"/>
      <c r="Q793" s="129"/>
      <c r="R793" s="129"/>
      <c r="S793" s="129"/>
      <c r="T793" s="129"/>
    </row>
    <row r="794">
      <c r="A794" s="151"/>
      <c r="B794" s="129"/>
      <c r="C794" s="129"/>
      <c r="D794" s="129"/>
      <c r="E794" s="129"/>
      <c r="F794" s="129"/>
      <c r="G794" s="129"/>
      <c r="H794" s="129"/>
      <c r="I794" s="129"/>
      <c r="J794" s="129"/>
      <c r="K794" s="129"/>
      <c r="L794" s="129"/>
      <c r="M794" s="129"/>
      <c r="N794" s="129"/>
      <c r="O794" s="129"/>
      <c r="P794" s="129"/>
      <c r="Q794" s="129"/>
      <c r="R794" s="129"/>
      <c r="S794" s="129"/>
      <c r="T794" s="129"/>
    </row>
    <row r="795">
      <c r="A795" s="151"/>
      <c r="B795" s="129"/>
      <c r="C795" s="129"/>
      <c r="D795" s="129"/>
      <c r="E795" s="129"/>
      <c r="F795" s="129"/>
      <c r="G795" s="129"/>
      <c r="H795" s="129"/>
      <c r="I795" s="129"/>
      <c r="J795" s="129"/>
      <c r="K795" s="129"/>
      <c r="L795" s="129"/>
      <c r="M795" s="129"/>
      <c r="N795" s="129"/>
      <c r="O795" s="129"/>
      <c r="P795" s="129"/>
      <c r="Q795" s="129"/>
      <c r="R795" s="129"/>
      <c r="S795" s="129"/>
      <c r="T795" s="129"/>
    </row>
    <row r="796">
      <c r="A796" s="151"/>
      <c r="B796" s="129"/>
      <c r="C796" s="129"/>
      <c r="D796" s="129"/>
      <c r="E796" s="129"/>
      <c r="F796" s="129"/>
      <c r="G796" s="129"/>
      <c r="H796" s="129"/>
      <c r="I796" s="129"/>
      <c r="J796" s="129"/>
      <c r="K796" s="129"/>
      <c r="L796" s="129"/>
      <c r="M796" s="129"/>
      <c r="N796" s="129"/>
      <c r="O796" s="129"/>
      <c r="P796" s="129"/>
      <c r="Q796" s="129"/>
      <c r="R796" s="129"/>
      <c r="S796" s="129"/>
      <c r="T796" s="129"/>
    </row>
    <row r="797">
      <c r="A797" s="151"/>
      <c r="B797" s="129"/>
      <c r="C797" s="129"/>
      <c r="D797" s="129"/>
      <c r="E797" s="129"/>
      <c r="F797" s="129"/>
      <c r="G797" s="129"/>
      <c r="H797" s="129"/>
      <c r="I797" s="129"/>
      <c r="J797" s="129"/>
      <c r="K797" s="129"/>
      <c r="L797" s="129"/>
      <c r="M797" s="129"/>
      <c r="N797" s="129"/>
      <c r="O797" s="129"/>
      <c r="P797" s="129"/>
      <c r="Q797" s="129"/>
      <c r="R797" s="129"/>
      <c r="S797" s="129"/>
      <c r="T797" s="129"/>
    </row>
    <row r="798">
      <c r="A798" s="151"/>
      <c r="B798" s="129"/>
      <c r="C798" s="129"/>
      <c r="D798" s="129"/>
      <c r="E798" s="129"/>
      <c r="F798" s="129"/>
      <c r="G798" s="129"/>
      <c r="H798" s="129"/>
      <c r="I798" s="129"/>
      <c r="J798" s="129"/>
      <c r="K798" s="129"/>
      <c r="L798" s="129"/>
      <c r="M798" s="129"/>
      <c r="N798" s="129"/>
      <c r="O798" s="129"/>
      <c r="P798" s="129"/>
      <c r="Q798" s="129"/>
      <c r="R798" s="129"/>
      <c r="S798" s="129"/>
      <c r="T798" s="129"/>
    </row>
    <row r="799">
      <c r="A799" s="151"/>
      <c r="B799" s="129"/>
      <c r="C799" s="129"/>
      <c r="D799" s="129"/>
      <c r="E799" s="129"/>
      <c r="F799" s="129"/>
      <c r="G799" s="129"/>
      <c r="H799" s="129"/>
      <c r="I799" s="129"/>
      <c r="J799" s="129"/>
      <c r="K799" s="129"/>
      <c r="L799" s="129"/>
      <c r="M799" s="129"/>
      <c r="N799" s="129"/>
      <c r="O799" s="129"/>
      <c r="P799" s="129"/>
      <c r="Q799" s="129"/>
      <c r="R799" s="129"/>
      <c r="S799" s="129"/>
      <c r="T799" s="129"/>
    </row>
    <row r="800">
      <c r="A800" s="151"/>
      <c r="B800" s="129"/>
      <c r="C800" s="129"/>
      <c r="D800" s="129"/>
      <c r="E800" s="129"/>
      <c r="F800" s="129"/>
      <c r="G800" s="129"/>
      <c r="H800" s="129"/>
      <c r="I800" s="129"/>
      <c r="J800" s="129"/>
      <c r="K800" s="129"/>
      <c r="L800" s="129"/>
      <c r="M800" s="129"/>
      <c r="N800" s="129"/>
      <c r="O800" s="129"/>
      <c r="P800" s="129"/>
      <c r="Q800" s="129"/>
      <c r="R800" s="129"/>
      <c r="S800" s="129"/>
      <c r="T800" s="129"/>
    </row>
    <row r="801">
      <c r="A801" s="151"/>
      <c r="B801" s="129"/>
      <c r="C801" s="129"/>
      <c r="D801" s="129"/>
      <c r="E801" s="129"/>
      <c r="F801" s="129"/>
      <c r="G801" s="129"/>
      <c r="H801" s="129"/>
      <c r="I801" s="129"/>
      <c r="J801" s="129"/>
      <c r="K801" s="129"/>
      <c r="L801" s="129"/>
      <c r="M801" s="129"/>
      <c r="N801" s="129"/>
      <c r="O801" s="129"/>
      <c r="P801" s="129"/>
      <c r="Q801" s="129"/>
      <c r="R801" s="129"/>
      <c r="S801" s="129"/>
      <c r="T801" s="129"/>
    </row>
    <row r="802">
      <c r="A802" s="151"/>
      <c r="B802" s="129"/>
      <c r="C802" s="129"/>
      <c r="D802" s="129"/>
      <c r="E802" s="129"/>
      <c r="F802" s="129"/>
      <c r="G802" s="129"/>
      <c r="H802" s="129"/>
      <c r="I802" s="129"/>
      <c r="J802" s="129"/>
      <c r="K802" s="129"/>
      <c r="L802" s="129"/>
      <c r="M802" s="129"/>
      <c r="N802" s="129"/>
      <c r="O802" s="129"/>
      <c r="P802" s="129"/>
      <c r="Q802" s="129"/>
      <c r="R802" s="129"/>
      <c r="S802" s="129"/>
      <c r="T802" s="129"/>
    </row>
    <row r="803">
      <c r="A803" s="151"/>
      <c r="B803" s="129"/>
      <c r="C803" s="129"/>
      <c r="D803" s="129"/>
      <c r="E803" s="129"/>
      <c r="F803" s="129"/>
      <c r="G803" s="129"/>
      <c r="H803" s="129"/>
      <c r="I803" s="129"/>
      <c r="J803" s="129"/>
      <c r="K803" s="129"/>
      <c r="L803" s="129"/>
      <c r="M803" s="129"/>
      <c r="N803" s="129"/>
      <c r="O803" s="129"/>
      <c r="P803" s="129"/>
      <c r="Q803" s="129"/>
      <c r="R803" s="129"/>
      <c r="S803" s="129"/>
      <c r="T803" s="129"/>
    </row>
    <row r="804">
      <c r="A804" s="151"/>
      <c r="B804" s="129"/>
      <c r="C804" s="129"/>
      <c r="D804" s="129"/>
      <c r="E804" s="129"/>
      <c r="F804" s="129"/>
      <c r="G804" s="129"/>
      <c r="H804" s="129"/>
      <c r="I804" s="129"/>
      <c r="J804" s="129"/>
      <c r="K804" s="129"/>
      <c r="L804" s="129"/>
      <c r="M804" s="129"/>
      <c r="N804" s="129"/>
      <c r="O804" s="129"/>
      <c r="P804" s="129"/>
      <c r="Q804" s="129"/>
      <c r="R804" s="129"/>
      <c r="S804" s="129"/>
      <c r="T804" s="129"/>
    </row>
    <row r="805">
      <c r="A805" s="151"/>
      <c r="B805" s="129"/>
      <c r="C805" s="129"/>
      <c r="D805" s="129"/>
      <c r="E805" s="129"/>
      <c r="F805" s="129"/>
      <c r="G805" s="129"/>
      <c r="H805" s="129"/>
      <c r="I805" s="129"/>
      <c r="J805" s="129"/>
      <c r="K805" s="129"/>
      <c r="L805" s="129"/>
      <c r="M805" s="129"/>
      <c r="N805" s="129"/>
      <c r="O805" s="129"/>
      <c r="P805" s="129"/>
      <c r="Q805" s="129"/>
      <c r="R805" s="129"/>
      <c r="S805" s="129"/>
      <c r="T805" s="129"/>
    </row>
    <row r="806">
      <c r="A806" s="151"/>
      <c r="B806" s="129"/>
      <c r="C806" s="129"/>
      <c r="D806" s="129"/>
      <c r="E806" s="129"/>
      <c r="F806" s="129"/>
      <c r="G806" s="129"/>
      <c r="H806" s="129"/>
      <c r="I806" s="129"/>
      <c r="J806" s="129"/>
      <c r="K806" s="129"/>
      <c r="L806" s="129"/>
      <c r="M806" s="129"/>
      <c r="N806" s="129"/>
      <c r="O806" s="129"/>
      <c r="P806" s="129"/>
      <c r="Q806" s="129"/>
      <c r="R806" s="129"/>
      <c r="S806" s="129"/>
      <c r="T806" s="129"/>
    </row>
    <row r="807">
      <c r="A807" s="151"/>
      <c r="B807" s="129"/>
      <c r="C807" s="129"/>
      <c r="D807" s="129"/>
      <c r="E807" s="129"/>
      <c r="F807" s="129"/>
      <c r="G807" s="129"/>
      <c r="H807" s="129"/>
      <c r="I807" s="129"/>
      <c r="J807" s="129"/>
      <c r="K807" s="129"/>
      <c r="L807" s="129"/>
      <c r="M807" s="129"/>
      <c r="N807" s="129"/>
      <c r="O807" s="129"/>
      <c r="P807" s="129"/>
      <c r="Q807" s="129"/>
      <c r="R807" s="129"/>
      <c r="S807" s="129"/>
      <c r="T807" s="129"/>
    </row>
    <row r="808">
      <c r="A808" s="151"/>
      <c r="B808" s="129"/>
      <c r="C808" s="129"/>
      <c r="D808" s="129"/>
      <c r="E808" s="129"/>
      <c r="F808" s="129"/>
      <c r="G808" s="129"/>
      <c r="H808" s="129"/>
      <c r="I808" s="129"/>
      <c r="J808" s="129"/>
      <c r="K808" s="129"/>
      <c r="L808" s="129"/>
      <c r="M808" s="129"/>
      <c r="N808" s="129"/>
      <c r="O808" s="129"/>
      <c r="P808" s="129"/>
      <c r="Q808" s="129"/>
      <c r="R808" s="129"/>
      <c r="S808" s="129"/>
      <c r="T808" s="129"/>
    </row>
    <row r="809">
      <c r="A809" s="151"/>
      <c r="B809" s="129"/>
      <c r="C809" s="129"/>
      <c r="D809" s="129"/>
      <c r="E809" s="129"/>
      <c r="F809" s="129"/>
      <c r="G809" s="129"/>
      <c r="H809" s="129"/>
      <c r="I809" s="129"/>
      <c r="J809" s="129"/>
      <c r="K809" s="129"/>
      <c r="L809" s="129"/>
      <c r="M809" s="129"/>
      <c r="N809" s="129"/>
      <c r="O809" s="129"/>
      <c r="P809" s="129"/>
      <c r="Q809" s="129"/>
      <c r="R809" s="129"/>
      <c r="S809" s="129"/>
      <c r="T809" s="129"/>
    </row>
    <row r="810">
      <c r="A810" s="151"/>
      <c r="B810" s="129"/>
      <c r="C810" s="129"/>
      <c r="D810" s="129"/>
      <c r="E810" s="129"/>
      <c r="F810" s="129"/>
      <c r="G810" s="129"/>
      <c r="H810" s="129"/>
      <c r="I810" s="129"/>
      <c r="J810" s="129"/>
      <c r="K810" s="129"/>
      <c r="L810" s="129"/>
      <c r="M810" s="129"/>
      <c r="N810" s="129"/>
      <c r="O810" s="129"/>
      <c r="P810" s="129"/>
      <c r="Q810" s="129"/>
      <c r="R810" s="129"/>
      <c r="S810" s="129"/>
      <c r="T810" s="129"/>
    </row>
    <row r="811">
      <c r="A811" s="151"/>
      <c r="B811" s="129"/>
      <c r="C811" s="129"/>
      <c r="D811" s="129"/>
      <c r="E811" s="129"/>
      <c r="F811" s="129"/>
      <c r="G811" s="129"/>
      <c r="H811" s="129"/>
      <c r="I811" s="129"/>
      <c r="J811" s="129"/>
      <c r="K811" s="129"/>
      <c r="L811" s="129"/>
      <c r="M811" s="129"/>
      <c r="N811" s="129"/>
      <c r="O811" s="129"/>
      <c r="P811" s="129"/>
      <c r="Q811" s="129"/>
      <c r="R811" s="129"/>
      <c r="S811" s="129"/>
      <c r="T811" s="129"/>
    </row>
    <row r="812">
      <c r="A812" s="151"/>
      <c r="B812" s="129"/>
      <c r="C812" s="129"/>
      <c r="D812" s="129"/>
      <c r="E812" s="129"/>
      <c r="F812" s="129"/>
      <c r="G812" s="129"/>
      <c r="H812" s="129"/>
      <c r="I812" s="129"/>
      <c r="J812" s="129"/>
      <c r="K812" s="129"/>
      <c r="L812" s="129"/>
      <c r="M812" s="129"/>
      <c r="N812" s="129"/>
      <c r="O812" s="129"/>
      <c r="P812" s="129"/>
      <c r="Q812" s="129"/>
      <c r="R812" s="129"/>
      <c r="S812" s="129"/>
      <c r="T812" s="129"/>
    </row>
    <row r="813">
      <c r="A813" s="151"/>
      <c r="B813" s="129"/>
      <c r="C813" s="129"/>
      <c r="D813" s="129"/>
      <c r="E813" s="129"/>
      <c r="F813" s="129"/>
      <c r="G813" s="129"/>
      <c r="H813" s="129"/>
      <c r="I813" s="129"/>
      <c r="J813" s="129"/>
      <c r="K813" s="129"/>
      <c r="L813" s="129"/>
      <c r="M813" s="129"/>
      <c r="N813" s="129"/>
      <c r="O813" s="129"/>
      <c r="P813" s="129"/>
      <c r="Q813" s="129"/>
      <c r="R813" s="129"/>
      <c r="S813" s="129"/>
      <c r="T813" s="129"/>
    </row>
    <row r="814">
      <c r="A814" s="151"/>
      <c r="B814" s="129"/>
      <c r="C814" s="129"/>
      <c r="D814" s="129"/>
      <c r="E814" s="129"/>
      <c r="F814" s="129"/>
      <c r="G814" s="129"/>
      <c r="H814" s="129"/>
      <c r="I814" s="129"/>
      <c r="J814" s="129"/>
      <c r="K814" s="129"/>
      <c r="L814" s="129"/>
      <c r="M814" s="129"/>
      <c r="N814" s="129"/>
      <c r="O814" s="129"/>
      <c r="P814" s="129"/>
      <c r="Q814" s="129"/>
      <c r="R814" s="129"/>
      <c r="S814" s="129"/>
      <c r="T814" s="129"/>
    </row>
    <row r="815">
      <c r="A815" s="151"/>
      <c r="B815" s="129"/>
      <c r="C815" s="129"/>
      <c r="D815" s="129"/>
      <c r="E815" s="129"/>
      <c r="F815" s="129"/>
      <c r="G815" s="129"/>
      <c r="H815" s="129"/>
      <c r="I815" s="129"/>
      <c r="J815" s="129"/>
      <c r="K815" s="129"/>
      <c r="L815" s="129"/>
      <c r="M815" s="129"/>
      <c r="N815" s="129"/>
      <c r="O815" s="129"/>
      <c r="P815" s="129"/>
      <c r="Q815" s="129"/>
      <c r="R815" s="129"/>
      <c r="S815" s="129"/>
      <c r="T815" s="129"/>
    </row>
    <row r="816">
      <c r="A816" s="151"/>
      <c r="B816" s="129"/>
      <c r="C816" s="129"/>
      <c r="D816" s="129"/>
      <c r="E816" s="129"/>
      <c r="F816" s="129"/>
      <c r="G816" s="129"/>
      <c r="H816" s="129"/>
      <c r="I816" s="129"/>
      <c r="J816" s="129"/>
      <c r="K816" s="129"/>
      <c r="L816" s="129"/>
      <c r="M816" s="129"/>
      <c r="N816" s="129"/>
      <c r="O816" s="129"/>
      <c r="P816" s="129"/>
      <c r="Q816" s="129"/>
      <c r="R816" s="129"/>
      <c r="S816" s="129"/>
      <c r="T816" s="129"/>
    </row>
    <row r="817">
      <c r="A817" s="151"/>
      <c r="B817" s="129"/>
      <c r="C817" s="129"/>
      <c r="D817" s="129"/>
      <c r="E817" s="129"/>
      <c r="F817" s="129"/>
      <c r="G817" s="129"/>
      <c r="H817" s="129"/>
      <c r="I817" s="129"/>
      <c r="J817" s="129"/>
      <c r="K817" s="129"/>
      <c r="L817" s="129"/>
      <c r="M817" s="129"/>
      <c r="N817" s="129"/>
      <c r="O817" s="129"/>
      <c r="P817" s="129"/>
      <c r="Q817" s="129"/>
      <c r="R817" s="129"/>
      <c r="S817" s="129"/>
      <c r="T817" s="129"/>
    </row>
    <row r="818">
      <c r="A818" s="151"/>
      <c r="B818" s="129"/>
      <c r="C818" s="129"/>
      <c r="D818" s="129"/>
      <c r="E818" s="129"/>
      <c r="F818" s="129"/>
      <c r="G818" s="129"/>
      <c r="H818" s="129"/>
      <c r="I818" s="129"/>
      <c r="J818" s="129"/>
      <c r="K818" s="129"/>
      <c r="L818" s="129"/>
      <c r="M818" s="129"/>
      <c r="N818" s="129"/>
      <c r="O818" s="129"/>
      <c r="P818" s="129"/>
      <c r="Q818" s="129"/>
      <c r="R818" s="129"/>
      <c r="S818" s="129"/>
      <c r="T818" s="129"/>
    </row>
    <row r="819">
      <c r="A819" s="151"/>
      <c r="B819" s="129"/>
      <c r="C819" s="129"/>
      <c r="D819" s="129"/>
      <c r="E819" s="129"/>
      <c r="F819" s="129"/>
      <c r="G819" s="129"/>
      <c r="H819" s="129"/>
      <c r="I819" s="129"/>
      <c r="J819" s="129"/>
      <c r="K819" s="129"/>
      <c r="L819" s="129"/>
      <c r="M819" s="129"/>
      <c r="N819" s="129"/>
      <c r="O819" s="129"/>
      <c r="P819" s="129"/>
      <c r="Q819" s="129"/>
      <c r="R819" s="129"/>
      <c r="S819" s="129"/>
      <c r="T819" s="129"/>
    </row>
    <row r="820">
      <c r="A820" s="151"/>
      <c r="B820" s="129"/>
      <c r="C820" s="129"/>
      <c r="D820" s="129"/>
      <c r="E820" s="129"/>
      <c r="F820" s="129"/>
      <c r="G820" s="129"/>
      <c r="H820" s="129"/>
      <c r="I820" s="129"/>
      <c r="J820" s="129"/>
      <c r="K820" s="129"/>
      <c r="L820" s="129"/>
      <c r="M820" s="129"/>
      <c r="N820" s="129"/>
      <c r="O820" s="129"/>
      <c r="P820" s="129"/>
      <c r="Q820" s="129"/>
      <c r="R820" s="129"/>
      <c r="S820" s="129"/>
      <c r="T820" s="129"/>
    </row>
    <row r="821">
      <c r="A821" s="151"/>
      <c r="B821" s="129"/>
      <c r="C821" s="129"/>
      <c r="D821" s="129"/>
      <c r="E821" s="129"/>
      <c r="F821" s="129"/>
      <c r="G821" s="129"/>
      <c r="H821" s="129"/>
      <c r="I821" s="129"/>
      <c r="J821" s="129"/>
      <c r="K821" s="129"/>
      <c r="L821" s="129"/>
      <c r="M821" s="129"/>
      <c r="N821" s="129"/>
      <c r="O821" s="129"/>
      <c r="P821" s="129"/>
      <c r="Q821" s="129"/>
      <c r="R821" s="129"/>
      <c r="S821" s="129"/>
      <c r="T821" s="129"/>
    </row>
    <row r="822">
      <c r="A822" s="151"/>
      <c r="B822" s="129"/>
      <c r="C822" s="129"/>
      <c r="D822" s="129"/>
      <c r="E822" s="129"/>
      <c r="F822" s="129"/>
      <c r="G822" s="129"/>
      <c r="H822" s="129"/>
      <c r="I822" s="129"/>
      <c r="J822" s="129"/>
      <c r="K822" s="129"/>
      <c r="L822" s="129"/>
      <c r="M822" s="129"/>
      <c r="N822" s="129"/>
      <c r="O822" s="129"/>
      <c r="P822" s="129"/>
      <c r="Q822" s="129"/>
      <c r="R822" s="129"/>
      <c r="S822" s="129"/>
      <c r="T822" s="129"/>
    </row>
    <row r="823">
      <c r="A823" s="151"/>
      <c r="B823" s="129"/>
      <c r="C823" s="129"/>
      <c r="D823" s="129"/>
      <c r="E823" s="129"/>
      <c r="F823" s="129"/>
      <c r="G823" s="129"/>
      <c r="H823" s="129"/>
      <c r="I823" s="129"/>
      <c r="J823" s="129"/>
      <c r="K823" s="129"/>
      <c r="L823" s="129"/>
      <c r="M823" s="129"/>
      <c r="N823" s="129"/>
      <c r="O823" s="129"/>
      <c r="P823" s="129"/>
      <c r="Q823" s="129"/>
      <c r="R823" s="129"/>
      <c r="S823" s="129"/>
      <c r="T823" s="129"/>
    </row>
    <row r="824">
      <c r="A824" s="151"/>
      <c r="B824" s="129"/>
      <c r="C824" s="129"/>
      <c r="D824" s="129"/>
      <c r="E824" s="129"/>
      <c r="F824" s="129"/>
      <c r="G824" s="129"/>
      <c r="H824" s="129"/>
      <c r="I824" s="129"/>
      <c r="J824" s="129"/>
      <c r="K824" s="129"/>
      <c r="L824" s="129"/>
      <c r="M824" s="129"/>
      <c r="N824" s="129"/>
      <c r="O824" s="129"/>
      <c r="P824" s="129"/>
      <c r="Q824" s="129"/>
      <c r="R824" s="129"/>
      <c r="S824" s="129"/>
      <c r="T824" s="129"/>
    </row>
    <row r="825">
      <c r="A825" s="151"/>
      <c r="B825" s="129"/>
      <c r="C825" s="129"/>
      <c r="D825" s="129"/>
      <c r="E825" s="129"/>
      <c r="F825" s="129"/>
      <c r="G825" s="129"/>
      <c r="H825" s="129"/>
      <c r="I825" s="129"/>
      <c r="J825" s="129"/>
      <c r="K825" s="129"/>
      <c r="L825" s="129"/>
      <c r="M825" s="129"/>
      <c r="N825" s="129"/>
      <c r="O825" s="129"/>
      <c r="P825" s="129"/>
      <c r="Q825" s="129"/>
      <c r="R825" s="129"/>
      <c r="S825" s="129"/>
      <c r="T825" s="129"/>
    </row>
    <row r="826">
      <c r="A826" s="151"/>
      <c r="B826" s="129"/>
      <c r="C826" s="129"/>
      <c r="D826" s="129"/>
      <c r="E826" s="129"/>
      <c r="F826" s="129"/>
      <c r="G826" s="129"/>
      <c r="H826" s="129"/>
      <c r="I826" s="129"/>
      <c r="J826" s="129"/>
      <c r="K826" s="129"/>
      <c r="L826" s="129"/>
      <c r="M826" s="129"/>
      <c r="N826" s="129"/>
      <c r="O826" s="129"/>
      <c r="P826" s="129"/>
      <c r="Q826" s="129"/>
      <c r="R826" s="129"/>
      <c r="S826" s="129"/>
      <c r="T826" s="129"/>
    </row>
    <row r="827">
      <c r="A827" s="151"/>
      <c r="B827" s="129"/>
      <c r="C827" s="129"/>
      <c r="D827" s="129"/>
      <c r="E827" s="129"/>
      <c r="F827" s="129"/>
      <c r="G827" s="129"/>
      <c r="H827" s="129"/>
      <c r="I827" s="129"/>
      <c r="J827" s="129"/>
      <c r="K827" s="129"/>
      <c r="L827" s="129"/>
      <c r="M827" s="129"/>
      <c r="N827" s="129"/>
      <c r="O827" s="129"/>
      <c r="P827" s="129"/>
      <c r="Q827" s="129"/>
      <c r="R827" s="129"/>
      <c r="S827" s="129"/>
      <c r="T827" s="129"/>
    </row>
    <row r="828">
      <c r="A828" s="151"/>
      <c r="B828" s="129"/>
      <c r="C828" s="129"/>
      <c r="D828" s="129"/>
      <c r="E828" s="129"/>
      <c r="F828" s="129"/>
      <c r="G828" s="129"/>
      <c r="H828" s="129"/>
      <c r="I828" s="129"/>
      <c r="J828" s="129"/>
      <c r="K828" s="129"/>
      <c r="L828" s="129"/>
      <c r="M828" s="129"/>
      <c r="N828" s="129"/>
      <c r="O828" s="129"/>
      <c r="P828" s="129"/>
      <c r="Q828" s="129"/>
      <c r="R828" s="129"/>
      <c r="S828" s="129"/>
      <c r="T828" s="129"/>
    </row>
    <row r="829">
      <c r="A829" s="151"/>
      <c r="B829" s="129"/>
      <c r="C829" s="129"/>
      <c r="D829" s="129"/>
      <c r="E829" s="129"/>
      <c r="F829" s="129"/>
      <c r="G829" s="129"/>
      <c r="H829" s="129"/>
      <c r="I829" s="129"/>
      <c r="J829" s="129"/>
      <c r="K829" s="129"/>
      <c r="L829" s="129"/>
      <c r="M829" s="129"/>
      <c r="N829" s="129"/>
      <c r="O829" s="129"/>
      <c r="P829" s="129"/>
      <c r="Q829" s="129"/>
      <c r="R829" s="129"/>
      <c r="S829" s="129"/>
      <c r="T829" s="129"/>
    </row>
    <row r="830">
      <c r="A830" s="151"/>
      <c r="B830" s="129"/>
      <c r="C830" s="129"/>
      <c r="D830" s="129"/>
      <c r="E830" s="129"/>
      <c r="F830" s="129"/>
      <c r="G830" s="129"/>
      <c r="H830" s="129"/>
      <c r="I830" s="129"/>
      <c r="J830" s="129"/>
      <c r="K830" s="129"/>
      <c r="L830" s="129"/>
      <c r="M830" s="129"/>
      <c r="N830" s="129"/>
      <c r="O830" s="129"/>
      <c r="P830" s="129"/>
      <c r="Q830" s="129"/>
      <c r="R830" s="129"/>
      <c r="S830" s="129"/>
      <c r="T830" s="129"/>
    </row>
    <row r="831">
      <c r="A831" s="151"/>
      <c r="B831" s="129"/>
      <c r="C831" s="129"/>
      <c r="D831" s="129"/>
      <c r="E831" s="129"/>
      <c r="F831" s="129"/>
      <c r="G831" s="129"/>
      <c r="H831" s="129"/>
      <c r="I831" s="129"/>
      <c r="J831" s="129"/>
      <c r="K831" s="129"/>
      <c r="L831" s="129"/>
      <c r="M831" s="129"/>
      <c r="N831" s="129"/>
      <c r="O831" s="129"/>
      <c r="P831" s="129"/>
      <c r="Q831" s="129"/>
      <c r="R831" s="129"/>
      <c r="S831" s="129"/>
      <c r="T831" s="129"/>
    </row>
    <row r="832">
      <c r="A832" s="151"/>
      <c r="B832" s="129"/>
      <c r="C832" s="129"/>
      <c r="D832" s="129"/>
      <c r="E832" s="129"/>
      <c r="F832" s="129"/>
      <c r="G832" s="129"/>
      <c r="H832" s="129"/>
      <c r="I832" s="129"/>
      <c r="J832" s="129"/>
      <c r="K832" s="129"/>
      <c r="L832" s="129"/>
      <c r="M832" s="129"/>
      <c r="N832" s="129"/>
      <c r="O832" s="129"/>
      <c r="P832" s="129"/>
      <c r="Q832" s="129"/>
      <c r="R832" s="129"/>
      <c r="S832" s="129"/>
      <c r="T832" s="129"/>
    </row>
    <row r="833">
      <c r="A833" s="151"/>
      <c r="B833" s="129"/>
      <c r="C833" s="129"/>
      <c r="D833" s="129"/>
      <c r="E833" s="129"/>
      <c r="F833" s="129"/>
      <c r="G833" s="129"/>
      <c r="H833" s="129"/>
      <c r="I833" s="129"/>
      <c r="J833" s="129"/>
      <c r="K833" s="129"/>
      <c r="L833" s="129"/>
      <c r="M833" s="129"/>
      <c r="N833" s="129"/>
      <c r="O833" s="129"/>
      <c r="P833" s="129"/>
      <c r="Q833" s="129"/>
      <c r="R833" s="129"/>
      <c r="S833" s="129"/>
      <c r="T833" s="129"/>
    </row>
    <row r="834">
      <c r="A834" s="151"/>
      <c r="B834" s="129"/>
      <c r="C834" s="129"/>
      <c r="D834" s="129"/>
      <c r="E834" s="129"/>
      <c r="F834" s="129"/>
      <c r="G834" s="129"/>
      <c r="H834" s="129"/>
      <c r="I834" s="129"/>
      <c r="J834" s="129"/>
      <c r="K834" s="129"/>
      <c r="L834" s="129"/>
      <c r="M834" s="129"/>
      <c r="N834" s="129"/>
      <c r="O834" s="129"/>
      <c r="P834" s="129"/>
      <c r="Q834" s="129"/>
      <c r="R834" s="129"/>
      <c r="S834" s="129"/>
      <c r="T834" s="129"/>
    </row>
    <row r="835">
      <c r="A835" s="151"/>
      <c r="B835" s="129"/>
      <c r="C835" s="129"/>
      <c r="D835" s="129"/>
      <c r="E835" s="129"/>
      <c r="F835" s="129"/>
      <c r="G835" s="129"/>
      <c r="H835" s="129"/>
      <c r="I835" s="129"/>
      <c r="J835" s="129"/>
      <c r="K835" s="129"/>
      <c r="L835" s="129"/>
      <c r="M835" s="129"/>
      <c r="N835" s="129"/>
      <c r="O835" s="129"/>
      <c r="P835" s="129"/>
      <c r="Q835" s="129"/>
      <c r="R835" s="129"/>
      <c r="S835" s="129"/>
      <c r="T835" s="129"/>
    </row>
    <row r="836">
      <c r="A836" s="151"/>
      <c r="B836" s="129"/>
      <c r="C836" s="129"/>
      <c r="D836" s="129"/>
      <c r="E836" s="129"/>
      <c r="F836" s="129"/>
      <c r="G836" s="129"/>
      <c r="H836" s="129"/>
      <c r="I836" s="129"/>
      <c r="J836" s="129"/>
      <c r="K836" s="129"/>
      <c r="L836" s="129"/>
      <c r="M836" s="129"/>
      <c r="N836" s="129"/>
      <c r="O836" s="129"/>
      <c r="P836" s="129"/>
      <c r="Q836" s="129"/>
      <c r="R836" s="129"/>
      <c r="S836" s="129"/>
      <c r="T836" s="129"/>
    </row>
    <row r="837">
      <c r="A837" s="151"/>
      <c r="B837" s="129"/>
      <c r="C837" s="129"/>
      <c r="D837" s="129"/>
      <c r="E837" s="129"/>
      <c r="F837" s="129"/>
      <c r="G837" s="129"/>
      <c r="H837" s="129"/>
      <c r="I837" s="129"/>
      <c r="J837" s="129"/>
      <c r="K837" s="129"/>
      <c r="L837" s="129"/>
      <c r="M837" s="129"/>
      <c r="N837" s="129"/>
      <c r="O837" s="129"/>
      <c r="P837" s="129"/>
      <c r="Q837" s="129"/>
      <c r="R837" s="129"/>
      <c r="S837" s="129"/>
      <c r="T837" s="129"/>
    </row>
    <row r="838">
      <c r="A838" s="151"/>
      <c r="B838" s="129"/>
      <c r="C838" s="129"/>
      <c r="D838" s="129"/>
      <c r="E838" s="129"/>
      <c r="F838" s="129"/>
      <c r="G838" s="129"/>
      <c r="H838" s="129"/>
      <c r="I838" s="129"/>
      <c r="J838" s="129"/>
      <c r="K838" s="129"/>
      <c r="L838" s="129"/>
      <c r="M838" s="129"/>
      <c r="N838" s="129"/>
      <c r="O838" s="129"/>
      <c r="P838" s="129"/>
      <c r="Q838" s="129"/>
      <c r="R838" s="129"/>
      <c r="S838" s="129"/>
      <c r="T838" s="129"/>
    </row>
    <row r="839">
      <c r="A839" s="151"/>
      <c r="B839" s="129"/>
      <c r="C839" s="129"/>
      <c r="D839" s="129"/>
      <c r="E839" s="129"/>
      <c r="F839" s="129"/>
      <c r="G839" s="129"/>
      <c r="H839" s="129"/>
      <c r="I839" s="129"/>
      <c r="J839" s="129"/>
      <c r="K839" s="129"/>
      <c r="L839" s="129"/>
      <c r="M839" s="129"/>
      <c r="N839" s="129"/>
      <c r="O839" s="129"/>
      <c r="P839" s="129"/>
      <c r="Q839" s="129"/>
      <c r="R839" s="129"/>
      <c r="S839" s="129"/>
      <c r="T839" s="129"/>
    </row>
    <row r="840">
      <c r="A840" s="151"/>
      <c r="B840" s="129"/>
      <c r="C840" s="129"/>
      <c r="D840" s="129"/>
      <c r="E840" s="129"/>
      <c r="F840" s="129"/>
      <c r="G840" s="129"/>
      <c r="H840" s="129"/>
      <c r="I840" s="129"/>
      <c r="J840" s="129"/>
      <c r="K840" s="129"/>
      <c r="L840" s="129"/>
      <c r="M840" s="129"/>
      <c r="N840" s="129"/>
      <c r="O840" s="129"/>
      <c r="P840" s="129"/>
      <c r="Q840" s="129"/>
      <c r="R840" s="129"/>
      <c r="S840" s="129"/>
      <c r="T840" s="129"/>
    </row>
    <row r="841">
      <c r="A841" s="151"/>
      <c r="B841" s="129"/>
      <c r="C841" s="129"/>
      <c r="D841" s="129"/>
      <c r="E841" s="129"/>
      <c r="F841" s="129"/>
      <c r="G841" s="129"/>
      <c r="H841" s="129"/>
      <c r="I841" s="129"/>
      <c r="J841" s="129"/>
      <c r="K841" s="129"/>
      <c r="L841" s="129"/>
      <c r="M841" s="129"/>
      <c r="N841" s="129"/>
      <c r="O841" s="129"/>
      <c r="P841" s="129"/>
      <c r="Q841" s="129"/>
      <c r="R841" s="129"/>
      <c r="S841" s="129"/>
      <c r="T841" s="129"/>
    </row>
    <row r="842">
      <c r="A842" s="151"/>
      <c r="B842" s="129"/>
      <c r="C842" s="129"/>
      <c r="D842" s="129"/>
      <c r="E842" s="129"/>
      <c r="F842" s="129"/>
      <c r="G842" s="129"/>
      <c r="H842" s="129"/>
      <c r="I842" s="129"/>
      <c r="J842" s="129"/>
      <c r="K842" s="129"/>
      <c r="L842" s="129"/>
      <c r="M842" s="129"/>
      <c r="N842" s="129"/>
      <c r="O842" s="129"/>
      <c r="P842" s="129"/>
      <c r="Q842" s="129"/>
      <c r="R842" s="129"/>
      <c r="S842" s="129"/>
      <c r="T842" s="129"/>
    </row>
    <row r="843">
      <c r="A843" s="151"/>
      <c r="B843" s="129"/>
      <c r="C843" s="129"/>
      <c r="D843" s="129"/>
      <c r="E843" s="129"/>
      <c r="F843" s="129"/>
      <c r="G843" s="129"/>
      <c r="H843" s="129"/>
      <c r="I843" s="129"/>
      <c r="J843" s="129"/>
      <c r="K843" s="129"/>
      <c r="L843" s="129"/>
      <c r="M843" s="129"/>
      <c r="N843" s="129"/>
      <c r="O843" s="129"/>
      <c r="P843" s="129"/>
      <c r="Q843" s="129"/>
      <c r="R843" s="129"/>
      <c r="S843" s="129"/>
      <c r="T843" s="129"/>
    </row>
    <row r="844">
      <c r="A844" s="151"/>
      <c r="B844" s="129"/>
      <c r="C844" s="129"/>
      <c r="D844" s="129"/>
      <c r="E844" s="129"/>
      <c r="F844" s="129"/>
      <c r="G844" s="129"/>
      <c r="H844" s="129"/>
      <c r="I844" s="129"/>
      <c r="J844" s="129"/>
      <c r="K844" s="129"/>
      <c r="L844" s="129"/>
      <c r="M844" s="129"/>
      <c r="N844" s="129"/>
      <c r="O844" s="129"/>
      <c r="P844" s="129"/>
      <c r="Q844" s="129"/>
      <c r="R844" s="129"/>
      <c r="S844" s="129"/>
      <c r="T844" s="129"/>
    </row>
    <row r="845">
      <c r="A845" s="151"/>
      <c r="B845" s="129"/>
      <c r="C845" s="129"/>
      <c r="D845" s="129"/>
      <c r="E845" s="129"/>
      <c r="F845" s="129"/>
      <c r="G845" s="129"/>
      <c r="H845" s="129"/>
      <c r="I845" s="129"/>
      <c r="J845" s="129"/>
      <c r="K845" s="129"/>
      <c r="L845" s="129"/>
      <c r="M845" s="129"/>
      <c r="N845" s="129"/>
      <c r="O845" s="129"/>
      <c r="P845" s="129"/>
      <c r="Q845" s="129"/>
      <c r="R845" s="129"/>
      <c r="S845" s="129"/>
      <c r="T845" s="129"/>
    </row>
    <row r="846">
      <c r="A846" s="151"/>
      <c r="B846" s="129"/>
      <c r="C846" s="129"/>
      <c r="D846" s="129"/>
      <c r="E846" s="129"/>
      <c r="F846" s="129"/>
      <c r="G846" s="129"/>
      <c r="H846" s="129"/>
      <c r="I846" s="129"/>
      <c r="J846" s="129"/>
      <c r="K846" s="129"/>
      <c r="L846" s="129"/>
      <c r="M846" s="129"/>
      <c r="N846" s="129"/>
      <c r="O846" s="129"/>
      <c r="P846" s="129"/>
      <c r="Q846" s="129"/>
      <c r="R846" s="129"/>
      <c r="S846" s="129"/>
      <c r="T846" s="129"/>
    </row>
    <row r="847">
      <c r="A847" s="151"/>
      <c r="B847" s="129"/>
      <c r="C847" s="129"/>
      <c r="D847" s="129"/>
      <c r="E847" s="129"/>
      <c r="F847" s="129"/>
      <c r="G847" s="129"/>
      <c r="H847" s="129"/>
      <c r="I847" s="129"/>
      <c r="J847" s="129"/>
      <c r="K847" s="129"/>
      <c r="L847" s="129"/>
      <c r="M847" s="129"/>
      <c r="N847" s="129"/>
      <c r="O847" s="129"/>
      <c r="P847" s="129"/>
      <c r="Q847" s="129"/>
      <c r="R847" s="129"/>
      <c r="S847" s="129"/>
      <c r="T847" s="129"/>
    </row>
    <row r="848">
      <c r="A848" s="151"/>
      <c r="B848" s="129"/>
      <c r="C848" s="129"/>
      <c r="D848" s="129"/>
      <c r="E848" s="129"/>
      <c r="F848" s="129"/>
      <c r="G848" s="129"/>
      <c r="H848" s="129"/>
      <c r="I848" s="129"/>
      <c r="J848" s="129"/>
      <c r="K848" s="129"/>
      <c r="L848" s="129"/>
      <c r="M848" s="129"/>
      <c r="N848" s="129"/>
      <c r="O848" s="129"/>
      <c r="P848" s="129"/>
      <c r="Q848" s="129"/>
      <c r="R848" s="129"/>
      <c r="S848" s="129"/>
      <c r="T848" s="129"/>
    </row>
    <row r="849">
      <c r="A849" s="151"/>
      <c r="B849" s="129"/>
      <c r="C849" s="129"/>
      <c r="D849" s="129"/>
      <c r="E849" s="129"/>
      <c r="F849" s="129"/>
      <c r="G849" s="129"/>
      <c r="H849" s="129"/>
      <c r="I849" s="129"/>
      <c r="J849" s="129"/>
      <c r="K849" s="129"/>
      <c r="L849" s="129"/>
      <c r="M849" s="129"/>
      <c r="N849" s="129"/>
      <c r="O849" s="129"/>
      <c r="P849" s="129"/>
      <c r="Q849" s="129"/>
      <c r="R849" s="129"/>
      <c r="S849" s="129"/>
      <c r="T849" s="129"/>
    </row>
    <row r="850">
      <c r="A850" s="151"/>
      <c r="B850" s="129"/>
      <c r="C850" s="129"/>
      <c r="D850" s="129"/>
      <c r="E850" s="129"/>
      <c r="F850" s="129"/>
      <c r="G850" s="129"/>
      <c r="H850" s="129"/>
      <c r="I850" s="129"/>
      <c r="J850" s="129"/>
      <c r="K850" s="129"/>
      <c r="L850" s="129"/>
      <c r="M850" s="129"/>
      <c r="N850" s="129"/>
      <c r="O850" s="129"/>
      <c r="P850" s="129"/>
      <c r="Q850" s="129"/>
      <c r="R850" s="129"/>
      <c r="S850" s="129"/>
      <c r="T850" s="129"/>
    </row>
    <row r="851">
      <c r="A851" s="151"/>
      <c r="B851" s="129"/>
      <c r="C851" s="129"/>
      <c r="D851" s="129"/>
      <c r="E851" s="129"/>
      <c r="F851" s="129"/>
      <c r="G851" s="129"/>
      <c r="H851" s="129"/>
      <c r="I851" s="129"/>
      <c r="J851" s="129"/>
      <c r="K851" s="129"/>
      <c r="L851" s="129"/>
      <c r="M851" s="129"/>
      <c r="N851" s="129"/>
      <c r="O851" s="129"/>
      <c r="P851" s="129"/>
      <c r="Q851" s="129"/>
      <c r="R851" s="129"/>
      <c r="S851" s="129"/>
      <c r="T851" s="129"/>
    </row>
    <row r="852">
      <c r="A852" s="151"/>
      <c r="B852" s="129"/>
      <c r="C852" s="129"/>
      <c r="D852" s="129"/>
      <c r="E852" s="129"/>
      <c r="F852" s="129"/>
      <c r="G852" s="129"/>
      <c r="H852" s="129"/>
      <c r="I852" s="129"/>
      <c r="J852" s="129"/>
      <c r="K852" s="129"/>
      <c r="L852" s="129"/>
      <c r="M852" s="129"/>
      <c r="N852" s="129"/>
      <c r="O852" s="129"/>
      <c r="P852" s="129"/>
      <c r="Q852" s="129"/>
      <c r="R852" s="129"/>
      <c r="S852" s="129"/>
      <c r="T852" s="129"/>
    </row>
    <row r="853">
      <c r="A853" s="151"/>
      <c r="B853" s="129"/>
      <c r="C853" s="129"/>
      <c r="D853" s="129"/>
      <c r="E853" s="129"/>
      <c r="F853" s="129"/>
      <c r="G853" s="129"/>
      <c r="H853" s="129"/>
      <c r="I853" s="129"/>
      <c r="J853" s="129"/>
      <c r="K853" s="129"/>
      <c r="L853" s="129"/>
      <c r="M853" s="129"/>
      <c r="N853" s="129"/>
      <c r="O853" s="129"/>
      <c r="P853" s="129"/>
      <c r="Q853" s="129"/>
      <c r="R853" s="129"/>
      <c r="S853" s="129"/>
      <c r="T853" s="129"/>
    </row>
    <row r="854">
      <c r="A854" s="151"/>
      <c r="B854" s="129"/>
      <c r="C854" s="129"/>
      <c r="D854" s="129"/>
      <c r="E854" s="129"/>
      <c r="F854" s="129"/>
      <c r="G854" s="129"/>
      <c r="H854" s="129"/>
      <c r="I854" s="129"/>
      <c r="J854" s="129"/>
      <c r="K854" s="129"/>
      <c r="L854" s="129"/>
      <c r="M854" s="129"/>
      <c r="N854" s="129"/>
      <c r="O854" s="129"/>
      <c r="P854" s="129"/>
      <c r="Q854" s="129"/>
      <c r="R854" s="129"/>
      <c r="S854" s="129"/>
      <c r="T854" s="129"/>
    </row>
    <row r="855">
      <c r="A855" s="151"/>
      <c r="B855" s="129"/>
      <c r="C855" s="129"/>
      <c r="D855" s="129"/>
      <c r="E855" s="129"/>
      <c r="F855" s="129"/>
      <c r="G855" s="129"/>
      <c r="H855" s="129"/>
      <c r="I855" s="129"/>
      <c r="J855" s="129"/>
      <c r="K855" s="129"/>
      <c r="L855" s="129"/>
      <c r="M855" s="129"/>
      <c r="N855" s="129"/>
      <c r="O855" s="129"/>
      <c r="P855" s="129"/>
      <c r="Q855" s="129"/>
      <c r="R855" s="129"/>
      <c r="S855" s="129"/>
      <c r="T855" s="129"/>
    </row>
    <row r="856">
      <c r="A856" s="151"/>
      <c r="B856" s="129"/>
      <c r="C856" s="129"/>
      <c r="D856" s="129"/>
      <c r="E856" s="129"/>
      <c r="F856" s="129"/>
      <c r="G856" s="129"/>
      <c r="H856" s="129"/>
      <c r="I856" s="129"/>
      <c r="J856" s="129"/>
      <c r="K856" s="129"/>
      <c r="L856" s="129"/>
      <c r="M856" s="129"/>
      <c r="N856" s="129"/>
      <c r="O856" s="129"/>
      <c r="P856" s="129"/>
      <c r="Q856" s="129"/>
      <c r="R856" s="129"/>
      <c r="S856" s="129"/>
      <c r="T856" s="129"/>
    </row>
    <row r="857">
      <c r="A857" s="151"/>
      <c r="B857" s="129"/>
      <c r="C857" s="129"/>
      <c r="D857" s="129"/>
      <c r="E857" s="129"/>
      <c r="F857" s="129"/>
      <c r="G857" s="129"/>
      <c r="H857" s="129"/>
      <c r="I857" s="129"/>
      <c r="J857" s="129"/>
      <c r="K857" s="129"/>
      <c r="L857" s="129"/>
      <c r="M857" s="129"/>
      <c r="N857" s="129"/>
      <c r="O857" s="129"/>
      <c r="P857" s="129"/>
      <c r="Q857" s="129"/>
      <c r="R857" s="129"/>
      <c r="S857" s="129"/>
      <c r="T857" s="129"/>
    </row>
    <row r="858">
      <c r="A858" s="151"/>
      <c r="B858" s="129"/>
      <c r="C858" s="129"/>
      <c r="D858" s="129"/>
      <c r="E858" s="129"/>
      <c r="F858" s="129"/>
      <c r="G858" s="129"/>
      <c r="H858" s="129"/>
      <c r="I858" s="129"/>
      <c r="J858" s="129"/>
      <c r="K858" s="129"/>
      <c r="L858" s="129"/>
      <c r="M858" s="129"/>
      <c r="N858" s="129"/>
      <c r="O858" s="129"/>
      <c r="P858" s="129"/>
      <c r="Q858" s="129"/>
      <c r="R858" s="129"/>
      <c r="S858" s="129"/>
      <c r="T858" s="129"/>
    </row>
    <row r="859">
      <c r="A859" s="151"/>
      <c r="B859" s="129"/>
      <c r="C859" s="129"/>
      <c r="D859" s="129"/>
      <c r="E859" s="129"/>
      <c r="F859" s="129"/>
      <c r="G859" s="129"/>
      <c r="H859" s="129"/>
      <c r="I859" s="129"/>
      <c r="J859" s="129"/>
      <c r="K859" s="129"/>
      <c r="L859" s="129"/>
      <c r="M859" s="129"/>
      <c r="N859" s="129"/>
      <c r="O859" s="129"/>
      <c r="P859" s="129"/>
      <c r="Q859" s="129"/>
      <c r="R859" s="129"/>
      <c r="S859" s="129"/>
      <c r="T859" s="129"/>
    </row>
    <row r="860">
      <c r="A860" s="151"/>
      <c r="B860" s="129"/>
      <c r="C860" s="129"/>
      <c r="D860" s="129"/>
      <c r="E860" s="129"/>
      <c r="F860" s="129"/>
      <c r="G860" s="129"/>
      <c r="H860" s="129"/>
      <c r="I860" s="129"/>
      <c r="J860" s="129"/>
      <c r="K860" s="129"/>
      <c r="L860" s="129"/>
      <c r="M860" s="129"/>
      <c r="N860" s="129"/>
      <c r="O860" s="129"/>
      <c r="P860" s="129"/>
      <c r="Q860" s="129"/>
      <c r="R860" s="129"/>
      <c r="S860" s="129"/>
      <c r="T860" s="129"/>
    </row>
    <row r="861">
      <c r="A861" s="151"/>
      <c r="B861" s="129"/>
      <c r="C861" s="129"/>
      <c r="D861" s="129"/>
      <c r="E861" s="129"/>
      <c r="F861" s="129"/>
      <c r="G861" s="129"/>
      <c r="H861" s="129"/>
      <c r="I861" s="129"/>
      <c r="J861" s="129"/>
      <c r="K861" s="129"/>
      <c r="L861" s="129"/>
      <c r="M861" s="129"/>
      <c r="N861" s="129"/>
      <c r="O861" s="129"/>
      <c r="P861" s="129"/>
      <c r="Q861" s="129"/>
      <c r="R861" s="129"/>
      <c r="S861" s="129"/>
      <c r="T861" s="129"/>
    </row>
    <row r="862">
      <c r="A862" s="151"/>
      <c r="B862" s="129"/>
      <c r="C862" s="129"/>
      <c r="D862" s="129"/>
      <c r="E862" s="129"/>
      <c r="F862" s="129"/>
      <c r="G862" s="129"/>
      <c r="H862" s="129"/>
      <c r="I862" s="129"/>
      <c r="J862" s="129"/>
      <c r="K862" s="129"/>
      <c r="L862" s="129"/>
      <c r="M862" s="129"/>
      <c r="N862" s="129"/>
      <c r="O862" s="129"/>
      <c r="P862" s="129"/>
      <c r="Q862" s="129"/>
      <c r="R862" s="129"/>
      <c r="S862" s="129"/>
      <c r="T862" s="129"/>
    </row>
    <row r="863">
      <c r="A863" s="151"/>
      <c r="B863" s="129"/>
      <c r="C863" s="129"/>
      <c r="D863" s="129"/>
      <c r="E863" s="129"/>
      <c r="F863" s="129"/>
      <c r="G863" s="129"/>
      <c r="H863" s="129"/>
      <c r="I863" s="129"/>
      <c r="J863" s="129"/>
      <c r="K863" s="129"/>
      <c r="L863" s="129"/>
      <c r="M863" s="129"/>
      <c r="N863" s="129"/>
      <c r="O863" s="129"/>
      <c r="P863" s="129"/>
      <c r="Q863" s="129"/>
      <c r="R863" s="129"/>
      <c r="S863" s="129"/>
      <c r="T863" s="129"/>
    </row>
    <row r="864">
      <c r="A864" s="151"/>
      <c r="B864" s="129"/>
      <c r="C864" s="129"/>
      <c r="D864" s="129"/>
      <c r="E864" s="129"/>
      <c r="F864" s="129"/>
      <c r="G864" s="129"/>
      <c r="H864" s="129"/>
      <c r="I864" s="129"/>
      <c r="J864" s="129"/>
      <c r="K864" s="129"/>
      <c r="L864" s="129"/>
      <c r="M864" s="129"/>
      <c r="N864" s="129"/>
      <c r="O864" s="129"/>
      <c r="P864" s="129"/>
      <c r="Q864" s="129"/>
      <c r="R864" s="129"/>
      <c r="S864" s="129"/>
      <c r="T864" s="129"/>
    </row>
    <row r="865">
      <c r="A865" s="151"/>
      <c r="B865" s="129"/>
      <c r="C865" s="129"/>
      <c r="D865" s="129"/>
      <c r="E865" s="129"/>
      <c r="F865" s="129"/>
      <c r="G865" s="129"/>
      <c r="H865" s="129"/>
      <c r="I865" s="129"/>
      <c r="J865" s="129"/>
      <c r="K865" s="129"/>
      <c r="L865" s="129"/>
      <c r="M865" s="129"/>
      <c r="N865" s="129"/>
      <c r="O865" s="129"/>
      <c r="P865" s="129"/>
      <c r="Q865" s="129"/>
      <c r="R865" s="129"/>
      <c r="S865" s="129"/>
      <c r="T865" s="129"/>
    </row>
    <row r="866">
      <c r="A866" s="151"/>
      <c r="B866" s="129"/>
      <c r="C866" s="129"/>
      <c r="D866" s="129"/>
      <c r="E866" s="129"/>
      <c r="F866" s="129"/>
      <c r="G866" s="129"/>
      <c r="H866" s="129"/>
      <c r="I866" s="129"/>
      <c r="J866" s="129"/>
      <c r="K866" s="129"/>
      <c r="L866" s="129"/>
      <c r="M866" s="129"/>
      <c r="N866" s="129"/>
      <c r="O866" s="129"/>
      <c r="P866" s="129"/>
      <c r="Q866" s="129"/>
      <c r="R866" s="129"/>
      <c r="S866" s="129"/>
      <c r="T866" s="129"/>
    </row>
    <row r="867">
      <c r="A867" s="151"/>
      <c r="B867" s="129"/>
      <c r="C867" s="129"/>
      <c r="D867" s="129"/>
      <c r="E867" s="129"/>
      <c r="F867" s="129"/>
      <c r="G867" s="129"/>
      <c r="H867" s="129"/>
      <c r="I867" s="129"/>
      <c r="J867" s="129"/>
      <c r="K867" s="129"/>
      <c r="L867" s="129"/>
      <c r="M867" s="129"/>
      <c r="N867" s="129"/>
      <c r="O867" s="129"/>
      <c r="P867" s="129"/>
      <c r="Q867" s="129"/>
      <c r="R867" s="129"/>
      <c r="S867" s="129"/>
      <c r="T867" s="129"/>
    </row>
    <row r="868">
      <c r="A868" s="151"/>
      <c r="B868" s="129"/>
      <c r="C868" s="129"/>
      <c r="D868" s="129"/>
      <c r="E868" s="129"/>
      <c r="F868" s="129"/>
      <c r="G868" s="129"/>
      <c r="H868" s="129"/>
      <c r="I868" s="129"/>
      <c r="J868" s="129"/>
      <c r="K868" s="129"/>
      <c r="L868" s="129"/>
      <c r="M868" s="129"/>
      <c r="N868" s="129"/>
      <c r="O868" s="129"/>
      <c r="P868" s="129"/>
      <c r="Q868" s="129"/>
      <c r="R868" s="129"/>
      <c r="S868" s="129"/>
      <c r="T868" s="129"/>
    </row>
    <row r="869">
      <c r="A869" s="151"/>
      <c r="B869" s="129"/>
      <c r="C869" s="129"/>
      <c r="D869" s="129"/>
      <c r="E869" s="129"/>
      <c r="F869" s="129"/>
      <c r="G869" s="129"/>
      <c r="H869" s="129"/>
      <c r="I869" s="129"/>
      <c r="J869" s="129"/>
      <c r="K869" s="129"/>
      <c r="L869" s="129"/>
      <c r="M869" s="129"/>
      <c r="N869" s="129"/>
      <c r="O869" s="129"/>
      <c r="P869" s="129"/>
      <c r="Q869" s="129"/>
      <c r="R869" s="129"/>
      <c r="S869" s="129"/>
      <c r="T869" s="129"/>
    </row>
    <row r="870">
      <c r="A870" s="151"/>
      <c r="B870" s="129"/>
      <c r="C870" s="129"/>
      <c r="D870" s="129"/>
      <c r="E870" s="129"/>
      <c r="F870" s="129"/>
      <c r="G870" s="129"/>
      <c r="H870" s="129"/>
      <c r="I870" s="129"/>
      <c r="J870" s="129"/>
      <c r="K870" s="129"/>
      <c r="L870" s="129"/>
      <c r="M870" s="129"/>
      <c r="N870" s="129"/>
      <c r="O870" s="129"/>
      <c r="P870" s="129"/>
      <c r="Q870" s="129"/>
      <c r="R870" s="129"/>
      <c r="S870" s="129"/>
      <c r="T870" s="129"/>
    </row>
    <row r="871">
      <c r="A871" s="151"/>
      <c r="B871" s="129"/>
      <c r="C871" s="129"/>
      <c r="D871" s="129"/>
      <c r="E871" s="129"/>
      <c r="F871" s="129"/>
      <c r="G871" s="129"/>
      <c r="H871" s="129"/>
      <c r="I871" s="129"/>
      <c r="J871" s="129"/>
      <c r="K871" s="129"/>
      <c r="L871" s="129"/>
      <c r="M871" s="129"/>
      <c r="N871" s="129"/>
      <c r="O871" s="129"/>
      <c r="P871" s="129"/>
      <c r="Q871" s="129"/>
      <c r="R871" s="129"/>
      <c r="S871" s="129"/>
      <c r="T871" s="129"/>
    </row>
    <row r="872">
      <c r="A872" s="151"/>
      <c r="B872" s="129"/>
      <c r="C872" s="129"/>
      <c r="D872" s="129"/>
      <c r="E872" s="129"/>
      <c r="F872" s="129"/>
      <c r="G872" s="129"/>
      <c r="H872" s="129"/>
      <c r="I872" s="129"/>
      <c r="J872" s="129"/>
      <c r="K872" s="129"/>
      <c r="L872" s="129"/>
      <c r="M872" s="129"/>
      <c r="N872" s="129"/>
      <c r="O872" s="129"/>
      <c r="P872" s="129"/>
      <c r="Q872" s="129"/>
      <c r="R872" s="129"/>
      <c r="S872" s="129"/>
      <c r="T872" s="129"/>
    </row>
    <row r="873">
      <c r="A873" s="151"/>
      <c r="B873" s="129"/>
      <c r="C873" s="129"/>
      <c r="D873" s="129"/>
      <c r="E873" s="129"/>
      <c r="F873" s="129"/>
      <c r="G873" s="129"/>
      <c r="H873" s="129"/>
      <c r="I873" s="129"/>
      <c r="J873" s="129"/>
      <c r="K873" s="129"/>
      <c r="L873" s="129"/>
      <c r="M873" s="129"/>
      <c r="N873" s="129"/>
      <c r="O873" s="129"/>
      <c r="P873" s="129"/>
      <c r="Q873" s="129"/>
      <c r="R873" s="129"/>
      <c r="S873" s="129"/>
      <c r="T873" s="129"/>
    </row>
    <row r="874">
      <c r="A874" s="151"/>
      <c r="B874" s="129"/>
      <c r="C874" s="129"/>
      <c r="D874" s="129"/>
      <c r="E874" s="129"/>
      <c r="F874" s="129"/>
      <c r="G874" s="129"/>
      <c r="H874" s="129"/>
      <c r="I874" s="129"/>
      <c r="J874" s="129"/>
      <c r="K874" s="129"/>
      <c r="L874" s="129"/>
      <c r="M874" s="129"/>
      <c r="N874" s="129"/>
      <c r="O874" s="129"/>
      <c r="P874" s="129"/>
      <c r="Q874" s="129"/>
      <c r="R874" s="129"/>
      <c r="S874" s="129"/>
      <c r="T874" s="129"/>
    </row>
    <row r="875">
      <c r="A875" s="151"/>
      <c r="B875" s="129"/>
      <c r="C875" s="129"/>
      <c r="D875" s="129"/>
      <c r="E875" s="129"/>
      <c r="F875" s="129"/>
      <c r="G875" s="129"/>
      <c r="H875" s="129"/>
      <c r="I875" s="129"/>
      <c r="J875" s="129"/>
      <c r="K875" s="129"/>
      <c r="L875" s="129"/>
      <c r="M875" s="129"/>
      <c r="N875" s="129"/>
      <c r="O875" s="129"/>
      <c r="P875" s="129"/>
      <c r="Q875" s="129"/>
      <c r="R875" s="129"/>
      <c r="S875" s="129"/>
      <c r="T875" s="129"/>
    </row>
    <row r="876">
      <c r="A876" s="151"/>
      <c r="B876" s="129"/>
      <c r="C876" s="129"/>
      <c r="D876" s="129"/>
      <c r="E876" s="129"/>
      <c r="F876" s="129"/>
      <c r="G876" s="129"/>
      <c r="H876" s="129"/>
      <c r="I876" s="129"/>
      <c r="J876" s="129"/>
      <c r="K876" s="129"/>
      <c r="L876" s="129"/>
      <c r="M876" s="129"/>
      <c r="N876" s="129"/>
      <c r="O876" s="129"/>
      <c r="P876" s="129"/>
      <c r="Q876" s="129"/>
      <c r="R876" s="129"/>
      <c r="S876" s="129"/>
      <c r="T876" s="129"/>
    </row>
    <row r="877">
      <c r="A877" s="151"/>
      <c r="B877" s="129"/>
      <c r="C877" s="129"/>
      <c r="D877" s="129"/>
      <c r="E877" s="129"/>
      <c r="F877" s="129"/>
      <c r="G877" s="129"/>
      <c r="H877" s="129"/>
      <c r="I877" s="129"/>
      <c r="J877" s="129"/>
      <c r="K877" s="129"/>
      <c r="L877" s="129"/>
      <c r="M877" s="129"/>
      <c r="N877" s="129"/>
      <c r="O877" s="129"/>
      <c r="P877" s="129"/>
      <c r="Q877" s="129"/>
      <c r="R877" s="129"/>
      <c r="S877" s="129"/>
      <c r="T877" s="129"/>
    </row>
    <row r="878">
      <c r="A878" s="151"/>
      <c r="B878" s="129"/>
      <c r="C878" s="129"/>
      <c r="D878" s="129"/>
      <c r="E878" s="129"/>
      <c r="F878" s="129"/>
      <c r="G878" s="129"/>
      <c r="H878" s="129"/>
      <c r="I878" s="129"/>
      <c r="J878" s="129"/>
      <c r="K878" s="129"/>
      <c r="L878" s="129"/>
      <c r="M878" s="129"/>
      <c r="N878" s="129"/>
      <c r="O878" s="129"/>
      <c r="P878" s="129"/>
      <c r="Q878" s="129"/>
      <c r="R878" s="129"/>
      <c r="S878" s="129"/>
      <c r="T878" s="129"/>
    </row>
    <row r="879">
      <c r="A879" s="151"/>
      <c r="B879" s="129"/>
      <c r="C879" s="129"/>
      <c r="D879" s="129"/>
      <c r="E879" s="129"/>
      <c r="F879" s="129"/>
      <c r="G879" s="129"/>
      <c r="H879" s="129"/>
      <c r="I879" s="129"/>
      <c r="J879" s="129"/>
      <c r="K879" s="129"/>
      <c r="L879" s="129"/>
      <c r="M879" s="129"/>
      <c r="N879" s="129"/>
      <c r="O879" s="129"/>
      <c r="P879" s="129"/>
      <c r="Q879" s="129"/>
      <c r="R879" s="129"/>
      <c r="S879" s="129"/>
      <c r="T879" s="129"/>
    </row>
    <row r="880">
      <c r="A880" s="151"/>
      <c r="B880" s="129"/>
      <c r="C880" s="129"/>
      <c r="D880" s="129"/>
      <c r="E880" s="129"/>
      <c r="F880" s="129"/>
      <c r="G880" s="129"/>
      <c r="H880" s="129"/>
      <c r="I880" s="129"/>
      <c r="J880" s="129"/>
      <c r="K880" s="129"/>
      <c r="L880" s="129"/>
      <c r="M880" s="129"/>
      <c r="N880" s="129"/>
      <c r="O880" s="129"/>
      <c r="P880" s="129"/>
      <c r="Q880" s="129"/>
      <c r="R880" s="129"/>
      <c r="S880" s="129"/>
      <c r="T880" s="129"/>
    </row>
    <row r="881">
      <c r="A881" s="151"/>
      <c r="B881" s="129"/>
      <c r="C881" s="129"/>
      <c r="D881" s="129"/>
      <c r="E881" s="129"/>
      <c r="F881" s="129"/>
      <c r="G881" s="129"/>
      <c r="H881" s="129"/>
      <c r="I881" s="129"/>
      <c r="J881" s="129"/>
      <c r="K881" s="129"/>
      <c r="L881" s="129"/>
      <c r="M881" s="129"/>
      <c r="N881" s="129"/>
      <c r="O881" s="129"/>
      <c r="P881" s="129"/>
      <c r="Q881" s="129"/>
      <c r="R881" s="129"/>
      <c r="S881" s="129"/>
      <c r="T881" s="129"/>
    </row>
    <row r="882">
      <c r="A882" s="151"/>
      <c r="B882" s="129"/>
      <c r="C882" s="129"/>
      <c r="D882" s="129"/>
      <c r="E882" s="129"/>
      <c r="F882" s="129"/>
      <c r="G882" s="129"/>
      <c r="H882" s="129"/>
      <c r="I882" s="129"/>
      <c r="J882" s="129"/>
      <c r="K882" s="129"/>
      <c r="L882" s="129"/>
      <c r="M882" s="129"/>
      <c r="N882" s="129"/>
      <c r="O882" s="129"/>
      <c r="P882" s="129"/>
      <c r="Q882" s="129"/>
      <c r="R882" s="129"/>
      <c r="S882" s="129"/>
      <c r="T882" s="129"/>
    </row>
    <row r="883">
      <c r="A883" s="151"/>
      <c r="B883" s="129"/>
      <c r="C883" s="129"/>
      <c r="D883" s="129"/>
      <c r="E883" s="129"/>
      <c r="F883" s="129"/>
      <c r="G883" s="129"/>
      <c r="H883" s="129"/>
      <c r="I883" s="129"/>
      <c r="J883" s="129"/>
      <c r="K883" s="129"/>
      <c r="L883" s="129"/>
      <c r="M883" s="129"/>
      <c r="N883" s="129"/>
      <c r="O883" s="129"/>
      <c r="P883" s="129"/>
      <c r="Q883" s="129"/>
      <c r="R883" s="129"/>
      <c r="S883" s="129"/>
      <c r="T883" s="129"/>
    </row>
    <row r="884">
      <c r="A884" s="151"/>
      <c r="B884" s="129"/>
      <c r="C884" s="129"/>
      <c r="D884" s="129"/>
      <c r="E884" s="129"/>
      <c r="F884" s="129"/>
      <c r="G884" s="129"/>
      <c r="H884" s="129"/>
      <c r="I884" s="129"/>
      <c r="J884" s="129"/>
      <c r="K884" s="129"/>
      <c r="L884" s="129"/>
      <c r="M884" s="129"/>
      <c r="N884" s="129"/>
      <c r="O884" s="129"/>
      <c r="P884" s="129"/>
      <c r="Q884" s="129"/>
      <c r="R884" s="129"/>
      <c r="S884" s="129"/>
      <c r="T884" s="129"/>
    </row>
    <row r="885">
      <c r="A885" s="151"/>
      <c r="B885" s="129"/>
      <c r="C885" s="129"/>
      <c r="D885" s="129"/>
      <c r="E885" s="129"/>
      <c r="F885" s="129"/>
      <c r="G885" s="129"/>
      <c r="H885" s="129"/>
      <c r="I885" s="129"/>
      <c r="J885" s="129"/>
      <c r="K885" s="129"/>
      <c r="L885" s="129"/>
      <c r="M885" s="129"/>
      <c r="N885" s="129"/>
      <c r="O885" s="129"/>
      <c r="P885" s="129"/>
      <c r="Q885" s="129"/>
      <c r="R885" s="129"/>
      <c r="S885" s="129"/>
      <c r="T885" s="129"/>
    </row>
    <row r="886">
      <c r="A886" s="151"/>
      <c r="B886" s="129"/>
      <c r="C886" s="129"/>
      <c r="D886" s="129"/>
      <c r="E886" s="129"/>
      <c r="F886" s="129"/>
      <c r="G886" s="129"/>
      <c r="H886" s="129"/>
      <c r="I886" s="129"/>
      <c r="J886" s="129"/>
      <c r="K886" s="129"/>
      <c r="L886" s="129"/>
      <c r="M886" s="129"/>
      <c r="N886" s="129"/>
      <c r="O886" s="129"/>
      <c r="P886" s="129"/>
      <c r="Q886" s="129"/>
      <c r="R886" s="129"/>
      <c r="S886" s="129"/>
      <c r="T886" s="129"/>
    </row>
    <row r="887">
      <c r="A887" s="151"/>
      <c r="B887" s="129"/>
      <c r="C887" s="129"/>
      <c r="D887" s="129"/>
      <c r="E887" s="129"/>
      <c r="F887" s="129"/>
      <c r="G887" s="129"/>
      <c r="H887" s="129"/>
      <c r="I887" s="129"/>
      <c r="J887" s="129"/>
      <c r="K887" s="129"/>
      <c r="L887" s="129"/>
      <c r="M887" s="129"/>
      <c r="N887" s="129"/>
      <c r="O887" s="129"/>
      <c r="P887" s="129"/>
      <c r="Q887" s="129"/>
      <c r="R887" s="129"/>
      <c r="S887" s="129"/>
      <c r="T887" s="129"/>
    </row>
    <row r="888">
      <c r="A888" s="151"/>
      <c r="B888" s="129"/>
      <c r="C888" s="129"/>
      <c r="D888" s="129"/>
      <c r="E888" s="129"/>
      <c r="F888" s="129"/>
      <c r="G888" s="129"/>
      <c r="H888" s="129"/>
      <c r="I888" s="129"/>
      <c r="J888" s="129"/>
      <c r="K888" s="129"/>
      <c r="L888" s="129"/>
      <c r="M888" s="129"/>
      <c r="N888" s="129"/>
      <c r="O888" s="129"/>
      <c r="P888" s="129"/>
      <c r="Q888" s="129"/>
      <c r="R888" s="129"/>
      <c r="S888" s="129"/>
      <c r="T888" s="129"/>
    </row>
    <row r="889">
      <c r="A889" s="151"/>
      <c r="B889" s="129"/>
      <c r="C889" s="129"/>
      <c r="D889" s="129"/>
      <c r="E889" s="129"/>
      <c r="F889" s="129"/>
      <c r="G889" s="129"/>
      <c r="H889" s="129"/>
      <c r="I889" s="129"/>
      <c r="J889" s="129"/>
      <c r="K889" s="129"/>
      <c r="L889" s="129"/>
      <c r="M889" s="129"/>
      <c r="N889" s="129"/>
      <c r="O889" s="129"/>
      <c r="P889" s="129"/>
      <c r="Q889" s="129"/>
      <c r="R889" s="129"/>
      <c r="S889" s="129"/>
      <c r="T889" s="129"/>
    </row>
    <row r="890">
      <c r="A890" s="151"/>
      <c r="B890" s="129"/>
      <c r="C890" s="129"/>
      <c r="D890" s="129"/>
      <c r="E890" s="129"/>
      <c r="F890" s="129"/>
      <c r="G890" s="129"/>
      <c r="H890" s="129"/>
      <c r="I890" s="129"/>
      <c r="J890" s="129"/>
      <c r="K890" s="129"/>
      <c r="L890" s="129"/>
      <c r="M890" s="129"/>
      <c r="N890" s="129"/>
      <c r="O890" s="129"/>
      <c r="P890" s="129"/>
      <c r="Q890" s="129"/>
      <c r="R890" s="129"/>
      <c r="S890" s="129"/>
      <c r="T890" s="129"/>
    </row>
    <row r="891">
      <c r="A891" s="151"/>
      <c r="B891" s="129"/>
      <c r="C891" s="129"/>
      <c r="D891" s="129"/>
      <c r="E891" s="129"/>
      <c r="F891" s="129"/>
      <c r="G891" s="129"/>
      <c r="H891" s="129"/>
      <c r="I891" s="129"/>
      <c r="J891" s="129"/>
      <c r="K891" s="129"/>
      <c r="L891" s="129"/>
      <c r="M891" s="129"/>
      <c r="N891" s="129"/>
      <c r="O891" s="129"/>
      <c r="P891" s="129"/>
      <c r="Q891" s="129"/>
      <c r="R891" s="129"/>
      <c r="S891" s="129"/>
      <c r="T891" s="129"/>
    </row>
    <row r="892">
      <c r="A892" s="151"/>
      <c r="B892" s="129"/>
      <c r="C892" s="129"/>
      <c r="D892" s="129"/>
      <c r="E892" s="129"/>
      <c r="F892" s="129"/>
      <c r="G892" s="129"/>
      <c r="H892" s="129"/>
      <c r="I892" s="129"/>
      <c r="J892" s="129"/>
      <c r="K892" s="129"/>
      <c r="L892" s="129"/>
      <c r="M892" s="129"/>
      <c r="N892" s="129"/>
      <c r="O892" s="129"/>
      <c r="P892" s="129"/>
      <c r="Q892" s="129"/>
      <c r="R892" s="129"/>
      <c r="S892" s="129"/>
      <c r="T892" s="129"/>
    </row>
    <row r="893">
      <c r="A893" s="151"/>
      <c r="B893" s="129"/>
      <c r="C893" s="129"/>
      <c r="D893" s="129"/>
      <c r="E893" s="129"/>
      <c r="F893" s="129"/>
      <c r="G893" s="129"/>
      <c r="H893" s="129"/>
      <c r="I893" s="129"/>
      <c r="J893" s="129"/>
      <c r="K893" s="129"/>
      <c r="L893" s="129"/>
      <c r="M893" s="129"/>
      <c r="N893" s="129"/>
      <c r="O893" s="129"/>
      <c r="P893" s="129"/>
      <c r="Q893" s="129"/>
      <c r="R893" s="129"/>
      <c r="S893" s="129"/>
      <c r="T893" s="129"/>
    </row>
    <row r="894">
      <c r="A894" s="151"/>
      <c r="B894" s="129"/>
      <c r="C894" s="129"/>
      <c r="D894" s="129"/>
      <c r="E894" s="129"/>
      <c r="F894" s="129"/>
      <c r="G894" s="129"/>
      <c r="H894" s="129"/>
      <c r="I894" s="129"/>
      <c r="J894" s="129"/>
      <c r="K894" s="129"/>
      <c r="L894" s="129"/>
      <c r="M894" s="129"/>
      <c r="N894" s="129"/>
      <c r="O894" s="129"/>
      <c r="P894" s="129"/>
      <c r="Q894" s="129"/>
      <c r="R894" s="129"/>
      <c r="S894" s="129"/>
      <c r="T894" s="129"/>
    </row>
    <row r="895">
      <c r="A895" s="151"/>
      <c r="B895" s="129"/>
      <c r="C895" s="129"/>
      <c r="D895" s="129"/>
      <c r="E895" s="129"/>
      <c r="F895" s="129"/>
      <c r="G895" s="129"/>
      <c r="H895" s="129"/>
      <c r="I895" s="129"/>
      <c r="J895" s="129"/>
      <c r="K895" s="129"/>
      <c r="L895" s="129"/>
      <c r="M895" s="129"/>
      <c r="N895" s="129"/>
      <c r="O895" s="129"/>
      <c r="P895" s="129"/>
      <c r="Q895" s="129"/>
      <c r="R895" s="129"/>
      <c r="S895" s="129"/>
      <c r="T895" s="129"/>
    </row>
    <row r="896">
      <c r="A896" s="151"/>
      <c r="B896" s="129"/>
      <c r="C896" s="129"/>
      <c r="D896" s="129"/>
      <c r="E896" s="129"/>
      <c r="F896" s="129"/>
      <c r="G896" s="129"/>
      <c r="H896" s="129"/>
      <c r="I896" s="129"/>
      <c r="J896" s="129"/>
      <c r="K896" s="129"/>
      <c r="L896" s="129"/>
      <c r="M896" s="129"/>
      <c r="N896" s="129"/>
      <c r="O896" s="129"/>
      <c r="P896" s="129"/>
      <c r="Q896" s="129"/>
      <c r="R896" s="129"/>
      <c r="S896" s="129"/>
      <c r="T896" s="129"/>
    </row>
    <row r="897">
      <c r="A897" s="151"/>
      <c r="B897" s="129"/>
      <c r="C897" s="129"/>
      <c r="D897" s="129"/>
      <c r="E897" s="129"/>
      <c r="F897" s="129"/>
      <c r="G897" s="129"/>
      <c r="H897" s="129"/>
      <c r="I897" s="129"/>
      <c r="J897" s="129"/>
      <c r="K897" s="129"/>
      <c r="L897" s="129"/>
      <c r="M897" s="129"/>
      <c r="N897" s="129"/>
      <c r="O897" s="129"/>
      <c r="P897" s="129"/>
      <c r="Q897" s="129"/>
      <c r="R897" s="129"/>
      <c r="S897" s="129"/>
      <c r="T897" s="129"/>
    </row>
    <row r="898">
      <c r="A898" s="151"/>
      <c r="B898" s="129"/>
      <c r="C898" s="129"/>
      <c r="D898" s="129"/>
      <c r="E898" s="129"/>
      <c r="F898" s="129"/>
      <c r="G898" s="129"/>
      <c r="H898" s="129"/>
      <c r="I898" s="129"/>
      <c r="J898" s="129"/>
      <c r="K898" s="129"/>
      <c r="L898" s="129"/>
      <c r="M898" s="129"/>
      <c r="N898" s="129"/>
      <c r="O898" s="129"/>
      <c r="P898" s="129"/>
      <c r="Q898" s="129"/>
      <c r="R898" s="129"/>
      <c r="S898" s="129"/>
      <c r="T898" s="129"/>
    </row>
    <row r="899">
      <c r="A899" s="151"/>
      <c r="B899" s="129"/>
      <c r="C899" s="129"/>
      <c r="D899" s="129"/>
      <c r="E899" s="129"/>
      <c r="F899" s="129"/>
      <c r="G899" s="129"/>
      <c r="H899" s="129"/>
      <c r="I899" s="129"/>
      <c r="J899" s="129"/>
      <c r="K899" s="129"/>
      <c r="L899" s="129"/>
      <c r="M899" s="129"/>
      <c r="N899" s="129"/>
      <c r="O899" s="129"/>
      <c r="P899" s="129"/>
      <c r="Q899" s="129"/>
      <c r="R899" s="129"/>
      <c r="S899" s="129"/>
      <c r="T899" s="129"/>
    </row>
    <row r="900">
      <c r="A900" s="151"/>
      <c r="B900" s="129"/>
      <c r="C900" s="129"/>
      <c r="D900" s="129"/>
      <c r="E900" s="129"/>
      <c r="F900" s="129"/>
      <c r="G900" s="129"/>
      <c r="H900" s="129"/>
      <c r="I900" s="129"/>
      <c r="J900" s="129"/>
      <c r="K900" s="129"/>
      <c r="L900" s="129"/>
      <c r="M900" s="129"/>
      <c r="N900" s="129"/>
      <c r="O900" s="129"/>
      <c r="P900" s="129"/>
      <c r="Q900" s="129"/>
      <c r="R900" s="129"/>
      <c r="S900" s="129"/>
      <c r="T900" s="129"/>
    </row>
    <row r="901">
      <c r="A901" s="151"/>
      <c r="B901" s="129"/>
      <c r="C901" s="129"/>
      <c r="D901" s="129"/>
      <c r="E901" s="129"/>
      <c r="F901" s="129"/>
      <c r="G901" s="129"/>
      <c r="H901" s="129"/>
      <c r="I901" s="129"/>
      <c r="J901" s="129"/>
      <c r="K901" s="129"/>
      <c r="L901" s="129"/>
      <c r="M901" s="129"/>
      <c r="N901" s="129"/>
      <c r="O901" s="129"/>
      <c r="P901" s="129"/>
      <c r="Q901" s="129"/>
      <c r="R901" s="129"/>
      <c r="S901" s="129"/>
      <c r="T901" s="129"/>
    </row>
    <row r="902">
      <c r="A902" s="151"/>
      <c r="B902" s="129"/>
      <c r="C902" s="129"/>
      <c r="D902" s="129"/>
      <c r="E902" s="129"/>
      <c r="F902" s="129"/>
      <c r="G902" s="129"/>
      <c r="H902" s="129"/>
      <c r="I902" s="129"/>
      <c r="J902" s="129"/>
      <c r="K902" s="129"/>
      <c r="L902" s="129"/>
      <c r="M902" s="129"/>
      <c r="N902" s="129"/>
      <c r="O902" s="129"/>
      <c r="P902" s="129"/>
      <c r="Q902" s="129"/>
      <c r="R902" s="129"/>
      <c r="S902" s="129"/>
      <c r="T902" s="129"/>
    </row>
    <row r="903">
      <c r="A903" s="151"/>
      <c r="B903" s="129"/>
      <c r="C903" s="129"/>
      <c r="D903" s="129"/>
      <c r="E903" s="129"/>
      <c r="F903" s="129"/>
      <c r="G903" s="129"/>
      <c r="H903" s="129"/>
      <c r="I903" s="129"/>
      <c r="J903" s="129"/>
      <c r="K903" s="129"/>
      <c r="L903" s="129"/>
      <c r="M903" s="129"/>
      <c r="N903" s="129"/>
      <c r="O903" s="129"/>
      <c r="P903" s="129"/>
      <c r="Q903" s="129"/>
      <c r="R903" s="129"/>
      <c r="S903" s="129"/>
      <c r="T903" s="129"/>
    </row>
    <row r="904">
      <c r="A904" s="151"/>
      <c r="B904" s="129"/>
      <c r="C904" s="129"/>
      <c r="D904" s="129"/>
      <c r="E904" s="129"/>
      <c r="F904" s="129"/>
      <c r="G904" s="129"/>
      <c r="H904" s="129"/>
      <c r="I904" s="129"/>
      <c r="J904" s="129"/>
      <c r="K904" s="129"/>
      <c r="L904" s="129"/>
      <c r="M904" s="129"/>
      <c r="N904" s="129"/>
      <c r="O904" s="129"/>
      <c r="P904" s="129"/>
      <c r="Q904" s="129"/>
      <c r="R904" s="129"/>
      <c r="S904" s="129"/>
      <c r="T904" s="129"/>
    </row>
    <row r="905">
      <c r="A905" s="151"/>
      <c r="B905" s="129"/>
      <c r="C905" s="129"/>
      <c r="D905" s="129"/>
      <c r="E905" s="129"/>
      <c r="F905" s="129"/>
      <c r="G905" s="129"/>
      <c r="H905" s="129"/>
      <c r="I905" s="129"/>
      <c r="J905" s="129"/>
      <c r="K905" s="129"/>
      <c r="L905" s="129"/>
      <c r="M905" s="129"/>
      <c r="N905" s="129"/>
      <c r="O905" s="129"/>
      <c r="P905" s="129"/>
      <c r="Q905" s="129"/>
      <c r="R905" s="129"/>
      <c r="S905" s="129"/>
      <c r="T905" s="129"/>
    </row>
    <row r="906">
      <c r="A906" s="151"/>
      <c r="B906" s="129"/>
      <c r="C906" s="129"/>
      <c r="D906" s="129"/>
      <c r="E906" s="129"/>
      <c r="F906" s="129"/>
      <c r="G906" s="129"/>
      <c r="H906" s="129"/>
      <c r="I906" s="129"/>
      <c r="J906" s="129"/>
      <c r="K906" s="129"/>
      <c r="L906" s="129"/>
      <c r="M906" s="129"/>
      <c r="N906" s="129"/>
      <c r="O906" s="129"/>
      <c r="P906" s="129"/>
      <c r="Q906" s="129"/>
      <c r="R906" s="129"/>
      <c r="S906" s="129"/>
      <c r="T906" s="129"/>
    </row>
    <row r="907">
      <c r="A907" s="151"/>
      <c r="B907" s="129"/>
      <c r="C907" s="129"/>
      <c r="D907" s="129"/>
      <c r="E907" s="129"/>
      <c r="F907" s="129"/>
      <c r="G907" s="129"/>
      <c r="H907" s="129"/>
      <c r="I907" s="129"/>
      <c r="J907" s="129"/>
      <c r="K907" s="129"/>
      <c r="L907" s="129"/>
      <c r="M907" s="129"/>
      <c r="N907" s="129"/>
      <c r="O907" s="129"/>
      <c r="P907" s="129"/>
      <c r="Q907" s="129"/>
      <c r="R907" s="129"/>
      <c r="S907" s="129"/>
      <c r="T907" s="129"/>
    </row>
    <row r="908">
      <c r="A908" s="151"/>
      <c r="B908" s="129"/>
      <c r="C908" s="129"/>
      <c r="D908" s="129"/>
      <c r="E908" s="129"/>
      <c r="F908" s="129"/>
      <c r="G908" s="129"/>
      <c r="H908" s="129"/>
      <c r="I908" s="129"/>
      <c r="J908" s="129"/>
      <c r="K908" s="129"/>
      <c r="L908" s="129"/>
      <c r="M908" s="129"/>
      <c r="N908" s="129"/>
      <c r="O908" s="129"/>
      <c r="P908" s="129"/>
      <c r="Q908" s="129"/>
      <c r="R908" s="129"/>
      <c r="S908" s="129"/>
      <c r="T908" s="129"/>
    </row>
    <row r="909">
      <c r="A909" s="151"/>
      <c r="B909" s="129"/>
      <c r="C909" s="129"/>
      <c r="D909" s="129"/>
      <c r="E909" s="129"/>
      <c r="F909" s="129"/>
      <c r="G909" s="129"/>
      <c r="H909" s="129"/>
      <c r="I909" s="129"/>
      <c r="J909" s="129"/>
      <c r="K909" s="129"/>
      <c r="L909" s="129"/>
      <c r="M909" s="129"/>
      <c r="N909" s="129"/>
      <c r="O909" s="129"/>
      <c r="P909" s="129"/>
      <c r="Q909" s="129"/>
      <c r="R909" s="129"/>
      <c r="S909" s="129"/>
      <c r="T909" s="129"/>
    </row>
    <row r="910">
      <c r="A910" s="151"/>
      <c r="B910" s="129"/>
      <c r="C910" s="129"/>
      <c r="D910" s="129"/>
      <c r="E910" s="129"/>
      <c r="F910" s="129"/>
      <c r="G910" s="129"/>
      <c r="H910" s="129"/>
      <c r="I910" s="129"/>
      <c r="J910" s="129"/>
      <c r="K910" s="129"/>
      <c r="L910" s="129"/>
      <c r="M910" s="129"/>
      <c r="N910" s="129"/>
      <c r="O910" s="129"/>
      <c r="P910" s="129"/>
      <c r="Q910" s="129"/>
      <c r="R910" s="129"/>
      <c r="S910" s="129"/>
      <c r="T910" s="129"/>
    </row>
    <row r="911">
      <c r="A911" s="151"/>
      <c r="B911" s="129"/>
      <c r="C911" s="129"/>
      <c r="D911" s="129"/>
      <c r="E911" s="129"/>
      <c r="F911" s="129"/>
      <c r="G911" s="129"/>
      <c r="H911" s="129"/>
      <c r="I911" s="129"/>
      <c r="J911" s="129"/>
      <c r="K911" s="129"/>
      <c r="L911" s="129"/>
      <c r="M911" s="129"/>
      <c r="N911" s="129"/>
      <c r="O911" s="129"/>
      <c r="P911" s="129"/>
      <c r="Q911" s="129"/>
      <c r="R911" s="129"/>
      <c r="S911" s="129"/>
      <c r="T911" s="129"/>
    </row>
    <row r="912">
      <c r="A912" s="151"/>
      <c r="B912" s="129"/>
      <c r="C912" s="129"/>
      <c r="D912" s="129"/>
      <c r="E912" s="129"/>
      <c r="F912" s="129"/>
      <c r="G912" s="129"/>
      <c r="H912" s="129"/>
      <c r="I912" s="129"/>
      <c r="J912" s="129"/>
      <c r="K912" s="129"/>
      <c r="L912" s="129"/>
      <c r="M912" s="129"/>
      <c r="N912" s="129"/>
      <c r="O912" s="129"/>
      <c r="P912" s="129"/>
      <c r="Q912" s="129"/>
      <c r="R912" s="129"/>
      <c r="S912" s="129"/>
      <c r="T912" s="129"/>
    </row>
    <row r="913">
      <c r="A913" s="151"/>
      <c r="B913" s="129"/>
      <c r="C913" s="129"/>
      <c r="D913" s="129"/>
      <c r="E913" s="129"/>
      <c r="F913" s="129"/>
      <c r="G913" s="129"/>
      <c r="H913" s="129"/>
      <c r="I913" s="129"/>
      <c r="J913" s="129"/>
      <c r="K913" s="129"/>
      <c r="L913" s="129"/>
      <c r="M913" s="129"/>
      <c r="N913" s="129"/>
      <c r="O913" s="129"/>
      <c r="P913" s="129"/>
      <c r="Q913" s="129"/>
      <c r="R913" s="129"/>
      <c r="S913" s="129"/>
      <c r="T913" s="129"/>
    </row>
    <row r="914">
      <c r="A914" s="151"/>
      <c r="B914" s="129"/>
      <c r="C914" s="129"/>
      <c r="D914" s="129"/>
      <c r="E914" s="129"/>
      <c r="F914" s="129"/>
      <c r="G914" s="129"/>
      <c r="H914" s="129"/>
      <c r="I914" s="129"/>
      <c r="J914" s="129"/>
      <c r="K914" s="129"/>
      <c r="L914" s="129"/>
      <c r="M914" s="129"/>
      <c r="N914" s="129"/>
      <c r="O914" s="129"/>
      <c r="P914" s="129"/>
      <c r="Q914" s="129"/>
      <c r="R914" s="129"/>
      <c r="S914" s="129"/>
      <c r="T914" s="129"/>
    </row>
    <row r="915">
      <c r="A915" s="151"/>
      <c r="B915" s="129"/>
      <c r="C915" s="129"/>
      <c r="D915" s="129"/>
      <c r="E915" s="129"/>
      <c r="F915" s="129"/>
      <c r="G915" s="129"/>
      <c r="H915" s="129"/>
      <c r="I915" s="129"/>
      <c r="J915" s="129"/>
      <c r="K915" s="129"/>
      <c r="L915" s="129"/>
      <c r="M915" s="129"/>
      <c r="N915" s="129"/>
      <c r="O915" s="129"/>
      <c r="P915" s="129"/>
      <c r="Q915" s="129"/>
      <c r="R915" s="129"/>
      <c r="S915" s="129"/>
      <c r="T915" s="129"/>
    </row>
    <row r="916">
      <c r="A916" s="151"/>
      <c r="B916" s="129"/>
      <c r="C916" s="129"/>
      <c r="D916" s="129"/>
      <c r="E916" s="129"/>
      <c r="F916" s="129"/>
      <c r="G916" s="129"/>
      <c r="H916" s="129"/>
      <c r="I916" s="129"/>
      <c r="J916" s="129"/>
      <c r="K916" s="129"/>
      <c r="L916" s="129"/>
      <c r="M916" s="129"/>
      <c r="N916" s="129"/>
      <c r="O916" s="129"/>
      <c r="P916" s="129"/>
      <c r="Q916" s="129"/>
      <c r="R916" s="129"/>
      <c r="S916" s="129"/>
      <c r="T916" s="129"/>
    </row>
    <row r="917">
      <c r="A917" s="151"/>
      <c r="B917" s="129"/>
      <c r="C917" s="129"/>
      <c r="D917" s="129"/>
      <c r="E917" s="129"/>
      <c r="F917" s="129"/>
      <c r="G917" s="129"/>
      <c r="H917" s="129"/>
      <c r="I917" s="129"/>
      <c r="J917" s="129"/>
      <c r="K917" s="129"/>
      <c r="L917" s="129"/>
      <c r="M917" s="129"/>
      <c r="N917" s="129"/>
      <c r="O917" s="129"/>
      <c r="P917" s="129"/>
      <c r="Q917" s="129"/>
      <c r="R917" s="129"/>
      <c r="S917" s="129"/>
      <c r="T917" s="129"/>
    </row>
    <row r="918">
      <c r="A918" s="151"/>
      <c r="B918" s="129"/>
      <c r="C918" s="129"/>
      <c r="D918" s="129"/>
      <c r="E918" s="129"/>
      <c r="F918" s="129"/>
      <c r="G918" s="129"/>
      <c r="H918" s="129"/>
      <c r="I918" s="129"/>
      <c r="J918" s="129"/>
      <c r="K918" s="129"/>
      <c r="L918" s="129"/>
      <c r="M918" s="129"/>
      <c r="N918" s="129"/>
      <c r="O918" s="129"/>
      <c r="P918" s="129"/>
      <c r="Q918" s="129"/>
      <c r="R918" s="129"/>
      <c r="S918" s="129"/>
      <c r="T918" s="129"/>
    </row>
    <row r="919">
      <c r="A919" s="151"/>
      <c r="B919" s="129"/>
      <c r="C919" s="129"/>
      <c r="D919" s="129"/>
      <c r="E919" s="129"/>
      <c r="F919" s="129"/>
      <c r="G919" s="129"/>
      <c r="H919" s="129"/>
      <c r="I919" s="129"/>
      <c r="J919" s="129"/>
      <c r="K919" s="129"/>
      <c r="L919" s="129"/>
      <c r="M919" s="129"/>
      <c r="N919" s="129"/>
      <c r="O919" s="129"/>
      <c r="P919" s="129"/>
      <c r="Q919" s="129"/>
      <c r="R919" s="129"/>
      <c r="S919" s="129"/>
      <c r="T919" s="129"/>
    </row>
    <row r="920">
      <c r="A920" s="151"/>
      <c r="B920" s="129"/>
      <c r="C920" s="129"/>
      <c r="D920" s="129"/>
      <c r="E920" s="129"/>
      <c r="F920" s="129"/>
      <c r="G920" s="129"/>
      <c r="H920" s="129"/>
      <c r="I920" s="129"/>
      <c r="J920" s="129"/>
      <c r="K920" s="129"/>
      <c r="L920" s="129"/>
      <c r="M920" s="129"/>
      <c r="N920" s="129"/>
      <c r="O920" s="129"/>
      <c r="P920" s="129"/>
      <c r="Q920" s="129"/>
      <c r="R920" s="129"/>
      <c r="S920" s="129"/>
      <c r="T920" s="129"/>
    </row>
    <row r="921">
      <c r="A921" s="151"/>
      <c r="B921" s="129"/>
      <c r="C921" s="129"/>
      <c r="D921" s="129"/>
      <c r="E921" s="129"/>
      <c r="F921" s="129"/>
      <c r="G921" s="129"/>
      <c r="H921" s="129"/>
      <c r="I921" s="129"/>
      <c r="J921" s="129"/>
      <c r="K921" s="129"/>
      <c r="L921" s="129"/>
      <c r="M921" s="129"/>
      <c r="N921" s="129"/>
      <c r="O921" s="129"/>
      <c r="P921" s="129"/>
      <c r="Q921" s="129"/>
      <c r="R921" s="129"/>
      <c r="S921" s="129"/>
      <c r="T921" s="129"/>
    </row>
    <row r="922">
      <c r="A922" s="151"/>
      <c r="B922" s="129"/>
      <c r="C922" s="129"/>
      <c r="D922" s="129"/>
      <c r="E922" s="129"/>
      <c r="F922" s="129"/>
      <c r="G922" s="129"/>
      <c r="H922" s="129"/>
      <c r="I922" s="129"/>
      <c r="J922" s="129"/>
      <c r="K922" s="129"/>
      <c r="L922" s="129"/>
      <c r="M922" s="129"/>
      <c r="N922" s="129"/>
      <c r="O922" s="129"/>
      <c r="P922" s="129"/>
      <c r="Q922" s="129"/>
      <c r="R922" s="129"/>
      <c r="S922" s="129"/>
      <c r="T922" s="129"/>
    </row>
    <row r="923">
      <c r="A923" s="151"/>
      <c r="B923" s="129"/>
      <c r="C923" s="129"/>
      <c r="D923" s="129"/>
      <c r="E923" s="129"/>
      <c r="F923" s="129"/>
      <c r="G923" s="129"/>
      <c r="H923" s="129"/>
      <c r="I923" s="129"/>
      <c r="J923" s="129"/>
      <c r="K923" s="129"/>
      <c r="L923" s="129"/>
      <c r="M923" s="129"/>
      <c r="N923" s="129"/>
      <c r="O923" s="129"/>
      <c r="P923" s="129"/>
      <c r="Q923" s="129"/>
      <c r="R923" s="129"/>
      <c r="S923" s="129"/>
      <c r="T923" s="129"/>
    </row>
    <row r="924">
      <c r="A924" s="151"/>
      <c r="B924" s="129"/>
      <c r="C924" s="129"/>
      <c r="D924" s="129"/>
      <c r="E924" s="129"/>
      <c r="F924" s="129"/>
      <c r="G924" s="129"/>
      <c r="H924" s="129"/>
      <c r="I924" s="129"/>
      <c r="J924" s="129"/>
      <c r="K924" s="129"/>
      <c r="L924" s="129"/>
      <c r="M924" s="129"/>
      <c r="N924" s="129"/>
      <c r="O924" s="129"/>
      <c r="P924" s="129"/>
      <c r="Q924" s="129"/>
      <c r="R924" s="129"/>
      <c r="S924" s="129"/>
      <c r="T924" s="129"/>
    </row>
    <row r="925">
      <c r="A925" s="151"/>
      <c r="B925" s="129"/>
      <c r="C925" s="129"/>
      <c r="D925" s="129"/>
      <c r="E925" s="129"/>
      <c r="F925" s="129"/>
      <c r="G925" s="129"/>
      <c r="H925" s="129"/>
      <c r="I925" s="129"/>
      <c r="J925" s="129"/>
      <c r="K925" s="129"/>
      <c r="L925" s="129"/>
      <c r="M925" s="129"/>
      <c r="N925" s="129"/>
      <c r="O925" s="129"/>
      <c r="P925" s="129"/>
      <c r="Q925" s="129"/>
      <c r="R925" s="129"/>
      <c r="S925" s="129"/>
      <c r="T925" s="129"/>
    </row>
    <row r="926">
      <c r="A926" s="151"/>
      <c r="B926" s="129"/>
      <c r="C926" s="129"/>
      <c r="D926" s="129"/>
      <c r="E926" s="129"/>
      <c r="F926" s="129"/>
      <c r="G926" s="129"/>
      <c r="H926" s="129"/>
      <c r="I926" s="129"/>
      <c r="J926" s="129"/>
      <c r="K926" s="129"/>
      <c r="L926" s="129"/>
      <c r="M926" s="129"/>
      <c r="N926" s="129"/>
      <c r="O926" s="129"/>
      <c r="P926" s="129"/>
      <c r="Q926" s="129"/>
      <c r="R926" s="129"/>
      <c r="S926" s="129"/>
      <c r="T926" s="129"/>
    </row>
    <row r="927">
      <c r="A927" s="151"/>
      <c r="B927" s="129"/>
      <c r="C927" s="129"/>
      <c r="D927" s="129"/>
      <c r="E927" s="129"/>
      <c r="F927" s="129"/>
      <c r="G927" s="129"/>
      <c r="H927" s="129"/>
      <c r="I927" s="129"/>
      <c r="J927" s="129"/>
      <c r="K927" s="129"/>
      <c r="L927" s="129"/>
      <c r="M927" s="129"/>
      <c r="N927" s="129"/>
      <c r="O927" s="129"/>
      <c r="P927" s="129"/>
      <c r="Q927" s="129"/>
      <c r="R927" s="129"/>
      <c r="S927" s="129"/>
      <c r="T927" s="129"/>
    </row>
    <row r="928">
      <c r="A928" s="151"/>
      <c r="B928" s="129"/>
      <c r="C928" s="129"/>
      <c r="D928" s="129"/>
      <c r="E928" s="129"/>
      <c r="F928" s="129"/>
      <c r="G928" s="129"/>
      <c r="H928" s="129"/>
      <c r="I928" s="129"/>
      <c r="J928" s="129"/>
      <c r="K928" s="129"/>
      <c r="L928" s="129"/>
      <c r="M928" s="129"/>
      <c r="N928" s="129"/>
      <c r="O928" s="129"/>
      <c r="P928" s="129"/>
      <c r="Q928" s="129"/>
      <c r="R928" s="129"/>
      <c r="S928" s="129"/>
      <c r="T928" s="129"/>
    </row>
    <row r="929">
      <c r="A929" s="151"/>
      <c r="B929" s="129"/>
      <c r="C929" s="129"/>
      <c r="D929" s="129"/>
      <c r="E929" s="129"/>
      <c r="F929" s="129"/>
      <c r="G929" s="129"/>
      <c r="H929" s="129"/>
      <c r="I929" s="129"/>
      <c r="J929" s="129"/>
      <c r="K929" s="129"/>
      <c r="L929" s="129"/>
      <c r="M929" s="129"/>
      <c r="N929" s="129"/>
      <c r="O929" s="129"/>
      <c r="P929" s="129"/>
      <c r="Q929" s="129"/>
      <c r="R929" s="129"/>
      <c r="S929" s="129"/>
      <c r="T929" s="129"/>
    </row>
    <row r="930">
      <c r="A930" s="151"/>
      <c r="B930" s="129"/>
      <c r="C930" s="129"/>
      <c r="D930" s="129"/>
      <c r="E930" s="129"/>
      <c r="F930" s="129"/>
      <c r="G930" s="129"/>
      <c r="H930" s="129"/>
      <c r="I930" s="129"/>
      <c r="J930" s="129"/>
      <c r="K930" s="129"/>
      <c r="L930" s="129"/>
      <c r="M930" s="129"/>
      <c r="N930" s="129"/>
      <c r="O930" s="129"/>
      <c r="P930" s="129"/>
      <c r="Q930" s="129"/>
      <c r="R930" s="129"/>
      <c r="S930" s="129"/>
      <c r="T930" s="129"/>
    </row>
    <row r="931">
      <c r="A931" s="151"/>
      <c r="B931" s="129"/>
      <c r="C931" s="129"/>
      <c r="D931" s="129"/>
      <c r="E931" s="129"/>
      <c r="F931" s="129"/>
      <c r="G931" s="129"/>
      <c r="H931" s="129"/>
      <c r="I931" s="129"/>
      <c r="J931" s="129"/>
      <c r="K931" s="129"/>
      <c r="L931" s="129"/>
      <c r="M931" s="129"/>
      <c r="N931" s="129"/>
      <c r="O931" s="129"/>
      <c r="P931" s="129"/>
      <c r="Q931" s="129"/>
      <c r="R931" s="129"/>
      <c r="S931" s="129"/>
      <c r="T931" s="129"/>
    </row>
    <row r="932">
      <c r="A932" s="151"/>
      <c r="B932" s="129"/>
      <c r="C932" s="129"/>
      <c r="D932" s="129"/>
      <c r="E932" s="129"/>
      <c r="F932" s="129"/>
      <c r="G932" s="129"/>
      <c r="H932" s="129"/>
      <c r="I932" s="129"/>
      <c r="J932" s="129"/>
      <c r="K932" s="129"/>
      <c r="L932" s="129"/>
      <c r="M932" s="129"/>
      <c r="N932" s="129"/>
      <c r="O932" s="129"/>
      <c r="P932" s="129"/>
      <c r="Q932" s="129"/>
      <c r="R932" s="129"/>
      <c r="S932" s="129"/>
      <c r="T932" s="129"/>
    </row>
    <row r="933">
      <c r="A933" s="151"/>
      <c r="B933" s="129"/>
      <c r="C933" s="129"/>
      <c r="D933" s="129"/>
      <c r="E933" s="129"/>
      <c r="F933" s="129"/>
      <c r="G933" s="129"/>
      <c r="H933" s="129"/>
      <c r="I933" s="129"/>
      <c r="J933" s="129"/>
      <c r="K933" s="129"/>
      <c r="L933" s="129"/>
      <c r="M933" s="129"/>
      <c r="N933" s="129"/>
      <c r="O933" s="129"/>
      <c r="P933" s="129"/>
      <c r="Q933" s="129"/>
      <c r="R933" s="129"/>
      <c r="S933" s="129"/>
      <c r="T933" s="129"/>
    </row>
    <row r="934">
      <c r="A934" s="151"/>
      <c r="B934" s="129"/>
      <c r="C934" s="129"/>
      <c r="D934" s="129"/>
      <c r="E934" s="129"/>
      <c r="F934" s="129"/>
      <c r="G934" s="129"/>
      <c r="H934" s="129"/>
      <c r="I934" s="129"/>
      <c r="J934" s="129"/>
      <c r="K934" s="129"/>
      <c r="L934" s="129"/>
      <c r="M934" s="129"/>
      <c r="N934" s="129"/>
      <c r="O934" s="129"/>
      <c r="P934" s="129"/>
      <c r="Q934" s="129"/>
      <c r="R934" s="129"/>
      <c r="S934" s="129"/>
      <c r="T934" s="129"/>
    </row>
    <row r="935">
      <c r="A935" s="151"/>
      <c r="B935" s="129"/>
      <c r="C935" s="129"/>
      <c r="D935" s="129"/>
      <c r="E935" s="129"/>
      <c r="F935" s="129"/>
      <c r="G935" s="129"/>
      <c r="H935" s="129"/>
      <c r="I935" s="129"/>
      <c r="J935" s="129"/>
      <c r="K935" s="129"/>
      <c r="L935" s="129"/>
      <c r="M935" s="129"/>
      <c r="N935" s="129"/>
      <c r="O935" s="129"/>
      <c r="P935" s="129"/>
      <c r="Q935" s="129"/>
      <c r="R935" s="129"/>
      <c r="S935" s="129"/>
      <c r="T935" s="129"/>
    </row>
    <row r="936">
      <c r="A936" s="151"/>
      <c r="B936" s="129"/>
      <c r="C936" s="129"/>
      <c r="D936" s="129"/>
      <c r="E936" s="129"/>
      <c r="F936" s="129"/>
      <c r="G936" s="129"/>
      <c r="H936" s="129"/>
      <c r="I936" s="129"/>
      <c r="J936" s="129"/>
      <c r="K936" s="129"/>
      <c r="L936" s="129"/>
      <c r="M936" s="129"/>
      <c r="N936" s="129"/>
      <c r="O936" s="129"/>
      <c r="P936" s="129"/>
      <c r="Q936" s="129"/>
      <c r="R936" s="129"/>
      <c r="S936" s="129"/>
      <c r="T936" s="129"/>
    </row>
    <row r="937">
      <c r="A937" s="151"/>
      <c r="B937" s="129"/>
      <c r="C937" s="129"/>
      <c r="D937" s="129"/>
      <c r="E937" s="129"/>
      <c r="F937" s="129"/>
      <c r="G937" s="129"/>
      <c r="H937" s="129"/>
      <c r="I937" s="129"/>
      <c r="J937" s="129"/>
      <c r="K937" s="129"/>
      <c r="L937" s="129"/>
      <c r="M937" s="129"/>
      <c r="N937" s="129"/>
      <c r="O937" s="129"/>
      <c r="P937" s="129"/>
      <c r="Q937" s="129"/>
      <c r="R937" s="129"/>
      <c r="S937" s="129"/>
      <c r="T937" s="129"/>
    </row>
    <row r="938">
      <c r="A938" s="151"/>
      <c r="B938" s="129"/>
      <c r="C938" s="129"/>
      <c r="D938" s="129"/>
      <c r="E938" s="129"/>
      <c r="F938" s="129"/>
      <c r="G938" s="129"/>
      <c r="H938" s="129"/>
      <c r="I938" s="129"/>
      <c r="J938" s="129"/>
      <c r="K938" s="129"/>
      <c r="L938" s="129"/>
      <c r="M938" s="129"/>
      <c r="N938" s="129"/>
      <c r="O938" s="129"/>
      <c r="P938" s="129"/>
      <c r="Q938" s="129"/>
      <c r="R938" s="129"/>
      <c r="S938" s="129"/>
      <c r="T938" s="129"/>
    </row>
    <row r="939">
      <c r="A939" s="151"/>
      <c r="B939" s="129"/>
      <c r="C939" s="129"/>
      <c r="D939" s="129"/>
      <c r="E939" s="129"/>
      <c r="F939" s="129"/>
      <c r="G939" s="129"/>
      <c r="H939" s="129"/>
      <c r="I939" s="129"/>
      <c r="J939" s="129"/>
      <c r="K939" s="129"/>
      <c r="L939" s="129"/>
      <c r="M939" s="129"/>
      <c r="N939" s="129"/>
      <c r="O939" s="129"/>
      <c r="P939" s="129"/>
      <c r="Q939" s="129"/>
      <c r="R939" s="129"/>
      <c r="S939" s="129"/>
      <c r="T939" s="129"/>
    </row>
    <row r="940">
      <c r="A940" s="151"/>
      <c r="B940" s="129"/>
      <c r="C940" s="129"/>
      <c r="D940" s="129"/>
      <c r="E940" s="129"/>
      <c r="F940" s="129"/>
      <c r="G940" s="129"/>
      <c r="H940" s="129"/>
      <c r="I940" s="129"/>
      <c r="J940" s="129"/>
      <c r="K940" s="129"/>
      <c r="L940" s="129"/>
      <c r="M940" s="129"/>
      <c r="N940" s="129"/>
      <c r="O940" s="129"/>
      <c r="P940" s="129"/>
      <c r="Q940" s="129"/>
      <c r="R940" s="129"/>
      <c r="S940" s="129"/>
      <c r="T940" s="129"/>
    </row>
    <row r="941">
      <c r="A941" s="151"/>
      <c r="B941" s="129"/>
      <c r="C941" s="129"/>
      <c r="D941" s="129"/>
      <c r="E941" s="129"/>
      <c r="F941" s="129"/>
      <c r="G941" s="129"/>
      <c r="H941" s="129"/>
      <c r="I941" s="129"/>
      <c r="J941" s="129"/>
      <c r="K941" s="129"/>
      <c r="L941" s="129"/>
      <c r="M941" s="129"/>
      <c r="N941" s="129"/>
      <c r="O941" s="129"/>
      <c r="P941" s="129"/>
      <c r="Q941" s="129"/>
      <c r="R941" s="129"/>
      <c r="S941" s="129"/>
      <c r="T941" s="129"/>
    </row>
    <row r="942">
      <c r="A942" s="151"/>
      <c r="B942" s="129"/>
      <c r="C942" s="129"/>
      <c r="D942" s="129"/>
      <c r="E942" s="129"/>
      <c r="F942" s="129"/>
      <c r="G942" s="129"/>
      <c r="H942" s="129"/>
      <c r="I942" s="129"/>
      <c r="J942" s="129"/>
      <c r="K942" s="129"/>
      <c r="L942" s="129"/>
      <c r="M942" s="129"/>
      <c r="N942" s="129"/>
      <c r="O942" s="129"/>
      <c r="P942" s="129"/>
      <c r="Q942" s="129"/>
      <c r="R942" s="129"/>
      <c r="S942" s="129"/>
      <c r="T942" s="129"/>
    </row>
    <row r="943">
      <c r="A943" s="151"/>
      <c r="B943" s="129"/>
      <c r="C943" s="129"/>
      <c r="D943" s="129"/>
      <c r="E943" s="129"/>
      <c r="F943" s="129"/>
      <c r="G943" s="129"/>
      <c r="H943" s="129"/>
      <c r="I943" s="129"/>
      <c r="J943" s="129"/>
      <c r="K943" s="129"/>
      <c r="L943" s="129"/>
      <c r="M943" s="129"/>
      <c r="N943" s="129"/>
      <c r="O943" s="129"/>
      <c r="P943" s="129"/>
      <c r="Q943" s="129"/>
      <c r="R943" s="129"/>
      <c r="S943" s="129"/>
      <c r="T943" s="129"/>
    </row>
    <row r="944">
      <c r="A944" s="151"/>
      <c r="B944" s="129"/>
      <c r="C944" s="129"/>
      <c r="D944" s="129"/>
      <c r="E944" s="129"/>
      <c r="F944" s="129"/>
      <c r="G944" s="129"/>
      <c r="H944" s="129"/>
      <c r="I944" s="129"/>
      <c r="J944" s="129"/>
      <c r="K944" s="129"/>
      <c r="L944" s="129"/>
      <c r="M944" s="129"/>
      <c r="N944" s="129"/>
      <c r="O944" s="129"/>
      <c r="P944" s="129"/>
      <c r="Q944" s="129"/>
      <c r="R944" s="129"/>
      <c r="S944" s="129"/>
      <c r="T944" s="129"/>
    </row>
    <row r="945">
      <c r="A945" s="151"/>
      <c r="B945" s="129"/>
      <c r="C945" s="129"/>
      <c r="D945" s="129"/>
      <c r="E945" s="129"/>
      <c r="F945" s="129"/>
      <c r="G945" s="129"/>
      <c r="H945" s="129"/>
      <c r="I945" s="129"/>
      <c r="J945" s="129"/>
      <c r="K945" s="129"/>
      <c r="L945" s="129"/>
      <c r="M945" s="129"/>
      <c r="N945" s="129"/>
      <c r="O945" s="129"/>
      <c r="P945" s="129"/>
      <c r="Q945" s="129"/>
      <c r="R945" s="129"/>
      <c r="S945" s="129"/>
      <c r="T945" s="129"/>
    </row>
    <row r="946">
      <c r="A946" s="151"/>
      <c r="B946" s="129"/>
      <c r="C946" s="129"/>
      <c r="D946" s="129"/>
      <c r="E946" s="129"/>
      <c r="F946" s="129"/>
      <c r="G946" s="129"/>
      <c r="H946" s="129"/>
      <c r="I946" s="129"/>
      <c r="J946" s="129"/>
      <c r="K946" s="129"/>
      <c r="L946" s="129"/>
      <c r="M946" s="129"/>
      <c r="N946" s="129"/>
      <c r="O946" s="129"/>
      <c r="P946" s="129"/>
      <c r="Q946" s="129"/>
      <c r="R946" s="129"/>
      <c r="S946" s="129"/>
      <c r="T946" s="129"/>
    </row>
    <row r="947">
      <c r="A947" s="151"/>
      <c r="B947" s="129"/>
      <c r="C947" s="129"/>
      <c r="D947" s="129"/>
      <c r="E947" s="129"/>
      <c r="F947" s="129"/>
      <c r="G947" s="129"/>
      <c r="H947" s="129"/>
      <c r="I947" s="129"/>
      <c r="J947" s="129"/>
      <c r="K947" s="129"/>
      <c r="L947" s="129"/>
      <c r="M947" s="129"/>
      <c r="N947" s="129"/>
      <c r="O947" s="129"/>
      <c r="P947" s="129"/>
      <c r="Q947" s="129"/>
      <c r="R947" s="129"/>
      <c r="S947" s="129"/>
      <c r="T947" s="129"/>
    </row>
    <row r="948">
      <c r="A948" s="151"/>
      <c r="B948" s="129"/>
      <c r="C948" s="129"/>
      <c r="D948" s="129"/>
      <c r="E948" s="129"/>
      <c r="F948" s="129"/>
      <c r="G948" s="129"/>
      <c r="H948" s="129"/>
      <c r="I948" s="129"/>
      <c r="J948" s="129"/>
      <c r="K948" s="129"/>
      <c r="L948" s="129"/>
      <c r="M948" s="129"/>
      <c r="N948" s="129"/>
      <c r="O948" s="129"/>
      <c r="P948" s="129"/>
      <c r="Q948" s="129"/>
      <c r="R948" s="129"/>
      <c r="S948" s="129"/>
      <c r="T948" s="129"/>
    </row>
    <row r="949">
      <c r="A949" s="151"/>
      <c r="B949" s="129"/>
      <c r="C949" s="129"/>
      <c r="D949" s="129"/>
      <c r="E949" s="129"/>
      <c r="F949" s="129"/>
      <c r="G949" s="129"/>
      <c r="H949" s="129"/>
      <c r="I949" s="129"/>
      <c r="J949" s="129"/>
      <c r="K949" s="129"/>
      <c r="L949" s="129"/>
      <c r="M949" s="129"/>
      <c r="N949" s="129"/>
      <c r="O949" s="129"/>
      <c r="P949" s="129"/>
      <c r="Q949" s="129"/>
      <c r="R949" s="129"/>
      <c r="S949" s="129"/>
      <c r="T949" s="129"/>
    </row>
    <row r="950">
      <c r="A950" s="151"/>
      <c r="B950" s="129"/>
      <c r="C950" s="129"/>
      <c r="D950" s="129"/>
      <c r="E950" s="129"/>
      <c r="F950" s="129"/>
      <c r="G950" s="129"/>
      <c r="H950" s="129"/>
      <c r="I950" s="129"/>
      <c r="J950" s="129"/>
      <c r="K950" s="129"/>
      <c r="L950" s="129"/>
      <c r="M950" s="129"/>
      <c r="N950" s="129"/>
      <c r="O950" s="129"/>
      <c r="P950" s="129"/>
      <c r="Q950" s="129"/>
      <c r="R950" s="129"/>
      <c r="S950" s="129"/>
      <c r="T950" s="129"/>
    </row>
    <row r="951">
      <c r="A951" s="151"/>
      <c r="B951" s="129"/>
      <c r="C951" s="129"/>
      <c r="D951" s="129"/>
      <c r="E951" s="129"/>
      <c r="F951" s="129"/>
      <c r="G951" s="129"/>
      <c r="H951" s="129"/>
      <c r="I951" s="129"/>
      <c r="J951" s="129"/>
      <c r="K951" s="129"/>
      <c r="L951" s="129"/>
      <c r="M951" s="129"/>
      <c r="N951" s="129"/>
      <c r="O951" s="129"/>
      <c r="P951" s="129"/>
      <c r="Q951" s="129"/>
      <c r="R951" s="129"/>
      <c r="S951" s="129"/>
      <c r="T951" s="129"/>
    </row>
    <row r="952">
      <c r="A952" s="151"/>
      <c r="B952" s="129"/>
      <c r="C952" s="129"/>
      <c r="D952" s="129"/>
      <c r="E952" s="129"/>
      <c r="F952" s="129"/>
      <c r="G952" s="129"/>
      <c r="H952" s="129"/>
      <c r="I952" s="129"/>
      <c r="J952" s="129"/>
      <c r="K952" s="129"/>
      <c r="L952" s="129"/>
      <c r="M952" s="129"/>
      <c r="N952" s="129"/>
      <c r="O952" s="129"/>
      <c r="P952" s="129"/>
      <c r="Q952" s="129"/>
      <c r="R952" s="129"/>
      <c r="S952" s="129"/>
      <c r="T952" s="129"/>
    </row>
    <row r="953">
      <c r="A953" s="151"/>
      <c r="B953" s="129"/>
      <c r="C953" s="129"/>
      <c r="D953" s="129"/>
      <c r="E953" s="129"/>
      <c r="F953" s="129"/>
      <c r="G953" s="129"/>
      <c r="H953" s="129"/>
      <c r="I953" s="129"/>
      <c r="J953" s="129"/>
      <c r="K953" s="129"/>
      <c r="L953" s="129"/>
      <c r="M953" s="129"/>
      <c r="N953" s="129"/>
      <c r="O953" s="129"/>
      <c r="P953" s="129"/>
      <c r="Q953" s="129"/>
      <c r="R953" s="129"/>
      <c r="S953" s="129"/>
      <c r="T953" s="129"/>
    </row>
    <row r="954">
      <c r="A954" s="151"/>
      <c r="B954" s="129"/>
      <c r="C954" s="129"/>
      <c r="D954" s="129"/>
      <c r="E954" s="129"/>
      <c r="F954" s="129"/>
      <c r="G954" s="129"/>
      <c r="H954" s="129"/>
      <c r="I954" s="129"/>
      <c r="J954" s="129"/>
      <c r="K954" s="129"/>
      <c r="L954" s="129"/>
      <c r="M954" s="129"/>
      <c r="N954" s="129"/>
      <c r="O954" s="129"/>
      <c r="P954" s="129"/>
      <c r="Q954" s="129"/>
      <c r="R954" s="129"/>
      <c r="S954" s="129"/>
      <c r="T954" s="129"/>
    </row>
    <row r="955">
      <c r="A955" s="151"/>
      <c r="B955" s="129"/>
      <c r="C955" s="129"/>
      <c r="D955" s="129"/>
      <c r="E955" s="129"/>
      <c r="F955" s="129"/>
      <c r="G955" s="129"/>
      <c r="H955" s="129"/>
      <c r="I955" s="129"/>
      <c r="J955" s="129"/>
      <c r="K955" s="129"/>
      <c r="L955" s="129"/>
      <c r="M955" s="129"/>
      <c r="N955" s="129"/>
      <c r="O955" s="129"/>
      <c r="P955" s="129"/>
      <c r="Q955" s="129"/>
      <c r="R955" s="129"/>
      <c r="S955" s="129"/>
      <c r="T955" s="129"/>
    </row>
    <row r="956">
      <c r="A956" s="151"/>
      <c r="B956" s="129"/>
      <c r="C956" s="129"/>
      <c r="D956" s="129"/>
      <c r="E956" s="129"/>
      <c r="F956" s="129"/>
      <c r="G956" s="129"/>
      <c r="H956" s="129"/>
      <c r="I956" s="129"/>
      <c r="J956" s="129"/>
      <c r="K956" s="129"/>
      <c r="L956" s="129"/>
      <c r="M956" s="129"/>
      <c r="N956" s="129"/>
      <c r="O956" s="129"/>
      <c r="P956" s="129"/>
      <c r="Q956" s="129"/>
      <c r="R956" s="129"/>
      <c r="S956" s="129"/>
      <c r="T956" s="129"/>
    </row>
    <row r="957">
      <c r="A957" s="151"/>
      <c r="B957" s="129"/>
      <c r="C957" s="129"/>
      <c r="D957" s="129"/>
      <c r="E957" s="129"/>
      <c r="F957" s="129"/>
      <c r="G957" s="129"/>
      <c r="H957" s="129"/>
      <c r="I957" s="129"/>
      <c r="J957" s="129"/>
      <c r="K957" s="129"/>
      <c r="L957" s="129"/>
      <c r="M957" s="129"/>
      <c r="N957" s="129"/>
      <c r="O957" s="129"/>
      <c r="P957" s="129"/>
      <c r="Q957" s="129"/>
      <c r="R957" s="129"/>
      <c r="S957" s="129"/>
      <c r="T957" s="129"/>
    </row>
    <row r="958">
      <c r="A958" s="151"/>
      <c r="B958" s="129"/>
      <c r="C958" s="129"/>
      <c r="D958" s="129"/>
      <c r="E958" s="129"/>
      <c r="F958" s="129"/>
      <c r="G958" s="129"/>
      <c r="H958" s="129"/>
      <c r="I958" s="129"/>
      <c r="J958" s="129"/>
      <c r="K958" s="129"/>
      <c r="L958" s="129"/>
      <c r="M958" s="129"/>
      <c r="N958" s="129"/>
      <c r="O958" s="129"/>
      <c r="P958" s="129"/>
      <c r="Q958" s="129"/>
      <c r="R958" s="129"/>
      <c r="S958" s="129"/>
      <c r="T958" s="129"/>
    </row>
    <row r="959">
      <c r="A959" s="151"/>
      <c r="B959" s="129"/>
      <c r="C959" s="129"/>
      <c r="D959" s="129"/>
      <c r="E959" s="129"/>
      <c r="F959" s="129"/>
      <c r="G959" s="129"/>
      <c r="H959" s="129"/>
      <c r="I959" s="129"/>
      <c r="J959" s="129"/>
      <c r="K959" s="129"/>
      <c r="L959" s="129"/>
      <c r="M959" s="129"/>
      <c r="N959" s="129"/>
      <c r="O959" s="129"/>
      <c r="P959" s="129"/>
      <c r="Q959" s="129"/>
      <c r="R959" s="129"/>
      <c r="S959" s="129"/>
      <c r="T959" s="129"/>
    </row>
    <row r="960">
      <c r="A960" s="151"/>
      <c r="B960" s="129"/>
      <c r="C960" s="129"/>
      <c r="D960" s="129"/>
      <c r="E960" s="129"/>
      <c r="F960" s="129"/>
      <c r="G960" s="129"/>
      <c r="H960" s="129"/>
      <c r="I960" s="129"/>
      <c r="J960" s="129"/>
      <c r="K960" s="129"/>
      <c r="L960" s="129"/>
      <c r="M960" s="129"/>
      <c r="N960" s="129"/>
      <c r="O960" s="129"/>
      <c r="P960" s="129"/>
      <c r="Q960" s="129"/>
      <c r="R960" s="129"/>
      <c r="S960" s="129"/>
      <c r="T960" s="129"/>
    </row>
    <row r="961">
      <c r="A961" s="151"/>
      <c r="B961" s="129"/>
      <c r="C961" s="129"/>
      <c r="D961" s="129"/>
      <c r="E961" s="129"/>
      <c r="F961" s="129"/>
      <c r="G961" s="129"/>
      <c r="H961" s="129"/>
      <c r="I961" s="129"/>
      <c r="J961" s="129"/>
      <c r="K961" s="129"/>
      <c r="L961" s="129"/>
      <c r="M961" s="129"/>
      <c r="N961" s="129"/>
      <c r="O961" s="129"/>
      <c r="P961" s="129"/>
      <c r="Q961" s="129"/>
      <c r="R961" s="129"/>
      <c r="S961" s="129"/>
      <c r="T961" s="129"/>
    </row>
    <row r="962">
      <c r="A962" s="151"/>
      <c r="B962" s="129"/>
      <c r="C962" s="129"/>
      <c r="D962" s="129"/>
      <c r="E962" s="129"/>
      <c r="F962" s="129"/>
      <c r="G962" s="129"/>
      <c r="H962" s="129"/>
      <c r="I962" s="129"/>
      <c r="J962" s="129"/>
      <c r="K962" s="129"/>
      <c r="L962" s="129"/>
      <c r="M962" s="129"/>
      <c r="N962" s="129"/>
      <c r="O962" s="129"/>
      <c r="P962" s="129"/>
      <c r="Q962" s="129"/>
      <c r="R962" s="129"/>
      <c r="S962" s="129"/>
      <c r="T962" s="129"/>
    </row>
    <row r="963">
      <c r="A963" s="151"/>
      <c r="B963" s="129"/>
      <c r="C963" s="129"/>
      <c r="D963" s="129"/>
      <c r="E963" s="129"/>
      <c r="F963" s="129"/>
      <c r="G963" s="129"/>
      <c r="H963" s="129"/>
      <c r="I963" s="129"/>
      <c r="J963" s="129"/>
      <c r="K963" s="129"/>
      <c r="L963" s="129"/>
      <c r="M963" s="129"/>
      <c r="N963" s="129"/>
      <c r="O963" s="129"/>
      <c r="P963" s="129"/>
      <c r="Q963" s="129"/>
      <c r="R963" s="129"/>
      <c r="S963" s="129"/>
      <c r="T963" s="129"/>
    </row>
    <row r="964">
      <c r="A964" s="151"/>
      <c r="B964" s="129"/>
      <c r="C964" s="129"/>
      <c r="D964" s="129"/>
      <c r="E964" s="129"/>
      <c r="F964" s="129"/>
      <c r="G964" s="129"/>
      <c r="H964" s="129"/>
      <c r="I964" s="129"/>
      <c r="J964" s="129"/>
      <c r="K964" s="129"/>
      <c r="L964" s="129"/>
      <c r="M964" s="129"/>
      <c r="N964" s="129"/>
      <c r="O964" s="129"/>
      <c r="P964" s="129"/>
      <c r="Q964" s="129"/>
      <c r="R964" s="129"/>
      <c r="S964" s="129"/>
      <c r="T964" s="129"/>
    </row>
    <row r="965">
      <c r="A965" s="151"/>
      <c r="B965" s="129"/>
      <c r="C965" s="129"/>
      <c r="D965" s="129"/>
      <c r="E965" s="129"/>
      <c r="F965" s="129"/>
      <c r="G965" s="129"/>
      <c r="H965" s="129"/>
      <c r="I965" s="129"/>
      <c r="J965" s="129"/>
      <c r="K965" s="129"/>
      <c r="L965" s="129"/>
      <c r="M965" s="129"/>
      <c r="N965" s="129"/>
      <c r="O965" s="129"/>
      <c r="P965" s="129"/>
      <c r="Q965" s="129"/>
      <c r="R965" s="129"/>
      <c r="S965" s="129"/>
      <c r="T965" s="129"/>
    </row>
    <row r="966">
      <c r="A966" s="151"/>
      <c r="B966" s="129"/>
      <c r="C966" s="129"/>
      <c r="D966" s="129"/>
      <c r="E966" s="129"/>
      <c r="F966" s="129"/>
      <c r="G966" s="129"/>
      <c r="H966" s="129"/>
      <c r="I966" s="129"/>
      <c r="J966" s="129"/>
      <c r="K966" s="129"/>
      <c r="L966" s="129"/>
      <c r="M966" s="129"/>
      <c r="N966" s="129"/>
      <c r="O966" s="129"/>
      <c r="P966" s="129"/>
      <c r="Q966" s="129"/>
      <c r="R966" s="129"/>
      <c r="S966" s="129"/>
      <c r="T966" s="129"/>
    </row>
    <row r="967">
      <c r="A967" s="151"/>
      <c r="B967" s="129"/>
      <c r="C967" s="129"/>
      <c r="D967" s="129"/>
      <c r="E967" s="129"/>
      <c r="F967" s="129"/>
      <c r="G967" s="129"/>
      <c r="H967" s="129"/>
      <c r="I967" s="129"/>
      <c r="J967" s="129"/>
      <c r="K967" s="129"/>
      <c r="L967" s="129"/>
      <c r="M967" s="129"/>
      <c r="N967" s="129"/>
      <c r="O967" s="129"/>
      <c r="P967" s="129"/>
      <c r="Q967" s="129"/>
      <c r="R967" s="129"/>
      <c r="S967" s="129"/>
      <c r="T967" s="129"/>
    </row>
    <row r="968">
      <c r="A968" s="151"/>
      <c r="B968" s="129"/>
      <c r="C968" s="129"/>
      <c r="D968" s="129"/>
      <c r="E968" s="129"/>
      <c r="F968" s="129"/>
      <c r="G968" s="129"/>
      <c r="H968" s="129"/>
      <c r="I968" s="129"/>
      <c r="J968" s="129"/>
      <c r="K968" s="129"/>
      <c r="L968" s="129"/>
      <c r="M968" s="129"/>
      <c r="N968" s="129"/>
      <c r="O968" s="129"/>
      <c r="P968" s="129"/>
      <c r="Q968" s="129"/>
      <c r="R968" s="129"/>
      <c r="S968" s="129"/>
      <c r="T968" s="129"/>
    </row>
    <row r="969">
      <c r="A969" s="151"/>
      <c r="B969" s="129"/>
      <c r="C969" s="129"/>
      <c r="D969" s="129"/>
      <c r="E969" s="129"/>
      <c r="F969" s="129"/>
      <c r="G969" s="129"/>
      <c r="H969" s="129"/>
      <c r="I969" s="129"/>
      <c r="J969" s="129"/>
      <c r="K969" s="129"/>
      <c r="L969" s="129"/>
      <c r="M969" s="129"/>
      <c r="N969" s="129"/>
      <c r="O969" s="129"/>
      <c r="P969" s="129"/>
      <c r="Q969" s="129"/>
      <c r="R969" s="129"/>
      <c r="S969" s="129"/>
      <c r="T969" s="129"/>
    </row>
    <row r="970">
      <c r="A970" s="151"/>
      <c r="B970" s="129"/>
      <c r="C970" s="129"/>
      <c r="D970" s="129"/>
      <c r="E970" s="129"/>
      <c r="F970" s="129"/>
      <c r="G970" s="129"/>
      <c r="H970" s="129"/>
      <c r="I970" s="129"/>
      <c r="J970" s="129"/>
      <c r="K970" s="129"/>
      <c r="L970" s="129"/>
      <c r="M970" s="129"/>
      <c r="N970" s="129"/>
      <c r="O970" s="129"/>
      <c r="P970" s="129"/>
      <c r="Q970" s="129"/>
      <c r="R970" s="129"/>
      <c r="S970" s="129"/>
      <c r="T970" s="129"/>
    </row>
    <row r="971">
      <c r="A971" s="151"/>
      <c r="B971" s="129"/>
      <c r="C971" s="129"/>
      <c r="D971" s="129"/>
      <c r="E971" s="129"/>
      <c r="F971" s="129"/>
      <c r="G971" s="129"/>
      <c r="H971" s="129"/>
      <c r="I971" s="129"/>
      <c r="J971" s="129"/>
      <c r="K971" s="129"/>
      <c r="L971" s="129"/>
      <c r="M971" s="129"/>
      <c r="N971" s="129"/>
      <c r="O971" s="129"/>
      <c r="P971" s="129"/>
      <c r="Q971" s="129"/>
      <c r="R971" s="129"/>
      <c r="S971" s="129"/>
      <c r="T971" s="129"/>
    </row>
    <row r="972">
      <c r="A972" s="151"/>
      <c r="B972" s="129"/>
      <c r="C972" s="129"/>
      <c r="D972" s="129"/>
      <c r="E972" s="129"/>
      <c r="F972" s="129"/>
      <c r="G972" s="129"/>
      <c r="H972" s="129"/>
      <c r="I972" s="129"/>
      <c r="J972" s="129"/>
      <c r="K972" s="129"/>
      <c r="L972" s="129"/>
      <c r="M972" s="129"/>
      <c r="N972" s="129"/>
      <c r="O972" s="129"/>
      <c r="P972" s="129"/>
      <c r="Q972" s="129"/>
      <c r="R972" s="129"/>
      <c r="S972" s="129"/>
      <c r="T972" s="129"/>
    </row>
    <row r="973">
      <c r="A973" s="151"/>
      <c r="B973" s="129"/>
      <c r="C973" s="129"/>
      <c r="D973" s="129"/>
      <c r="E973" s="129"/>
      <c r="F973" s="129"/>
      <c r="G973" s="129"/>
      <c r="H973" s="129"/>
      <c r="I973" s="129"/>
      <c r="J973" s="129"/>
      <c r="K973" s="129"/>
      <c r="L973" s="129"/>
      <c r="M973" s="129"/>
      <c r="N973" s="129"/>
      <c r="O973" s="129"/>
      <c r="P973" s="129"/>
      <c r="Q973" s="129"/>
      <c r="R973" s="129"/>
      <c r="S973" s="129"/>
      <c r="T973" s="129"/>
    </row>
    <row r="974">
      <c r="A974" s="151"/>
      <c r="B974" s="129"/>
      <c r="C974" s="129"/>
      <c r="D974" s="129"/>
      <c r="E974" s="129"/>
      <c r="F974" s="129"/>
      <c r="G974" s="129"/>
      <c r="H974" s="129"/>
      <c r="I974" s="129"/>
      <c r="J974" s="129"/>
      <c r="K974" s="129"/>
      <c r="L974" s="129"/>
      <c r="M974" s="129"/>
      <c r="N974" s="129"/>
      <c r="O974" s="129"/>
      <c r="P974" s="129"/>
      <c r="Q974" s="129"/>
      <c r="R974" s="129"/>
      <c r="S974" s="129"/>
      <c r="T974" s="129"/>
    </row>
    <row r="975">
      <c r="A975" s="151"/>
      <c r="B975" s="129"/>
      <c r="C975" s="129"/>
      <c r="D975" s="129"/>
      <c r="E975" s="129"/>
      <c r="F975" s="129"/>
      <c r="G975" s="129"/>
      <c r="H975" s="129"/>
      <c r="I975" s="129"/>
      <c r="J975" s="129"/>
      <c r="K975" s="129"/>
      <c r="L975" s="129"/>
      <c r="M975" s="129"/>
      <c r="N975" s="129"/>
      <c r="O975" s="129"/>
      <c r="P975" s="129"/>
      <c r="Q975" s="129"/>
      <c r="R975" s="129"/>
      <c r="S975" s="129"/>
      <c r="T975" s="129"/>
    </row>
    <row r="976">
      <c r="A976" s="151"/>
      <c r="B976" s="129"/>
      <c r="C976" s="129"/>
      <c r="D976" s="129"/>
      <c r="E976" s="129"/>
      <c r="F976" s="129"/>
      <c r="G976" s="129"/>
      <c r="H976" s="129"/>
      <c r="I976" s="129"/>
      <c r="J976" s="129"/>
      <c r="K976" s="129"/>
      <c r="L976" s="129"/>
      <c r="M976" s="129"/>
      <c r="N976" s="129"/>
      <c r="O976" s="129"/>
      <c r="P976" s="129"/>
      <c r="Q976" s="129"/>
      <c r="R976" s="129"/>
      <c r="S976" s="129"/>
      <c r="T976" s="129"/>
    </row>
    <row r="977">
      <c r="A977" s="151"/>
      <c r="B977" s="129"/>
      <c r="C977" s="129"/>
      <c r="D977" s="129"/>
      <c r="E977" s="129"/>
      <c r="F977" s="129"/>
      <c r="G977" s="129"/>
      <c r="H977" s="129"/>
      <c r="I977" s="129"/>
      <c r="J977" s="129"/>
      <c r="K977" s="129"/>
      <c r="L977" s="129"/>
      <c r="M977" s="129"/>
      <c r="N977" s="129"/>
      <c r="O977" s="129"/>
      <c r="P977" s="129"/>
      <c r="Q977" s="129"/>
      <c r="R977" s="129"/>
      <c r="S977" s="129"/>
      <c r="T977" s="129"/>
    </row>
    <row r="978">
      <c r="A978" s="151"/>
      <c r="B978" s="129"/>
      <c r="C978" s="129"/>
      <c r="D978" s="129"/>
      <c r="E978" s="129"/>
      <c r="F978" s="129"/>
      <c r="G978" s="129"/>
      <c r="H978" s="129"/>
      <c r="I978" s="129"/>
      <c r="J978" s="129"/>
      <c r="K978" s="129"/>
      <c r="L978" s="129"/>
      <c r="M978" s="129"/>
      <c r="N978" s="129"/>
      <c r="O978" s="129"/>
      <c r="P978" s="129"/>
      <c r="Q978" s="129"/>
      <c r="R978" s="129"/>
      <c r="S978" s="129"/>
      <c r="T978" s="129"/>
    </row>
    <row r="979">
      <c r="A979" s="151"/>
      <c r="B979" s="129"/>
      <c r="C979" s="129"/>
      <c r="D979" s="129"/>
      <c r="E979" s="129"/>
      <c r="F979" s="129"/>
      <c r="G979" s="129"/>
      <c r="H979" s="129"/>
      <c r="I979" s="129"/>
      <c r="J979" s="129"/>
      <c r="K979" s="129"/>
      <c r="L979" s="129"/>
      <c r="M979" s="129"/>
      <c r="N979" s="129"/>
      <c r="O979" s="129"/>
      <c r="P979" s="129"/>
      <c r="Q979" s="129"/>
      <c r="R979" s="129"/>
      <c r="S979" s="129"/>
      <c r="T979" s="129"/>
    </row>
    <row r="980">
      <c r="A980" s="151"/>
      <c r="B980" s="129"/>
      <c r="C980" s="129"/>
      <c r="D980" s="129"/>
      <c r="E980" s="129"/>
      <c r="F980" s="129"/>
      <c r="G980" s="129"/>
      <c r="H980" s="129"/>
      <c r="I980" s="129"/>
      <c r="J980" s="129"/>
      <c r="K980" s="129"/>
      <c r="L980" s="129"/>
      <c r="M980" s="129"/>
      <c r="N980" s="129"/>
      <c r="O980" s="129"/>
      <c r="P980" s="129"/>
      <c r="Q980" s="129"/>
      <c r="R980" s="129"/>
      <c r="S980" s="129"/>
      <c r="T980" s="129"/>
    </row>
    <row r="981">
      <c r="A981" s="151"/>
      <c r="B981" s="129"/>
      <c r="C981" s="129"/>
      <c r="D981" s="129"/>
      <c r="E981" s="129"/>
      <c r="F981" s="129"/>
      <c r="G981" s="129"/>
      <c r="H981" s="129"/>
      <c r="I981" s="129"/>
      <c r="J981" s="129"/>
      <c r="K981" s="129"/>
      <c r="L981" s="129"/>
      <c r="M981" s="129"/>
      <c r="N981" s="129"/>
      <c r="O981" s="129"/>
      <c r="P981" s="129"/>
      <c r="Q981" s="129"/>
      <c r="R981" s="129"/>
      <c r="S981" s="129"/>
      <c r="T981" s="129"/>
    </row>
    <row r="982">
      <c r="A982" s="151"/>
      <c r="B982" s="129"/>
      <c r="C982" s="129"/>
      <c r="D982" s="129"/>
      <c r="E982" s="129"/>
      <c r="F982" s="129"/>
      <c r="G982" s="129"/>
      <c r="H982" s="129"/>
      <c r="I982" s="129"/>
      <c r="J982" s="129"/>
      <c r="K982" s="129"/>
      <c r="L982" s="129"/>
      <c r="M982" s="129"/>
      <c r="N982" s="129"/>
      <c r="O982" s="129"/>
      <c r="P982" s="129"/>
      <c r="Q982" s="129"/>
      <c r="R982" s="129"/>
      <c r="S982" s="129"/>
      <c r="T982" s="129"/>
    </row>
    <row r="983">
      <c r="A983" s="151"/>
      <c r="B983" s="129"/>
      <c r="C983" s="129"/>
      <c r="D983" s="129"/>
      <c r="E983" s="129"/>
      <c r="F983" s="129"/>
      <c r="G983" s="129"/>
      <c r="H983" s="129"/>
      <c r="I983" s="129"/>
      <c r="J983" s="129"/>
      <c r="K983" s="129"/>
      <c r="L983" s="129"/>
      <c r="M983" s="129"/>
      <c r="N983" s="129"/>
      <c r="O983" s="129"/>
      <c r="P983" s="129"/>
      <c r="Q983" s="129"/>
      <c r="R983" s="129"/>
      <c r="S983" s="129"/>
      <c r="T983" s="129"/>
    </row>
    <row r="984">
      <c r="A984" s="151"/>
      <c r="B984" s="129"/>
      <c r="C984" s="129"/>
      <c r="D984" s="129"/>
      <c r="E984" s="129"/>
      <c r="F984" s="129"/>
      <c r="G984" s="129"/>
      <c r="H984" s="129"/>
      <c r="I984" s="129"/>
      <c r="J984" s="129"/>
      <c r="K984" s="129"/>
      <c r="L984" s="129"/>
      <c r="M984" s="129"/>
      <c r="N984" s="129"/>
      <c r="O984" s="129"/>
      <c r="P984" s="129"/>
      <c r="Q984" s="129"/>
      <c r="R984" s="129"/>
      <c r="S984" s="129"/>
      <c r="T984" s="129"/>
    </row>
    <row r="985">
      <c r="A985" s="151"/>
      <c r="B985" s="129"/>
      <c r="C985" s="129"/>
      <c r="D985" s="129"/>
      <c r="E985" s="129"/>
      <c r="F985" s="129"/>
      <c r="G985" s="129"/>
      <c r="H985" s="129"/>
      <c r="I985" s="129"/>
      <c r="J985" s="129"/>
      <c r="K985" s="129"/>
      <c r="L985" s="129"/>
      <c r="M985" s="129"/>
      <c r="N985" s="129"/>
      <c r="O985" s="129"/>
      <c r="P985" s="129"/>
      <c r="Q985" s="129"/>
      <c r="R985" s="129"/>
      <c r="S985" s="129"/>
      <c r="T985" s="129"/>
    </row>
    <row r="986">
      <c r="A986" s="151"/>
      <c r="B986" s="129"/>
      <c r="C986" s="129"/>
      <c r="D986" s="129"/>
      <c r="E986" s="129"/>
      <c r="F986" s="129"/>
      <c r="G986" s="129"/>
      <c r="H986" s="129"/>
      <c r="I986" s="129"/>
      <c r="J986" s="129"/>
      <c r="K986" s="129"/>
      <c r="L986" s="129"/>
      <c r="M986" s="129"/>
      <c r="N986" s="129"/>
      <c r="O986" s="129"/>
      <c r="P986" s="129"/>
      <c r="Q986" s="129"/>
      <c r="R986" s="129"/>
      <c r="S986" s="129"/>
      <c r="T986" s="129"/>
    </row>
    <row r="987">
      <c r="A987" s="151"/>
      <c r="B987" s="129"/>
      <c r="C987" s="129"/>
      <c r="D987" s="129"/>
      <c r="E987" s="129"/>
      <c r="F987" s="129"/>
      <c r="G987" s="129"/>
      <c r="H987" s="129"/>
      <c r="I987" s="129"/>
      <c r="J987" s="129"/>
      <c r="K987" s="129"/>
      <c r="L987" s="129"/>
      <c r="M987" s="129"/>
      <c r="N987" s="129"/>
      <c r="O987" s="129"/>
      <c r="P987" s="129"/>
      <c r="Q987" s="129"/>
      <c r="R987" s="129"/>
      <c r="S987" s="129"/>
      <c r="T987" s="129"/>
    </row>
    <row r="988">
      <c r="A988" s="151"/>
      <c r="B988" s="129"/>
      <c r="C988" s="129"/>
      <c r="D988" s="129"/>
      <c r="E988" s="129"/>
      <c r="F988" s="129"/>
      <c r="G988" s="129"/>
      <c r="H988" s="129"/>
      <c r="I988" s="129"/>
      <c r="J988" s="129"/>
      <c r="K988" s="129"/>
      <c r="L988" s="129"/>
      <c r="M988" s="129"/>
      <c r="N988" s="129"/>
      <c r="O988" s="129"/>
      <c r="P988" s="129"/>
      <c r="Q988" s="129"/>
      <c r="R988" s="129"/>
      <c r="S988" s="129"/>
      <c r="T988" s="129"/>
    </row>
    <row r="989">
      <c r="A989" s="151"/>
      <c r="B989" s="129"/>
      <c r="C989" s="129"/>
      <c r="D989" s="129"/>
      <c r="E989" s="129"/>
      <c r="F989" s="129"/>
      <c r="G989" s="129"/>
      <c r="H989" s="129"/>
      <c r="I989" s="129"/>
      <c r="J989" s="129"/>
      <c r="K989" s="129"/>
      <c r="L989" s="129"/>
      <c r="M989" s="129"/>
      <c r="N989" s="129"/>
      <c r="O989" s="129"/>
      <c r="P989" s="129"/>
      <c r="Q989" s="129"/>
      <c r="R989" s="129"/>
      <c r="S989" s="129"/>
      <c r="T989" s="129"/>
    </row>
    <row r="990">
      <c r="A990" s="151"/>
      <c r="B990" s="129"/>
      <c r="C990" s="129"/>
      <c r="D990" s="129"/>
      <c r="E990" s="129"/>
      <c r="F990" s="129"/>
      <c r="G990" s="129"/>
      <c r="H990" s="129"/>
      <c r="I990" s="129"/>
      <c r="J990" s="129"/>
      <c r="K990" s="129"/>
      <c r="L990" s="129"/>
      <c r="M990" s="129"/>
      <c r="N990" s="129"/>
      <c r="O990" s="129"/>
      <c r="P990" s="129"/>
      <c r="Q990" s="129"/>
      <c r="R990" s="129"/>
      <c r="S990" s="129"/>
      <c r="T990" s="129"/>
    </row>
    <row r="991">
      <c r="A991" s="151"/>
      <c r="B991" s="129"/>
      <c r="C991" s="129"/>
      <c r="D991" s="129"/>
      <c r="E991" s="129"/>
      <c r="F991" s="129"/>
      <c r="G991" s="129"/>
      <c r="H991" s="129"/>
      <c r="I991" s="129"/>
      <c r="J991" s="129"/>
      <c r="K991" s="129"/>
      <c r="L991" s="129"/>
      <c r="M991" s="129"/>
      <c r="N991" s="129"/>
      <c r="O991" s="129"/>
      <c r="P991" s="129"/>
      <c r="Q991" s="129"/>
      <c r="R991" s="129"/>
      <c r="S991" s="129"/>
      <c r="T991" s="129"/>
    </row>
    <row r="992">
      <c r="A992" s="151"/>
      <c r="B992" s="129"/>
      <c r="C992" s="129"/>
      <c r="D992" s="129"/>
      <c r="E992" s="129"/>
      <c r="F992" s="129"/>
      <c r="G992" s="129"/>
      <c r="H992" s="129"/>
      <c r="I992" s="129"/>
      <c r="J992" s="129"/>
      <c r="K992" s="129"/>
      <c r="L992" s="129"/>
      <c r="M992" s="129"/>
      <c r="N992" s="129"/>
      <c r="O992" s="129"/>
      <c r="P992" s="129"/>
      <c r="Q992" s="129"/>
      <c r="R992" s="129"/>
      <c r="S992" s="129"/>
      <c r="T992" s="129"/>
    </row>
    <row r="993">
      <c r="A993" s="151"/>
      <c r="B993" s="129"/>
      <c r="C993" s="129"/>
      <c r="D993" s="129"/>
      <c r="E993" s="129"/>
      <c r="F993" s="129"/>
      <c r="G993" s="129"/>
      <c r="H993" s="129"/>
      <c r="I993" s="129"/>
      <c r="J993" s="129"/>
      <c r="K993" s="129"/>
      <c r="L993" s="129"/>
      <c r="M993" s="129"/>
      <c r="N993" s="129"/>
      <c r="O993" s="129"/>
      <c r="P993" s="129"/>
      <c r="Q993" s="129"/>
      <c r="R993" s="129"/>
      <c r="S993" s="129"/>
      <c r="T993" s="129"/>
    </row>
    <row r="994">
      <c r="A994" s="151"/>
      <c r="B994" s="129"/>
      <c r="C994" s="129"/>
      <c r="D994" s="129"/>
      <c r="E994" s="129"/>
      <c r="F994" s="129"/>
      <c r="G994" s="129"/>
      <c r="H994" s="129"/>
      <c r="I994" s="129"/>
      <c r="J994" s="129"/>
      <c r="K994" s="129"/>
      <c r="L994" s="129"/>
      <c r="M994" s="129"/>
      <c r="N994" s="129"/>
      <c r="O994" s="129"/>
      <c r="P994" s="129"/>
      <c r="Q994" s="129"/>
      <c r="R994" s="129"/>
      <c r="S994" s="129"/>
      <c r="T994" s="129"/>
    </row>
    <row r="995">
      <c r="A995" s="151"/>
      <c r="B995" s="129"/>
      <c r="C995" s="129"/>
      <c r="D995" s="129"/>
      <c r="E995" s="129"/>
      <c r="F995" s="129"/>
      <c r="G995" s="129"/>
      <c r="H995" s="129"/>
      <c r="I995" s="129"/>
      <c r="J995" s="129"/>
      <c r="K995" s="129"/>
      <c r="L995" s="129"/>
      <c r="M995" s="129"/>
      <c r="N995" s="129"/>
      <c r="O995" s="129"/>
      <c r="P995" s="129"/>
      <c r="Q995" s="129"/>
      <c r="R995" s="129"/>
      <c r="S995" s="129"/>
      <c r="T995" s="129"/>
    </row>
    <row r="996">
      <c r="A996" s="151"/>
      <c r="B996" s="129"/>
      <c r="C996" s="129"/>
      <c r="D996" s="129"/>
      <c r="E996" s="129"/>
      <c r="F996" s="129"/>
      <c r="G996" s="129"/>
      <c r="H996" s="129"/>
      <c r="I996" s="129"/>
      <c r="J996" s="129"/>
      <c r="K996" s="129"/>
      <c r="L996" s="129"/>
      <c r="M996" s="129"/>
      <c r="N996" s="129"/>
      <c r="O996" s="129"/>
      <c r="P996" s="129"/>
      <c r="Q996" s="129"/>
      <c r="R996" s="129"/>
      <c r="S996" s="129"/>
      <c r="T996" s="129"/>
    </row>
    <row r="997">
      <c r="A997" s="151"/>
      <c r="B997" s="129"/>
      <c r="C997" s="129"/>
      <c r="D997" s="129"/>
      <c r="E997" s="129"/>
      <c r="F997" s="129"/>
      <c r="G997" s="129"/>
      <c r="H997" s="129"/>
      <c r="I997" s="129"/>
      <c r="J997" s="129"/>
      <c r="K997" s="129"/>
      <c r="L997" s="129"/>
      <c r="M997" s="129"/>
      <c r="N997" s="129"/>
      <c r="O997" s="129"/>
      <c r="P997" s="129"/>
      <c r="Q997" s="129"/>
      <c r="R997" s="129"/>
      <c r="S997" s="129"/>
      <c r="T997" s="129"/>
    </row>
    <row r="998">
      <c r="A998" s="151"/>
      <c r="B998" s="129"/>
      <c r="C998" s="129"/>
      <c r="D998" s="129"/>
      <c r="E998" s="129"/>
      <c r="F998" s="129"/>
      <c r="G998" s="129"/>
      <c r="H998" s="129"/>
      <c r="I998" s="129"/>
      <c r="J998" s="129"/>
      <c r="K998" s="129"/>
      <c r="L998" s="129"/>
      <c r="M998" s="129"/>
      <c r="N998" s="129"/>
      <c r="O998" s="129"/>
      <c r="P998" s="129"/>
      <c r="Q998" s="129"/>
      <c r="R998" s="129"/>
      <c r="S998" s="129"/>
      <c r="T998" s="129"/>
    </row>
    <row r="999">
      <c r="A999" s="151"/>
      <c r="B999" s="129"/>
      <c r="C999" s="129"/>
      <c r="D999" s="129"/>
      <c r="E999" s="129"/>
      <c r="F999" s="129"/>
      <c r="G999" s="129"/>
      <c r="H999" s="129"/>
      <c r="I999" s="129"/>
      <c r="J999" s="129"/>
      <c r="K999" s="129"/>
      <c r="L999" s="129"/>
      <c r="M999" s="129"/>
      <c r="N999" s="129"/>
      <c r="O999" s="129"/>
      <c r="P999" s="129"/>
      <c r="Q999" s="129"/>
      <c r="R999" s="129"/>
      <c r="S999" s="129"/>
      <c r="T999" s="129"/>
    </row>
    <row r="1000">
      <c r="A1000" s="151"/>
      <c r="B1000" s="129"/>
      <c r="C1000" s="129"/>
      <c r="D1000" s="129"/>
      <c r="E1000" s="129"/>
      <c r="F1000" s="129"/>
      <c r="G1000" s="129"/>
      <c r="H1000" s="129"/>
      <c r="I1000" s="129"/>
      <c r="J1000" s="129"/>
      <c r="K1000" s="129"/>
      <c r="L1000" s="129"/>
      <c r="M1000" s="129"/>
      <c r="N1000" s="129"/>
      <c r="O1000" s="129"/>
      <c r="P1000" s="129"/>
      <c r="Q1000" s="129"/>
      <c r="R1000" s="129"/>
      <c r="S1000" s="129"/>
      <c r="T1000" s="129"/>
    </row>
  </sheetData>
  <mergeCells count="2">
    <mergeCell ref="A1:I1"/>
    <mergeCell ref="A50:G50"/>
  </mergeCell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25"/>
    <col customWidth="1" min="2" max="2" width="16.88"/>
    <col customWidth="1" min="3" max="3" width="13.38"/>
  </cols>
  <sheetData>
    <row r="1">
      <c r="A1" s="152"/>
      <c r="B1" s="152" t="s">
        <v>16</v>
      </c>
      <c r="C1" s="152" t="s">
        <v>17</v>
      </c>
    </row>
    <row r="2">
      <c r="A2" s="1"/>
      <c r="B2" s="25" t="s">
        <v>5250</v>
      </c>
      <c r="C2" s="82" t="s">
        <v>8590</v>
      </c>
    </row>
    <row r="3">
      <c r="A3" s="1"/>
      <c r="B3" s="25" t="s">
        <v>5393</v>
      </c>
      <c r="C3" s="82" t="s">
        <v>8594</v>
      </c>
    </row>
    <row r="4">
      <c r="A4" s="1"/>
      <c r="B4" s="25" t="s">
        <v>5507</v>
      </c>
      <c r="C4" s="82" t="s">
        <v>8598</v>
      </c>
    </row>
    <row r="5">
      <c r="B5" s="25" t="s">
        <v>5628</v>
      </c>
      <c r="C5" s="82" t="s">
        <v>8602</v>
      </c>
    </row>
    <row r="6">
      <c r="B6" s="25" t="s">
        <v>5770</v>
      </c>
      <c r="C6" s="82" t="s">
        <v>8605</v>
      </c>
    </row>
    <row r="7">
      <c r="A7" s="1"/>
      <c r="B7" s="25" t="s">
        <v>5926</v>
      </c>
      <c r="C7" s="82" t="s">
        <v>8608</v>
      </c>
    </row>
    <row r="8">
      <c r="A8" s="1"/>
      <c r="B8" s="25" t="s">
        <v>6005</v>
      </c>
      <c r="C8" s="82" t="s">
        <v>8611</v>
      </c>
    </row>
    <row r="9">
      <c r="A9" s="1"/>
      <c r="B9" s="25" t="s">
        <v>6166</v>
      </c>
      <c r="C9" s="82" t="s">
        <v>8614</v>
      </c>
    </row>
    <row r="10">
      <c r="A10" s="1"/>
      <c r="B10" s="25" t="s">
        <v>6296</v>
      </c>
      <c r="C10" s="82" t="s">
        <v>9226</v>
      </c>
    </row>
    <row r="11">
      <c r="A11" s="1"/>
      <c r="B11" s="25" t="s">
        <v>6425</v>
      </c>
      <c r="C11" s="82" t="s">
        <v>8620</v>
      </c>
    </row>
    <row r="12">
      <c r="A12" s="1"/>
      <c r="B12" s="25" t="s">
        <v>6557</v>
      </c>
      <c r="C12" s="82" t="s">
        <v>8623</v>
      </c>
    </row>
    <row r="13">
      <c r="A13" s="1"/>
      <c r="B13" s="25" t="s">
        <v>6686</v>
      </c>
      <c r="C13" s="82" t="s">
        <v>8626</v>
      </c>
    </row>
    <row r="14">
      <c r="B14" s="25" t="s">
        <v>371</v>
      </c>
      <c r="C14" s="70" t="s">
        <v>8633</v>
      </c>
    </row>
    <row r="15">
      <c r="B15" s="25" t="s">
        <v>5253</v>
      </c>
      <c r="C15" s="82" t="s">
        <v>8591</v>
      </c>
    </row>
    <row r="16">
      <c r="B16" s="25" t="s">
        <v>5373</v>
      </c>
      <c r="C16" s="82" t="s">
        <v>8595</v>
      </c>
    </row>
    <row r="17">
      <c r="B17" s="25" t="s">
        <v>5514</v>
      </c>
      <c r="C17" s="82" t="s">
        <v>8599</v>
      </c>
    </row>
    <row r="18">
      <c r="B18" s="25" t="s">
        <v>5638</v>
      </c>
      <c r="C18" s="82" t="s">
        <v>8603</v>
      </c>
    </row>
    <row r="19">
      <c r="B19" s="25" t="s">
        <v>5777</v>
      </c>
      <c r="C19" s="82" t="s">
        <v>8606</v>
      </c>
    </row>
    <row r="20">
      <c r="B20" s="25" t="s">
        <v>5904</v>
      </c>
      <c r="C20" s="82" t="s">
        <v>8609</v>
      </c>
    </row>
    <row r="21">
      <c r="B21" s="25" t="s">
        <v>6001</v>
      </c>
      <c r="C21" s="82" t="s">
        <v>8612</v>
      </c>
    </row>
    <row r="22">
      <c r="B22" s="25" t="s">
        <v>6135</v>
      </c>
      <c r="C22" s="82" t="s">
        <v>8615</v>
      </c>
    </row>
    <row r="23">
      <c r="B23" s="25" t="s">
        <v>6286</v>
      </c>
      <c r="C23" s="82" t="s">
        <v>8618</v>
      </c>
    </row>
    <row r="24">
      <c r="B24" s="25" t="s">
        <v>6438</v>
      </c>
      <c r="C24" s="82" t="s">
        <v>8621</v>
      </c>
    </row>
    <row r="25">
      <c r="B25" s="25" t="s">
        <v>6550</v>
      </c>
      <c r="C25" s="82" t="s">
        <v>8641</v>
      </c>
    </row>
    <row r="26">
      <c r="B26" s="25" t="s">
        <v>6690</v>
      </c>
      <c r="C26" s="82" t="s">
        <v>8627</v>
      </c>
    </row>
    <row r="27">
      <c r="B27" s="25" t="s">
        <v>5277</v>
      </c>
      <c r="C27" s="70" t="s">
        <v>8631</v>
      </c>
    </row>
    <row r="28">
      <c r="B28" s="25" t="s">
        <v>5377</v>
      </c>
      <c r="C28" s="82" t="s">
        <v>8634</v>
      </c>
    </row>
    <row r="29">
      <c r="B29" s="25" t="s">
        <v>5303</v>
      </c>
      <c r="C29" s="82" t="s">
        <v>8592</v>
      </c>
    </row>
    <row r="30">
      <c r="B30" s="25" t="s">
        <v>5433</v>
      </c>
      <c r="C30" s="82" t="s">
        <v>8596</v>
      </c>
    </row>
    <row r="31">
      <c r="B31" s="25" t="s">
        <v>5575</v>
      </c>
      <c r="C31" s="82" t="s">
        <v>8600</v>
      </c>
    </row>
    <row r="32">
      <c r="B32" s="25" t="s">
        <v>5693</v>
      </c>
      <c r="C32" s="82" t="s">
        <v>8604</v>
      </c>
    </row>
    <row r="33">
      <c r="B33" s="25" t="s">
        <v>5849</v>
      </c>
      <c r="C33" s="82" t="s">
        <v>8607</v>
      </c>
    </row>
    <row r="34">
      <c r="B34" s="25" t="s">
        <v>5951</v>
      </c>
      <c r="C34" s="82" t="s">
        <v>8610</v>
      </c>
    </row>
    <row r="35">
      <c r="B35" s="25" t="s">
        <v>6064</v>
      </c>
      <c r="C35" s="82" t="s">
        <v>8613</v>
      </c>
    </row>
    <row r="36">
      <c r="B36" s="25" t="s">
        <v>6191</v>
      </c>
      <c r="C36" s="82" t="s">
        <v>8616</v>
      </c>
    </row>
    <row r="37">
      <c r="B37" s="25" t="s">
        <v>6348</v>
      </c>
      <c r="C37" s="82" t="s">
        <v>8619</v>
      </c>
    </row>
    <row r="38">
      <c r="B38" s="25" t="s">
        <v>6496</v>
      </c>
      <c r="C38" s="82" t="s">
        <v>8622</v>
      </c>
    </row>
    <row r="39">
      <c r="B39" s="25" t="s">
        <v>6606</v>
      </c>
      <c r="C39" s="82" t="s">
        <v>8625</v>
      </c>
    </row>
    <row r="40">
      <c r="B40" s="25" t="s">
        <v>6751</v>
      </c>
      <c r="C40" s="82" t="s">
        <v>8628</v>
      </c>
    </row>
    <row r="41">
      <c r="A41" s="153"/>
      <c r="B41" s="154" t="s">
        <v>7705</v>
      </c>
      <c r="C41" s="155" t="s">
        <v>7050</v>
      </c>
    </row>
    <row r="42">
      <c r="A42" s="153"/>
      <c r="B42" s="154" t="s">
        <v>9227</v>
      </c>
      <c r="C42" s="155" t="s">
        <v>8662</v>
      </c>
    </row>
    <row r="43">
      <c r="A43" s="153"/>
      <c r="B43" s="154" t="s">
        <v>9228</v>
      </c>
      <c r="C43" s="155" t="s">
        <v>8668</v>
      </c>
    </row>
    <row r="44">
      <c r="A44" s="153"/>
      <c r="B44" s="155" t="s">
        <v>9229</v>
      </c>
      <c r="C44" s="155" t="s">
        <v>9230</v>
      </c>
    </row>
    <row r="45">
      <c r="A45" s="153"/>
      <c r="B45" s="155" t="s">
        <v>9231</v>
      </c>
      <c r="C45" s="155" t="s">
        <v>8672</v>
      </c>
    </row>
    <row r="46">
      <c r="A46" s="153"/>
      <c r="B46" s="154" t="s">
        <v>9232</v>
      </c>
      <c r="C46" s="154" t="s">
        <v>8642</v>
      </c>
    </row>
    <row r="47">
      <c r="A47" s="153"/>
      <c r="B47" s="155" t="s">
        <v>9233</v>
      </c>
      <c r="C47" s="154" t="s">
        <v>8647</v>
      </c>
    </row>
    <row r="48">
      <c r="A48" s="153"/>
      <c r="B48" s="155" t="s">
        <v>9234</v>
      </c>
      <c r="C48" s="154" t="s">
        <v>8653</v>
      </c>
    </row>
    <row r="49">
      <c r="A49" s="153"/>
      <c r="B49" s="1" t="s">
        <v>6839</v>
      </c>
      <c r="C49" s="154" t="s">
        <v>8639</v>
      </c>
    </row>
    <row r="50">
      <c r="A50" s="153"/>
      <c r="B50" s="1" t="s">
        <v>6869</v>
      </c>
      <c r="C50" s="154" t="s">
        <v>9235</v>
      </c>
    </row>
    <row r="51">
      <c r="A51" s="153"/>
      <c r="B51" s="1" t="s">
        <v>9236</v>
      </c>
      <c r="C51" s="154" t="s">
        <v>8649</v>
      </c>
    </row>
    <row r="52">
      <c r="A52" s="153"/>
      <c r="B52" s="1" t="s">
        <v>9237</v>
      </c>
      <c r="C52" s="154" t="s">
        <v>8639</v>
      </c>
    </row>
    <row r="53">
      <c r="A53" s="153"/>
      <c r="B53" s="1" t="s">
        <v>9238</v>
      </c>
      <c r="C53" s="154" t="s">
        <v>8649</v>
      </c>
    </row>
    <row r="54">
      <c r="A54" s="153"/>
      <c r="B54" s="1" t="s">
        <v>9239</v>
      </c>
      <c r="C54" s="154" t="s">
        <v>8658</v>
      </c>
    </row>
    <row r="55">
      <c r="A55" s="153"/>
      <c r="B55" s="1" t="s">
        <v>9240</v>
      </c>
      <c r="C55" s="154" t="s">
        <v>9241</v>
      </c>
    </row>
    <row r="56">
      <c r="A56" s="153"/>
      <c r="B56" s="1" t="s">
        <v>9242</v>
      </c>
      <c r="C56" s="154" t="s">
        <v>9235</v>
      </c>
    </row>
    <row r="57">
      <c r="A57" s="153"/>
      <c r="B57" s="1" t="s">
        <v>9243</v>
      </c>
      <c r="C57" s="154" t="s">
        <v>8670</v>
      </c>
    </row>
    <row r="58">
      <c r="A58" s="153"/>
      <c r="B58" s="1" t="s">
        <v>9244</v>
      </c>
      <c r="C58" s="154" t="s">
        <v>8673</v>
      </c>
    </row>
    <row r="59">
      <c r="A59" s="153"/>
      <c r="B59" s="1" t="s">
        <v>6821</v>
      </c>
      <c r="C59" s="154" t="s">
        <v>8673</v>
      </c>
    </row>
    <row r="60">
      <c r="A60" s="153"/>
      <c r="B60" s="1" t="s">
        <v>6951</v>
      </c>
      <c r="C60" s="154" t="s">
        <v>8677</v>
      </c>
    </row>
    <row r="61">
      <c r="A61" s="153"/>
      <c r="B61" s="1" t="s">
        <v>6829</v>
      </c>
      <c r="C61" s="154" t="s">
        <v>8641</v>
      </c>
    </row>
    <row r="62">
      <c r="A62" s="153"/>
      <c r="B62" s="1" t="s">
        <v>6921</v>
      </c>
      <c r="C62" s="154" t="s">
        <v>8645</v>
      </c>
    </row>
    <row r="63">
      <c r="A63" s="153"/>
      <c r="B63" s="1" t="s">
        <v>6879</v>
      </c>
      <c r="C63" s="154" t="s">
        <v>8651</v>
      </c>
    </row>
    <row r="64">
      <c r="A64" s="153"/>
      <c r="B64" s="1" t="s">
        <v>6853</v>
      </c>
      <c r="C64" s="154" t="s">
        <v>9245</v>
      </c>
    </row>
    <row r="65">
      <c r="A65" s="153"/>
      <c r="B65" s="1" t="s">
        <v>6872</v>
      </c>
      <c r="C65" s="154" t="s">
        <v>9246</v>
      </c>
    </row>
    <row r="66">
      <c r="A66" s="153"/>
      <c r="B66" s="1" t="s">
        <v>6924</v>
      </c>
      <c r="C66" s="154" t="s">
        <v>8660</v>
      </c>
    </row>
    <row r="67">
      <c r="A67" s="153"/>
      <c r="B67" s="1" t="s">
        <v>6842</v>
      </c>
      <c r="C67" s="154" t="s">
        <v>8664</v>
      </c>
    </row>
    <row r="68">
      <c r="A68" s="153"/>
      <c r="B68" s="1" t="s">
        <v>6858</v>
      </c>
      <c r="C68" s="154" t="s">
        <v>8666</v>
      </c>
    </row>
    <row r="69">
      <c r="A69" s="153"/>
      <c r="B69" s="1" t="s">
        <v>6826</v>
      </c>
      <c r="C69" s="154" t="s">
        <v>8671</v>
      </c>
    </row>
    <row r="70">
      <c r="A70" s="153"/>
      <c r="B70" s="1" t="s">
        <v>6865</v>
      </c>
      <c r="C70" s="154" t="s">
        <v>8671</v>
      </c>
    </row>
    <row r="71">
      <c r="A71" s="153"/>
      <c r="B71" s="1" t="s">
        <v>6883</v>
      </c>
      <c r="C71" s="154" t="s">
        <v>8676</v>
      </c>
    </row>
    <row r="72">
      <c r="A72" s="153"/>
      <c r="B72" s="1" t="s">
        <v>6845</v>
      </c>
      <c r="C72" s="154" t="s">
        <v>8678</v>
      </c>
    </row>
  </sheetData>
  <drawing r:id="rId1"/>
  <tableParts count="1">
    <tablePart r:id="rId3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37.63"/>
    <col customWidth="1" min="7" max="7" width="13.38"/>
  </cols>
  <sheetData>
    <row r="1">
      <c r="A1" s="156" t="s">
        <v>9247</v>
      </c>
    </row>
    <row r="2">
      <c r="A2" s="157" t="s">
        <v>9248</v>
      </c>
      <c r="B2" s="158"/>
      <c r="C2" s="158"/>
      <c r="D2" s="158"/>
      <c r="E2" s="159" t="s">
        <v>5249</v>
      </c>
    </row>
    <row r="3">
      <c r="A3" s="160" t="s">
        <v>9249</v>
      </c>
      <c r="B3" s="161" t="s">
        <v>9</v>
      </c>
      <c r="C3" s="161" t="s">
        <v>5246</v>
      </c>
      <c r="D3" s="161" t="s">
        <v>201</v>
      </c>
      <c r="E3" s="161" t="s">
        <v>13</v>
      </c>
      <c r="F3" s="162" t="s">
        <v>8749</v>
      </c>
      <c r="G3" s="162" t="s">
        <v>8750</v>
      </c>
      <c r="H3" s="163" t="s">
        <v>217</v>
      </c>
    </row>
    <row r="4">
      <c r="A4" s="164">
        <v>1.0</v>
      </c>
      <c r="B4" s="165" t="s">
        <v>38</v>
      </c>
      <c r="C4" s="165">
        <v>2.52610008E8</v>
      </c>
      <c r="D4" s="166" t="s">
        <v>5248</v>
      </c>
      <c r="E4" s="165" t="s">
        <v>220</v>
      </c>
      <c r="F4" s="126">
        <f>COUNTIFS('Form Presensi SCC'!$B:$B, "*"&amp;IF(B4&lt;&gt;"", B4, C4)&amp;"*", 'Form Presensi SCC'!$C:$C, "Hadir")</f>
        <v>1</v>
      </c>
      <c r="G4" s="126">
        <f>maxIFS('Form Presensi SCC'!$K:$K, 'Form Presensi SCC'!$H:$H, E6)</f>
        <v>0</v>
      </c>
      <c r="H4" s="126">
        <f t="shared" ref="H4:H51" si="1">IFERROR(F6/G6, 0)</f>
        <v>0</v>
      </c>
    </row>
    <row r="5">
      <c r="A5" s="164">
        <v>2.0</v>
      </c>
      <c r="B5" s="165" t="s">
        <v>5251</v>
      </c>
      <c r="C5" s="165">
        <v>2.52610048E8</v>
      </c>
      <c r="D5" s="166" t="s">
        <v>5252</v>
      </c>
      <c r="E5" s="165" t="s">
        <v>227</v>
      </c>
      <c r="F5" s="126">
        <f>COUNTIFS('Form Presensi SCC'!$B:$B, "*"&amp;IF(B5&lt;&gt;"", B5, C5)&amp;"*", 'Form Presensi SCC'!$C:$C, "Hadir")</f>
        <v>0</v>
      </c>
      <c r="G5" s="126">
        <f>IFERROR(__xludf.DUMMYFUNCTION("COUNTUNIQUEIFS('Form Presensi SCC'!$K:$K, 'Form Presensi SCC'!$H:$H, E7)"),0.0)</f>
        <v>0</v>
      </c>
      <c r="H5" s="126">
        <f t="shared" si="1"/>
        <v>0</v>
      </c>
    </row>
    <row r="6">
      <c r="A6" s="164">
        <v>3.0</v>
      </c>
      <c r="B6" s="165" t="s">
        <v>5255</v>
      </c>
      <c r="C6" s="165">
        <v>2.52610053E8</v>
      </c>
      <c r="D6" s="166" t="s">
        <v>5256</v>
      </c>
      <c r="E6" s="165" t="s">
        <v>227</v>
      </c>
      <c r="F6" s="126">
        <f>COUNTIFS('Form Presensi SCC'!$B:$B, "*"&amp;IF(B6&lt;&gt;"", B6, C6)&amp;"*", 'Form Presensi SCC'!$C:$C, "Hadir")</f>
        <v>0</v>
      </c>
      <c r="G6" s="126">
        <f>IFERROR(__xludf.DUMMYFUNCTION("COUNTUNIQUEIFS('Form Presensi SCC'!$K:$K, 'Form Presensi SCC'!$H:$H, E8)"),0.0)</f>
        <v>0</v>
      </c>
      <c r="H6" s="126">
        <f t="shared" si="1"/>
        <v>0</v>
      </c>
    </row>
    <row r="7">
      <c r="A7" s="164">
        <v>4.0</v>
      </c>
      <c r="B7" s="165" t="s">
        <v>39</v>
      </c>
      <c r="C7" s="165">
        <v>2.52610082E8</v>
      </c>
      <c r="D7" s="166" t="s">
        <v>5258</v>
      </c>
      <c r="E7" s="165" t="s">
        <v>220</v>
      </c>
      <c r="F7" s="126">
        <f>COUNTIFS('Form Presensi SCC'!$B:$B, "*"&amp;IF(B7&lt;&gt;"", B7, C7)&amp;"*", 'Form Presensi SCC'!$C:$C, "Hadir")</f>
        <v>1</v>
      </c>
      <c r="G7" s="126">
        <f>IFERROR(__xludf.DUMMYFUNCTION("COUNTUNIQUEIFS('Form Presensi SCC'!$K:$K, 'Form Presensi SCC'!$H:$H, E9)"),0.0)</f>
        <v>0</v>
      </c>
      <c r="H7" s="126">
        <f t="shared" si="1"/>
        <v>0</v>
      </c>
    </row>
    <row r="8">
      <c r="A8" s="164">
        <v>5.0</v>
      </c>
      <c r="B8" s="165" t="s">
        <v>5260</v>
      </c>
      <c r="C8" s="165">
        <v>2.52610083E8</v>
      </c>
      <c r="D8" s="166" t="s">
        <v>5261</v>
      </c>
      <c r="E8" s="165" t="s">
        <v>227</v>
      </c>
      <c r="F8" s="126">
        <f>COUNTIFS('Form Presensi SCC'!$B:$B, "*"&amp;IF(B8&lt;&gt;"", B8, C8)&amp;"*", 'Form Presensi SCC'!$C:$C, "Hadir")</f>
        <v>0</v>
      </c>
      <c r="G8" s="126">
        <f>IFERROR(__xludf.DUMMYFUNCTION("COUNTUNIQUEIFS('Form Presensi SCC'!$K:$K, 'Form Presensi SCC'!$H:$H, E10)"),0.0)</f>
        <v>0</v>
      </c>
      <c r="H8" s="126">
        <f t="shared" si="1"/>
        <v>0</v>
      </c>
    </row>
    <row r="9">
      <c r="A9" s="164">
        <v>6.0</v>
      </c>
      <c r="B9" s="165" t="s">
        <v>5263</v>
      </c>
      <c r="C9" s="165">
        <v>2.52610087E8</v>
      </c>
      <c r="D9" s="166" t="s">
        <v>5264</v>
      </c>
      <c r="E9" s="165" t="s">
        <v>227</v>
      </c>
      <c r="F9" s="126">
        <f>COUNTIFS('Form Presensi SCC'!$B:$B, "*"&amp;IF(B9&lt;&gt;"", B9, C9)&amp;"*", 'Form Presensi SCC'!$C:$C, "Hadir")</f>
        <v>0</v>
      </c>
      <c r="G9" s="126">
        <f>IFERROR(__xludf.DUMMYFUNCTION("COUNTUNIQUEIFS('Form Presensi SCC'!$K:$K, 'Form Presensi SCC'!$H:$H, E11)"),0.0)</f>
        <v>0</v>
      </c>
      <c r="H9" s="126">
        <f t="shared" si="1"/>
        <v>0</v>
      </c>
    </row>
    <row r="10">
      <c r="A10" s="164">
        <v>7.0</v>
      </c>
      <c r="B10" s="165" t="s">
        <v>5266</v>
      </c>
      <c r="C10" s="165">
        <v>2.52610088E8</v>
      </c>
      <c r="D10" s="166" t="s">
        <v>5267</v>
      </c>
      <c r="E10" s="165" t="s">
        <v>227</v>
      </c>
      <c r="F10" s="126">
        <f>COUNTIFS('Form Presensi SCC'!$B:$B, "*"&amp;IF(B10&lt;&gt;"", B10, C10)&amp;"*", 'Form Presensi SCC'!$C:$C, "Hadir")</f>
        <v>0</v>
      </c>
      <c r="G10" s="126">
        <f>IFERROR(__xludf.DUMMYFUNCTION("COUNTUNIQUEIFS('Form Presensi SCC'!$K:$K, 'Form Presensi SCC'!$H:$H, E12)"),0.0)</f>
        <v>0</v>
      </c>
      <c r="H10" s="126">
        <f t="shared" si="1"/>
        <v>0</v>
      </c>
    </row>
    <row r="11">
      <c r="A11" s="164">
        <v>8.0</v>
      </c>
      <c r="B11" s="165" t="s">
        <v>5269</v>
      </c>
      <c r="C11" s="165">
        <v>2.526101E8</v>
      </c>
      <c r="D11" s="166" t="s">
        <v>5270</v>
      </c>
      <c r="E11" s="165" t="s">
        <v>227</v>
      </c>
      <c r="F11" s="126">
        <f>COUNTIFS('Form Presensi SCC'!$B:$B, "*"&amp;IF(B11&lt;&gt;"", B11, C11)&amp;"*", 'Form Presensi SCC'!$C:$C, "Hadir")</f>
        <v>0</v>
      </c>
      <c r="G11" s="126">
        <f>IFERROR(__xludf.DUMMYFUNCTION("COUNTUNIQUEIFS('Form Presensi SCC'!$K:$K, 'Form Presensi SCC'!$H:$H, E13)"),0.0)</f>
        <v>0</v>
      </c>
      <c r="H11" s="126">
        <f t="shared" si="1"/>
        <v>0</v>
      </c>
    </row>
    <row r="12">
      <c r="A12" s="164">
        <v>9.0</v>
      </c>
      <c r="B12" s="165" t="s">
        <v>5272</v>
      </c>
      <c r="C12" s="165">
        <v>2.52610101E8</v>
      </c>
      <c r="D12" s="166" t="s">
        <v>5273</v>
      </c>
      <c r="E12" s="165" t="s">
        <v>227</v>
      </c>
      <c r="F12" s="126">
        <f>COUNTIFS('Form Presensi SCC'!$B:$B, "*"&amp;IF(B12&lt;&gt;"", B12, C12)&amp;"*", 'Form Presensi SCC'!$C:$C, "Hadir")</f>
        <v>0</v>
      </c>
      <c r="G12" s="126">
        <f>IFERROR(__xludf.DUMMYFUNCTION("COUNTUNIQUEIFS('Form Presensi SCC'!$K:$K, 'Form Presensi SCC'!$H:$H, E14)"),0.0)</f>
        <v>0</v>
      </c>
      <c r="H12" s="126">
        <f t="shared" si="1"/>
        <v>0</v>
      </c>
    </row>
    <row r="13">
      <c r="A13" s="164">
        <v>10.0</v>
      </c>
      <c r="B13" s="165" t="s">
        <v>9250</v>
      </c>
      <c r="C13" s="165">
        <v>2.52610109E8</v>
      </c>
      <c r="D13" s="166" t="s">
        <v>9251</v>
      </c>
      <c r="E13" s="165" t="s">
        <v>227</v>
      </c>
      <c r="F13" s="126">
        <f>COUNTIFS('Form Presensi SCC'!$B:$B, "*"&amp;IF(B13&lt;&gt;"", B13, C13)&amp;"*", 'Form Presensi SCC'!$C:$C, "Hadir")</f>
        <v>0</v>
      </c>
      <c r="G13" s="126">
        <f>IFERROR(__xludf.DUMMYFUNCTION("COUNTUNIQUEIFS('Form Presensi SCC'!$K:$K, 'Form Presensi SCC'!$H:$H, E15)"),0.0)</f>
        <v>0</v>
      </c>
      <c r="H13" s="126">
        <f t="shared" si="1"/>
        <v>0</v>
      </c>
    </row>
    <row r="14">
      <c r="A14" s="164">
        <v>11.0</v>
      </c>
      <c r="B14" s="165" t="s">
        <v>5275</v>
      </c>
      <c r="C14" s="165">
        <v>2.52610122E8</v>
      </c>
      <c r="D14" s="166" t="s">
        <v>5276</v>
      </c>
      <c r="E14" s="165" t="s">
        <v>227</v>
      </c>
      <c r="F14" s="126">
        <f>COUNTIFS('Form Presensi SCC'!$B:$B, "*"&amp;IF(B14&lt;&gt;"", B14, C14)&amp;"*", 'Form Presensi SCC'!$C:$C, "Hadir")</f>
        <v>1</v>
      </c>
      <c r="G14" s="126">
        <f>IFERROR(__xludf.DUMMYFUNCTION("COUNTUNIQUEIFS('Form Presensi SCC'!$K:$K, 'Form Presensi SCC'!$H:$H, E16)"),0.0)</f>
        <v>0</v>
      </c>
      <c r="H14" s="126">
        <f t="shared" si="1"/>
        <v>0</v>
      </c>
    </row>
    <row r="15">
      <c r="A15" s="164">
        <v>12.0</v>
      </c>
      <c r="B15" s="165" t="s">
        <v>34</v>
      </c>
      <c r="C15" s="165">
        <v>2.52610126E8</v>
      </c>
      <c r="D15" s="166" t="s">
        <v>5279</v>
      </c>
      <c r="E15" s="165" t="s">
        <v>220</v>
      </c>
      <c r="F15" s="126">
        <f>COUNTIFS('Form Presensi SCC'!$B:$B, "*"&amp;IF(B15&lt;&gt;"", B15, C15)&amp;"*", 'Form Presensi SCC'!$C:$C, "Hadir")</f>
        <v>1</v>
      </c>
      <c r="G15" s="126">
        <f>IFERROR(__xludf.DUMMYFUNCTION("COUNTUNIQUEIFS('Form Presensi SCC'!$K:$K, 'Form Presensi SCC'!$H:$H, E17)"),0.0)</f>
        <v>0</v>
      </c>
      <c r="H15" s="126">
        <f t="shared" si="1"/>
        <v>0</v>
      </c>
    </row>
    <row r="16">
      <c r="A16" s="164">
        <v>13.0</v>
      </c>
      <c r="B16" s="165" t="s">
        <v>5281</v>
      </c>
      <c r="C16" s="165">
        <v>2.5261013E8</v>
      </c>
      <c r="D16" s="166" t="s">
        <v>5282</v>
      </c>
      <c r="E16" s="165" t="s">
        <v>227</v>
      </c>
      <c r="F16" s="126">
        <f>COUNTIFS('Form Presensi SCC'!$B:$B, "*"&amp;IF(B16&lt;&gt;"", B16, C16)&amp;"*", 'Form Presensi SCC'!$C:$C, "Hadir")</f>
        <v>0</v>
      </c>
      <c r="G16" s="126">
        <f>IFERROR(__xludf.DUMMYFUNCTION("COUNTUNIQUEIFS('Form Presensi SCC'!$K:$K, 'Form Presensi SCC'!$H:$H, E18)"),0.0)</f>
        <v>0</v>
      </c>
      <c r="H16" s="126">
        <f t="shared" si="1"/>
        <v>0</v>
      </c>
    </row>
    <row r="17">
      <c r="A17" s="164">
        <v>14.0</v>
      </c>
      <c r="B17" s="165" t="s">
        <v>41</v>
      </c>
      <c r="C17" s="165">
        <v>2.52610171E8</v>
      </c>
      <c r="D17" s="166" t="s">
        <v>5284</v>
      </c>
      <c r="E17" s="165" t="s">
        <v>220</v>
      </c>
      <c r="F17" s="126">
        <f>COUNTIFS('Form Presensi SCC'!$B:$B, "*"&amp;IF(B17&lt;&gt;"", B17, C17)&amp;"*", 'Form Presensi SCC'!$C:$C, "Hadir")</f>
        <v>1</v>
      </c>
      <c r="G17" s="126">
        <f>IFERROR(__xludf.DUMMYFUNCTION("COUNTUNIQUEIFS('Form Presensi SCC'!$K:$K, 'Form Presensi SCC'!$H:$H, E19)"),0.0)</f>
        <v>0</v>
      </c>
      <c r="H17" s="126">
        <f t="shared" si="1"/>
        <v>0</v>
      </c>
    </row>
    <row r="18">
      <c r="A18" s="164">
        <v>15.0</v>
      </c>
      <c r="B18" s="165" t="s">
        <v>5286</v>
      </c>
      <c r="C18" s="165">
        <v>2.52610175E8</v>
      </c>
      <c r="D18" s="166" t="s">
        <v>5287</v>
      </c>
      <c r="E18" s="165" t="s">
        <v>227</v>
      </c>
      <c r="F18" s="126">
        <f>COUNTIFS('Form Presensi SCC'!$B:$B, "*"&amp;IF(B18&lt;&gt;"", B18, C18)&amp;"*", 'Form Presensi SCC'!$C:$C, "Hadir")</f>
        <v>0</v>
      </c>
      <c r="G18" s="126">
        <f>IFERROR(__xludf.DUMMYFUNCTION("COUNTUNIQUEIFS('Form Presensi SCC'!$K:$K, 'Form Presensi SCC'!$H:$H, E20)"),0.0)</f>
        <v>0</v>
      </c>
      <c r="H18" s="126">
        <f t="shared" si="1"/>
        <v>0</v>
      </c>
    </row>
    <row r="19">
      <c r="A19" s="164">
        <v>16.0</v>
      </c>
      <c r="B19" s="165" t="s">
        <v>5289</v>
      </c>
      <c r="C19" s="165">
        <v>2.52610193E8</v>
      </c>
      <c r="D19" s="166" t="s">
        <v>5290</v>
      </c>
      <c r="E19" s="165" t="s">
        <v>220</v>
      </c>
      <c r="F19" s="126">
        <f>COUNTIFS('Form Presensi SCC'!$B:$B, "*"&amp;IF(B19&lt;&gt;"", B19, C19)&amp;"*", 'Form Presensi SCC'!$C:$C, "Hadir")</f>
        <v>0</v>
      </c>
      <c r="G19" s="126">
        <f>IFERROR(__xludf.DUMMYFUNCTION("COUNTUNIQUEIFS('Form Presensi SCC'!$K:$K, 'Form Presensi SCC'!$H:$H, E21)"),0.0)</f>
        <v>0</v>
      </c>
      <c r="H19" s="126">
        <f t="shared" si="1"/>
        <v>0</v>
      </c>
    </row>
    <row r="20">
      <c r="A20" s="164">
        <v>17.0</v>
      </c>
      <c r="B20" s="165" t="s">
        <v>5292</v>
      </c>
      <c r="C20" s="165">
        <v>2.52610202E8</v>
      </c>
      <c r="D20" s="166" t="s">
        <v>5293</v>
      </c>
      <c r="E20" s="165" t="s">
        <v>220</v>
      </c>
      <c r="F20" s="126">
        <f>COUNTIFS('Form Presensi SCC'!$B:$B, "*"&amp;IF(B20&lt;&gt;"", B20, C20)&amp;"*", 'Form Presensi SCC'!$C:$C, "Hadir")</f>
        <v>0</v>
      </c>
      <c r="G20" s="126">
        <f>IFERROR(__xludf.DUMMYFUNCTION("COUNTUNIQUEIFS('Form Presensi SCC'!$K:$K, 'Form Presensi SCC'!$H:$H, E22)"),0.0)</f>
        <v>0</v>
      </c>
      <c r="H20" s="126">
        <f t="shared" si="1"/>
        <v>0</v>
      </c>
    </row>
    <row r="21">
      <c r="A21" s="164">
        <v>18.0</v>
      </c>
      <c r="B21" s="165" t="s">
        <v>5295</v>
      </c>
      <c r="C21" s="165">
        <v>2.52610206E8</v>
      </c>
      <c r="D21" s="166" t="s">
        <v>5296</v>
      </c>
      <c r="E21" s="165" t="s">
        <v>227</v>
      </c>
      <c r="F21" s="126">
        <f>COUNTIFS('Form Presensi SCC'!$B:$B, "*"&amp;IF(B21&lt;&gt;"", B21, C21)&amp;"*", 'Form Presensi SCC'!$C:$C, "Hadir")</f>
        <v>0</v>
      </c>
      <c r="G21" s="126">
        <f>IFERROR(__xludf.DUMMYFUNCTION("COUNTUNIQUEIFS('Form Presensi SCC'!$K:$K, 'Form Presensi SCC'!$H:$H, E23)"),0.0)</f>
        <v>0</v>
      </c>
      <c r="H21" s="126">
        <f t="shared" si="1"/>
        <v>0</v>
      </c>
    </row>
    <row r="22">
      <c r="A22" s="164">
        <v>19.0</v>
      </c>
      <c r="B22" s="165" t="s">
        <v>5298</v>
      </c>
      <c r="C22" s="165">
        <v>2.52610224E8</v>
      </c>
      <c r="D22" s="166" t="s">
        <v>5299</v>
      </c>
      <c r="E22" s="165" t="s">
        <v>227</v>
      </c>
      <c r="F22" s="126">
        <f>COUNTIFS('Form Presensi SCC'!$B:$B, "*"&amp;IF(B22&lt;&gt;"", B22, C22)&amp;"*", 'Form Presensi SCC'!$C:$C, "Hadir")</f>
        <v>0</v>
      </c>
      <c r="G22" s="126">
        <f>IFERROR(__xludf.DUMMYFUNCTION("COUNTUNIQUEIFS('Form Presensi SCC'!$K:$K, 'Form Presensi SCC'!$H:$H, E24)"),0.0)</f>
        <v>0</v>
      </c>
      <c r="H22" s="126">
        <f t="shared" si="1"/>
        <v>0</v>
      </c>
    </row>
    <row r="23">
      <c r="A23" s="164">
        <v>20.0</v>
      </c>
      <c r="B23" s="165" t="s">
        <v>5301</v>
      </c>
      <c r="C23" s="165">
        <v>2.52610239E8</v>
      </c>
      <c r="D23" s="166" t="s">
        <v>5302</v>
      </c>
      <c r="E23" s="165" t="s">
        <v>227</v>
      </c>
      <c r="F23" s="126">
        <f>COUNTIFS('Form Presensi SCC'!$B:$B, "*"&amp;IF(B23&lt;&gt;"", B23, C23)&amp;"*", 'Form Presensi SCC'!$C:$C, "Hadir")</f>
        <v>2</v>
      </c>
      <c r="G23" s="126">
        <f>IFERROR(__xludf.DUMMYFUNCTION("COUNTUNIQUEIFS('Form Presensi SCC'!$K:$K, 'Form Presensi SCC'!$H:$H, E25)"),0.0)</f>
        <v>0</v>
      </c>
      <c r="H23" s="126">
        <f t="shared" si="1"/>
        <v>0</v>
      </c>
    </row>
    <row r="24">
      <c r="A24" s="164">
        <v>21.0</v>
      </c>
      <c r="B24" s="165" t="s">
        <v>9252</v>
      </c>
      <c r="C24" s="165">
        <v>2.52610244E8</v>
      </c>
      <c r="D24" s="166" t="s">
        <v>9253</v>
      </c>
      <c r="E24" s="165" t="s">
        <v>227</v>
      </c>
      <c r="F24" s="126">
        <f>COUNTIFS('Form Presensi SCC'!$B:$B, "*"&amp;IF(B24&lt;&gt;"", B24, C24)&amp;"*", 'Form Presensi SCC'!$C:$C, "Hadir")</f>
        <v>0</v>
      </c>
      <c r="G24" s="126">
        <f>IFERROR(__xludf.DUMMYFUNCTION("COUNTUNIQUEIFS('Form Presensi SCC'!$K:$K, 'Form Presensi SCC'!$H:$H, E26)"),0.0)</f>
        <v>0</v>
      </c>
      <c r="H24" s="126">
        <f t="shared" si="1"/>
        <v>0</v>
      </c>
    </row>
    <row r="25">
      <c r="A25" s="164">
        <v>22.0</v>
      </c>
      <c r="B25" s="165" t="s">
        <v>5305</v>
      </c>
      <c r="C25" s="165">
        <v>2.52610246E8</v>
      </c>
      <c r="D25" s="166" t="s">
        <v>5306</v>
      </c>
      <c r="E25" s="165" t="s">
        <v>227</v>
      </c>
      <c r="F25" s="126">
        <f>COUNTIFS('Form Presensi SCC'!$B:$B, "*"&amp;IF(B25&lt;&gt;"", B25, C25)&amp;"*", 'Form Presensi SCC'!$C:$C, "Hadir")</f>
        <v>0</v>
      </c>
      <c r="G25" s="126">
        <f>IFERROR(__xludf.DUMMYFUNCTION("COUNTUNIQUEIFS('Form Presensi SCC'!$K:$K, 'Form Presensi SCC'!$H:$H, E27)"),0.0)</f>
        <v>0</v>
      </c>
      <c r="H25" s="126">
        <f t="shared" si="1"/>
        <v>0</v>
      </c>
    </row>
    <row r="26">
      <c r="A26" s="164">
        <v>23.0</v>
      </c>
      <c r="B26" s="165" t="s">
        <v>9254</v>
      </c>
      <c r="C26" s="165">
        <v>2.5261025E8</v>
      </c>
      <c r="D26" s="166" t="s">
        <v>9255</v>
      </c>
      <c r="E26" s="165" t="s">
        <v>220</v>
      </c>
      <c r="F26" s="126">
        <f>COUNTIFS('Form Presensi SCC'!$B:$B, "*"&amp;IF(B26&lt;&gt;"", B26, C26)&amp;"*", 'Form Presensi SCC'!$C:$C, "Hadir")</f>
        <v>0</v>
      </c>
      <c r="G26" s="126">
        <f>IFERROR(__xludf.DUMMYFUNCTION("COUNTUNIQUEIFS('Form Presensi SCC'!$K:$K, 'Form Presensi SCC'!$H:$H, E28)"),0.0)</f>
        <v>0</v>
      </c>
      <c r="H26" s="126">
        <f t="shared" si="1"/>
        <v>0</v>
      </c>
    </row>
    <row r="27">
      <c r="A27" s="164">
        <v>24.0</v>
      </c>
      <c r="B27" s="165" t="s">
        <v>9256</v>
      </c>
      <c r="C27" s="165">
        <v>2.52610257E8</v>
      </c>
      <c r="D27" s="166" t="s">
        <v>9257</v>
      </c>
      <c r="E27" s="165" t="s">
        <v>220</v>
      </c>
      <c r="F27" s="126">
        <f>COUNTIFS('Form Presensi SCC'!$B:$B, "*"&amp;IF(B27&lt;&gt;"", B27, C27)&amp;"*", 'Form Presensi SCC'!$C:$C, "Hadir")</f>
        <v>0</v>
      </c>
      <c r="G27" s="126">
        <f>IFERROR(__xludf.DUMMYFUNCTION("COUNTUNIQUEIFS('Form Presensi SCC'!$K:$K, 'Form Presensi SCC'!$H:$H, E29)"),0.0)</f>
        <v>0</v>
      </c>
      <c r="H27" s="126">
        <f t="shared" si="1"/>
        <v>0</v>
      </c>
    </row>
    <row r="28">
      <c r="A28" s="164">
        <v>25.0</v>
      </c>
      <c r="B28" s="165" t="s">
        <v>9258</v>
      </c>
      <c r="C28" s="165">
        <v>2.52610304E8</v>
      </c>
      <c r="D28" s="166" t="s">
        <v>9259</v>
      </c>
      <c r="E28" s="165" t="s">
        <v>227</v>
      </c>
      <c r="F28" s="126">
        <f>COUNTIFS('Form Presensi SCC'!$B:$B, "*"&amp;IF(B28&lt;&gt;"", B28, C28)&amp;"*", 'Form Presensi SCC'!$C:$C, "Hadir")</f>
        <v>0</v>
      </c>
      <c r="G28" s="126">
        <f>IFERROR(__xludf.DUMMYFUNCTION("COUNTUNIQUEIFS('Form Presensi SCC'!$K:$K, 'Form Presensi SCC'!$H:$H, E30)"),0.0)</f>
        <v>0</v>
      </c>
      <c r="H28" s="126">
        <f t="shared" si="1"/>
        <v>0</v>
      </c>
    </row>
    <row r="29">
      <c r="A29" s="164">
        <v>26.0</v>
      </c>
      <c r="B29" s="165" t="s">
        <v>5308</v>
      </c>
      <c r="C29" s="165">
        <v>2.52610311E8</v>
      </c>
      <c r="D29" s="166" t="s">
        <v>5309</v>
      </c>
      <c r="E29" s="165" t="s">
        <v>227</v>
      </c>
      <c r="F29" s="126">
        <f>COUNTIFS('Form Presensi SCC'!$B:$B, "*"&amp;IF(B29&lt;&gt;"", B29, C29)&amp;"*", 'Form Presensi SCC'!$C:$C, "Hadir")</f>
        <v>0</v>
      </c>
      <c r="G29" s="126">
        <f>IFERROR(__xludf.DUMMYFUNCTION("COUNTUNIQUEIFS('Form Presensi SCC'!$K:$K, 'Form Presensi SCC'!$H:$H, E31)"),0.0)</f>
        <v>0</v>
      </c>
      <c r="H29" s="126">
        <f t="shared" si="1"/>
        <v>0</v>
      </c>
    </row>
    <row r="30">
      <c r="A30" s="164">
        <v>27.0</v>
      </c>
      <c r="B30" s="165" t="s">
        <v>9260</v>
      </c>
      <c r="C30" s="165">
        <v>2.52610313E8</v>
      </c>
      <c r="D30" s="166" t="s">
        <v>9261</v>
      </c>
      <c r="E30" s="165" t="s">
        <v>220</v>
      </c>
      <c r="F30" s="126">
        <f>COUNTIFS('Form Presensi SCC'!$B:$B, "*"&amp;IF(B30&lt;&gt;"", B30, C30)&amp;"*", 'Form Presensi SCC'!$C:$C, "Hadir")</f>
        <v>1</v>
      </c>
      <c r="G30" s="126">
        <f>IFERROR(__xludf.DUMMYFUNCTION("COUNTUNIQUEIFS('Form Presensi SCC'!$K:$K, 'Form Presensi SCC'!$H:$H, E32)"),0.0)</f>
        <v>0</v>
      </c>
      <c r="H30" s="126">
        <f t="shared" si="1"/>
        <v>0</v>
      </c>
    </row>
    <row r="31">
      <c r="A31" s="164">
        <v>28.0</v>
      </c>
      <c r="B31" s="165" t="s">
        <v>5311</v>
      </c>
      <c r="C31" s="165">
        <v>2.52610316E8</v>
      </c>
      <c r="D31" s="166" t="s">
        <v>5312</v>
      </c>
      <c r="E31" s="165" t="s">
        <v>220</v>
      </c>
      <c r="F31" s="126">
        <f>COUNTIFS('Form Presensi SCC'!$B:$B, "*"&amp;IF(B31&lt;&gt;"", B31, C31)&amp;"*", 'Form Presensi SCC'!$C:$C, "Hadir")</f>
        <v>0</v>
      </c>
      <c r="G31" s="126">
        <f>IFERROR(__xludf.DUMMYFUNCTION("COUNTUNIQUEIFS('Form Presensi SCC'!$K:$K, 'Form Presensi SCC'!$H:$H, E33)"),0.0)</f>
        <v>0</v>
      </c>
      <c r="H31" s="126">
        <f t="shared" si="1"/>
        <v>0</v>
      </c>
    </row>
    <row r="32">
      <c r="A32" s="164">
        <v>29.0</v>
      </c>
      <c r="B32" s="165" t="s">
        <v>5314</v>
      </c>
      <c r="C32" s="165">
        <v>2.5261033E8</v>
      </c>
      <c r="D32" s="166" t="s">
        <v>5315</v>
      </c>
      <c r="E32" s="165" t="s">
        <v>220</v>
      </c>
      <c r="F32" s="126">
        <f>COUNTIFS('Form Presensi SCC'!$B:$B, "*"&amp;IF(B32&lt;&gt;"", B32, C32)&amp;"*", 'Form Presensi SCC'!$C:$C, "Hadir")</f>
        <v>0</v>
      </c>
      <c r="G32" s="126">
        <f>IFERROR(__xludf.DUMMYFUNCTION("COUNTUNIQUEIFS('Form Presensi SCC'!$K:$K, 'Form Presensi SCC'!$H:$H, E34)"),0.0)</f>
        <v>0</v>
      </c>
      <c r="H32" s="126">
        <f t="shared" si="1"/>
        <v>0</v>
      </c>
    </row>
    <row r="33">
      <c r="A33" s="164">
        <v>30.0</v>
      </c>
      <c r="B33" s="165" t="s">
        <v>5317</v>
      </c>
      <c r="C33" s="165">
        <v>2.52610334E8</v>
      </c>
      <c r="D33" s="166" t="s">
        <v>5318</v>
      </c>
      <c r="E33" s="165" t="s">
        <v>220</v>
      </c>
      <c r="F33" s="126">
        <f>COUNTIFS('Form Presensi SCC'!$B:$B, "*"&amp;IF(B33&lt;&gt;"", B33, C33)&amp;"*", 'Form Presensi SCC'!$C:$C, "Hadir")</f>
        <v>0</v>
      </c>
      <c r="G33" s="126">
        <f>IFERROR(__xludf.DUMMYFUNCTION("COUNTUNIQUEIFS('Form Presensi SCC'!$K:$K, 'Form Presensi SCC'!$H:$H, E35)"),0.0)</f>
        <v>0</v>
      </c>
      <c r="H33" s="126">
        <f t="shared" si="1"/>
        <v>0</v>
      </c>
    </row>
    <row r="34">
      <c r="A34" s="164">
        <v>31.0</v>
      </c>
      <c r="B34" s="165" t="s">
        <v>40</v>
      </c>
      <c r="C34" s="165">
        <v>2.52610343E8</v>
      </c>
      <c r="D34" s="166" t="s">
        <v>5320</v>
      </c>
      <c r="E34" s="165" t="s">
        <v>220</v>
      </c>
      <c r="F34" s="126">
        <f>COUNTIFS('Form Presensi SCC'!$B:$B, "*"&amp;IF(B34&lt;&gt;"", B34, C34)&amp;"*", 'Form Presensi SCC'!$C:$C, "Hadir")</f>
        <v>1</v>
      </c>
      <c r="G34" s="126">
        <f>IFERROR(__xludf.DUMMYFUNCTION("COUNTUNIQUEIFS('Form Presensi SCC'!$K:$K, 'Form Presensi SCC'!$H:$H, E36)"),0.0)</f>
        <v>0</v>
      </c>
      <c r="H34" s="126">
        <f t="shared" si="1"/>
        <v>0</v>
      </c>
    </row>
    <row r="35">
      <c r="A35" s="164">
        <v>32.0</v>
      </c>
      <c r="B35" s="165" t="s">
        <v>5322</v>
      </c>
      <c r="C35" s="165">
        <v>2.52610351E8</v>
      </c>
      <c r="D35" s="166" t="s">
        <v>5323</v>
      </c>
      <c r="E35" s="165" t="s">
        <v>220</v>
      </c>
      <c r="F35" s="126">
        <f>COUNTIFS('Form Presensi SCC'!$B:$B, "*"&amp;IF(B35&lt;&gt;"", B35, C35)&amp;"*", 'Form Presensi SCC'!$C:$C, "Hadir")</f>
        <v>0</v>
      </c>
      <c r="G35" s="126">
        <f>IFERROR(__xludf.DUMMYFUNCTION("COUNTUNIQUEIFS('Form Presensi SCC'!$K:$K, 'Form Presensi SCC'!$H:$H, E37)"),0.0)</f>
        <v>0</v>
      </c>
      <c r="H35" s="126">
        <f t="shared" si="1"/>
        <v>0</v>
      </c>
    </row>
    <row r="36">
      <c r="A36" s="164">
        <v>33.0</v>
      </c>
      <c r="B36" s="165" t="s">
        <v>36</v>
      </c>
      <c r="C36" s="165">
        <v>2.52610369E8</v>
      </c>
      <c r="D36" s="166" t="s">
        <v>5325</v>
      </c>
      <c r="E36" s="165" t="s">
        <v>220</v>
      </c>
      <c r="F36" s="126">
        <f>COUNTIFS('Form Presensi SCC'!$B:$B, "*"&amp;IF(B36&lt;&gt;"", B36, C36)&amp;"*", 'Form Presensi SCC'!$C:$C, "Hadir")</f>
        <v>1</v>
      </c>
      <c r="G36" s="126">
        <f>IFERROR(__xludf.DUMMYFUNCTION("COUNTUNIQUEIFS('Form Presensi SCC'!$K:$K, 'Form Presensi SCC'!$H:$H, E38)"),0.0)</f>
        <v>0</v>
      </c>
      <c r="H36" s="126">
        <f t="shared" si="1"/>
        <v>0</v>
      </c>
    </row>
    <row r="37">
      <c r="A37" s="164">
        <v>34.0</v>
      </c>
      <c r="B37" s="165" t="s">
        <v>5327</v>
      </c>
      <c r="C37" s="165">
        <v>2.52610371E8</v>
      </c>
      <c r="D37" s="166" t="s">
        <v>5328</v>
      </c>
      <c r="E37" s="165" t="s">
        <v>220</v>
      </c>
      <c r="F37" s="126">
        <f>COUNTIFS('Form Presensi SCC'!$B:$B, "*"&amp;IF(B37&lt;&gt;"", B37, C37)&amp;"*", 'Form Presensi SCC'!$C:$C, "Hadir")</f>
        <v>0</v>
      </c>
      <c r="G37" s="126">
        <f>IFERROR(__xludf.DUMMYFUNCTION("COUNTUNIQUEIFS('Form Presensi SCC'!$K:$K, 'Form Presensi SCC'!$H:$H, E39)"),0.0)</f>
        <v>0</v>
      </c>
      <c r="H37" s="126">
        <f t="shared" si="1"/>
        <v>0</v>
      </c>
    </row>
    <row r="38">
      <c r="A38" s="164">
        <v>35.0</v>
      </c>
      <c r="B38" s="165" t="s">
        <v>5330</v>
      </c>
      <c r="C38" s="165">
        <v>2.5261039E8</v>
      </c>
      <c r="D38" s="166" t="s">
        <v>5331</v>
      </c>
      <c r="E38" s="165" t="s">
        <v>227</v>
      </c>
      <c r="F38" s="126">
        <f>COUNTIFS('Form Presensi SCC'!$B:$B, "*"&amp;IF(B38&lt;&gt;"", B38, C38)&amp;"*", 'Form Presensi SCC'!$C:$C, "Hadir")</f>
        <v>0</v>
      </c>
      <c r="G38" s="126">
        <f>IFERROR(__xludf.DUMMYFUNCTION("COUNTUNIQUEIFS('Form Presensi SCC'!$K:$K, 'Form Presensi SCC'!$H:$H, E40)"),0.0)</f>
        <v>0</v>
      </c>
      <c r="H38" s="126">
        <f t="shared" si="1"/>
        <v>0</v>
      </c>
    </row>
    <row r="39">
      <c r="A39" s="164">
        <v>36.0</v>
      </c>
      <c r="B39" s="165" t="s">
        <v>5333</v>
      </c>
      <c r="C39" s="165">
        <v>2.52610393E8</v>
      </c>
      <c r="D39" s="166" t="s">
        <v>5334</v>
      </c>
      <c r="E39" s="165" t="s">
        <v>227</v>
      </c>
      <c r="F39" s="126">
        <f>COUNTIFS('Form Presensi SCC'!$B:$B, "*"&amp;IF(B39&lt;&gt;"", B39, C39)&amp;"*", 'Form Presensi SCC'!$C:$C, "Hadir")</f>
        <v>0</v>
      </c>
      <c r="G39" s="126">
        <f>IFERROR(__xludf.DUMMYFUNCTION("COUNTUNIQUEIFS('Form Presensi SCC'!$K:$K, 'Form Presensi SCC'!$H:$H, E41)"),0.0)</f>
        <v>0</v>
      </c>
      <c r="H39" s="126">
        <f t="shared" si="1"/>
        <v>0</v>
      </c>
    </row>
    <row r="40">
      <c r="A40" s="164">
        <v>37.0</v>
      </c>
      <c r="B40" s="165" t="s">
        <v>5336</v>
      </c>
      <c r="C40" s="165">
        <v>2.52610423E8</v>
      </c>
      <c r="D40" s="166" t="s">
        <v>5337</v>
      </c>
      <c r="E40" s="165" t="s">
        <v>227</v>
      </c>
      <c r="F40" s="126">
        <f>COUNTIFS('Form Presensi SCC'!$B:$B, "*"&amp;IF(B40&lt;&gt;"", B40, C40)&amp;"*", 'Form Presensi SCC'!$C:$C, "Hadir")</f>
        <v>0</v>
      </c>
      <c r="G40" s="126">
        <f>IFERROR(__xludf.DUMMYFUNCTION("COUNTUNIQUEIFS('Form Presensi SCC'!$K:$K, 'Form Presensi SCC'!$H:$H, E42)"),0.0)</f>
        <v>0</v>
      </c>
      <c r="H40" s="126">
        <f t="shared" si="1"/>
        <v>0</v>
      </c>
    </row>
    <row r="41">
      <c r="A41" s="164">
        <v>38.0</v>
      </c>
      <c r="B41" s="165" t="s">
        <v>5339</v>
      </c>
      <c r="C41" s="165">
        <v>2.52610424E8</v>
      </c>
      <c r="D41" s="166" t="s">
        <v>5340</v>
      </c>
      <c r="E41" s="165" t="s">
        <v>227</v>
      </c>
      <c r="F41" s="126">
        <f>COUNTIFS('Form Presensi SCC'!$B:$B, "*"&amp;IF(B41&lt;&gt;"", B41, C41)&amp;"*", 'Form Presensi SCC'!$C:$C, "Hadir")</f>
        <v>2</v>
      </c>
      <c r="G41" s="126">
        <f>IFERROR(__xludf.DUMMYFUNCTION("COUNTUNIQUEIFS('Form Presensi SCC'!$K:$K, 'Form Presensi SCC'!$H:$H, E43)"),0.0)</f>
        <v>0</v>
      </c>
      <c r="H41" s="126">
        <f t="shared" si="1"/>
        <v>0</v>
      </c>
    </row>
    <row r="42">
      <c r="A42" s="164">
        <v>39.0</v>
      </c>
      <c r="B42" s="165" t="s">
        <v>5342</v>
      </c>
      <c r="C42" s="165">
        <v>2.52610436E8</v>
      </c>
      <c r="D42" s="166" t="s">
        <v>5343</v>
      </c>
      <c r="E42" s="165" t="s">
        <v>220</v>
      </c>
      <c r="F42" s="126">
        <f>COUNTIFS('Form Presensi SCC'!$B:$B, "*"&amp;IF(B42&lt;&gt;"", B42, C42)&amp;"*", 'Form Presensi SCC'!$C:$C, "Hadir")</f>
        <v>1</v>
      </c>
      <c r="G42" s="126">
        <f>IFERROR(__xludf.DUMMYFUNCTION("COUNTUNIQUEIFS('Form Presensi SCC'!$K:$K, 'Form Presensi SCC'!$H:$H, E44)"),0.0)</f>
        <v>0</v>
      </c>
      <c r="H42" s="126">
        <f t="shared" si="1"/>
        <v>0</v>
      </c>
    </row>
    <row r="43">
      <c r="A43" s="164">
        <v>40.0</v>
      </c>
      <c r="B43" s="165" t="s">
        <v>5345</v>
      </c>
      <c r="C43" s="165">
        <v>2.52610452E8</v>
      </c>
      <c r="D43" s="166" t="s">
        <v>5346</v>
      </c>
      <c r="E43" s="165" t="s">
        <v>220</v>
      </c>
      <c r="F43" s="126">
        <f>COUNTIFS('Form Presensi SCC'!$B:$B, "*"&amp;IF(B43&lt;&gt;"", B43, C43)&amp;"*", 'Form Presensi SCC'!$C:$C, "Hadir")</f>
        <v>0</v>
      </c>
      <c r="G43" s="126">
        <f>IFERROR(__xludf.DUMMYFUNCTION("COUNTUNIQUEIFS('Form Presensi SCC'!$K:$K, 'Form Presensi SCC'!$H:$H, E45)"),0.0)</f>
        <v>0</v>
      </c>
      <c r="H43" s="126">
        <f t="shared" si="1"/>
        <v>0</v>
      </c>
    </row>
    <row r="44">
      <c r="A44" s="164">
        <v>41.0</v>
      </c>
      <c r="B44" s="165" t="s">
        <v>5348</v>
      </c>
      <c r="C44" s="165">
        <v>2.52610454E8</v>
      </c>
      <c r="D44" s="166" t="s">
        <v>5349</v>
      </c>
      <c r="E44" s="165" t="s">
        <v>220</v>
      </c>
      <c r="F44" s="126">
        <f>COUNTIFS('Form Presensi SCC'!$B:$B, "*"&amp;IF(B44&lt;&gt;"", B44, C44)&amp;"*", 'Form Presensi SCC'!$C:$C, "Hadir")</f>
        <v>0</v>
      </c>
      <c r="G44" s="126">
        <f>IFERROR(__xludf.DUMMYFUNCTION("COUNTUNIQUEIFS('Form Presensi SCC'!$K:$K, 'Form Presensi SCC'!$H:$H, E46)"),0.0)</f>
        <v>0</v>
      </c>
      <c r="H44" s="126">
        <f t="shared" si="1"/>
        <v>0</v>
      </c>
    </row>
    <row r="45">
      <c r="A45" s="164">
        <v>42.0</v>
      </c>
      <c r="B45" s="165" t="s">
        <v>42</v>
      </c>
      <c r="C45" s="165">
        <v>2.52610476E8</v>
      </c>
      <c r="D45" s="166" t="s">
        <v>5351</v>
      </c>
      <c r="E45" s="165" t="s">
        <v>220</v>
      </c>
      <c r="F45" s="126">
        <f>COUNTIFS('Form Presensi SCC'!$B:$B, "*"&amp;IF(B45&lt;&gt;"", B45, C45)&amp;"*", 'Form Presensi SCC'!$C:$C, "Hadir")</f>
        <v>1</v>
      </c>
      <c r="G45" s="126">
        <f>IFERROR(__xludf.DUMMYFUNCTION("COUNTUNIQUEIFS('Form Presensi SCC'!$K:$K, 'Form Presensi SCC'!$H:$H, E47)"),0.0)</f>
        <v>0</v>
      </c>
      <c r="H45" s="126">
        <f t="shared" si="1"/>
        <v>0</v>
      </c>
    </row>
    <row r="46">
      <c r="A46" s="164">
        <v>43.0</v>
      </c>
      <c r="B46" s="165" t="s">
        <v>5353</v>
      </c>
      <c r="C46" s="165">
        <v>2.52610477E8</v>
      </c>
      <c r="D46" s="166" t="s">
        <v>5354</v>
      </c>
      <c r="E46" s="165" t="s">
        <v>227</v>
      </c>
      <c r="F46" s="126">
        <f>COUNTIFS('Form Presensi SCC'!$B:$B, "*"&amp;IF(B46&lt;&gt;"", B46, C46)&amp;"*", 'Form Presensi SCC'!$C:$C, "Hadir")</f>
        <v>1</v>
      </c>
      <c r="G46" s="126">
        <f>IFERROR(__xludf.DUMMYFUNCTION("COUNTUNIQUEIFS('Form Presensi SCC'!$K:$K, 'Form Presensi SCC'!$H:$H, E48)"),0.0)</f>
        <v>0</v>
      </c>
      <c r="H46" s="126">
        <f t="shared" si="1"/>
        <v>0</v>
      </c>
    </row>
    <row r="47">
      <c r="A47" s="164">
        <v>44.0</v>
      </c>
      <c r="B47" s="165" t="s">
        <v>37</v>
      </c>
      <c r="C47" s="165">
        <v>2.52610489E8</v>
      </c>
      <c r="D47" s="166" t="s">
        <v>5356</v>
      </c>
      <c r="E47" s="165" t="s">
        <v>227</v>
      </c>
      <c r="F47" s="126">
        <f>COUNTIFS('Form Presensi SCC'!$B:$B, "*"&amp;IF(B47&lt;&gt;"", B47, C47)&amp;"*", 'Form Presensi SCC'!$C:$C, "Hadir")</f>
        <v>1</v>
      </c>
      <c r="G47" s="126">
        <f>IFERROR(__xludf.DUMMYFUNCTION("COUNTUNIQUEIFS('Form Presensi SCC'!$K:$K, 'Form Presensi SCC'!$H:$H, E49)"),0.0)</f>
        <v>0</v>
      </c>
      <c r="H47" s="126">
        <f t="shared" si="1"/>
        <v>0</v>
      </c>
    </row>
    <row r="48">
      <c r="A48" s="164">
        <v>45.0</v>
      </c>
      <c r="B48" s="165" t="s">
        <v>5358</v>
      </c>
      <c r="C48" s="165">
        <v>2.52610508E8</v>
      </c>
      <c r="D48" s="166" t="s">
        <v>5359</v>
      </c>
      <c r="E48" s="165" t="s">
        <v>227</v>
      </c>
      <c r="F48" s="126">
        <f>COUNTIFS('Form Presensi SCC'!$B:$B, "*"&amp;IF(B48&lt;&gt;"", B48, C48)&amp;"*", 'Form Presensi SCC'!$C:$C, "Hadir")</f>
        <v>1</v>
      </c>
      <c r="G48" s="126">
        <f>IFERROR(__xludf.DUMMYFUNCTION("COUNTUNIQUEIFS('Form Presensi SCC'!$K:$K, 'Form Presensi SCC'!$H:$H, E50)"),0.0)</f>
        <v>0</v>
      </c>
      <c r="H48" s="126">
        <f t="shared" si="1"/>
        <v>0</v>
      </c>
    </row>
    <row r="49">
      <c r="A49" s="164">
        <v>46.0</v>
      </c>
      <c r="B49" s="165" t="s">
        <v>5361</v>
      </c>
      <c r="C49" s="165">
        <v>2.52610513E8</v>
      </c>
      <c r="D49" s="166" t="s">
        <v>5362</v>
      </c>
      <c r="E49" s="165" t="s">
        <v>227</v>
      </c>
      <c r="F49" s="126">
        <f>COUNTIFS('Form Presensi SCC'!$B:$B, "*"&amp;IF(B49&lt;&gt;"", B49, C49)&amp;"*", 'Form Presensi SCC'!$C:$C, "Hadir")</f>
        <v>1</v>
      </c>
      <c r="G49" s="126">
        <f>IFERROR(__xludf.DUMMYFUNCTION("COUNTUNIQUEIFS('Form Presensi SCC'!$K:$K, 'Form Presensi SCC'!$H:$H, E51)"),0.0)</f>
        <v>0</v>
      </c>
      <c r="H49" s="126">
        <f t="shared" si="1"/>
        <v>0</v>
      </c>
    </row>
    <row r="50">
      <c r="A50" s="164">
        <v>47.0</v>
      </c>
      <c r="B50" s="165" t="s">
        <v>5364</v>
      </c>
      <c r="C50" s="165">
        <v>2.52610564E8</v>
      </c>
      <c r="D50" s="166" t="s">
        <v>5365</v>
      </c>
      <c r="E50" s="165" t="s">
        <v>220</v>
      </c>
      <c r="F50" s="126">
        <f>COUNTIFS('Form Presensi SCC'!$B:$B, "*"&amp;IF(B50&lt;&gt;"", B50, C50)&amp;"*", 'Form Presensi SCC'!$C:$C, "Hadir")</f>
        <v>0</v>
      </c>
      <c r="G50" s="126">
        <f>IFERROR(__xludf.DUMMYFUNCTION("COUNTUNIQUEIFS('Form Presensi SCC'!$K:$K, 'Form Presensi SCC'!$H:$H, E52)"),0.0)</f>
        <v>0</v>
      </c>
      <c r="H50" s="126">
        <f t="shared" si="1"/>
        <v>0</v>
      </c>
    </row>
    <row r="51">
      <c r="A51" s="164">
        <v>48.0</v>
      </c>
      <c r="B51" s="165" t="s">
        <v>5367</v>
      </c>
      <c r="C51" s="165">
        <v>2.52610566E8</v>
      </c>
      <c r="D51" s="166" t="s">
        <v>5368</v>
      </c>
      <c r="E51" s="165" t="s">
        <v>227</v>
      </c>
      <c r="F51" s="126">
        <f>COUNTIFS('Form Presensi SCC'!$B:$B, "*"&amp;IF(B51&lt;&gt;"", B51, C51)&amp;"*", 'Form Presensi SCC'!$C:$C, "Hadir")</f>
        <v>0</v>
      </c>
      <c r="G51" s="126">
        <f>IFERROR(__xludf.DUMMYFUNCTION("COUNTUNIQUEIFS('Form Presensi SCC'!$K:$K, 'Form Presensi SCC'!$H:$H, E53)"),0.0)</f>
        <v>0</v>
      </c>
      <c r="H51" s="126">
        <f t="shared" si="1"/>
        <v>0</v>
      </c>
    </row>
    <row r="52">
      <c r="A52" s="167"/>
      <c r="B52" s="167"/>
      <c r="C52" s="167"/>
      <c r="D52" s="158"/>
      <c r="E52" s="158"/>
    </row>
    <row r="53">
      <c r="A53" s="167"/>
      <c r="B53" s="167"/>
      <c r="C53" s="168"/>
      <c r="D53" s="166" t="s">
        <v>9262</v>
      </c>
      <c r="E53" s="169">
        <f>COUNTIF(E4:E51,"P")</f>
        <v>27</v>
      </c>
    </row>
    <row r="54">
      <c r="A54" s="167"/>
      <c r="B54" s="167"/>
      <c r="C54" s="168"/>
      <c r="D54" s="166" t="s">
        <v>9263</v>
      </c>
      <c r="E54" s="169">
        <f>COUNTIF(E4:E51,"L")</f>
        <v>21</v>
      </c>
    </row>
    <row r="57">
      <c r="A57" s="157" t="s">
        <v>9264</v>
      </c>
      <c r="B57" s="158"/>
      <c r="C57" s="158"/>
      <c r="D57" s="158"/>
      <c r="E57" s="159" t="s">
        <v>5372</v>
      </c>
    </row>
    <row r="58">
      <c r="A58" s="160" t="s">
        <v>9249</v>
      </c>
      <c r="B58" s="161" t="s">
        <v>9</v>
      </c>
      <c r="C58" s="161" t="s">
        <v>5246</v>
      </c>
      <c r="D58" s="161" t="s">
        <v>201</v>
      </c>
      <c r="E58" s="161" t="s">
        <v>13</v>
      </c>
      <c r="F58" s="162" t="s">
        <v>8749</v>
      </c>
      <c r="G58" s="162" t="s">
        <v>8750</v>
      </c>
      <c r="H58" s="163" t="s">
        <v>217</v>
      </c>
    </row>
    <row r="59">
      <c r="A59" s="164">
        <v>1.0</v>
      </c>
      <c r="B59" s="165" t="s">
        <v>5370</v>
      </c>
      <c r="C59" s="165">
        <v>2.52610011E8</v>
      </c>
      <c r="D59" s="166" t="s">
        <v>5371</v>
      </c>
      <c r="E59" s="165" t="s">
        <v>227</v>
      </c>
      <c r="F59" s="126">
        <f>COUNTIFS('Form Presensi SCC'!$B:$B, "*"&amp;IF(B59&lt;&gt;"", B59, C59)&amp;"*", 'Form Presensi SCC'!$C:$C, "Hadir")</f>
        <v>0</v>
      </c>
      <c r="G59" s="126">
        <f>IFERROR(__xludf.DUMMYFUNCTION("COUNTUNIQUEIFS('Form Presensi SCC'!$K:$K, 'Form Presensi SCC'!$H:$H, E61)"),0.0)</f>
        <v>0</v>
      </c>
      <c r="H59" s="126">
        <f t="shared" ref="H59:H106" si="2">IFERROR(F61/G61, 0)</f>
        <v>0</v>
      </c>
    </row>
    <row r="60">
      <c r="A60" s="164">
        <v>2.0</v>
      </c>
      <c r="B60" s="165" t="s">
        <v>5375</v>
      </c>
      <c r="C60" s="165">
        <v>2.52610023E8</v>
      </c>
      <c r="D60" s="170" t="s">
        <v>5376</v>
      </c>
      <c r="E60" s="165" t="s">
        <v>227</v>
      </c>
      <c r="F60" s="126">
        <f>COUNTIFS('Form Presensi SCC'!$B:$B, "*"&amp;IF(B60&lt;&gt;"", B60, C60)&amp;"*", 'Form Presensi SCC'!$C:$C, "Hadir")</f>
        <v>0</v>
      </c>
      <c r="G60" s="126">
        <f>IFERROR(__xludf.DUMMYFUNCTION("COUNTUNIQUEIFS('Form Presensi SCC'!$K:$K, 'Form Presensi SCC'!$H:$H, E62)"),0.0)</f>
        <v>0</v>
      </c>
      <c r="H60" s="126">
        <f t="shared" si="2"/>
        <v>0</v>
      </c>
    </row>
    <row r="61">
      <c r="A61" s="164">
        <v>3.0</v>
      </c>
      <c r="B61" s="165" t="s">
        <v>5379</v>
      </c>
      <c r="C61" s="165">
        <v>2.52610026E8</v>
      </c>
      <c r="D61" s="170" t="s">
        <v>5380</v>
      </c>
      <c r="E61" s="165" t="s">
        <v>227</v>
      </c>
      <c r="F61" s="126">
        <f>COUNTIFS('Form Presensi SCC'!$B:$B, "*"&amp;IF(B61&lt;&gt;"", B61, C61)&amp;"*", 'Form Presensi SCC'!$C:$C, "Hadir")</f>
        <v>0</v>
      </c>
      <c r="G61" s="126">
        <f>IFERROR(__xludf.DUMMYFUNCTION("COUNTUNIQUEIFS('Form Presensi SCC'!$K:$K, 'Form Presensi SCC'!$H:$H, E63)"),0.0)</f>
        <v>0</v>
      </c>
      <c r="H61" s="126">
        <f t="shared" si="2"/>
        <v>0</v>
      </c>
    </row>
    <row r="62">
      <c r="A62" s="164">
        <v>4.0</v>
      </c>
      <c r="B62" s="165" t="s">
        <v>5382</v>
      </c>
      <c r="C62" s="165">
        <v>2.52610039E8</v>
      </c>
      <c r="D62" s="166" t="s">
        <v>5383</v>
      </c>
      <c r="E62" s="165" t="s">
        <v>227</v>
      </c>
      <c r="F62" s="126">
        <f>COUNTIFS('Form Presensi SCC'!$B:$B, "*"&amp;IF(B62&lt;&gt;"", B62, C62)&amp;"*", 'Form Presensi SCC'!$C:$C, "Hadir")</f>
        <v>0</v>
      </c>
      <c r="G62" s="126">
        <f>IFERROR(__xludf.DUMMYFUNCTION("COUNTUNIQUEIFS('Form Presensi SCC'!$K:$K, 'Form Presensi SCC'!$H:$H, E64)"),0.0)</f>
        <v>0</v>
      </c>
      <c r="H62" s="126">
        <f t="shared" si="2"/>
        <v>0</v>
      </c>
    </row>
    <row r="63">
      <c r="A63" s="164">
        <v>5.0</v>
      </c>
      <c r="B63" s="165" t="s">
        <v>5385</v>
      </c>
      <c r="C63" s="165">
        <v>2.5261005E8</v>
      </c>
      <c r="D63" s="166" t="s">
        <v>5386</v>
      </c>
      <c r="E63" s="165" t="s">
        <v>227</v>
      </c>
      <c r="F63" s="126">
        <f>COUNTIFS('Form Presensi SCC'!$B:$B, "*"&amp;IF(B63&lt;&gt;"", B63, C63)&amp;"*", 'Form Presensi SCC'!$C:$C, "Hadir")</f>
        <v>0</v>
      </c>
      <c r="G63" s="126">
        <f>IFERROR(__xludf.DUMMYFUNCTION("COUNTUNIQUEIFS('Form Presensi SCC'!$K:$K, 'Form Presensi SCC'!$H:$H, E65)"),0.0)</f>
        <v>0</v>
      </c>
      <c r="H63" s="126">
        <f t="shared" si="2"/>
        <v>0</v>
      </c>
    </row>
    <row r="64">
      <c r="A64" s="164">
        <v>6.0</v>
      </c>
      <c r="B64" s="165" t="s">
        <v>5388</v>
      </c>
      <c r="C64" s="165">
        <v>2.52610052E8</v>
      </c>
      <c r="D64" s="170" t="s">
        <v>5389</v>
      </c>
      <c r="E64" s="165" t="s">
        <v>227</v>
      </c>
      <c r="F64" s="126">
        <f>COUNTIFS('Form Presensi SCC'!$B:$B, "*"&amp;IF(B64&lt;&gt;"", B64, C64)&amp;"*", 'Form Presensi SCC'!$C:$C, "Hadir")</f>
        <v>1</v>
      </c>
      <c r="G64" s="126">
        <f>IFERROR(__xludf.DUMMYFUNCTION("COUNTUNIQUEIFS('Form Presensi SCC'!$K:$K, 'Form Presensi SCC'!$H:$H, E66)"),0.0)</f>
        <v>0</v>
      </c>
      <c r="H64" s="126">
        <f t="shared" si="2"/>
        <v>0</v>
      </c>
    </row>
    <row r="65">
      <c r="A65" s="164">
        <v>7.0</v>
      </c>
      <c r="B65" s="165" t="s">
        <v>5391</v>
      </c>
      <c r="C65" s="165">
        <v>2.52610058E8</v>
      </c>
      <c r="D65" s="166" t="s">
        <v>5392</v>
      </c>
      <c r="E65" s="165" t="s">
        <v>220</v>
      </c>
      <c r="F65" s="126">
        <f>COUNTIFS('Form Presensi SCC'!$B:$B, "*"&amp;IF(B65&lt;&gt;"", B65, C65)&amp;"*", 'Form Presensi SCC'!$C:$C, "Hadir")</f>
        <v>0</v>
      </c>
      <c r="G65" s="126">
        <f>IFERROR(__xludf.DUMMYFUNCTION("COUNTUNIQUEIFS('Form Presensi SCC'!$K:$K, 'Form Presensi SCC'!$H:$H, E67)"),0.0)</f>
        <v>0</v>
      </c>
      <c r="H65" s="126">
        <f t="shared" si="2"/>
        <v>0</v>
      </c>
    </row>
    <row r="66">
      <c r="A66" s="164">
        <v>8.0</v>
      </c>
      <c r="B66" s="165" t="s">
        <v>5395</v>
      </c>
      <c r="C66" s="165">
        <v>2.52610062E8</v>
      </c>
      <c r="D66" s="170" t="s">
        <v>5396</v>
      </c>
      <c r="E66" s="165" t="s">
        <v>227</v>
      </c>
      <c r="F66" s="126">
        <f>COUNTIFS('Form Presensi SCC'!$B:$B, "*"&amp;IF(B66&lt;&gt;"", B66, C66)&amp;"*", 'Form Presensi SCC'!$C:$C, "Hadir")</f>
        <v>0</v>
      </c>
      <c r="G66" s="126">
        <f>IFERROR(__xludf.DUMMYFUNCTION("COUNTUNIQUEIFS('Form Presensi SCC'!$K:$K, 'Form Presensi SCC'!$H:$H, E68)"),0.0)</f>
        <v>0</v>
      </c>
      <c r="H66" s="126">
        <f t="shared" si="2"/>
        <v>0</v>
      </c>
    </row>
    <row r="67">
      <c r="A67" s="164">
        <v>9.0</v>
      </c>
      <c r="B67" s="165" t="s">
        <v>5398</v>
      </c>
      <c r="C67" s="165">
        <v>2.5261007E8</v>
      </c>
      <c r="D67" s="166" t="s">
        <v>5399</v>
      </c>
      <c r="E67" s="165" t="s">
        <v>227</v>
      </c>
      <c r="F67" s="126">
        <f>COUNTIFS('Form Presensi SCC'!$B:$B, "*"&amp;IF(B67&lt;&gt;"", B67, C67)&amp;"*", 'Form Presensi SCC'!$C:$C, "Hadir")</f>
        <v>0</v>
      </c>
      <c r="G67" s="126">
        <f>IFERROR(__xludf.DUMMYFUNCTION("COUNTUNIQUEIFS('Form Presensi SCC'!$K:$K, 'Form Presensi SCC'!$H:$H, E69)"),0.0)</f>
        <v>0</v>
      </c>
      <c r="H67" s="126">
        <f t="shared" si="2"/>
        <v>0</v>
      </c>
    </row>
    <row r="68">
      <c r="A68" s="164">
        <v>10.0</v>
      </c>
      <c r="B68" s="165" t="s">
        <v>9265</v>
      </c>
      <c r="C68" s="165">
        <v>2.52610075E8</v>
      </c>
      <c r="D68" s="166" t="s">
        <v>9266</v>
      </c>
      <c r="E68" s="165" t="s">
        <v>220</v>
      </c>
      <c r="F68" s="126">
        <f>COUNTIFS('Form Presensi SCC'!$B:$B, "*"&amp;IF(B68&lt;&gt;"", B68, C68)&amp;"*", 'Form Presensi SCC'!$C:$C, "Hadir")</f>
        <v>0</v>
      </c>
      <c r="G68" s="126">
        <f>IFERROR(__xludf.DUMMYFUNCTION("COUNTUNIQUEIFS('Form Presensi SCC'!$K:$K, 'Form Presensi SCC'!$H:$H, E70)"),0.0)</f>
        <v>0</v>
      </c>
      <c r="H68" s="126">
        <f t="shared" si="2"/>
        <v>0</v>
      </c>
    </row>
    <row r="69">
      <c r="A69" s="164">
        <v>11.0</v>
      </c>
      <c r="B69" s="165" t="s">
        <v>5401</v>
      </c>
      <c r="C69" s="165">
        <v>2.52610084E8</v>
      </c>
      <c r="D69" s="166" t="s">
        <v>5402</v>
      </c>
      <c r="E69" s="165" t="s">
        <v>227</v>
      </c>
      <c r="F69" s="126">
        <f>COUNTIFS('Form Presensi SCC'!$B:$B, "*"&amp;IF(B69&lt;&gt;"", B69, C69)&amp;"*", 'Form Presensi SCC'!$C:$C, "Hadir")</f>
        <v>0</v>
      </c>
      <c r="G69" s="126">
        <f>IFERROR(__xludf.DUMMYFUNCTION("COUNTUNIQUEIFS('Form Presensi SCC'!$K:$K, 'Form Presensi SCC'!$H:$H, E71)"),0.0)</f>
        <v>0</v>
      </c>
      <c r="H69" s="126">
        <f t="shared" si="2"/>
        <v>0</v>
      </c>
    </row>
    <row r="70">
      <c r="A70" s="164">
        <v>12.0</v>
      </c>
      <c r="B70" s="165" t="s">
        <v>5404</v>
      </c>
      <c r="C70" s="165">
        <v>2.5261009E8</v>
      </c>
      <c r="D70" s="166" t="s">
        <v>5405</v>
      </c>
      <c r="E70" s="165" t="s">
        <v>227</v>
      </c>
      <c r="F70" s="126">
        <f>COUNTIFS('Form Presensi SCC'!$B:$B, "*"&amp;IF(B70&lt;&gt;"", B70, C70)&amp;"*", 'Form Presensi SCC'!$C:$C, "Hadir")</f>
        <v>0</v>
      </c>
      <c r="G70" s="126">
        <f>IFERROR(__xludf.DUMMYFUNCTION("COUNTUNIQUEIFS('Form Presensi SCC'!$K:$K, 'Form Presensi SCC'!$H:$H, E72)"),0.0)</f>
        <v>0</v>
      </c>
      <c r="H70" s="126">
        <f t="shared" si="2"/>
        <v>0</v>
      </c>
    </row>
    <row r="71">
      <c r="A71" s="164">
        <v>13.0</v>
      </c>
      <c r="B71" s="165" t="s">
        <v>5407</v>
      </c>
      <c r="C71" s="165">
        <v>2.52610102E8</v>
      </c>
      <c r="D71" s="166" t="s">
        <v>5408</v>
      </c>
      <c r="E71" s="165" t="s">
        <v>227</v>
      </c>
      <c r="F71" s="126">
        <f>COUNTIFS('Form Presensi SCC'!$B:$B, "*"&amp;IF(B71&lt;&gt;"", B71, C71)&amp;"*", 'Form Presensi SCC'!$C:$C, "Hadir")</f>
        <v>0</v>
      </c>
      <c r="G71" s="126">
        <f>IFERROR(__xludf.DUMMYFUNCTION("COUNTUNIQUEIFS('Form Presensi SCC'!$K:$K, 'Form Presensi SCC'!$H:$H, E73)"),0.0)</f>
        <v>0</v>
      </c>
      <c r="H71" s="126">
        <f t="shared" si="2"/>
        <v>0</v>
      </c>
    </row>
    <row r="72">
      <c r="A72" s="164">
        <v>14.0</v>
      </c>
      <c r="B72" s="165" t="s">
        <v>5410</v>
      </c>
      <c r="C72" s="165">
        <v>2.52610124E8</v>
      </c>
      <c r="D72" s="166" t="s">
        <v>5411</v>
      </c>
      <c r="E72" s="165" t="s">
        <v>220</v>
      </c>
      <c r="F72" s="126">
        <f>COUNTIFS('Form Presensi SCC'!$B:$B, "*"&amp;IF(B72&lt;&gt;"", B72, C72)&amp;"*", 'Form Presensi SCC'!$C:$C, "Hadir")</f>
        <v>0</v>
      </c>
      <c r="G72" s="126">
        <f>IFERROR(__xludf.DUMMYFUNCTION("COUNTUNIQUEIFS('Form Presensi SCC'!$K:$K, 'Form Presensi SCC'!$H:$H, E74)"),0.0)</f>
        <v>0</v>
      </c>
      <c r="H72" s="126">
        <f t="shared" si="2"/>
        <v>0</v>
      </c>
    </row>
    <row r="73">
      <c r="A73" s="164">
        <v>15.0</v>
      </c>
      <c r="B73" s="165" t="s">
        <v>5413</v>
      </c>
      <c r="C73" s="165">
        <v>2.52610139E8</v>
      </c>
      <c r="D73" s="166" t="s">
        <v>5414</v>
      </c>
      <c r="E73" s="165" t="s">
        <v>227</v>
      </c>
      <c r="F73" s="126">
        <f>COUNTIFS('Form Presensi SCC'!$B:$B, "*"&amp;IF(B73&lt;&gt;"", B73, C73)&amp;"*", 'Form Presensi SCC'!$C:$C, "Hadir")</f>
        <v>1</v>
      </c>
      <c r="G73" s="126">
        <f>IFERROR(__xludf.DUMMYFUNCTION("COUNTUNIQUEIFS('Form Presensi SCC'!$K:$K, 'Form Presensi SCC'!$H:$H, E75)"),0.0)</f>
        <v>0</v>
      </c>
      <c r="H73" s="126">
        <f t="shared" si="2"/>
        <v>0</v>
      </c>
    </row>
    <row r="74">
      <c r="A74" s="164">
        <v>16.0</v>
      </c>
      <c r="B74" s="165" t="s">
        <v>5416</v>
      </c>
      <c r="C74" s="165">
        <v>2.52610145E8</v>
      </c>
      <c r="D74" s="166" t="s">
        <v>5417</v>
      </c>
      <c r="E74" s="165" t="s">
        <v>220</v>
      </c>
      <c r="F74" s="126">
        <f>COUNTIFS('Form Presensi SCC'!$B:$B, "*"&amp;IF(B74&lt;&gt;"", B74, C74)&amp;"*", 'Form Presensi SCC'!$C:$C, "Hadir")</f>
        <v>0</v>
      </c>
      <c r="G74" s="126">
        <f>IFERROR(__xludf.DUMMYFUNCTION("COUNTUNIQUEIFS('Form Presensi SCC'!$K:$K, 'Form Presensi SCC'!$H:$H, E76)"),0.0)</f>
        <v>0</v>
      </c>
      <c r="H74" s="126">
        <f t="shared" si="2"/>
        <v>0</v>
      </c>
    </row>
    <row r="75">
      <c r="A75" s="164">
        <v>17.0</v>
      </c>
      <c r="B75" s="165" t="s">
        <v>5419</v>
      </c>
      <c r="C75" s="165">
        <v>2.52610153E8</v>
      </c>
      <c r="D75" s="166" t="s">
        <v>5420</v>
      </c>
      <c r="E75" s="165" t="s">
        <v>227</v>
      </c>
      <c r="F75" s="126">
        <f>COUNTIFS('Form Presensi SCC'!$B:$B, "*"&amp;IF(B75&lt;&gt;"", B75, C75)&amp;"*", 'Form Presensi SCC'!$C:$C, "Hadir")</f>
        <v>1</v>
      </c>
      <c r="G75" s="126">
        <f>IFERROR(__xludf.DUMMYFUNCTION("COUNTUNIQUEIFS('Form Presensi SCC'!$K:$K, 'Form Presensi SCC'!$H:$H, E77)"),0.0)</f>
        <v>0</v>
      </c>
      <c r="H75" s="126">
        <f t="shared" si="2"/>
        <v>0</v>
      </c>
    </row>
    <row r="76">
      <c r="A76" s="164">
        <v>18.0</v>
      </c>
      <c r="B76" s="165" t="s">
        <v>5422</v>
      </c>
      <c r="C76" s="165">
        <v>2.52610154E8</v>
      </c>
      <c r="D76" s="166" t="s">
        <v>5423</v>
      </c>
      <c r="E76" s="165" t="s">
        <v>227</v>
      </c>
      <c r="F76" s="126">
        <f>COUNTIFS('Form Presensi SCC'!$B:$B, "*"&amp;IF(B76&lt;&gt;"", B76, C76)&amp;"*", 'Form Presensi SCC'!$C:$C, "Hadir")</f>
        <v>0</v>
      </c>
      <c r="G76" s="126">
        <f>IFERROR(__xludf.DUMMYFUNCTION("COUNTUNIQUEIFS('Form Presensi SCC'!$K:$K, 'Form Presensi SCC'!$H:$H, E78)"),0.0)</f>
        <v>0</v>
      </c>
      <c r="H76" s="126">
        <f t="shared" si="2"/>
        <v>0</v>
      </c>
    </row>
    <row r="77">
      <c r="A77" s="164">
        <v>19.0</v>
      </c>
      <c r="B77" s="165" t="s">
        <v>5425</v>
      </c>
      <c r="C77" s="165">
        <v>2.52610164E8</v>
      </c>
      <c r="D77" s="170" t="s">
        <v>5426</v>
      </c>
      <c r="E77" s="165" t="s">
        <v>220</v>
      </c>
      <c r="F77" s="126">
        <f>COUNTIFS('Form Presensi SCC'!$B:$B, "*"&amp;IF(B77&lt;&gt;"", B77, C77)&amp;"*", 'Form Presensi SCC'!$C:$C, "Hadir")</f>
        <v>0</v>
      </c>
      <c r="G77" s="126">
        <f>IFERROR(__xludf.DUMMYFUNCTION("COUNTUNIQUEIFS('Form Presensi SCC'!$K:$K, 'Form Presensi SCC'!$H:$H, E79)"),0.0)</f>
        <v>0</v>
      </c>
      <c r="H77" s="126">
        <f t="shared" si="2"/>
        <v>0</v>
      </c>
    </row>
    <row r="78">
      <c r="A78" s="164">
        <v>20.0</v>
      </c>
      <c r="B78" s="165" t="s">
        <v>5428</v>
      </c>
      <c r="C78" s="165">
        <v>2.5261018E8</v>
      </c>
      <c r="D78" s="166" t="s">
        <v>5429</v>
      </c>
      <c r="E78" s="165" t="s">
        <v>220</v>
      </c>
      <c r="F78" s="126">
        <f>COUNTIFS('Form Presensi SCC'!$B:$B, "*"&amp;IF(B78&lt;&gt;"", B78, C78)&amp;"*", 'Form Presensi SCC'!$C:$C, "Hadir")</f>
        <v>0</v>
      </c>
      <c r="G78" s="126">
        <f>IFERROR(__xludf.DUMMYFUNCTION("COUNTUNIQUEIFS('Form Presensi SCC'!$K:$K, 'Form Presensi SCC'!$H:$H, E80)"),0.0)</f>
        <v>0</v>
      </c>
      <c r="H78" s="126">
        <f t="shared" si="2"/>
        <v>0</v>
      </c>
    </row>
    <row r="79">
      <c r="A79" s="164">
        <v>21.0</v>
      </c>
      <c r="B79" s="165" t="s">
        <v>5431</v>
      </c>
      <c r="C79" s="165">
        <v>2.52610181E8</v>
      </c>
      <c r="D79" s="166" t="s">
        <v>5432</v>
      </c>
      <c r="E79" s="165" t="s">
        <v>227</v>
      </c>
      <c r="F79" s="126">
        <f>COUNTIFS('Form Presensi SCC'!$B:$B, "*"&amp;IF(B79&lt;&gt;"", B79, C79)&amp;"*", 'Form Presensi SCC'!$C:$C, "Hadir")</f>
        <v>0</v>
      </c>
      <c r="G79" s="126">
        <f>IFERROR(__xludf.DUMMYFUNCTION("COUNTUNIQUEIFS('Form Presensi SCC'!$K:$K, 'Form Presensi SCC'!$H:$H, E81)"),0.0)</f>
        <v>0</v>
      </c>
      <c r="H79" s="126">
        <f t="shared" si="2"/>
        <v>0</v>
      </c>
    </row>
    <row r="80">
      <c r="A80" s="164">
        <v>22.0</v>
      </c>
      <c r="B80" s="165" t="s">
        <v>5435</v>
      </c>
      <c r="C80" s="165">
        <v>2.52610185E8</v>
      </c>
      <c r="D80" s="166" t="s">
        <v>5436</v>
      </c>
      <c r="E80" s="165" t="s">
        <v>220</v>
      </c>
      <c r="F80" s="126">
        <f>COUNTIFS('Form Presensi SCC'!$B:$B, "*"&amp;IF(B80&lt;&gt;"", B80, C80)&amp;"*", 'Form Presensi SCC'!$C:$C, "Hadir")</f>
        <v>0</v>
      </c>
      <c r="G80" s="126">
        <f>IFERROR(__xludf.DUMMYFUNCTION("COUNTUNIQUEIFS('Form Presensi SCC'!$K:$K, 'Form Presensi SCC'!$H:$H, E82)"),0.0)</f>
        <v>0</v>
      </c>
      <c r="H80" s="126">
        <f t="shared" si="2"/>
        <v>0</v>
      </c>
    </row>
    <row r="81">
      <c r="A81" s="164">
        <v>23.0</v>
      </c>
      <c r="B81" s="165" t="s">
        <v>5438</v>
      </c>
      <c r="C81" s="165">
        <v>2.52610186E8</v>
      </c>
      <c r="D81" s="170" t="s">
        <v>5439</v>
      </c>
      <c r="E81" s="165" t="s">
        <v>220</v>
      </c>
      <c r="F81" s="126">
        <f>COUNTIFS('Form Presensi SCC'!$B:$B, "*"&amp;IF(B81&lt;&gt;"", B81, C81)&amp;"*", 'Form Presensi SCC'!$C:$C, "Hadir")</f>
        <v>0</v>
      </c>
      <c r="G81" s="126">
        <f>IFERROR(__xludf.DUMMYFUNCTION("COUNTUNIQUEIFS('Form Presensi SCC'!$K:$K, 'Form Presensi SCC'!$H:$H, E83)"),0.0)</f>
        <v>0</v>
      </c>
      <c r="H81" s="126">
        <f t="shared" si="2"/>
        <v>0</v>
      </c>
    </row>
    <row r="82">
      <c r="A82" s="164">
        <v>24.0</v>
      </c>
      <c r="B82" s="165" t="s">
        <v>9267</v>
      </c>
      <c r="C82" s="165">
        <v>2.52610207E8</v>
      </c>
      <c r="D82" s="166" t="s">
        <v>9268</v>
      </c>
      <c r="E82" s="165" t="s">
        <v>227</v>
      </c>
      <c r="F82" s="126">
        <f>COUNTIFS('Form Presensi SCC'!$B:$B, "*"&amp;IF(B82&lt;&gt;"", B82, C82)&amp;"*", 'Form Presensi SCC'!$C:$C, "Hadir")</f>
        <v>0</v>
      </c>
      <c r="G82" s="126">
        <f>IFERROR(__xludf.DUMMYFUNCTION("COUNTUNIQUEIFS('Form Presensi SCC'!$K:$K, 'Form Presensi SCC'!$H:$H, E84)"),0.0)</f>
        <v>0</v>
      </c>
      <c r="H82" s="126">
        <f t="shared" si="2"/>
        <v>0</v>
      </c>
    </row>
    <row r="83">
      <c r="A83" s="164">
        <v>25.0</v>
      </c>
      <c r="B83" s="165" t="s">
        <v>5441</v>
      </c>
      <c r="C83" s="165">
        <v>2.52610238E8</v>
      </c>
      <c r="D83" s="166" t="s">
        <v>5442</v>
      </c>
      <c r="E83" s="165" t="s">
        <v>227</v>
      </c>
      <c r="F83" s="126">
        <f>COUNTIFS('Form Presensi SCC'!$B:$B, "*"&amp;IF(B83&lt;&gt;"", B83, C83)&amp;"*", 'Form Presensi SCC'!$C:$C, "Hadir")</f>
        <v>0</v>
      </c>
      <c r="G83" s="126">
        <f>IFERROR(__xludf.DUMMYFUNCTION("COUNTUNIQUEIFS('Form Presensi SCC'!$K:$K, 'Form Presensi SCC'!$H:$H, E85)"),0.0)</f>
        <v>0</v>
      </c>
      <c r="H83" s="126">
        <f t="shared" si="2"/>
        <v>0</v>
      </c>
    </row>
    <row r="84">
      <c r="A84" s="164">
        <v>26.0</v>
      </c>
      <c r="B84" s="165" t="s">
        <v>5444</v>
      </c>
      <c r="C84" s="165">
        <v>2.52610277E8</v>
      </c>
      <c r="D84" s="166" t="s">
        <v>5445</v>
      </c>
      <c r="E84" s="165" t="s">
        <v>220</v>
      </c>
      <c r="F84" s="126">
        <f>COUNTIFS('Form Presensi SCC'!$B:$B, "*"&amp;IF(B84&lt;&gt;"", B84, C84)&amp;"*", 'Form Presensi SCC'!$C:$C, "Hadir")</f>
        <v>0</v>
      </c>
      <c r="G84" s="126">
        <f>IFERROR(__xludf.DUMMYFUNCTION("COUNTUNIQUEIFS('Form Presensi SCC'!$K:$K, 'Form Presensi SCC'!$H:$H, E86)"),0.0)</f>
        <v>0</v>
      </c>
      <c r="H84" s="126">
        <f t="shared" si="2"/>
        <v>0</v>
      </c>
    </row>
    <row r="85">
      <c r="A85" s="164">
        <v>27.0</v>
      </c>
      <c r="B85" s="165" t="s">
        <v>5447</v>
      </c>
      <c r="C85" s="165">
        <v>2.5261028E8</v>
      </c>
      <c r="D85" s="166" t="s">
        <v>5448</v>
      </c>
      <c r="E85" s="165" t="s">
        <v>227</v>
      </c>
      <c r="F85" s="126">
        <f>COUNTIFS('Form Presensi SCC'!$B:$B, "*"&amp;IF(B85&lt;&gt;"", B85, C85)&amp;"*", 'Form Presensi SCC'!$C:$C, "Hadir")</f>
        <v>0</v>
      </c>
      <c r="G85" s="126">
        <f>IFERROR(__xludf.DUMMYFUNCTION("COUNTUNIQUEIFS('Form Presensi SCC'!$K:$K, 'Form Presensi SCC'!$H:$H, E87)"),0.0)</f>
        <v>0</v>
      </c>
      <c r="H85" s="126">
        <f t="shared" si="2"/>
        <v>0</v>
      </c>
    </row>
    <row r="86">
      <c r="A86" s="164">
        <v>28.0</v>
      </c>
      <c r="B86" s="165" t="s">
        <v>9269</v>
      </c>
      <c r="C86" s="165">
        <v>2.5261029E8</v>
      </c>
      <c r="D86" s="166" t="s">
        <v>9270</v>
      </c>
      <c r="E86" s="165" t="s">
        <v>220</v>
      </c>
      <c r="F86" s="126">
        <f>COUNTIFS('Form Presensi SCC'!$B:$B, "*"&amp;IF(B86&lt;&gt;"", B86, C86)&amp;"*", 'Form Presensi SCC'!$C:$C, "Hadir")</f>
        <v>0</v>
      </c>
      <c r="G86" s="126">
        <f>IFERROR(__xludf.DUMMYFUNCTION("COUNTUNIQUEIFS('Form Presensi SCC'!$K:$K, 'Form Presensi SCC'!$H:$H, E88)"),0.0)</f>
        <v>0</v>
      </c>
      <c r="H86" s="126">
        <f t="shared" si="2"/>
        <v>0</v>
      </c>
    </row>
    <row r="87">
      <c r="A87" s="164">
        <v>29.0</v>
      </c>
      <c r="B87" s="165" t="s">
        <v>5450</v>
      </c>
      <c r="C87" s="165">
        <v>2.52610302E8</v>
      </c>
      <c r="D87" s="166" t="s">
        <v>5451</v>
      </c>
      <c r="E87" s="165" t="s">
        <v>220</v>
      </c>
      <c r="F87" s="126">
        <f>COUNTIFS('Form Presensi SCC'!$B:$B, "*"&amp;IF(B87&lt;&gt;"", B87, C87)&amp;"*", 'Form Presensi SCC'!$C:$C, "Hadir")</f>
        <v>0</v>
      </c>
      <c r="G87" s="126">
        <f>IFERROR(__xludf.DUMMYFUNCTION("COUNTUNIQUEIFS('Form Presensi SCC'!$K:$K, 'Form Presensi SCC'!$H:$H, E89)"),0.0)</f>
        <v>0</v>
      </c>
      <c r="H87" s="126">
        <f t="shared" si="2"/>
        <v>0</v>
      </c>
    </row>
    <row r="88">
      <c r="A88" s="164">
        <v>30.0</v>
      </c>
      <c r="B88" s="165" t="s">
        <v>5453</v>
      </c>
      <c r="C88" s="165">
        <v>2.52610319E8</v>
      </c>
      <c r="D88" s="166" t="s">
        <v>5454</v>
      </c>
      <c r="E88" s="165" t="s">
        <v>220</v>
      </c>
      <c r="F88" s="126">
        <f>COUNTIFS('Form Presensi SCC'!$B:$B, "*"&amp;IF(B88&lt;&gt;"", B88, C88)&amp;"*", 'Form Presensi SCC'!$C:$C, "Hadir")</f>
        <v>0</v>
      </c>
      <c r="G88" s="126">
        <f>IFERROR(__xludf.DUMMYFUNCTION("COUNTUNIQUEIFS('Form Presensi SCC'!$K:$K, 'Form Presensi SCC'!$H:$H, E90)"),0.0)</f>
        <v>0</v>
      </c>
      <c r="H88" s="126">
        <f t="shared" si="2"/>
        <v>0</v>
      </c>
    </row>
    <row r="89">
      <c r="A89" s="164">
        <v>31.0</v>
      </c>
      <c r="B89" s="165" t="s">
        <v>5456</v>
      </c>
      <c r="C89" s="165">
        <v>2.5261032E8</v>
      </c>
      <c r="D89" s="170" t="s">
        <v>5457</v>
      </c>
      <c r="E89" s="165" t="s">
        <v>220</v>
      </c>
      <c r="F89" s="126">
        <f>COUNTIFS('Form Presensi SCC'!$B:$B, "*"&amp;IF(B89&lt;&gt;"", B89, C89)&amp;"*", 'Form Presensi SCC'!$C:$C, "Hadir")</f>
        <v>2</v>
      </c>
      <c r="G89" s="126">
        <f>IFERROR(__xludf.DUMMYFUNCTION("COUNTUNIQUEIFS('Form Presensi SCC'!$K:$K, 'Form Presensi SCC'!$H:$H, E91)"),0.0)</f>
        <v>0</v>
      </c>
      <c r="H89" s="126">
        <f t="shared" si="2"/>
        <v>0</v>
      </c>
    </row>
    <row r="90">
      <c r="A90" s="164">
        <v>32.0</v>
      </c>
      <c r="B90" s="165" t="s">
        <v>5459</v>
      </c>
      <c r="C90" s="165">
        <v>2.52610332E8</v>
      </c>
      <c r="D90" s="166" t="s">
        <v>5460</v>
      </c>
      <c r="E90" s="165" t="s">
        <v>220</v>
      </c>
      <c r="F90" s="126">
        <f>COUNTIFS('Form Presensi SCC'!$B:$B, "*"&amp;IF(B90&lt;&gt;"", B90, C90)&amp;"*", 'Form Presensi SCC'!$C:$C, "Hadir")</f>
        <v>0</v>
      </c>
      <c r="G90" s="126">
        <f>IFERROR(__xludf.DUMMYFUNCTION("COUNTUNIQUEIFS('Form Presensi SCC'!$K:$K, 'Form Presensi SCC'!$H:$H, E92)"),0.0)</f>
        <v>0</v>
      </c>
      <c r="H90" s="126">
        <f t="shared" si="2"/>
        <v>0</v>
      </c>
    </row>
    <row r="91">
      <c r="A91" s="164">
        <v>33.0</v>
      </c>
      <c r="B91" s="165" t="s">
        <v>5462</v>
      </c>
      <c r="C91" s="165">
        <v>2.52610336E8</v>
      </c>
      <c r="D91" s="166" t="s">
        <v>5463</v>
      </c>
      <c r="E91" s="165" t="s">
        <v>220</v>
      </c>
      <c r="F91" s="126">
        <f>COUNTIFS('Form Presensi SCC'!$B:$B, "*"&amp;IF(B91&lt;&gt;"", B91, C91)&amp;"*", 'Form Presensi SCC'!$C:$C, "Hadir")</f>
        <v>0</v>
      </c>
      <c r="G91" s="126">
        <f>IFERROR(__xludf.DUMMYFUNCTION("COUNTUNIQUEIFS('Form Presensi SCC'!$K:$K, 'Form Presensi SCC'!$H:$H, E93)"),0.0)</f>
        <v>0</v>
      </c>
      <c r="H91" s="126">
        <f t="shared" si="2"/>
        <v>0</v>
      </c>
    </row>
    <row r="92">
      <c r="A92" s="164">
        <v>34.0</v>
      </c>
      <c r="B92" s="165" t="s">
        <v>5465</v>
      </c>
      <c r="C92" s="165">
        <v>2.52610338E8</v>
      </c>
      <c r="D92" s="170" t="s">
        <v>5466</v>
      </c>
      <c r="E92" s="165" t="s">
        <v>220</v>
      </c>
      <c r="F92" s="126">
        <f>COUNTIFS('Form Presensi SCC'!$B:$B, "*"&amp;IF(B92&lt;&gt;"", B92, C92)&amp;"*", 'Form Presensi SCC'!$C:$C, "Hadir")</f>
        <v>2</v>
      </c>
      <c r="G92" s="126">
        <f>IFERROR(__xludf.DUMMYFUNCTION("COUNTUNIQUEIFS('Form Presensi SCC'!$K:$K, 'Form Presensi SCC'!$H:$H, E94)"),0.0)</f>
        <v>0</v>
      </c>
      <c r="H92" s="126">
        <f t="shared" si="2"/>
        <v>0</v>
      </c>
    </row>
    <row r="93">
      <c r="A93" s="164">
        <v>35.0</v>
      </c>
      <c r="B93" s="165" t="s">
        <v>5468</v>
      </c>
      <c r="C93" s="165">
        <v>2.52610362E8</v>
      </c>
      <c r="D93" s="166" t="s">
        <v>5469</v>
      </c>
      <c r="E93" s="165" t="s">
        <v>220</v>
      </c>
      <c r="F93" s="126">
        <f>COUNTIFS('Form Presensi SCC'!$B:$B, "*"&amp;IF(B93&lt;&gt;"", B93, C93)&amp;"*", 'Form Presensi SCC'!$C:$C, "Hadir")</f>
        <v>0</v>
      </c>
      <c r="G93" s="126">
        <f>IFERROR(__xludf.DUMMYFUNCTION("COUNTUNIQUEIFS('Form Presensi SCC'!$K:$K, 'Form Presensi SCC'!$H:$H, E95)"),0.0)</f>
        <v>0</v>
      </c>
      <c r="H93" s="126">
        <f t="shared" si="2"/>
        <v>0</v>
      </c>
    </row>
    <row r="94">
      <c r="A94" s="164">
        <v>36.0</v>
      </c>
      <c r="B94" s="165" t="s">
        <v>5471</v>
      </c>
      <c r="C94" s="165">
        <v>2.52610365E8</v>
      </c>
      <c r="D94" s="166" t="s">
        <v>5472</v>
      </c>
      <c r="E94" s="165" t="s">
        <v>220</v>
      </c>
      <c r="F94" s="126">
        <f>COUNTIFS('Form Presensi SCC'!$B:$B, "*"&amp;IF(B94&lt;&gt;"", B94, C94)&amp;"*", 'Form Presensi SCC'!$C:$C, "Hadir")</f>
        <v>0</v>
      </c>
      <c r="G94" s="126">
        <f>IFERROR(__xludf.DUMMYFUNCTION("COUNTUNIQUEIFS('Form Presensi SCC'!$K:$K, 'Form Presensi SCC'!$H:$H, E96)"),0.0)</f>
        <v>0</v>
      </c>
      <c r="H94" s="126">
        <f t="shared" si="2"/>
        <v>0</v>
      </c>
    </row>
    <row r="95">
      <c r="A95" s="164">
        <v>37.0</v>
      </c>
      <c r="B95" s="165" t="s">
        <v>5474</v>
      </c>
      <c r="C95" s="165">
        <v>2.52610416E8</v>
      </c>
      <c r="D95" s="166" t="s">
        <v>5475</v>
      </c>
      <c r="E95" s="165" t="s">
        <v>227</v>
      </c>
      <c r="F95" s="126">
        <f>COUNTIFS('Form Presensi SCC'!$B:$B, "*"&amp;IF(B95&lt;&gt;"", B95, C95)&amp;"*", 'Form Presensi SCC'!$C:$C, "Hadir")</f>
        <v>0</v>
      </c>
      <c r="G95" s="126">
        <f>IFERROR(__xludf.DUMMYFUNCTION("COUNTUNIQUEIFS('Form Presensi SCC'!$K:$K, 'Form Presensi SCC'!$H:$H, E97)"),0.0)</f>
        <v>0</v>
      </c>
      <c r="H95" s="126">
        <f t="shared" si="2"/>
        <v>0</v>
      </c>
    </row>
    <row r="96">
      <c r="A96" s="164">
        <v>38.0</v>
      </c>
      <c r="B96" s="165" t="s">
        <v>5477</v>
      </c>
      <c r="C96" s="165">
        <v>2.52610419E8</v>
      </c>
      <c r="D96" s="166" t="s">
        <v>5478</v>
      </c>
      <c r="E96" s="165" t="s">
        <v>227</v>
      </c>
      <c r="F96" s="126">
        <f>COUNTIFS('Form Presensi SCC'!$B:$B, "*"&amp;IF(B96&lt;&gt;"", B96, C96)&amp;"*", 'Form Presensi SCC'!$C:$C, "Hadir")</f>
        <v>0</v>
      </c>
      <c r="G96" s="126">
        <f>IFERROR(__xludf.DUMMYFUNCTION("COUNTUNIQUEIFS('Form Presensi SCC'!$K:$K, 'Form Presensi SCC'!$H:$H, E98)"),0.0)</f>
        <v>0</v>
      </c>
      <c r="H96" s="126">
        <f t="shared" si="2"/>
        <v>0</v>
      </c>
    </row>
    <row r="97">
      <c r="A97" s="164">
        <v>39.0</v>
      </c>
      <c r="B97" s="165" t="s">
        <v>9271</v>
      </c>
      <c r="C97" s="165">
        <v>2.52610431E8</v>
      </c>
      <c r="D97" s="166" t="s">
        <v>9272</v>
      </c>
      <c r="E97" s="165" t="s">
        <v>227</v>
      </c>
      <c r="F97" s="126">
        <f>COUNTIFS('Form Presensi SCC'!$B:$B, "*"&amp;IF(B97&lt;&gt;"", B97, C97)&amp;"*", 'Form Presensi SCC'!$C:$C, "Hadir")</f>
        <v>0</v>
      </c>
      <c r="G97" s="126">
        <f>IFERROR(__xludf.DUMMYFUNCTION("COUNTUNIQUEIFS('Form Presensi SCC'!$K:$K, 'Form Presensi SCC'!$H:$H, E99)"),0.0)</f>
        <v>0</v>
      </c>
      <c r="H97" s="126">
        <f t="shared" si="2"/>
        <v>0</v>
      </c>
    </row>
    <row r="98">
      <c r="A98" s="164">
        <v>40.0</v>
      </c>
      <c r="B98" s="165" t="s">
        <v>5480</v>
      </c>
      <c r="C98" s="165">
        <v>2.52610434E8</v>
      </c>
      <c r="D98" s="166" t="s">
        <v>5481</v>
      </c>
      <c r="E98" s="165" t="s">
        <v>227</v>
      </c>
      <c r="F98" s="126">
        <f>COUNTIFS('Form Presensi SCC'!$B:$B, "*"&amp;IF(B98&lt;&gt;"", B98, C98)&amp;"*", 'Form Presensi SCC'!$C:$C, "Hadir")</f>
        <v>0</v>
      </c>
      <c r="G98" s="126">
        <f>IFERROR(__xludf.DUMMYFUNCTION("COUNTUNIQUEIFS('Form Presensi SCC'!$K:$K, 'Form Presensi SCC'!$H:$H, E100)"),0.0)</f>
        <v>0</v>
      </c>
      <c r="H98" s="126">
        <f t="shared" si="2"/>
        <v>0</v>
      </c>
    </row>
    <row r="99">
      <c r="A99" s="164">
        <v>41.0</v>
      </c>
      <c r="B99" s="165" t="s">
        <v>5483</v>
      </c>
      <c r="C99" s="165">
        <v>2.5261044E8</v>
      </c>
      <c r="D99" s="166" t="s">
        <v>5484</v>
      </c>
      <c r="E99" s="165" t="s">
        <v>227</v>
      </c>
      <c r="F99" s="126">
        <f>COUNTIFS('Form Presensi SCC'!$B:$B, "*"&amp;IF(B99&lt;&gt;"", B99, C99)&amp;"*", 'Form Presensi SCC'!$C:$C, "Hadir")</f>
        <v>0</v>
      </c>
      <c r="G99" s="126">
        <f>IFERROR(__xludf.DUMMYFUNCTION("COUNTUNIQUEIFS('Form Presensi SCC'!$K:$K, 'Form Presensi SCC'!$H:$H, E101)"),0.0)</f>
        <v>0</v>
      </c>
      <c r="H99" s="126">
        <f t="shared" si="2"/>
        <v>0</v>
      </c>
    </row>
    <row r="100">
      <c r="A100" s="164">
        <v>42.0</v>
      </c>
      <c r="B100" s="165" t="s">
        <v>5486</v>
      </c>
      <c r="C100" s="165">
        <v>2.52610467E8</v>
      </c>
      <c r="D100" s="166" t="s">
        <v>5487</v>
      </c>
      <c r="E100" s="165" t="s">
        <v>227</v>
      </c>
      <c r="F100" s="126">
        <f>COUNTIFS('Form Presensi SCC'!$B:$B, "*"&amp;IF(B100&lt;&gt;"", B100, C100)&amp;"*", 'Form Presensi SCC'!$C:$C, "Hadir")</f>
        <v>0</v>
      </c>
      <c r="G100" s="126">
        <f>IFERROR(__xludf.DUMMYFUNCTION("COUNTUNIQUEIFS('Form Presensi SCC'!$K:$K, 'Form Presensi SCC'!$H:$H, E102)"),0.0)</f>
        <v>0</v>
      </c>
      <c r="H100" s="126">
        <f t="shared" si="2"/>
        <v>0</v>
      </c>
    </row>
    <row r="101">
      <c r="A101" s="164">
        <v>43.0</v>
      </c>
      <c r="B101" s="165" t="s">
        <v>5489</v>
      </c>
      <c r="C101" s="165">
        <v>2.52610474E8</v>
      </c>
      <c r="D101" s="166" t="s">
        <v>5490</v>
      </c>
      <c r="E101" s="165" t="s">
        <v>227</v>
      </c>
      <c r="F101" s="126">
        <f>COUNTIFS('Form Presensi SCC'!$B:$B, "*"&amp;IF(B101&lt;&gt;"", B101, C101)&amp;"*", 'Form Presensi SCC'!$C:$C, "Hadir")</f>
        <v>0</v>
      </c>
      <c r="G101" s="126">
        <f>IFERROR(__xludf.DUMMYFUNCTION("COUNTUNIQUEIFS('Form Presensi SCC'!$K:$K, 'Form Presensi SCC'!$H:$H, E103)"),0.0)</f>
        <v>0</v>
      </c>
      <c r="H101" s="126">
        <f t="shared" si="2"/>
        <v>0</v>
      </c>
    </row>
    <row r="102">
      <c r="A102" s="164">
        <v>44.0</v>
      </c>
      <c r="B102" s="165" t="s">
        <v>5492</v>
      </c>
      <c r="C102" s="165">
        <v>2.52610497E8</v>
      </c>
      <c r="D102" s="166" t="s">
        <v>5493</v>
      </c>
      <c r="E102" s="165" t="s">
        <v>227</v>
      </c>
      <c r="F102" s="126">
        <f>COUNTIFS('Form Presensi SCC'!$B:$B, "*"&amp;IF(B102&lt;&gt;"", B102, C102)&amp;"*", 'Form Presensi SCC'!$C:$C, "Hadir")</f>
        <v>0</v>
      </c>
      <c r="G102" s="126">
        <f>IFERROR(__xludf.DUMMYFUNCTION("COUNTUNIQUEIFS('Form Presensi SCC'!$K:$K, 'Form Presensi SCC'!$H:$H, E104)"),0.0)</f>
        <v>0</v>
      </c>
      <c r="H102" s="126">
        <f t="shared" si="2"/>
        <v>0</v>
      </c>
    </row>
    <row r="103">
      <c r="A103" s="164">
        <v>45.0</v>
      </c>
      <c r="B103" s="165" t="s">
        <v>9273</v>
      </c>
      <c r="C103" s="165">
        <v>2.52610498E8</v>
      </c>
      <c r="D103" s="166" t="s">
        <v>9274</v>
      </c>
      <c r="E103" s="165" t="s">
        <v>227</v>
      </c>
      <c r="F103" s="126">
        <f>COUNTIFS('Form Presensi SCC'!$B:$B, "*"&amp;IF(B103&lt;&gt;"", B103, C103)&amp;"*", 'Form Presensi SCC'!$C:$C, "Hadir")</f>
        <v>0</v>
      </c>
      <c r="G103" s="126">
        <f>IFERROR(__xludf.DUMMYFUNCTION("COUNTUNIQUEIFS('Form Presensi SCC'!$K:$K, 'Form Presensi SCC'!$H:$H, E105)"),0.0)</f>
        <v>0</v>
      </c>
      <c r="H103" s="126">
        <f t="shared" si="2"/>
        <v>0</v>
      </c>
    </row>
    <row r="104">
      <c r="A104" s="164">
        <v>46.0</v>
      </c>
      <c r="B104" s="165" t="s">
        <v>5495</v>
      </c>
      <c r="C104" s="165">
        <v>2.52610546E8</v>
      </c>
      <c r="D104" s="166" t="s">
        <v>5496</v>
      </c>
      <c r="E104" s="165" t="s">
        <v>227</v>
      </c>
      <c r="F104" s="126">
        <f>COUNTIFS('Form Presensi SCC'!$B:$B, "*"&amp;IF(B104&lt;&gt;"", B104, C104)&amp;"*", 'Form Presensi SCC'!$C:$C, "Hadir")</f>
        <v>0</v>
      </c>
      <c r="G104" s="126">
        <f>IFERROR(__xludf.DUMMYFUNCTION("COUNTUNIQUEIFS('Form Presensi SCC'!$K:$K, 'Form Presensi SCC'!$H:$H, E106)"),0.0)</f>
        <v>0</v>
      </c>
      <c r="H104" s="126">
        <f t="shared" si="2"/>
        <v>0</v>
      </c>
    </row>
    <row r="105">
      <c r="A105" s="164">
        <v>47.0</v>
      </c>
      <c r="B105" s="165" t="s">
        <v>5498</v>
      </c>
      <c r="C105" s="165">
        <v>2.5261056E8</v>
      </c>
      <c r="D105" s="166" t="s">
        <v>5499</v>
      </c>
      <c r="E105" s="165" t="s">
        <v>220</v>
      </c>
      <c r="F105" s="126">
        <f>COUNTIFS('Form Presensi SCC'!$B:$B, "*"&amp;IF(B105&lt;&gt;"", B105, C105)&amp;"*", 'Form Presensi SCC'!$C:$C, "Hadir")</f>
        <v>0</v>
      </c>
      <c r="G105" s="126">
        <f>IFERROR(__xludf.DUMMYFUNCTION("COUNTUNIQUEIFS('Form Presensi SCC'!$K:$K, 'Form Presensi SCC'!$H:$H, E107)"),0.0)</f>
        <v>0</v>
      </c>
      <c r="H105" s="126">
        <f t="shared" si="2"/>
        <v>0</v>
      </c>
    </row>
    <row r="106">
      <c r="A106" s="164">
        <v>48.0</v>
      </c>
      <c r="B106" s="165" t="s">
        <v>5501</v>
      </c>
      <c r="C106" s="165">
        <v>2.52610563E8</v>
      </c>
      <c r="D106" s="166" t="s">
        <v>5502</v>
      </c>
      <c r="E106" s="165" t="s">
        <v>227</v>
      </c>
      <c r="F106" s="126">
        <f>COUNTIFS('Form Presensi SCC'!$B:$B, "*"&amp;IF(B106&lt;&gt;"", B106, C106)&amp;"*", 'Form Presensi SCC'!$C:$C, "Hadir")</f>
        <v>0</v>
      </c>
      <c r="G106" s="126">
        <f>IFERROR(__xludf.DUMMYFUNCTION("COUNTUNIQUEIFS('Form Presensi SCC'!$K:$K, 'Form Presensi SCC'!$H:$H, E108)"),0.0)</f>
        <v>0</v>
      </c>
      <c r="H106" s="126">
        <f t="shared" si="2"/>
        <v>0</v>
      </c>
    </row>
    <row r="107">
      <c r="A107" s="167"/>
      <c r="B107" s="167"/>
      <c r="C107" s="167"/>
      <c r="D107" s="158"/>
      <c r="E107" s="158"/>
    </row>
    <row r="108">
      <c r="A108" s="167"/>
      <c r="B108" s="167"/>
      <c r="C108" s="168"/>
      <c r="D108" s="166" t="s">
        <v>9262</v>
      </c>
      <c r="E108" s="169">
        <f>COUNTIF(E59:E106,"P")</f>
        <v>29</v>
      </c>
    </row>
    <row r="109">
      <c r="A109" s="167"/>
      <c r="B109" s="167"/>
      <c r="C109" s="168"/>
      <c r="D109" s="166" t="s">
        <v>9263</v>
      </c>
      <c r="E109" s="169">
        <f>COUNTIF(E59:E106,"L")</f>
        <v>19</v>
      </c>
    </row>
    <row r="111">
      <c r="A111" s="157" t="s">
        <v>9071</v>
      </c>
      <c r="B111" s="158"/>
      <c r="C111" s="158"/>
      <c r="D111" s="158"/>
      <c r="E111" s="159" t="s">
        <v>5506</v>
      </c>
    </row>
    <row r="112">
      <c r="A112" s="160" t="s">
        <v>9249</v>
      </c>
      <c r="B112" s="161" t="s">
        <v>9</v>
      </c>
      <c r="C112" s="161" t="s">
        <v>5246</v>
      </c>
      <c r="D112" s="161" t="s">
        <v>201</v>
      </c>
      <c r="E112" s="161" t="s">
        <v>13</v>
      </c>
      <c r="F112" s="162" t="s">
        <v>8749</v>
      </c>
      <c r="G112" s="162" t="s">
        <v>8750</v>
      </c>
      <c r="H112" s="163" t="s">
        <v>217</v>
      </c>
    </row>
    <row r="113">
      <c r="A113" s="164">
        <v>1.0</v>
      </c>
      <c r="B113" s="165" t="s">
        <v>5504</v>
      </c>
      <c r="C113" s="165">
        <v>2.52610002E8</v>
      </c>
      <c r="D113" s="166" t="s">
        <v>5505</v>
      </c>
      <c r="E113" s="165" t="s">
        <v>220</v>
      </c>
      <c r="F113" s="126"/>
      <c r="G113" s="126"/>
      <c r="H113" s="126"/>
    </row>
    <row r="114">
      <c r="A114" s="164">
        <v>2.0</v>
      </c>
      <c r="B114" s="165" t="s">
        <v>5509</v>
      </c>
      <c r="C114" s="165">
        <v>2.52610063E8</v>
      </c>
      <c r="D114" s="166" t="s">
        <v>5510</v>
      </c>
      <c r="E114" s="165" t="s">
        <v>220</v>
      </c>
      <c r="F114" s="128"/>
      <c r="G114" s="128"/>
      <c r="H114" s="128"/>
    </row>
    <row r="115">
      <c r="A115" s="164">
        <v>3.0</v>
      </c>
      <c r="B115" s="165" t="s">
        <v>5512</v>
      </c>
      <c r="C115" s="165">
        <v>2.52610065E8</v>
      </c>
      <c r="D115" s="166" t="s">
        <v>5513</v>
      </c>
      <c r="E115" s="165" t="s">
        <v>227</v>
      </c>
      <c r="F115" s="128"/>
      <c r="G115" s="128"/>
      <c r="H115" s="128"/>
    </row>
    <row r="116">
      <c r="A116" s="164">
        <v>4.0</v>
      </c>
      <c r="B116" s="165" t="s">
        <v>5516</v>
      </c>
      <c r="C116" s="165">
        <v>2.52610076E8</v>
      </c>
      <c r="D116" s="166" t="s">
        <v>5517</v>
      </c>
      <c r="E116" s="165" t="s">
        <v>220</v>
      </c>
      <c r="F116" s="128"/>
      <c r="G116" s="128"/>
      <c r="H116" s="128"/>
    </row>
    <row r="117">
      <c r="A117" s="164">
        <v>5.0</v>
      </c>
      <c r="B117" s="165" t="s">
        <v>5519</v>
      </c>
      <c r="C117" s="165">
        <v>2.52610079E8</v>
      </c>
      <c r="D117" s="166" t="s">
        <v>5520</v>
      </c>
      <c r="E117" s="165" t="s">
        <v>220</v>
      </c>
      <c r="F117" s="128"/>
      <c r="G117" s="128"/>
      <c r="H117" s="128"/>
    </row>
    <row r="118">
      <c r="A118" s="164">
        <v>6.0</v>
      </c>
      <c r="B118" s="165" t="s">
        <v>5522</v>
      </c>
      <c r="C118" s="165">
        <v>2.52610093E8</v>
      </c>
      <c r="D118" s="166" t="s">
        <v>5523</v>
      </c>
      <c r="E118" s="165" t="s">
        <v>227</v>
      </c>
      <c r="F118" s="128"/>
      <c r="G118" s="128"/>
      <c r="H118" s="128"/>
    </row>
    <row r="119">
      <c r="A119" s="164">
        <v>7.0</v>
      </c>
      <c r="B119" s="165" t="s">
        <v>5525</v>
      </c>
      <c r="C119" s="165">
        <v>2.52610094E8</v>
      </c>
      <c r="D119" s="166" t="s">
        <v>5526</v>
      </c>
      <c r="E119" s="165" t="s">
        <v>227</v>
      </c>
      <c r="F119" s="128"/>
      <c r="G119" s="128"/>
      <c r="H119" s="128"/>
    </row>
    <row r="120">
      <c r="A120" s="164">
        <v>8.0</v>
      </c>
      <c r="B120" s="165" t="s">
        <v>5528</v>
      </c>
      <c r="C120" s="165">
        <v>2.52610096E8</v>
      </c>
      <c r="D120" s="166" t="s">
        <v>5529</v>
      </c>
      <c r="E120" s="165" t="s">
        <v>227</v>
      </c>
      <c r="F120" s="128"/>
      <c r="G120" s="128"/>
      <c r="H120" s="128"/>
    </row>
    <row r="121">
      <c r="A121" s="164">
        <v>9.0</v>
      </c>
      <c r="B121" s="165" t="s">
        <v>5531</v>
      </c>
      <c r="C121" s="165">
        <v>2.52610121E8</v>
      </c>
      <c r="D121" s="166" t="s">
        <v>5532</v>
      </c>
      <c r="E121" s="165" t="s">
        <v>227</v>
      </c>
      <c r="F121" s="128"/>
      <c r="G121" s="128"/>
      <c r="H121" s="128"/>
    </row>
    <row r="122">
      <c r="A122" s="164">
        <v>10.0</v>
      </c>
      <c r="B122" s="165" t="s">
        <v>5534</v>
      </c>
      <c r="C122" s="165">
        <v>2.52610129E8</v>
      </c>
      <c r="D122" s="166" t="s">
        <v>5535</v>
      </c>
      <c r="E122" s="165" t="s">
        <v>220</v>
      </c>
      <c r="F122" s="128"/>
      <c r="G122" s="128"/>
      <c r="H122" s="128"/>
    </row>
    <row r="123">
      <c r="A123" s="164">
        <v>11.0</v>
      </c>
      <c r="B123" s="165" t="s">
        <v>5537</v>
      </c>
      <c r="C123" s="165">
        <v>2.52610136E8</v>
      </c>
      <c r="D123" s="166" t="s">
        <v>5538</v>
      </c>
      <c r="E123" s="165" t="s">
        <v>227</v>
      </c>
      <c r="F123" s="128"/>
      <c r="G123" s="128"/>
      <c r="H123" s="128"/>
    </row>
    <row r="124">
      <c r="A124" s="164">
        <v>12.0</v>
      </c>
      <c r="B124" s="165" t="s">
        <v>5540</v>
      </c>
      <c r="C124" s="165">
        <v>2.52610138E8</v>
      </c>
      <c r="D124" s="166" t="s">
        <v>5541</v>
      </c>
      <c r="E124" s="165" t="s">
        <v>227</v>
      </c>
      <c r="F124" s="128"/>
      <c r="G124" s="128"/>
      <c r="H124" s="128"/>
    </row>
    <row r="125">
      <c r="A125" s="164">
        <v>13.0</v>
      </c>
      <c r="B125" s="165" t="s">
        <v>5543</v>
      </c>
      <c r="C125" s="165">
        <v>2.52610148E8</v>
      </c>
      <c r="D125" s="166" t="s">
        <v>5544</v>
      </c>
      <c r="E125" s="171" t="s">
        <v>220</v>
      </c>
      <c r="F125" s="128"/>
      <c r="G125" s="128"/>
      <c r="H125" s="128"/>
    </row>
    <row r="126">
      <c r="A126" s="164">
        <v>14.0</v>
      </c>
      <c r="B126" s="165" t="s">
        <v>5546</v>
      </c>
      <c r="C126" s="165">
        <v>2.52610158E8</v>
      </c>
      <c r="D126" s="166" t="s">
        <v>5547</v>
      </c>
      <c r="E126" s="171" t="s">
        <v>220</v>
      </c>
      <c r="F126" s="128"/>
      <c r="G126" s="128"/>
      <c r="H126" s="128"/>
    </row>
    <row r="127">
      <c r="A127" s="164">
        <v>15.0</v>
      </c>
      <c r="B127" s="165" t="s">
        <v>5549</v>
      </c>
      <c r="C127" s="165">
        <v>2.52610187E8</v>
      </c>
      <c r="D127" s="166" t="s">
        <v>5550</v>
      </c>
      <c r="E127" s="165" t="s">
        <v>227</v>
      </c>
      <c r="F127" s="128"/>
      <c r="G127" s="128"/>
      <c r="H127" s="128"/>
    </row>
    <row r="128">
      <c r="A128" s="164">
        <v>16.0</v>
      </c>
      <c r="B128" s="165" t="s">
        <v>5552</v>
      </c>
      <c r="C128" s="165">
        <v>2.5261019E8</v>
      </c>
      <c r="D128" s="166" t="s">
        <v>5553</v>
      </c>
      <c r="E128" s="165" t="s">
        <v>220</v>
      </c>
      <c r="F128" s="128"/>
      <c r="G128" s="128"/>
      <c r="H128" s="128"/>
    </row>
    <row r="129">
      <c r="A129" s="164">
        <v>17.0</v>
      </c>
      <c r="B129" s="165" t="s">
        <v>5555</v>
      </c>
      <c r="C129" s="165">
        <v>2.52610201E8</v>
      </c>
      <c r="D129" s="166" t="s">
        <v>5556</v>
      </c>
      <c r="E129" s="165" t="s">
        <v>220</v>
      </c>
      <c r="F129" s="128"/>
      <c r="G129" s="128"/>
      <c r="H129" s="128"/>
    </row>
    <row r="130">
      <c r="A130" s="164">
        <v>18.0</v>
      </c>
      <c r="B130" s="165" t="s">
        <v>5558</v>
      </c>
      <c r="C130" s="165">
        <v>2.52610204E8</v>
      </c>
      <c r="D130" s="166" t="s">
        <v>5559</v>
      </c>
      <c r="E130" s="165" t="s">
        <v>227</v>
      </c>
      <c r="F130" s="128"/>
      <c r="G130" s="128"/>
      <c r="H130" s="128"/>
    </row>
    <row r="131">
      <c r="A131" s="164">
        <v>19.0</v>
      </c>
      <c r="B131" s="165" t="s">
        <v>9275</v>
      </c>
      <c r="C131" s="165">
        <v>2.52610213E8</v>
      </c>
      <c r="D131" s="166" t="s">
        <v>9276</v>
      </c>
      <c r="E131" s="165" t="s">
        <v>227</v>
      </c>
      <c r="F131" s="128"/>
      <c r="G131" s="128"/>
      <c r="H131" s="128"/>
    </row>
    <row r="132">
      <c r="A132" s="164">
        <v>20.0</v>
      </c>
      <c r="B132" s="165" t="s">
        <v>9277</v>
      </c>
      <c r="C132" s="165">
        <v>2.52610215E8</v>
      </c>
      <c r="D132" s="166" t="s">
        <v>9278</v>
      </c>
      <c r="E132" s="165" t="s">
        <v>227</v>
      </c>
      <c r="F132" s="128"/>
      <c r="G132" s="128"/>
      <c r="H132" s="128"/>
    </row>
    <row r="133">
      <c r="A133" s="164">
        <v>21.0</v>
      </c>
      <c r="B133" s="165" t="s">
        <v>9279</v>
      </c>
      <c r="C133" s="165">
        <v>2.52610219E8</v>
      </c>
      <c r="D133" s="166" t="s">
        <v>9280</v>
      </c>
      <c r="E133" s="165" t="s">
        <v>220</v>
      </c>
      <c r="F133" s="128"/>
      <c r="G133" s="128"/>
      <c r="H133" s="128"/>
    </row>
    <row r="134">
      <c r="A134" s="164">
        <v>22.0</v>
      </c>
      <c r="B134" s="165" t="s">
        <v>5561</v>
      </c>
      <c r="C134" s="165">
        <v>2.52610237E8</v>
      </c>
      <c r="D134" s="166" t="s">
        <v>5562</v>
      </c>
      <c r="E134" s="165" t="s">
        <v>220</v>
      </c>
      <c r="F134" s="128"/>
      <c r="G134" s="128"/>
      <c r="H134" s="128"/>
    </row>
    <row r="135">
      <c r="A135" s="164">
        <v>23.0</v>
      </c>
      <c r="B135" s="165" t="s">
        <v>5564</v>
      </c>
      <c r="C135" s="165">
        <v>2.52610259E8</v>
      </c>
      <c r="D135" s="166" t="s">
        <v>5565</v>
      </c>
      <c r="E135" s="165" t="s">
        <v>227</v>
      </c>
      <c r="F135" s="128"/>
      <c r="G135" s="128"/>
      <c r="H135" s="128"/>
    </row>
    <row r="136">
      <c r="A136" s="164">
        <v>24.0</v>
      </c>
      <c r="B136" s="165" t="s">
        <v>9281</v>
      </c>
      <c r="C136" s="165">
        <v>2.52610274E8</v>
      </c>
      <c r="D136" s="166" t="s">
        <v>9282</v>
      </c>
      <c r="E136" s="165" t="s">
        <v>227</v>
      </c>
      <c r="F136" s="128"/>
      <c r="G136" s="128"/>
      <c r="H136" s="128"/>
    </row>
    <row r="137">
      <c r="A137" s="164">
        <v>25.0</v>
      </c>
      <c r="B137" s="165" t="s">
        <v>5567</v>
      </c>
      <c r="C137" s="165">
        <v>2.52610276E8</v>
      </c>
      <c r="D137" s="166" t="s">
        <v>5568</v>
      </c>
      <c r="E137" s="165" t="s">
        <v>227</v>
      </c>
      <c r="F137" s="128"/>
      <c r="G137" s="128"/>
      <c r="H137" s="128"/>
    </row>
    <row r="138">
      <c r="A138" s="164">
        <v>26.0</v>
      </c>
      <c r="B138" s="165" t="s">
        <v>5570</v>
      </c>
      <c r="C138" s="165">
        <v>2.52610278E8</v>
      </c>
      <c r="D138" s="166" t="s">
        <v>5571</v>
      </c>
      <c r="E138" s="165" t="s">
        <v>220</v>
      </c>
      <c r="F138" s="128"/>
      <c r="G138" s="128"/>
      <c r="H138" s="128"/>
    </row>
    <row r="139">
      <c r="A139" s="164">
        <v>27.0</v>
      </c>
      <c r="B139" s="165" t="s">
        <v>5573</v>
      </c>
      <c r="C139" s="165">
        <v>2.52610287E8</v>
      </c>
      <c r="D139" s="166" t="s">
        <v>5574</v>
      </c>
      <c r="E139" s="165" t="s">
        <v>227</v>
      </c>
      <c r="F139" s="128"/>
      <c r="G139" s="128"/>
      <c r="H139" s="128"/>
    </row>
    <row r="140">
      <c r="A140" s="164">
        <v>28.0</v>
      </c>
      <c r="B140" s="165" t="s">
        <v>9283</v>
      </c>
      <c r="C140" s="165">
        <v>2.52610288E8</v>
      </c>
      <c r="D140" s="166" t="s">
        <v>9284</v>
      </c>
      <c r="E140" s="165" t="s">
        <v>227</v>
      </c>
      <c r="F140" s="128"/>
      <c r="G140" s="128"/>
      <c r="H140" s="128"/>
    </row>
    <row r="141">
      <c r="A141" s="164">
        <v>29.0</v>
      </c>
      <c r="B141" s="165" t="s">
        <v>5577</v>
      </c>
      <c r="C141" s="165">
        <v>2.52610301E8</v>
      </c>
      <c r="D141" s="166" t="s">
        <v>5578</v>
      </c>
      <c r="E141" s="165" t="s">
        <v>227</v>
      </c>
      <c r="F141" s="128"/>
      <c r="G141" s="128"/>
      <c r="H141" s="128"/>
    </row>
    <row r="142">
      <c r="A142" s="164">
        <v>30.0</v>
      </c>
      <c r="B142" s="165" t="s">
        <v>9285</v>
      </c>
      <c r="C142" s="165">
        <v>2.5261037E8</v>
      </c>
      <c r="D142" s="166" t="s">
        <v>9286</v>
      </c>
      <c r="E142" s="165" t="s">
        <v>220</v>
      </c>
      <c r="F142" s="128"/>
      <c r="G142" s="128"/>
      <c r="H142" s="128"/>
    </row>
    <row r="143">
      <c r="A143" s="164">
        <v>31.0</v>
      </c>
      <c r="B143" s="165" t="s">
        <v>5580</v>
      </c>
      <c r="C143" s="165">
        <v>2.52610381E8</v>
      </c>
      <c r="D143" s="166" t="s">
        <v>5581</v>
      </c>
      <c r="E143" s="165" t="s">
        <v>220</v>
      </c>
      <c r="F143" s="128"/>
      <c r="G143" s="128"/>
      <c r="H143" s="128"/>
    </row>
    <row r="144">
      <c r="A144" s="164">
        <v>32.0</v>
      </c>
      <c r="B144" s="165" t="s">
        <v>5583</v>
      </c>
      <c r="C144" s="165">
        <v>2.52610386E8</v>
      </c>
      <c r="D144" s="166" t="s">
        <v>5584</v>
      </c>
      <c r="E144" s="165" t="s">
        <v>227</v>
      </c>
      <c r="F144" s="128"/>
      <c r="G144" s="128"/>
      <c r="H144" s="128"/>
    </row>
    <row r="145">
      <c r="A145" s="164">
        <v>33.0</v>
      </c>
      <c r="B145" s="165" t="s">
        <v>5586</v>
      </c>
      <c r="C145" s="165">
        <v>2.52610415E8</v>
      </c>
      <c r="D145" s="166" t="s">
        <v>5587</v>
      </c>
      <c r="E145" s="165" t="s">
        <v>227</v>
      </c>
      <c r="F145" s="128"/>
      <c r="G145" s="128"/>
      <c r="H145" s="128"/>
    </row>
    <row r="146">
      <c r="A146" s="164">
        <v>34.0</v>
      </c>
      <c r="B146" s="165" t="s">
        <v>5589</v>
      </c>
      <c r="C146" s="165">
        <v>2.52610422E8</v>
      </c>
      <c r="D146" s="166" t="s">
        <v>5590</v>
      </c>
      <c r="E146" s="165" t="s">
        <v>220</v>
      </c>
      <c r="F146" s="128"/>
      <c r="G146" s="128"/>
      <c r="H146" s="128"/>
    </row>
    <row r="147">
      <c r="A147" s="164">
        <v>35.0</v>
      </c>
      <c r="B147" s="165" t="s">
        <v>5592</v>
      </c>
      <c r="C147" s="165">
        <v>2.52610426E8</v>
      </c>
      <c r="D147" s="166" t="s">
        <v>5593</v>
      </c>
      <c r="E147" s="165" t="s">
        <v>227</v>
      </c>
      <c r="F147" s="128"/>
      <c r="G147" s="128"/>
      <c r="H147" s="128"/>
    </row>
    <row r="148">
      <c r="A148" s="164">
        <v>36.0</v>
      </c>
      <c r="B148" s="165" t="s">
        <v>5595</v>
      </c>
      <c r="C148" s="165">
        <v>2.52610432E8</v>
      </c>
      <c r="D148" s="166" t="s">
        <v>5596</v>
      </c>
      <c r="E148" s="165" t="s">
        <v>220</v>
      </c>
      <c r="F148" s="128"/>
      <c r="G148" s="128"/>
      <c r="H148" s="128"/>
    </row>
    <row r="149">
      <c r="A149" s="164">
        <v>37.0</v>
      </c>
      <c r="B149" s="165" t="s">
        <v>5598</v>
      </c>
      <c r="C149" s="165">
        <v>2.52610438E8</v>
      </c>
      <c r="D149" s="166" t="s">
        <v>5599</v>
      </c>
      <c r="E149" s="165" t="s">
        <v>227</v>
      </c>
      <c r="F149" s="126"/>
      <c r="G149" s="126"/>
      <c r="H149" s="126"/>
    </row>
    <row r="150">
      <c r="A150" s="164">
        <v>38.0</v>
      </c>
      <c r="B150" s="165" t="s">
        <v>5601</v>
      </c>
      <c r="C150" s="165">
        <v>2.52610439E8</v>
      </c>
      <c r="D150" s="166" t="s">
        <v>5602</v>
      </c>
      <c r="E150" s="165" t="s">
        <v>227</v>
      </c>
      <c r="F150" s="128"/>
      <c r="G150" s="128"/>
      <c r="H150" s="128"/>
    </row>
    <row r="151">
      <c r="A151" s="164">
        <v>39.0</v>
      </c>
      <c r="B151" s="165" t="s">
        <v>5604</v>
      </c>
      <c r="C151" s="165">
        <v>2.52610461E8</v>
      </c>
      <c r="D151" s="166" t="s">
        <v>5605</v>
      </c>
      <c r="E151" s="165" t="s">
        <v>227</v>
      </c>
      <c r="F151" s="128"/>
      <c r="G151" s="128"/>
      <c r="H151" s="128"/>
    </row>
    <row r="152">
      <c r="A152" s="164">
        <v>40.0</v>
      </c>
      <c r="B152" s="165" t="s">
        <v>5607</v>
      </c>
      <c r="C152" s="165">
        <v>2.52610485E8</v>
      </c>
      <c r="D152" s="166" t="s">
        <v>5608</v>
      </c>
      <c r="E152" s="165" t="s">
        <v>220</v>
      </c>
      <c r="F152" s="128"/>
      <c r="G152" s="128"/>
      <c r="H152" s="128"/>
    </row>
    <row r="153">
      <c r="A153" s="164">
        <v>41.0</v>
      </c>
      <c r="B153" s="165" t="s">
        <v>5610</v>
      </c>
      <c r="C153" s="165">
        <v>2.52610501E8</v>
      </c>
      <c r="D153" s="166" t="s">
        <v>5611</v>
      </c>
      <c r="E153" s="165" t="s">
        <v>227</v>
      </c>
      <c r="F153" s="128"/>
      <c r="G153" s="128"/>
      <c r="H153" s="128"/>
    </row>
    <row r="154">
      <c r="A154" s="164">
        <v>42.0</v>
      </c>
      <c r="B154" s="165" t="s">
        <v>5613</v>
      </c>
      <c r="C154" s="165">
        <v>2.5261052E8</v>
      </c>
      <c r="D154" s="166" t="s">
        <v>5614</v>
      </c>
      <c r="E154" s="165" t="s">
        <v>227</v>
      </c>
      <c r="F154" s="128"/>
      <c r="G154" s="128"/>
      <c r="H154" s="128"/>
    </row>
    <row r="155">
      <c r="A155" s="164">
        <v>43.0</v>
      </c>
      <c r="B155" s="165" t="s">
        <v>5616</v>
      </c>
      <c r="C155" s="165">
        <v>2.52610555E8</v>
      </c>
      <c r="D155" s="166" t="s">
        <v>5617</v>
      </c>
      <c r="E155" s="165" t="s">
        <v>227</v>
      </c>
      <c r="F155" s="128"/>
      <c r="G155" s="128"/>
      <c r="H155" s="128"/>
    </row>
    <row r="156">
      <c r="A156" s="164">
        <v>44.0</v>
      </c>
      <c r="B156" s="165" t="s">
        <v>5619</v>
      </c>
      <c r="C156" s="165">
        <v>2.52610556E8</v>
      </c>
      <c r="D156" s="166" t="s">
        <v>5620</v>
      </c>
      <c r="E156" s="165" t="s">
        <v>227</v>
      </c>
      <c r="F156" s="128"/>
      <c r="G156" s="128"/>
      <c r="H156" s="128"/>
    </row>
    <row r="157">
      <c r="A157" s="164">
        <v>45.0</v>
      </c>
      <c r="B157" s="165" t="s">
        <v>5622</v>
      </c>
      <c r="C157" s="165">
        <v>2.52610247E8</v>
      </c>
      <c r="D157" s="166" t="s">
        <v>5623</v>
      </c>
      <c r="E157" s="165" t="s">
        <v>227</v>
      </c>
      <c r="F157" s="128"/>
      <c r="G157" s="128"/>
      <c r="H157" s="128"/>
    </row>
    <row r="158">
      <c r="A158" s="167"/>
      <c r="B158" s="167"/>
      <c r="C158" s="167"/>
      <c r="D158" s="158"/>
      <c r="E158" s="158"/>
      <c r="F158" s="128"/>
      <c r="G158" s="128"/>
      <c r="H158" s="128"/>
    </row>
    <row r="159">
      <c r="A159" s="167"/>
      <c r="B159" s="167"/>
      <c r="C159" s="168"/>
      <c r="D159" s="166" t="s">
        <v>9262</v>
      </c>
      <c r="E159" s="169">
        <f>COUNTIF(E113:E157,"P")</f>
        <v>28</v>
      </c>
      <c r="F159" s="128"/>
      <c r="G159" s="128"/>
      <c r="H159" s="128"/>
    </row>
    <row r="160">
      <c r="A160" s="167"/>
      <c r="B160" s="167"/>
      <c r="C160" s="168"/>
      <c r="D160" s="166" t="s">
        <v>9263</v>
      </c>
      <c r="E160" s="169">
        <f>COUNTIF(E113:E157,"L")</f>
        <v>17</v>
      </c>
      <c r="F160" s="128"/>
      <c r="G160" s="128"/>
      <c r="H160" s="128"/>
    </row>
    <row r="162">
      <c r="A162" s="157" t="s">
        <v>9287</v>
      </c>
      <c r="B162" s="158"/>
      <c r="C162" s="158"/>
      <c r="D162" s="158"/>
      <c r="E162" s="159" t="s">
        <v>5627</v>
      </c>
    </row>
    <row r="163">
      <c r="A163" s="160" t="s">
        <v>9249</v>
      </c>
      <c r="B163" s="161" t="s">
        <v>9</v>
      </c>
      <c r="C163" s="161" t="s">
        <v>5246</v>
      </c>
      <c r="D163" s="161" t="s">
        <v>201</v>
      </c>
      <c r="E163" s="161" t="s">
        <v>13</v>
      </c>
      <c r="F163" s="162" t="s">
        <v>8749</v>
      </c>
      <c r="G163" s="162" t="s">
        <v>8750</v>
      </c>
      <c r="H163" s="163" t="s">
        <v>217</v>
      </c>
    </row>
    <row r="164">
      <c r="A164" s="164">
        <v>1.0</v>
      </c>
      <c r="B164" s="165" t="s">
        <v>5625</v>
      </c>
      <c r="C164" s="165">
        <v>2.52610016E8</v>
      </c>
      <c r="D164" s="166" t="s">
        <v>5626</v>
      </c>
      <c r="E164" s="165" t="s">
        <v>220</v>
      </c>
      <c r="F164" s="126"/>
      <c r="G164" s="126"/>
      <c r="H164" s="126"/>
    </row>
    <row r="165">
      <c r="A165" s="164">
        <v>2.0</v>
      </c>
      <c r="B165" s="165" t="s">
        <v>5630</v>
      </c>
      <c r="C165" s="165">
        <v>2.52610018E8</v>
      </c>
      <c r="D165" s="166" t="s">
        <v>5631</v>
      </c>
      <c r="E165" s="165" t="s">
        <v>220</v>
      </c>
      <c r="F165" s="128"/>
      <c r="G165" s="128"/>
      <c r="H165" s="128"/>
    </row>
    <row r="166">
      <c r="A166" s="164">
        <v>3.0</v>
      </c>
      <c r="B166" s="165" t="s">
        <v>5633</v>
      </c>
      <c r="C166" s="165">
        <v>2.52610038E8</v>
      </c>
      <c r="D166" s="166" t="s">
        <v>5634</v>
      </c>
      <c r="E166" s="165" t="s">
        <v>220</v>
      </c>
      <c r="F166" s="128"/>
      <c r="G166" s="128"/>
      <c r="H166" s="128"/>
    </row>
    <row r="167">
      <c r="A167" s="164">
        <v>4.0</v>
      </c>
      <c r="B167" s="165" t="s">
        <v>5636</v>
      </c>
      <c r="C167" s="165">
        <v>2.52610045E8</v>
      </c>
      <c r="D167" s="166" t="s">
        <v>5637</v>
      </c>
      <c r="E167" s="165" t="s">
        <v>227</v>
      </c>
      <c r="F167" s="128"/>
      <c r="G167" s="128"/>
      <c r="H167" s="128"/>
    </row>
    <row r="168">
      <c r="A168" s="164">
        <v>5.0</v>
      </c>
      <c r="B168" s="165" t="s">
        <v>5640</v>
      </c>
      <c r="C168" s="165">
        <v>2.52610049E8</v>
      </c>
      <c r="D168" s="166" t="s">
        <v>5641</v>
      </c>
      <c r="E168" s="165" t="s">
        <v>227</v>
      </c>
      <c r="F168" s="128"/>
      <c r="G168" s="128"/>
      <c r="H168" s="128"/>
    </row>
    <row r="169">
      <c r="A169" s="164">
        <v>6.0</v>
      </c>
      <c r="B169" s="165" t="s">
        <v>5643</v>
      </c>
      <c r="C169" s="165">
        <v>2.52610056E8</v>
      </c>
      <c r="D169" s="166" t="s">
        <v>5644</v>
      </c>
      <c r="E169" s="165" t="s">
        <v>227</v>
      </c>
      <c r="F169" s="128"/>
      <c r="G169" s="128"/>
      <c r="H169" s="128"/>
    </row>
    <row r="170">
      <c r="A170" s="164">
        <v>7.0</v>
      </c>
      <c r="B170" s="165" t="s">
        <v>5646</v>
      </c>
      <c r="C170" s="165">
        <v>2.52610069E8</v>
      </c>
      <c r="D170" s="166" t="s">
        <v>5647</v>
      </c>
      <c r="E170" s="165" t="s">
        <v>227</v>
      </c>
      <c r="F170" s="128"/>
      <c r="G170" s="128"/>
      <c r="H170" s="128"/>
    </row>
    <row r="171">
      <c r="A171" s="164">
        <v>8.0</v>
      </c>
      <c r="B171" s="165" t="s">
        <v>5649</v>
      </c>
      <c r="C171" s="165">
        <v>2.52610074E8</v>
      </c>
      <c r="D171" s="166" t="s">
        <v>5650</v>
      </c>
      <c r="E171" s="165" t="s">
        <v>227</v>
      </c>
      <c r="F171" s="128"/>
      <c r="G171" s="128"/>
      <c r="H171" s="128"/>
    </row>
    <row r="172">
      <c r="A172" s="164">
        <v>9.0</v>
      </c>
      <c r="B172" s="165" t="s">
        <v>5652</v>
      </c>
      <c r="C172" s="165">
        <v>2.52610132E8</v>
      </c>
      <c r="D172" s="166" t="s">
        <v>5653</v>
      </c>
      <c r="E172" s="165" t="s">
        <v>227</v>
      </c>
      <c r="F172" s="128"/>
      <c r="G172" s="128"/>
      <c r="H172" s="128"/>
    </row>
    <row r="173">
      <c r="A173" s="164">
        <v>10.0</v>
      </c>
      <c r="B173" s="165" t="s">
        <v>5655</v>
      </c>
      <c r="C173" s="165">
        <v>2.52610155E8</v>
      </c>
      <c r="D173" s="166" t="s">
        <v>5656</v>
      </c>
      <c r="E173" s="165" t="s">
        <v>227</v>
      </c>
      <c r="F173" s="128"/>
      <c r="G173" s="128"/>
      <c r="H173" s="128"/>
    </row>
    <row r="174">
      <c r="A174" s="164">
        <v>11.0</v>
      </c>
      <c r="B174" s="165" t="s">
        <v>5658</v>
      </c>
      <c r="C174" s="165">
        <v>2.52610162E8</v>
      </c>
      <c r="D174" s="166" t="s">
        <v>5659</v>
      </c>
      <c r="E174" s="165" t="s">
        <v>220</v>
      </c>
      <c r="F174" s="128"/>
      <c r="G174" s="128"/>
      <c r="H174" s="128"/>
    </row>
    <row r="175">
      <c r="A175" s="164">
        <v>12.0</v>
      </c>
      <c r="B175" s="165" t="s">
        <v>5661</v>
      </c>
      <c r="C175" s="165">
        <v>2.52610173E8</v>
      </c>
      <c r="D175" s="166" t="s">
        <v>5662</v>
      </c>
      <c r="E175" s="165" t="s">
        <v>227</v>
      </c>
      <c r="F175" s="128"/>
      <c r="G175" s="128"/>
      <c r="H175" s="128"/>
    </row>
    <row r="176">
      <c r="A176" s="164">
        <v>13.0</v>
      </c>
      <c r="B176" s="165" t="s">
        <v>5664</v>
      </c>
      <c r="C176" s="165">
        <v>2.52610183E8</v>
      </c>
      <c r="D176" s="166" t="s">
        <v>5665</v>
      </c>
      <c r="E176" s="165" t="s">
        <v>220</v>
      </c>
      <c r="F176" s="128"/>
      <c r="G176" s="128"/>
      <c r="H176" s="128"/>
    </row>
    <row r="177">
      <c r="A177" s="164">
        <v>14.0</v>
      </c>
      <c r="B177" s="165" t="s">
        <v>5667</v>
      </c>
      <c r="C177" s="165">
        <v>2.52610188E8</v>
      </c>
      <c r="D177" s="166" t="s">
        <v>5668</v>
      </c>
      <c r="E177" s="165" t="s">
        <v>220</v>
      </c>
      <c r="F177" s="128"/>
      <c r="G177" s="128"/>
      <c r="H177" s="128"/>
    </row>
    <row r="178">
      <c r="A178" s="164">
        <v>15.0</v>
      </c>
      <c r="B178" s="165" t="s">
        <v>5670</v>
      </c>
      <c r="C178" s="165">
        <v>2.52610191E8</v>
      </c>
      <c r="D178" s="166" t="s">
        <v>5671</v>
      </c>
      <c r="E178" s="165" t="s">
        <v>220</v>
      </c>
      <c r="F178" s="128"/>
      <c r="G178" s="128"/>
      <c r="H178" s="128"/>
    </row>
    <row r="179">
      <c r="A179" s="164">
        <v>16.0</v>
      </c>
      <c r="B179" s="165" t="s">
        <v>5673</v>
      </c>
      <c r="C179" s="165">
        <v>2.52610216E8</v>
      </c>
      <c r="D179" s="166" t="s">
        <v>5674</v>
      </c>
      <c r="E179" s="165" t="s">
        <v>227</v>
      </c>
      <c r="F179" s="128"/>
      <c r="G179" s="128"/>
      <c r="H179" s="128"/>
    </row>
    <row r="180">
      <c r="A180" s="164">
        <v>17.0</v>
      </c>
      <c r="B180" s="165" t="s">
        <v>5676</v>
      </c>
      <c r="C180" s="165">
        <v>2.52610233E8</v>
      </c>
      <c r="D180" s="166" t="s">
        <v>5677</v>
      </c>
      <c r="E180" s="165" t="s">
        <v>227</v>
      </c>
      <c r="F180" s="128"/>
      <c r="G180" s="128"/>
      <c r="H180" s="128"/>
    </row>
    <row r="181">
      <c r="A181" s="164">
        <v>18.0</v>
      </c>
      <c r="B181" s="165" t="s">
        <v>5679</v>
      </c>
      <c r="C181" s="165">
        <v>2.52610258E8</v>
      </c>
      <c r="D181" s="166" t="s">
        <v>5680</v>
      </c>
      <c r="E181" s="165" t="s">
        <v>227</v>
      </c>
      <c r="F181" s="128"/>
      <c r="G181" s="128"/>
      <c r="H181" s="128"/>
    </row>
    <row r="182">
      <c r="A182" s="164">
        <v>19.0</v>
      </c>
      <c r="B182" s="165" t="s">
        <v>5682</v>
      </c>
      <c r="C182" s="165">
        <v>2.5261026E8</v>
      </c>
      <c r="D182" s="166" t="s">
        <v>5683</v>
      </c>
      <c r="E182" s="165" t="s">
        <v>227</v>
      </c>
      <c r="F182" s="128"/>
      <c r="G182" s="128"/>
      <c r="H182" s="128"/>
    </row>
    <row r="183">
      <c r="A183" s="164">
        <v>20.0</v>
      </c>
      <c r="B183" s="165" t="s">
        <v>5685</v>
      </c>
      <c r="C183" s="165">
        <v>2.52610266E8</v>
      </c>
      <c r="D183" s="166" t="s">
        <v>5686</v>
      </c>
      <c r="E183" s="165" t="s">
        <v>227</v>
      </c>
      <c r="F183" s="128"/>
      <c r="G183" s="128"/>
      <c r="H183" s="128"/>
    </row>
    <row r="184">
      <c r="A184" s="164">
        <v>21.0</v>
      </c>
      <c r="B184" s="165" t="s">
        <v>5688</v>
      </c>
      <c r="C184" s="165">
        <v>2.52610275E8</v>
      </c>
      <c r="D184" s="166" t="s">
        <v>5689</v>
      </c>
      <c r="E184" s="165" t="s">
        <v>220</v>
      </c>
      <c r="F184" s="128"/>
      <c r="G184" s="128"/>
      <c r="H184" s="128"/>
    </row>
    <row r="185">
      <c r="A185" s="164">
        <v>22.0</v>
      </c>
      <c r="B185" s="165" t="s">
        <v>5691</v>
      </c>
      <c r="C185" s="165">
        <v>2.52610282E8</v>
      </c>
      <c r="D185" s="166" t="s">
        <v>5692</v>
      </c>
      <c r="E185" s="165" t="s">
        <v>227</v>
      </c>
      <c r="F185" s="128"/>
      <c r="G185" s="128"/>
      <c r="H185" s="128"/>
    </row>
    <row r="186">
      <c r="A186" s="164">
        <v>23.0</v>
      </c>
      <c r="B186" s="165" t="s">
        <v>5695</v>
      </c>
      <c r="C186" s="165">
        <v>2.52610294E8</v>
      </c>
      <c r="D186" s="166" t="s">
        <v>5696</v>
      </c>
      <c r="E186" s="165" t="s">
        <v>227</v>
      </c>
      <c r="F186" s="128"/>
      <c r="G186" s="128"/>
      <c r="H186" s="128"/>
    </row>
    <row r="187">
      <c r="A187" s="164">
        <v>24.0</v>
      </c>
      <c r="B187" s="165" t="s">
        <v>5698</v>
      </c>
      <c r="C187" s="165">
        <v>2.52610306E8</v>
      </c>
      <c r="D187" s="166" t="s">
        <v>5699</v>
      </c>
      <c r="E187" s="165" t="s">
        <v>227</v>
      </c>
      <c r="F187" s="128"/>
      <c r="G187" s="128"/>
      <c r="H187" s="128"/>
    </row>
    <row r="188">
      <c r="A188" s="164">
        <v>25.0</v>
      </c>
      <c r="B188" s="165" t="s">
        <v>5701</v>
      </c>
      <c r="C188" s="165">
        <v>2.52610309E8</v>
      </c>
      <c r="D188" s="166" t="s">
        <v>5702</v>
      </c>
      <c r="E188" s="165" t="s">
        <v>227</v>
      </c>
      <c r="F188" s="128"/>
      <c r="G188" s="128"/>
      <c r="H188" s="128"/>
    </row>
    <row r="189">
      <c r="A189" s="164">
        <v>26.0</v>
      </c>
      <c r="B189" s="165" t="s">
        <v>5704</v>
      </c>
      <c r="C189" s="165">
        <v>2.52610329E8</v>
      </c>
      <c r="D189" s="166" t="s">
        <v>5705</v>
      </c>
      <c r="E189" s="165" t="s">
        <v>220</v>
      </c>
      <c r="F189" s="128"/>
      <c r="G189" s="128"/>
      <c r="H189" s="128"/>
    </row>
    <row r="190">
      <c r="A190" s="164">
        <v>27.0</v>
      </c>
      <c r="B190" s="165" t="s">
        <v>5707</v>
      </c>
      <c r="C190" s="165">
        <v>2.52610357E8</v>
      </c>
      <c r="D190" s="166" t="s">
        <v>5708</v>
      </c>
      <c r="E190" s="165" t="s">
        <v>220</v>
      </c>
      <c r="F190" s="128"/>
      <c r="G190" s="128"/>
      <c r="H190" s="128"/>
    </row>
    <row r="191">
      <c r="A191" s="164">
        <v>28.0</v>
      </c>
      <c r="B191" s="165" t="s">
        <v>5710</v>
      </c>
      <c r="C191" s="165">
        <v>2.52610363E8</v>
      </c>
      <c r="D191" s="166" t="s">
        <v>5711</v>
      </c>
      <c r="E191" s="165" t="s">
        <v>220</v>
      </c>
      <c r="F191" s="128"/>
      <c r="G191" s="128"/>
      <c r="H191" s="128"/>
    </row>
    <row r="192">
      <c r="A192" s="164">
        <v>29.0</v>
      </c>
      <c r="B192" s="165" t="s">
        <v>5713</v>
      </c>
      <c r="C192" s="165">
        <v>2.52610373E8</v>
      </c>
      <c r="D192" s="166" t="s">
        <v>5714</v>
      </c>
      <c r="E192" s="165" t="s">
        <v>220</v>
      </c>
      <c r="F192" s="128"/>
      <c r="G192" s="128"/>
      <c r="H192" s="128"/>
    </row>
    <row r="193">
      <c r="A193" s="164">
        <v>30.0</v>
      </c>
      <c r="B193" s="165" t="s">
        <v>5716</v>
      </c>
      <c r="C193" s="165">
        <v>2.52610378E8</v>
      </c>
      <c r="D193" s="166" t="s">
        <v>5717</v>
      </c>
      <c r="E193" s="165" t="s">
        <v>220</v>
      </c>
      <c r="F193" s="128"/>
      <c r="G193" s="128"/>
      <c r="H193" s="128"/>
    </row>
    <row r="194">
      <c r="A194" s="164">
        <v>31.0</v>
      </c>
      <c r="B194" s="165" t="s">
        <v>5719</v>
      </c>
      <c r="C194" s="165">
        <v>2.52610382E8</v>
      </c>
      <c r="D194" s="166" t="s">
        <v>5720</v>
      </c>
      <c r="E194" s="165" t="s">
        <v>227</v>
      </c>
      <c r="F194" s="128"/>
      <c r="G194" s="128"/>
      <c r="H194" s="128"/>
    </row>
    <row r="195">
      <c r="A195" s="164">
        <v>32.0</v>
      </c>
      <c r="B195" s="165" t="s">
        <v>9288</v>
      </c>
      <c r="C195" s="165">
        <v>2.52610433E8</v>
      </c>
      <c r="D195" s="166" t="s">
        <v>9289</v>
      </c>
      <c r="E195" s="165" t="s">
        <v>227</v>
      </c>
      <c r="F195" s="128"/>
      <c r="G195" s="128"/>
      <c r="H195" s="128"/>
    </row>
    <row r="196">
      <c r="A196" s="164">
        <v>33.0</v>
      </c>
      <c r="B196" s="165" t="s">
        <v>5722</v>
      </c>
      <c r="C196" s="165">
        <v>2.52610435E8</v>
      </c>
      <c r="D196" s="166" t="s">
        <v>5723</v>
      </c>
      <c r="E196" s="165" t="s">
        <v>220</v>
      </c>
      <c r="F196" s="128"/>
      <c r="G196" s="128"/>
      <c r="H196" s="128"/>
    </row>
    <row r="197">
      <c r="A197" s="164">
        <v>34.0</v>
      </c>
      <c r="B197" s="165" t="s">
        <v>5725</v>
      </c>
      <c r="C197" s="165">
        <v>2.52610447E8</v>
      </c>
      <c r="D197" s="166" t="s">
        <v>5726</v>
      </c>
      <c r="E197" s="165" t="s">
        <v>220</v>
      </c>
      <c r="F197" s="128"/>
      <c r="G197" s="128"/>
      <c r="H197" s="128"/>
    </row>
    <row r="198">
      <c r="A198" s="164">
        <v>35.0</v>
      </c>
      <c r="B198" s="165" t="s">
        <v>5728</v>
      </c>
      <c r="C198" s="165">
        <v>2.52610472E8</v>
      </c>
      <c r="D198" s="166" t="s">
        <v>5729</v>
      </c>
      <c r="E198" s="165" t="s">
        <v>220</v>
      </c>
      <c r="F198" s="128"/>
      <c r="G198" s="128"/>
      <c r="H198" s="128"/>
    </row>
    <row r="199">
      <c r="A199" s="164">
        <v>36.0</v>
      </c>
      <c r="B199" s="165" t="s">
        <v>5731</v>
      </c>
      <c r="C199" s="165">
        <v>2.52610475E8</v>
      </c>
      <c r="D199" s="166" t="s">
        <v>5732</v>
      </c>
      <c r="E199" s="165" t="s">
        <v>220</v>
      </c>
      <c r="F199" s="128"/>
      <c r="G199" s="128"/>
      <c r="H199" s="128"/>
    </row>
    <row r="200">
      <c r="A200" s="164">
        <v>37.0</v>
      </c>
      <c r="B200" s="165" t="s">
        <v>5734</v>
      </c>
      <c r="C200" s="165">
        <v>2.5261048E8</v>
      </c>
      <c r="D200" s="166" t="s">
        <v>5735</v>
      </c>
      <c r="E200" s="165" t="s">
        <v>220</v>
      </c>
      <c r="F200" s="126"/>
      <c r="G200" s="126"/>
      <c r="H200" s="126"/>
    </row>
    <row r="201">
      <c r="A201" s="164">
        <v>38.0</v>
      </c>
      <c r="B201" s="165" t="s">
        <v>5737</v>
      </c>
      <c r="C201" s="165">
        <v>2.52610483E8</v>
      </c>
      <c r="D201" s="166" t="s">
        <v>5738</v>
      </c>
      <c r="E201" s="165" t="s">
        <v>227</v>
      </c>
      <c r="F201" s="128"/>
      <c r="G201" s="128"/>
      <c r="H201" s="128"/>
    </row>
    <row r="202">
      <c r="A202" s="164">
        <v>39.0</v>
      </c>
      <c r="B202" s="165" t="s">
        <v>5740</v>
      </c>
      <c r="C202" s="165">
        <v>2.52610492E8</v>
      </c>
      <c r="D202" s="166" t="s">
        <v>5741</v>
      </c>
      <c r="E202" s="165" t="s">
        <v>220</v>
      </c>
      <c r="F202" s="128"/>
      <c r="G202" s="128"/>
      <c r="H202" s="128"/>
    </row>
    <row r="203">
      <c r="A203" s="164">
        <v>40.0</v>
      </c>
      <c r="B203" s="165" t="s">
        <v>5743</v>
      </c>
      <c r="C203" s="165">
        <v>2.52610512E8</v>
      </c>
      <c r="D203" s="166" t="s">
        <v>5744</v>
      </c>
      <c r="E203" s="165" t="s">
        <v>227</v>
      </c>
      <c r="F203" s="128"/>
      <c r="G203" s="128"/>
      <c r="H203" s="128"/>
    </row>
    <row r="204">
      <c r="A204" s="164">
        <v>41.0</v>
      </c>
      <c r="B204" s="165" t="s">
        <v>5746</v>
      </c>
      <c r="C204" s="165">
        <v>2.52610514E8</v>
      </c>
      <c r="D204" s="166" t="s">
        <v>5747</v>
      </c>
      <c r="E204" s="165" t="s">
        <v>227</v>
      </c>
      <c r="F204" s="128"/>
      <c r="G204" s="128"/>
      <c r="H204" s="128"/>
    </row>
    <row r="205">
      <c r="A205" s="164">
        <v>42.0</v>
      </c>
      <c r="B205" s="165" t="s">
        <v>5749</v>
      </c>
      <c r="C205" s="165">
        <v>2.52610515E8</v>
      </c>
      <c r="D205" s="166" t="s">
        <v>5750</v>
      </c>
      <c r="E205" s="165" t="s">
        <v>227</v>
      </c>
      <c r="F205" s="128"/>
      <c r="G205" s="128"/>
      <c r="H205" s="128"/>
    </row>
    <row r="206">
      <c r="A206" s="164">
        <v>43.0</v>
      </c>
      <c r="B206" s="165" t="s">
        <v>5752</v>
      </c>
      <c r="C206" s="165">
        <v>2.52610519E8</v>
      </c>
      <c r="D206" s="166" t="s">
        <v>5753</v>
      </c>
      <c r="E206" s="165" t="s">
        <v>227</v>
      </c>
      <c r="F206" s="128"/>
      <c r="G206" s="128"/>
      <c r="H206" s="128"/>
    </row>
    <row r="207">
      <c r="A207" s="164">
        <v>44.0</v>
      </c>
      <c r="B207" s="165" t="s">
        <v>5755</v>
      </c>
      <c r="C207" s="165">
        <v>2.52610533E8</v>
      </c>
      <c r="D207" s="166" t="s">
        <v>5756</v>
      </c>
      <c r="E207" s="165" t="s">
        <v>227</v>
      </c>
      <c r="F207" s="128"/>
      <c r="G207" s="128"/>
      <c r="H207" s="128"/>
    </row>
    <row r="208">
      <c r="A208" s="164">
        <v>45.0</v>
      </c>
      <c r="B208" s="165" t="s">
        <v>5758</v>
      </c>
      <c r="C208" s="165">
        <v>2.52610534E8</v>
      </c>
      <c r="D208" s="166" t="s">
        <v>5759</v>
      </c>
      <c r="E208" s="165" t="s">
        <v>227</v>
      </c>
      <c r="F208" s="128"/>
      <c r="G208" s="128"/>
      <c r="H208" s="128"/>
    </row>
    <row r="209">
      <c r="A209" s="164">
        <v>46.0</v>
      </c>
      <c r="B209" s="165" t="s">
        <v>5761</v>
      </c>
      <c r="C209" s="165">
        <v>2.52610544E8</v>
      </c>
      <c r="D209" s="166" t="s">
        <v>5762</v>
      </c>
      <c r="E209" s="165" t="s">
        <v>227</v>
      </c>
      <c r="F209" s="128"/>
      <c r="G209" s="128"/>
      <c r="H209" s="128"/>
    </row>
    <row r="210">
      <c r="A210" s="167"/>
      <c r="B210" s="167"/>
      <c r="C210" s="167"/>
      <c r="D210" s="158"/>
      <c r="E210" s="158"/>
      <c r="F210" s="128"/>
      <c r="G210" s="128"/>
      <c r="H210" s="128"/>
    </row>
    <row r="211">
      <c r="A211" s="167"/>
      <c r="B211" s="167"/>
      <c r="C211" s="168"/>
      <c r="D211" s="166" t="s">
        <v>9262</v>
      </c>
      <c r="E211" s="169">
        <f>COUNTIF(E164:E209,"P")</f>
        <v>27</v>
      </c>
      <c r="F211" s="128"/>
      <c r="G211" s="128"/>
      <c r="H211" s="128"/>
    </row>
    <row r="212">
      <c r="A212" s="167"/>
      <c r="B212" s="167"/>
      <c r="C212" s="168"/>
      <c r="D212" s="166" t="s">
        <v>9263</v>
      </c>
      <c r="E212" s="169">
        <f>COUNTIF(E164:E209,"L")</f>
        <v>19</v>
      </c>
    </row>
    <row r="214">
      <c r="A214" s="157" t="s">
        <v>9290</v>
      </c>
      <c r="B214" s="158"/>
      <c r="C214" s="158"/>
      <c r="D214" s="158"/>
      <c r="E214" s="159" t="s">
        <v>5766</v>
      </c>
    </row>
    <row r="215">
      <c r="A215" s="160" t="s">
        <v>9249</v>
      </c>
      <c r="B215" s="161" t="s">
        <v>9</v>
      </c>
      <c r="C215" s="161" t="s">
        <v>5246</v>
      </c>
      <c r="D215" s="161" t="s">
        <v>201</v>
      </c>
      <c r="E215" s="161" t="s">
        <v>13</v>
      </c>
      <c r="F215" s="162" t="s">
        <v>8749</v>
      </c>
      <c r="G215" s="162" t="s">
        <v>8750</v>
      </c>
      <c r="H215" s="163" t="s">
        <v>217</v>
      </c>
    </row>
    <row r="216">
      <c r="A216" s="164">
        <v>1.0</v>
      </c>
      <c r="B216" s="165" t="s">
        <v>5764</v>
      </c>
      <c r="C216" s="165">
        <v>2.52610004E8</v>
      </c>
      <c r="D216" s="166" t="s">
        <v>5765</v>
      </c>
      <c r="E216" s="165" t="s">
        <v>220</v>
      </c>
      <c r="F216" s="126"/>
      <c r="G216" s="126"/>
      <c r="H216" s="126"/>
    </row>
    <row r="217">
      <c r="A217" s="164">
        <v>2.0</v>
      </c>
      <c r="B217" s="165" t="s">
        <v>5768</v>
      </c>
      <c r="C217" s="165">
        <v>2.52610013E8</v>
      </c>
      <c r="D217" s="166" t="s">
        <v>5769</v>
      </c>
      <c r="E217" s="165" t="s">
        <v>220</v>
      </c>
      <c r="F217" s="128"/>
      <c r="G217" s="128"/>
      <c r="H217" s="128"/>
    </row>
    <row r="218">
      <c r="A218" s="164">
        <v>3.0</v>
      </c>
      <c r="B218" s="165" t="s">
        <v>5772</v>
      </c>
      <c r="C218" s="165">
        <v>2.52610022E8</v>
      </c>
      <c r="D218" s="166" t="s">
        <v>5773</v>
      </c>
      <c r="E218" s="165" t="s">
        <v>227</v>
      </c>
      <c r="F218" s="128"/>
      <c r="G218" s="128"/>
      <c r="H218" s="128"/>
    </row>
    <row r="219">
      <c r="A219" s="164">
        <v>4.0</v>
      </c>
      <c r="B219" s="165" t="s">
        <v>5775</v>
      </c>
      <c r="C219" s="165">
        <v>2.52610024E8</v>
      </c>
      <c r="D219" s="166" t="s">
        <v>5776</v>
      </c>
      <c r="E219" s="165" t="s">
        <v>227</v>
      </c>
      <c r="F219" s="128"/>
      <c r="G219" s="128"/>
      <c r="H219" s="128"/>
    </row>
    <row r="220">
      <c r="A220" s="164">
        <v>5.0</v>
      </c>
      <c r="B220" s="165" t="s">
        <v>5779</v>
      </c>
      <c r="C220" s="165">
        <v>2.52610034E8</v>
      </c>
      <c r="D220" s="166" t="s">
        <v>5780</v>
      </c>
      <c r="E220" s="165" t="s">
        <v>220</v>
      </c>
      <c r="F220" s="128"/>
      <c r="G220" s="128"/>
      <c r="H220" s="128"/>
    </row>
    <row r="221">
      <c r="A221" s="164">
        <v>6.0</v>
      </c>
      <c r="B221" s="165" t="s">
        <v>5782</v>
      </c>
      <c r="C221" s="165">
        <v>2.52610043E8</v>
      </c>
      <c r="D221" s="166" t="s">
        <v>5783</v>
      </c>
      <c r="E221" s="165" t="s">
        <v>227</v>
      </c>
      <c r="F221" s="128"/>
      <c r="G221" s="128"/>
      <c r="H221" s="128"/>
    </row>
    <row r="222">
      <c r="A222" s="164">
        <v>7.0</v>
      </c>
      <c r="B222" s="165" t="s">
        <v>5785</v>
      </c>
      <c r="C222" s="165">
        <v>2.52610055E8</v>
      </c>
      <c r="D222" s="166" t="s">
        <v>5786</v>
      </c>
      <c r="E222" s="165" t="s">
        <v>227</v>
      </c>
      <c r="F222" s="128"/>
      <c r="G222" s="128"/>
      <c r="H222" s="128"/>
    </row>
    <row r="223">
      <c r="A223" s="164">
        <v>8.0</v>
      </c>
      <c r="B223" s="165" t="s">
        <v>5788</v>
      </c>
      <c r="C223" s="165">
        <v>2.52610057E8</v>
      </c>
      <c r="D223" s="166" t="s">
        <v>5789</v>
      </c>
      <c r="E223" s="165" t="s">
        <v>227</v>
      </c>
      <c r="F223" s="128"/>
      <c r="G223" s="128"/>
      <c r="H223" s="128"/>
    </row>
    <row r="224">
      <c r="A224" s="164">
        <v>9.0</v>
      </c>
      <c r="B224" s="165" t="s">
        <v>48</v>
      </c>
      <c r="C224" s="165">
        <v>2.5261006E8</v>
      </c>
      <c r="D224" s="166" t="s">
        <v>5791</v>
      </c>
      <c r="E224" s="165" t="s">
        <v>220</v>
      </c>
      <c r="F224" s="128"/>
      <c r="G224" s="128"/>
      <c r="H224" s="128"/>
    </row>
    <row r="225">
      <c r="A225" s="164">
        <v>10.0</v>
      </c>
      <c r="B225" s="165" t="s">
        <v>5793</v>
      </c>
      <c r="C225" s="165">
        <v>2.52610067E8</v>
      </c>
      <c r="D225" s="166" t="s">
        <v>5794</v>
      </c>
      <c r="E225" s="165" t="s">
        <v>227</v>
      </c>
      <c r="F225" s="128"/>
      <c r="G225" s="128"/>
      <c r="H225" s="128"/>
    </row>
    <row r="226">
      <c r="A226" s="164">
        <v>11.0</v>
      </c>
      <c r="B226" s="165" t="s">
        <v>5796</v>
      </c>
      <c r="C226" s="165">
        <v>2.52610115E8</v>
      </c>
      <c r="D226" s="166" t="s">
        <v>5797</v>
      </c>
      <c r="E226" s="165" t="s">
        <v>220</v>
      </c>
      <c r="F226" s="128"/>
      <c r="G226" s="128"/>
      <c r="H226" s="128"/>
    </row>
    <row r="227">
      <c r="A227" s="164">
        <v>12.0</v>
      </c>
      <c r="B227" s="165" t="s">
        <v>5799</v>
      </c>
      <c r="C227" s="165">
        <v>2.52610123E8</v>
      </c>
      <c r="D227" s="166" t="s">
        <v>5800</v>
      </c>
      <c r="E227" s="165" t="s">
        <v>227</v>
      </c>
      <c r="F227" s="128"/>
      <c r="G227" s="128"/>
      <c r="H227" s="128"/>
    </row>
    <row r="228">
      <c r="A228" s="164">
        <v>13.0</v>
      </c>
      <c r="B228" s="165" t="s">
        <v>5802</v>
      </c>
      <c r="C228" s="165">
        <v>2.52610163E8</v>
      </c>
      <c r="D228" s="166" t="s">
        <v>5803</v>
      </c>
      <c r="E228" s="165" t="s">
        <v>227</v>
      </c>
      <c r="F228" s="128"/>
      <c r="G228" s="128"/>
      <c r="H228" s="128"/>
    </row>
    <row r="229">
      <c r="A229" s="164">
        <v>14.0</v>
      </c>
      <c r="B229" s="165" t="s">
        <v>5805</v>
      </c>
      <c r="C229" s="165">
        <v>2.52610166E8</v>
      </c>
      <c r="D229" s="166" t="s">
        <v>5806</v>
      </c>
      <c r="E229" s="165" t="s">
        <v>227</v>
      </c>
      <c r="F229" s="128"/>
      <c r="G229" s="128"/>
      <c r="H229" s="128"/>
    </row>
    <row r="230">
      <c r="A230" s="164">
        <v>15.0</v>
      </c>
      <c r="B230" s="165" t="s">
        <v>9291</v>
      </c>
      <c r="C230" s="165">
        <v>2.52610177E8</v>
      </c>
      <c r="D230" s="172"/>
      <c r="E230" s="165" t="s">
        <v>220</v>
      </c>
      <c r="F230" s="128"/>
      <c r="G230" s="128"/>
      <c r="H230" s="128"/>
    </row>
    <row r="231">
      <c r="A231" s="164">
        <v>16.0</v>
      </c>
      <c r="B231" s="165" t="s">
        <v>9292</v>
      </c>
      <c r="C231" s="165">
        <v>2.52610192E8</v>
      </c>
      <c r="D231" s="172"/>
      <c r="E231" s="165" t="s">
        <v>220</v>
      </c>
      <c r="F231" s="128"/>
      <c r="G231" s="128"/>
      <c r="H231" s="128"/>
    </row>
    <row r="232">
      <c r="A232" s="164">
        <v>17.0</v>
      </c>
      <c r="B232" s="165" t="s">
        <v>5808</v>
      </c>
      <c r="C232" s="165">
        <v>2.52610205E8</v>
      </c>
      <c r="D232" s="166" t="s">
        <v>5809</v>
      </c>
      <c r="E232" s="165" t="s">
        <v>227</v>
      </c>
      <c r="F232" s="128"/>
      <c r="G232" s="128"/>
      <c r="H232" s="128"/>
    </row>
    <row r="233">
      <c r="A233" s="164">
        <v>18.0</v>
      </c>
      <c r="B233" s="165" t="s">
        <v>5811</v>
      </c>
      <c r="C233" s="165">
        <v>2.52610229E8</v>
      </c>
      <c r="D233" s="166" t="s">
        <v>5812</v>
      </c>
      <c r="E233" s="165" t="s">
        <v>227</v>
      </c>
      <c r="F233" s="128"/>
      <c r="G233" s="128"/>
      <c r="H233" s="128"/>
    </row>
    <row r="234">
      <c r="A234" s="164">
        <v>19.0</v>
      </c>
      <c r="B234" s="165" t="s">
        <v>5814</v>
      </c>
      <c r="C234" s="165">
        <v>2.5261023E8</v>
      </c>
      <c r="D234" s="166" t="s">
        <v>5815</v>
      </c>
      <c r="E234" s="165" t="s">
        <v>220</v>
      </c>
      <c r="F234" s="128"/>
      <c r="G234" s="128"/>
      <c r="H234" s="128"/>
    </row>
    <row r="235">
      <c r="A235" s="164">
        <v>20.0</v>
      </c>
      <c r="B235" s="165" t="s">
        <v>5817</v>
      </c>
      <c r="C235" s="165">
        <v>2.52610245E8</v>
      </c>
      <c r="D235" s="166" t="s">
        <v>5818</v>
      </c>
      <c r="E235" s="165" t="s">
        <v>227</v>
      </c>
      <c r="F235" s="128"/>
      <c r="G235" s="128"/>
      <c r="H235" s="128"/>
    </row>
    <row r="236">
      <c r="A236" s="164">
        <v>21.0</v>
      </c>
      <c r="B236" s="165" t="s">
        <v>5820</v>
      </c>
      <c r="C236" s="165">
        <v>2.52610281E8</v>
      </c>
      <c r="D236" s="166" t="s">
        <v>5821</v>
      </c>
      <c r="E236" s="165" t="s">
        <v>227</v>
      </c>
      <c r="F236" s="128"/>
      <c r="G236" s="128"/>
      <c r="H236" s="128"/>
    </row>
    <row r="237">
      <c r="A237" s="164">
        <v>22.0</v>
      </c>
      <c r="B237" s="165" t="s">
        <v>5823</v>
      </c>
      <c r="C237" s="165">
        <v>2.52610286E8</v>
      </c>
      <c r="D237" s="166" t="s">
        <v>5824</v>
      </c>
      <c r="E237" s="165" t="s">
        <v>227</v>
      </c>
      <c r="F237" s="128"/>
      <c r="G237" s="128"/>
      <c r="H237" s="128"/>
    </row>
    <row r="238">
      <c r="A238" s="164">
        <v>23.0</v>
      </c>
      <c r="B238" s="165" t="s">
        <v>5826</v>
      </c>
      <c r="C238" s="165">
        <v>2.52610299E8</v>
      </c>
      <c r="D238" s="166" t="s">
        <v>5827</v>
      </c>
      <c r="E238" s="165" t="s">
        <v>227</v>
      </c>
      <c r="F238" s="128"/>
      <c r="G238" s="128"/>
      <c r="H238" s="128"/>
    </row>
    <row r="239">
      <c r="A239" s="164">
        <v>24.0</v>
      </c>
      <c r="B239" s="165" t="s">
        <v>5829</v>
      </c>
      <c r="C239" s="165">
        <v>2.52610322E8</v>
      </c>
      <c r="D239" s="166" t="s">
        <v>5830</v>
      </c>
      <c r="E239" s="165" t="s">
        <v>220</v>
      </c>
      <c r="F239" s="128"/>
      <c r="G239" s="128"/>
      <c r="H239" s="128"/>
    </row>
    <row r="240">
      <c r="A240" s="164">
        <v>25.0</v>
      </c>
      <c r="B240" s="165" t="s">
        <v>5832</v>
      </c>
      <c r="C240" s="165">
        <v>2.52610323E8</v>
      </c>
      <c r="D240" s="166" t="s">
        <v>5833</v>
      </c>
      <c r="E240" s="165" t="s">
        <v>220</v>
      </c>
      <c r="F240" s="128"/>
      <c r="G240" s="128"/>
      <c r="H240" s="128"/>
    </row>
    <row r="241">
      <c r="A241" s="164">
        <v>26.0</v>
      </c>
      <c r="B241" s="165" t="s">
        <v>5835</v>
      </c>
      <c r="C241" s="165">
        <v>2.52610361E8</v>
      </c>
      <c r="D241" s="166" t="s">
        <v>5836</v>
      </c>
      <c r="E241" s="165" t="s">
        <v>220</v>
      </c>
      <c r="F241" s="128"/>
      <c r="G241" s="128"/>
      <c r="H241" s="128"/>
    </row>
    <row r="242">
      <c r="A242" s="164">
        <v>27.0</v>
      </c>
      <c r="B242" s="165" t="s">
        <v>5838</v>
      </c>
      <c r="C242" s="165">
        <v>2.52610366E8</v>
      </c>
      <c r="D242" s="166" t="s">
        <v>5839</v>
      </c>
      <c r="E242" s="165" t="s">
        <v>220</v>
      </c>
      <c r="F242" s="128"/>
      <c r="G242" s="128"/>
      <c r="H242" s="128"/>
    </row>
    <row r="243">
      <c r="A243" s="164">
        <v>28.0</v>
      </c>
      <c r="B243" s="165" t="s">
        <v>5841</v>
      </c>
      <c r="C243" s="165">
        <v>2.52610374E8</v>
      </c>
      <c r="D243" s="166" t="s">
        <v>5842</v>
      </c>
      <c r="E243" s="165" t="s">
        <v>220</v>
      </c>
      <c r="F243" s="128"/>
      <c r="G243" s="128"/>
      <c r="H243" s="128"/>
    </row>
    <row r="244">
      <c r="A244" s="164">
        <v>29.0</v>
      </c>
      <c r="B244" s="165" t="s">
        <v>5844</v>
      </c>
      <c r="C244" s="165">
        <v>2.52610379E8</v>
      </c>
      <c r="D244" s="166" t="s">
        <v>5845</v>
      </c>
      <c r="E244" s="165" t="s">
        <v>220</v>
      </c>
      <c r="F244" s="128"/>
      <c r="G244" s="128"/>
      <c r="H244" s="128"/>
    </row>
    <row r="245">
      <c r="A245" s="164">
        <v>30.0</v>
      </c>
      <c r="B245" s="165" t="s">
        <v>5847</v>
      </c>
      <c r="C245" s="165">
        <v>2.52610384E8</v>
      </c>
      <c r="D245" s="166" t="s">
        <v>5848</v>
      </c>
      <c r="E245" s="165" t="s">
        <v>227</v>
      </c>
      <c r="F245" s="128"/>
      <c r="G245" s="128"/>
      <c r="H245" s="128"/>
    </row>
    <row r="246">
      <c r="A246" s="164">
        <v>31.0</v>
      </c>
      <c r="B246" s="165" t="s">
        <v>5851</v>
      </c>
      <c r="C246" s="165">
        <v>2.52610401E8</v>
      </c>
      <c r="D246" s="166" t="s">
        <v>5852</v>
      </c>
      <c r="E246" s="165" t="s">
        <v>220</v>
      </c>
      <c r="F246" s="128"/>
      <c r="G246" s="128"/>
      <c r="H246" s="128"/>
    </row>
    <row r="247">
      <c r="A247" s="164">
        <v>32.0</v>
      </c>
      <c r="B247" s="165" t="s">
        <v>5854</v>
      </c>
      <c r="C247" s="165">
        <v>2.52610412E8</v>
      </c>
      <c r="D247" s="166" t="s">
        <v>5855</v>
      </c>
      <c r="E247" s="165" t="s">
        <v>227</v>
      </c>
      <c r="F247" s="128"/>
      <c r="G247" s="128"/>
      <c r="H247" s="128"/>
    </row>
    <row r="248">
      <c r="A248" s="164">
        <v>33.0</v>
      </c>
      <c r="B248" s="165" t="s">
        <v>5857</v>
      </c>
      <c r="C248" s="165">
        <v>2.52610414E8</v>
      </c>
      <c r="D248" s="166" t="s">
        <v>5858</v>
      </c>
      <c r="E248" s="165" t="s">
        <v>227</v>
      </c>
      <c r="F248" s="128"/>
      <c r="G248" s="128"/>
      <c r="H248" s="128"/>
    </row>
    <row r="249">
      <c r="A249" s="164">
        <v>34.0</v>
      </c>
      <c r="B249" s="165" t="s">
        <v>5860</v>
      </c>
      <c r="C249" s="165">
        <v>2.52610427E8</v>
      </c>
      <c r="D249" s="166" t="s">
        <v>5861</v>
      </c>
      <c r="E249" s="165" t="s">
        <v>227</v>
      </c>
      <c r="F249" s="128"/>
      <c r="G249" s="128"/>
      <c r="H249" s="128"/>
    </row>
    <row r="250">
      <c r="A250" s="164">
        <v>35.0</v>
      </c>
      <c r="B250" s="165" t="s">
        <v>5863</v>
      </c>
      <c r="C250" s="165">
        <v>2.52610429E8</v>
      </c>
      <c r="D250" s="166" t="s">
        <v>5864</v>
      </c>
      <c r="E250" s="165" t="s">
        <v>220</v>
      </c>
      <c r="F250" s="128"/>
      <c r="G250" s="128"/>
      <c r="H250" s="128"/>
    </row>
    <row r="251">
      <c r="A251" s="164">
        <v>36.0</v>
      </c>
      <c r="B251" s="165" t="s">
        <v>5866</v>
      </c>
      <c r="C251" s="165">
        <v>2.52610437E8</v>
      </c>
      <c r="D251" s="166" t="s">
        <v>5867</v>
      </c>
      <c r="E251" s="165" t="s">
        <v>227</v>
      </c>
      <c r="F251" s="128"/>
      <c r="G251" s="128"/>
      <c r="H251" s="128"/>
    </row>
    <row r="252">
      <c r="A252" s="164">
        <v>37.0</v>
      </c>
      <c r="B252" s="165" t="s">
        <v>5869</v>
      </c>
      <c r="C252" s="165">
        <v>2.5261045E8</v>
      </c>
      <c r="D252" s="166" t="s">
        <v>5870</v>
      </c>
      <c r="E252" s="165" t="s">
        <v>227</v>
      </c>
      <c r="F252" s="126"/>
      <c r="G252" s="126"/>
      <c r="H252" s="126"/>
    </row>
    <row r="253">
      <c r="A253" s="164">
        <v>38.0</v>
      </c>
      <c r="B253" s="165" t="s">
        <v>5872</v>
      </c>
      <c r="C253" s="165">
        <v>2.52610451E8</v>
      </c>
      <c r="D253" s="166" t="s">
        <v>5873</v>
      </c>
      <c r="E253" s="165" t="s">
        <v>227</v>
      </c>
      <c r="F253" s="128"/>
      <c r="G253" s="128"/>
      <c r="H253" s="128"/>
    </row>
    <row r="254">
      <c r="A254" s="164">
        <v>39.0</v>
      </c>
      <c r="B254" s="165" t="s">
        <v>47</v>
      </c>
      <c r="C254" s="165">
        <v>2.52610471E8</v>
      </c>
      <c r="D254" s="166" t="s">
        <v>5875</v>
      </c>
      <c r="E254" s="165" t="s">
        <v>220</v>
      </c>
      <c r="F254" s="128"/>
      <c r="G254" s="128"/>
      <c r="H254" s="128"/>
    </row>
    <row r="255">
      <c r="A255" s="164">
        <v>40.0</v>
      </c>
      <c r="B255" s="165" t="s">
        <v>5877</v>
      </c>
      <c r="C255" s="165">
        <v>2.52610481E8</v>
      </c>
      <c r="D255" s="166" t="s">
        <v>5878</v>
      </c>
      <c r="E255" s="165" t="s">
        <v>227</v>
      </c>
      <c r="F255" s="128"/>
      <c r="G255" s="128"/>
      <c r="H255" s="128"/>
    </row>
    <row r="256">
      <c r="A256" s="164">
        <v>41.0</v>
      </c>
      <c r="B256" s="165" t="s">
        <v>5880</v>
      </c>
      <c r="C256" s="165">
        <v>2.52610488E8</v>
      </c>
      <c r="D256" s="166" t="s">
        <v>5881</v>
      </c>
      <c r="E256" s="165" t="s">
        <v>227</v>
      </c>
      <c r="F256" s="128"/>
      <c r="G256" s="128"/>
      <c r="H256" s="128"/>
    </row>
    <row r="257">
      <c r="A257" s="164">
        <v>42.0</v>
      </c>
      <c r="B257" s="165" t="s">
        <v>5883</v>
      </c>
      <c r="C257" s="165">
        <v>2.52610507E8</v>
      </c>
      <c r="D257" s="166" t="s">
        <v>5884</v>
      </c>
      <c r="E257" s="165" t="s">
        <v>227</v>
      </c>
      <c r="F257" s="128"/>
      <c r="G257" s="128"/>
      <c r="H257" s="128"/>
    </row>
    <row r="258">
      <c r="A258" s="164">
        <v>43.0</v>
      </c>
      <c r="B258" s="165" t="s">
        <v>5886</v>
      </c>
      <c r="C258" s="165">
        <v>2.52610535E8</v>
      </c>
      <c r="D258" s="166" t="s">
        <v>5887</v>
      </c>
      <c r="E258" s="165" t="s">
        <v>227</v>
      </c>
      <c r="F258" s="128"/>
      <c r="G258" s="128"/>
      <c r="H258" s="128"/>
    </row>
    <row r="259">
      <c r="A259" s="164">
        <v>44.0</v>
      </c>
      <c r="B259" s="165" t="s">
        <v>5889</v>
      </c>
      <c r="C259" s="165">
        <v>2.5261054E8</v>
      </c>
      <c r="D259" s="166" t="s">
        <v>5890</v>
      </c>
      <c r="E259" s="165" t="s">
        <v>227</v>
      </c>
      <c r="F259" s="128"/>
      <c r="G259" s="128"/>
      <c r="H259" s="128"/>
    </row>
    <row r="260">
      <c r="A260" s="164">
        <v>45.0</v>
      </c>
      <c r="B260" s="165" t="s">
        <v>5892</v>
      </c>
      <c r="C260" s="165">
        <v>2.52610543E8</v>
      </c>
      <c r="D260" s="166" t="s">
        <v>5893</v>
      </c>
      <c r="E260" s="165" t="s">
        <v>227</v>
      </c>
      <c r="F260" s="128"/>
      <c r="G260" s="128"/>
      <c r="H260" s="128"/>
    </row>
    <row r="261">
      <c r="A261" s="164">
        <v>46.0</v>
      </c>
      <c r="B261" s="165" t="s">
        <v>5895</v>
      </c>
      <c r="C261" s="165">
        <v>2.52610549E8</v>
      </c>
      <c r="D261" s="166" t="s">
        <v>5896</v>
      </c>
      <c r="E261" s="165" t="s">
        <v>220</v>
      </c>
      <c r="F261" s="128"/>
      <c r="G261" s="128"/>
      <c r="H261" s="128"/>
    </row>
    <row r="262">
      <c r="A262" s="164">
        <v>47.0</v>
      </c>
      <c r="B262" s="165" t="s">
        <v>5898</v>
      </c>
      <c r="C262" s="165">
        <v>2.52610554E8</v>
      </c>
      <c r="D262" s="166" t="s">
        <v>5899</v>
      </c>
      <c r="E262" s="165" t="s">
        <v>227</v>
      </c>
      <c r="F262" s="128"/>
      <c r="G262" s="128"/>
      <c r="H262" s="128"/>
    </row>
    <row r="263">
      <c r="A263" s="167"/>
      <c r="B263" s="167"/>
      <c r="C263" s="167"/>
      <c r="D263" s="158"/>
      <c r="E263" s="158"/>
      <c r="F263" s="128"/>
      <c r="G263" s="128"/>
      <c r="H263" s="128"/>
    </row>
    <row r="264">
      <c r="A264" s="167"/>
      <c r="B264" s="167"/>
      <c r="C264" s="168"/>
      <c r="D264" s="166" t="s">
        <v>9262</v>
      </c>
      <c r="E264" s="169">
        <f>COUNTIF(E216:E262,"P")</f>
        <v>29</v>
      </c>
    </row>
    <row r="265">
      <c r="A265" s="167"/>
      <c r="B265" s="167"/>
      <c r="C265" s="168"/>
      <c r="D265" s="166" t="s">
        <v>9263</v>
      </c>
      <c r="E265" s="169">
        <f>COUNTIF(E216:E262,"L")</f>
        <v>18</v>
      </c>
    </row>
    <row r="268">
      <c r="A268" s="157" t="s">
        <v>9293</v>
      </c>
      <c r="B268" s="158"/>
      <c r="C268" s="158"/>
      <c r="D268" s="158"/>
      <c r="E268" s="159" t="s">
        <v>5903</v>
      </c>
    </row>
    <row r="269">
      <c r="A269" s="160" t="s">
        <v>9249</v>
      </c>
      <c r="B269" s="161" t="s">
        <v>9</v>
      </c>
      <c r="C269" s="161" t="s">
        <v>5246</v>
      </c>
      <c r="D269" s="161" t="s">
        <v>201</v>
      </c>
      <c r="E269" s="161" t="s">
        <v>13</v>
      </c>
      <c r="F269" s="162" t="s">
        <v>8749</v>
      </c>
      <c r="G269" s="162" t="s">
        <v>8750</v>
      </c>
      <c r="H269" s="163" t="s">
        <v>217</v>
      </c>
    </row>
    <row r="270">
      <c r="A270" s="164">
        <v>1.0</v>
      </c>
      <c r="B270" s="165" t="s">
        <v>9294</v>
      </c>
      <c r="C270" s="165">
        <v>2.52610005E8</v>
      </c>
      <c r="D270" s="166" t="s">
        <v>9295</v>
      </c>
      <c r="E270" s="165" t="s">
        <v>220</v>
      </c>
      <c r="F270" s="126"/>
      <c r="G270" s="126"/>
      <c r="H270" s="126"/>
    </row>
    <row r="271">
      <c r="A271" s="164">
        <v>2.0</v>
      </c>
      <c r="B271" s="165" t="s">
        <v>9296</v>
      </c>
      <c r="C271" s="165">
        <v>2.52610009E8</v>
      </c>
      <c r="D271" s="166" t="s">
        <v>9297</v>
      </c>
      <c r="E271" s="165" t="s">
        <v>220</v>
      </c>
      <c r="F271" s="128"/>
      <c r="G271" s="128"/>
      <c r="H271" s="128"/>
    </row>
    <row r="272">
      <c r="A272" s="164">
        <v>3.0</v>
      </c>
      <c r="B272" s="165" t="s">
        <v>5901</v>
      </c>
      <c r="C272" s="165">
        <v>2.52610036E8</v>
      </c>
      <c r="D272" s="166" t="s">
        <v>5902</v>
      </c>
      <c r="E272" s="165" t="s">
        <v>227</v>
      </c>
      <c r="F272" s="128"/>
      <c r="G272" s="128"/>
      <c r="H272" s="128"/>
    </row>
    <row r="273">
      <c r="A273" s="164">
        <v>4.0</v>
      </c>
      <c r="B273" s="165" t="s">
        <v>5906</v>
      </c>
      <c r="C273" s="165">
        <v>2.52610042E8</v>
      </c>
      <c r="D273" s="166" t="s">
        <v>5907</v>
      </c>
      <c r="E273" s="165" t="s">
        <v>227</v>
      </c>
      <c r="F273" s="128"/>
      <c r="G273" s="128"/>
      <c r="H273" s="128"/>
    </row>
    <row r="274">
      <c r="A274" s="164">
        <v>5.0</v>
      </c>
      <c r="B274" s="165" t="s">
        <v>5909</v>
      </c>
      <c r="C274" s="165">
        <v>2.52610072E8</v>
      </c>
      <c r="D274" s="166" t="s">
        <v>5910</v>
      </c>
      <c r="E274" s="165" t="s">
        <v>227</v>
      </c>
      <c r="F274" s="128"/>
      <c r="G274" s="128"/>
      <c r="H274" s="128"/>
    </row>
    <row r="275">
      <c r="A275" s="164">
        <v>6.0</v>
      </c>
      <c r="B275" s="165" t="s">
        <v>9298</v>
      </c>
      <c r="C275" s="165">
        <v>2.5261012E8</v>
      </c>
      <c r="D275" s="166" t="s">
        <v>9299</v>
      </c>
      <c r="E275" s="165" t="s">
        <v>227</v>
      </c>
      <c r="F275" s="128"/>
      <c r="G275" s="128"/>
      <c r="H275" s="128"/>
    </row>
    <row r="276">
      <c r="A276" s="164">
        <v>7.0</v>
      </c>
      <c r="B276" s="165" t="s">
        <v>5912</v>
      </c>
      <c r="C276" s="165">
        <v>2.52610134E8</v>
      </c>
      <c r="D276" s="166" t="s">
        <v>5913</v>
      </c>
      <c r="E276" s="165" t="s">
        <v>227</v>
      </c>
      <c r="F276" s="128"/>
      <c r="G276" s="128"/>
      <c r="H276" s="128"/>
    </row>
    <row r="277">
      <c r="A277" s="164">
        <v>8.0</v>
      </c>
      <c r="B277" s="165" t="s">
        <v>9300</v>
      </c>
      <c r="C277" s="165">
        <v>2.5261015E8</v>
      </c>
      <c r="D277" s="166" t="s">
        <v>9301</v>
      </c>
      <c r="E277" s="165" t="s">
        <v>220</v>
      </c>
      <c r="F277" s="128"/>
      <c r="G277" s="128"/>
      <c r="H277" s="128"/>
    </row>
    <row r="278">
      <c r="A278" s="164">
        <v>9.0</v>
      </c>
      <c r="B278" s="165" t="s">
        <v>5915</v>
      </c>
      <c r="C278" s="165">
        <v>2.52610157E8</v>
      </c>
      <c r="D278" s="166" t="s">
        <v>5916</v>
      </c>
      <c r="E278" s="165" t="s">
        <v>227</v>
      </c>
      <c r="F278" s="128"/>
      <c r="G278" s="128"/>
      <c r="H278" s="128"/>
    </row>
    <row r="279">
      <c r="A279" s="164">
        <v>10.0</v>
      </c>
      <c r="B279" s="165" t="s">
        <v>5918</v>
      </c>
      <c r="C279" s="165">
        <v>2.52610167E8</v>
      </c>
      <c r="D279" s="166" t="s">
        <v>5919</v>
      </c>
      <c r="E279" s="165" t="s">
        <v>227</v>
      </c>
      <c r="F279" s="128"/>
      <c r="G279" s="128"/>
      <c r="H279" s="128"/>
    </row>
    <row r="280">
      <c r="A280" s="164">
        <v>11.0</v>
      </c>
      <c r="B280" s="165" t="s">
        <v>5921</v>
      </c>
      <c r="C280" s="165">
        <v>2.52610172E8</v>
      </c>
      <c r="D280" s="166" t="s">
        <v>5922</v>
      </c>
      <c r="E280" s="165" t="s">
        <v>227</v>
      </c>
      <c r="F280" s="128"/>
      <c r="G280" s="128"/>
      <c r="H280" s="128"/>
    </row>
    <row r="281">
      <c r="A281" s="164">
        <v>12.0</v>
      </c>
      <c r="B281" s="165" t="s">
        <v>5924</v>
      </c>
      <c r="C281" s="165">
        <v>2.52610176E8</v>
      </c>
      <c r="D281" s="166" t="s">
        <v>5925</v>
      </c>
      <c r="E281" s="165" t="s">
        <v>220</v>
      </c>
      <c r="F281" s="128"/>
      <c r="G281" s="128"/>
      <c r="H281" s="128"/>
    </row>
    <row r="282">
      <c r="A282" s="164">
        <v>13.0</v>
      </c>
      <c r="B282" s="165" t="s">
        <v>9302</v>
      </c>
      <c r="C282" s="165">
        <v>2.52610189E8</v>
      </c>
      <c r="D282" s="166" t="s">
        <v>9303</v>
      </c>
      <c r="E282" s="165" t="s">
        <v>227</v>
      </c>
      <c r="F282" s="128"/>
      <c r="G282" s="128"/>
      <c r="H282" s="128"/>
    </row>
    <row r="283">
      <c r="A283" s="164">
        <v>14.0</v>
      </c>
      <c r="B283" s="165" t="s">
        <v>5928</v>
      </c>
      <c r="C283" s="165">
        <v>2.52610194E8</v>
      </c>
      <c r="D283" s="166" t="s">
        <v>5929</v>
      </c>
      <c r="E283" s="165" t="s">
        <v>227</v>
      </c>
      <c r="F283" s="128"/>
      <c r="G283" s="128"/>
      <c r="H283" s="128"/>
    </row>
    <row r="284">
      <c r="A284" s="164">
        <v>15.0</v>
      </c>
      <c r="B284" s="165" t="s">
        <v>5931</v>
      </c>
      <c r="C284" s="165">
        <v>2.52610195E8</v>
      </c>
      <c r="D284" s="166" t="s">
        <v>5932</v>
      </c>
      <c r="E284" s="165" t="s">
        <v>227</v>
      </c>
      <c r="F284" s="128"/>
      <c r="G284" s="128"/>
      <c r="H284" s="128"/>
    </row>
    <row r="285">
      <c r="A285" s="164">
        <v>16.0</v>
      </c>
      <c r="B285" s="165" t="s">
        <v>9304</v>
      </c>
      <c r="C285" s="165">
        <v>2.52610198E8</v>
      </c>
      <c r="D285" s="166" t="s">
        <v>9305</v>
      </c>
      <c r="E285" s="165" t="s">
        <v>220</v>
      </c>
      <c r="F285" s="128"/>
      <c r="G285" s="128"/>
      <c r="H285" s="128"/>
    </row>
    <row r="286">
      <c r="A286" s="164">
        <v>17.0</v>
      </c>
      <c r="B286" s="165" t="s">
        <v>5934</v>
      </c>
      <c r="C286" s="165">
        <v>2.52610209E8</v>
      </c>
      <c r="D286" s="166" t="s">
        <v>5935</v>
      </c>
      <c r="E286" s="165" t="s">
        <v>227</v>
      </c>
      <c r="F286" s="128"/>
      <c r="G286" s="128"/>
      <c r="H286" s="128"/>
    </row>
    <row r="287">
      <c r="A287" s="164">
        <v>18.0</v>
      </c>
      <c r="B287" s="165" t="s">
        <v>5937</v>
      </c>
      <c r="C287" s="165">
        <v>2.5261021E8</v>
      </c>
      <c r="D287" s="166" t="s">
        <v>5938</v>
      </c>
      <c r="E287" s="165" t="s">
        <v>227</v>
      </c>
      <c r="F287" s="128"/>
      <c r="G287" s="128"/>
      <c r="H287" s="128"/>
    </row>
    <row r="288">
      <c r="A288" s="164">
        <v>19.0</v>
      </c>
      <c r="B288" s="165" t="s">
        <v>5940</v>
      </c>
      <c r="C288" s="165">
        <v>2.52610214E8</v>
      </c>
      <c r="D288" s="166" t="s">
        <v>5941</v>
      </c>
      <c r="E288" s="165" t="s">
        <v>227</v>
      </c>
      <c r="F288" s="128"/>
      <c r="G288" s="128"/>
      <c r="H288" s="128"/>
    </row>
    <row r="289">
      <c r="A289" s="164">
        <v>20.0</v>
      </c>
      <c r="B289" s="165" t="s">
        <v>5943</v>
      </c>
      <c r="C289" s="165">
        <v>2.52610227E8</v>
      </c>
      <c r="D289" s="166" t="s">
        <v>5944</v>
      </c>
      <c r="E289" s="165" t="s">
        <v>227</v>
      </c>
      <c r="F289" s="128"/>
      <c r="G289" s="128"/>
      <c r="H289" s="128"/>
    </row>
    <row r="290">
      <c r="A290" s="164">
        <v>21.0</v>
      </c>
      <c r="B290" s="165" t="s">
        <v>9306</v>
      </c>
      <c r="C290" s="165">
        <v>2.52610249E8</v>
      </c>
      <c r="D290" s="166" t="s">
        <v>9307</v>
      </c>
      <c r="E290" s="165" t="s">
        <v>227</v>
      </c>
      <c r="F290" s="128"/>
      <c r="G290" s="128"/>
      <c r="H290" s="128"/>
    </row>
    <row r="291">
      <c r="A291" s="164">
        <v>22.0</v>
      </c>
      <c r="B291" s="165" t="s">
        <v>9308</v>
      </c>
      <c r="C291" s="165">
        <v>2.52610261E8</v>
      </c>
      <c r="D291" s="166" t="s">
        <v>9309</v>
      </c>
      <c r="E291" s="165" t="s">
        <v>227</v>
      </c>
      <c r="F291" s="128"/>
      <c r="G291" s="128"/>
      <c r="H291" s="128"/>
    </row>
    <row r="292">
      <c r="A292" s="164">
        <v>23.0</v>
      </c>
      <c r="B292" s="165" t="s">
        <v>5946</v>
      </c>
      <c r="C292" s="165">
        <v>2.52610273E8</v>
      </c>
      <c r="D292" s="166" t="s">
        <v>5947</v>
      </c>
      <c r="E292" s="165" t="s">
        <v>227</v>
      </c>
      <c r="F292" s="128"/>
      <c r="G292" s="128"/>
      <c r="H292" s="128"/>
    </row>
    <row r="293">
      <c r="A293" s="164">
        <v>24.0</v>
      </c>
      <c r="B293" s="165" t="s">
        <v>5949</v>
      </c>
      <c r="C293" s="165">
        <v>2.52610279E8</v>
      </c>
      <c r="D293" s="166" t="s">
        <v>5950</v>
      </c>
      <c r="E293" s="165" t="s">
        <v>227</v>
      </c>
      <c r="F293" s="128"/>
      <c r="G293" s="128"/>
      <c r="H293" s="128"/>
    </row>
    <row r="294">
      <c r="A294" s="164">
        <v>25.0</v>
      </c>
      <c r="B294" s="165" t="s">
        <v>9310</v>
      </c>
      <c r="C294" s="165">
        <v>2.52610285E8</v>
      </c>
      <c r="D294" s="166" t="s">
        <v>9311</v>
      </c>
      <c r="E294" s="165" t="s">
        <v>227</v>
      </c>
      <c r="F294" s="128"/>
      <c r="G294" s="128"/>
      <c r="H294" s="128"/>
    </row>
    <row r="295">
      <c r="A295" s="164">
        <v>26.0</v>
      </c>
      <c r="B295" s="165" t="s">
        <v>5953</v>
      </c>
      <c r="C295" s="165">
        <v>2.52610308E8</v>
      </c>
      <c r="D295" s="166" t="s">
        <v>5954</v>
      </c>
      <c r="E295" s="165" t="s">
        <v>227</v>
      </c>
      <c r="F295" s="128"/>
      <c r="G295" s="128"/>
      <c r="H295" s="128"/>
    </row>
    <row r="296">
      <c r="A296" s="164">
        <v>27.0</v>
      </c>
      <c r="B296" s="165" t="s">
        <v>9312</v>
      </c>
      <c r="C296" s="165">
        <v>2.52610312E8</v>
      </c>
      <c r="D296" s="166" t="s">
        <v>9313</v>
      </c>
      <c r="E296" s="165" t="s">
        <v>227</v>
      </c>
      <c r="F296" s="128"/>
      <c r="G296" s="128"/>
      <c r="H296" s="128"/>
    </row>
    <row r="297">
      <c r="A297" s="164">
        <v>28.0</v>
      </c>
      <c r="B297" s="165" t="s">
        <v>5956</v>
      </c>
      <c r="C297" s="165">
        <v>2.52610342E8</v>
      </c>
      <c r="D297" s="166" t="s">
        <v>5957</v>
      </c>
      <c r="E297" s="165" t="s">
        <v>220</v>
      </c>
      <c r="F297" s="128"/>
      <c r="G297" s="128"/>
      <c r="H297" s="128"/>
    </row>
    <row r="298">
      <c r="A298" s="164">
        <v>29.0</v>
      </c>
      <c r="B298" s="165" t="s">
        <v>9314</v>
      </c>
      <c r="C298" s="165">
        <v>2.52610355E8</v>
      </c>
      <c r="D298" s="166" t="s">
        <v>9315</v>
      </c>
      <c r="E298" s="165" t="s">
        <v>220</v>
      </c>
      <c r="F298" s="128"/>
      <c r="G298" s="128"/>
      <c r="H298" s="128"/>
    </row>
    <row r="299">
      <c r="A299" s="164">
        <v>30.0</v>
      </c>
      <c r="B299" s="165" t="s">
        <v>9316</v>
      </c>
      <c r="C299" s="165">
        <v>2.5261036E8</v>
      </c>
      <c r="D299" s="166" t="s">
        <v>9317</v>
      </c>
      <c r="E299" s="165" t="s">
        <v>220</v>
      </c>
      <c r="F299" s="128"/>
      <c r="G299" s="128"/>
      <c r="H299" s="128"/>
    </row>
    <row r="300">
      <c r="A300" s="164">
        <v>31.0</v>
      </c>
      <c r="B300" s="165" t="s">
        <v>5959</v>
      </c>
      <c r="C300" s="165">
        <v>2.52610394E8</v>
      </c>
      <c r="D300" s="166" t="s">
        <v>5960</v>
      </c>
      <c r="E300" s="165" t="s">
        <v>227</v>
      </c>
      <c r="F300" s="128"/>
      <c r="G300" s="128"/>
      <c r="H300" s="128"/>
    </row>
    <row r="301">
      <c r="A301" s="164">
        <v>32.0</v>
      </c>
      <c r="B301" s="165" t="s">
        <v>5962</v>
      </c>
      <c r="C301" s="165">
        <v>2.5261041E8</v>
      </c>
      <c r="D301" s="166" t="s">
        <v>5963</v>
      </c>
      <c r="E301" s="165" t="s">
        <v>227</v>
      </c>
      <c r="F301" s="128"/>
      <c r="G301" s="128"/>
      <c r="H301" s="128"/>
    </row>
    <row r="302">
      <c r="A302" s="164">
        <v>33.0</v>
      </c>
      <c r="B302" s="165" t="s">
        <v>5965</v>
      </c>
      <c r="C302" s="165">
        <v>2.52610442E8</v>
      </c>
      <c r="D302" s="166" t="s">
        <v>5966</v>
      </c>
      <c r="E302" s="165" t="s">
        <v>227</v>
      </c>
      <c r="F302" s="128"/>
      <c r="G302" s="128"/>
      <c r="H302" s="128"/>
    </row>
    <row r="303">
      <c r="A303" s="164">
        <v>34.0</v>
      </c>
      <c r="B303" s="165" t="s">
        <v>9318</v>
      </c>
      <c r="C303" s="165">
        <v>2.52610446E8</v>
      </c>
      <c r="D303" s="166" t="s">
        <v>9319</v>
      </c>
      <c r="E303" s="165" t="s">
        <v>227</v>
      </c>
      <c r="F303" s="128"/>
      <c r="G303" s="128"/>
      <c r="H303" s="128"/>
    </row>
    <row r="304">
      <c r="A304" s="164">
        <v>35.0</v>
      </c>
      <c r="B304" s="165" t="s">
        <v>5968</v>
      </c>
      <c r="C304" s="165">
        <v>2.52610449E8</v>
      </c>
      <c r="D304" s="166" t="s">
        <v>5969</v>
      </c>
      <c r="E304" s="165" t="s">
        <v>220</v>
      </c>
      <c r="F304" s="128"/>
      <c r="G304" s="128"/>
      <c r="H304" s="128"/>
    </row>
    <row r="305">
      <c r="A305" s="164">
        <v>36.0</v>
      </c>
      <c r="B305" s="165" t="s">
        <v>5971</v>
      </c>
      <c r="C305" s="165">
        <v>2.52610453E8</v>
      </c>
      <c r="D305" s="166" t="s">
        <v>5972</v>
      </c>
      <c r="E305" s="165" t="s">
        <v>220</v>
      </c>
      <c r="F305" s="128"/>
      <c r="G305" s="128"/>
      <c r="H305" s="128"/>
    </row>
    <row r="306">
      <c r="A306" s="164">
        <v>37.0</v>
      </c>
      <c r="B306" s="165" t="s">
        <v>9320</v>
      </c>
      <c r="C306" s="165">
        <v>2.52610456E8</v>
      </c>
      <c r="D306" s="166" t="s">
        <v>9321</v>
      </c>
      <c r="E306" s="165" t="s">
        <v>220</v>
      </c>
      <c r="F306" s="126"/>
      <c r="G306" s="126"/>
      <c r="H306" s="126"/>
    </row>
    <row r="307">
      <c r="A307" s="164">
        <v>38.0</v>
      </c>
      <c r="B307" s="165" t="s">
        <v>9322</v>
      </c>
      <c r="C307" s="165">
        <v>2.52610478E8</v>
      </c>
      <c r="D307" s="166" t="s">
        <v>9323</v>
      </c>
      <c r="E307" s="165" t="s">
        <v>220</v>
      </c>
      <c r="F307" s="128"/>
      <c r="G307" s="128"/>
      <c r="H307" s="128"/>
    </row>
    <row r="308">
      <c r="A308" s="164">
        <v>39.0</v>
      </c>
      <c r="B308" s="165" t="s">
        <v>5974</v>
      </c>
      <c r="C308" s="165">
        <v>2.52610479E8</v>
      </c>
      <c r="D308" s="166" t="s">
        <v>5975</v>
      </c>
      <c r="E308" s="165" t="s">
        <v>220</v>
      </c>
      <c r="F308" s="128"/>
      <c r="G308" s="128"/>
      <c r="H308" s="128"/>
    </row>
    <row r="309">
      <c r="A309" s="164">
        <v>40.0</v>
      </c>
      <c r="B309" s="165" t="s">
        <v>5977</v>
      </c>
      <c r="C309" s="165">
        <v>2.52610484E8</v>
      </c>
      <c r="D309" s="166" t="s">
        <v>5978</v>
      </c>
      <c r="E309" s="165" t="s">
        <v>227</v>
      </c>
      <c r="F309" s="128"/>
      <c r="G309" s="128"/>
      <c r="H309" s="128"/>
    </row>
    <row r="310">
      <c r="A310" s="164">
        <v>41.0</v>
      </c>
      <c r="B310" s="165" t="s">
        <v>5980</v>
      </c>
      <c r="C310" s="165">
        <v>2.52610486E8</v>
      </c>
      <c r="D310" s="166" t="s">
        <v>5981</v>
      </c>
      <c r="E310" s="165" t="s">
        <v>227</v>
      </c>
      <c r="F310" s="128"/>
      <c r="G310" s="128"/>
      <c r="H310" s="128"/>
    </row>
    <row r="311">
      <c r="A311" s="164">
        <v>42.0</v>
      </c>
      <c r="B311" s="165" t="s">
        <v>5983</v>
      </c>
      <c r="C311" s="165">
        <v>2.52610495E8</v>
      </c>
      <c r="D311" s="166" t="s">
        <v>5984</v>
      </c>
      <c r="E311" s="165" t="s">
        <v>227</v>
      </c>
      <c r="F311" s="128"/>
      <c r="G311" s="128"/>
      <c r="H311" s="128"/>
    </row>
    <row r="312">
      <c r="A312" s="164">
        <v>43.0</v>
      </c>
      <c r="B312" s="165" t="s">
        <v>5986</v>
      </c>
      <c r="C312" s="165">
        <v>2.52610505E8</v>
      </c>
      <c r="D312" s="166" t="s">
        <v>5987</v>
      </c>
      <c r="E312" s="165" t="s">
        <v>227</v>
      </c>
      <c r="F312" s="128"/>
      <c r="G312" s="128"/>
      <c r="H312" s="128"/>
    </row>
    <row r="313">
      <c r="A313" s="164">
        <v>44.0</v>
      </c>
      <c r="B313" s="165" t="s">
        <v>5989</v>
      </c>
      <c r="C313" s="165">
        <v>2.52610517E8</v>
      </c>
      <c r="D313" s="166" t="s">
        <v>5990</v>
      </c>
      <c r="E313" s="165" t="s">
        <v>227</v>
      </c>
      <c r="F313" s="128"/>
      <c r="G313" s="128"/>
      <c r="H313" s="128"/>
    </row>
    <row r="314">
      <c r="A314" s="164">
        <v>45.0</v>
      </c>
      <c r="B314" s="165" t="s">
        <v>5992</v>
      </c>
      <c r="C314" s="165">
        <v>2.52610528E8</v>
      </c>
      <c r="D314" s="166" t="s">
        <v>5993</v>
      </c>
      <c r="E314" s="165" t="s">
        <v>220</v>
      </c>
      <c r="F314" s="128"/>
      <c r="G314" s="128"/>
      <c r="H314" s="128"/>
    </row>
    <row r="315">
      <c r="A315" s="164">
        <v>46.0</v>
      </c>
      <c r="B315" s="165" t="s">
        <v>5995</v>
      </c>
      <c r="C315" s="165">
        <v>2.52610529E8</v>
      </c>
      <c r="D315" s="166" t="s">
        <v>5996</v>
      </c>
      <c r="E315" s="165" t="s">
        <v>227</v>
      </c>
      <c r="F315" s="128"/>
      <c r="G315" s="128"/>
      <c r="H315" s="128"/>
    </row>
    <row r="316">
      <c r="A316" s="164">
        <v>47.0</v>
      </c>
      <c r="B316" s="165" t="s">
        <v>9324</v>
      </c>
      <c r="C316" s="165">
        <v>2.52610541E8</v>
      </c>
      <c r="D316" s="166" t="s">
        <v>9325</v>
      </c>
      <c r="E316" s="165" t="s">
        <v>220</v>
      </c>
      <c r="F316" s="128"/>
      <c r="G316" s="128"/>
      <c r="H316" s="128"/>
    </row>
    <row r="317">
      <c r="A317" s="167"/>
      <c r="B317" s="167"/>
      <c r="C317" s="167"/>
      <c r="D317" s="158"/>
      <c r="E317" s="158"/>
      <c r="F317" s="128"/>
      <c r="G317" s="128"/>
      <c r="H317" s="128"/>
    </row>
    <row r="318">
      <c r="A318" s="167"/>
      <c r="B318" s="167"/>
      <c r="C318" s="168"/>
      <c r="D318" s="166" t="s">
        <v>9262</v>
      </c>
      <c r="E318" s="169">
        <f>COUNTIF(E270:E316,"P")</f>
        <v>32</v>
      </c>
    </row>
    <row r="319">
      <c r="A319" s="167"/>
      <c r="B319" s="167"/>
      <c r="C319" s="168"/>
      <c r="D319" s="166" t="s">
        <v>9263</v>
      </c>
      <c r="E319" s="169">
        <f>COUNTIF(E270:E316,"L")</f>
        <v>15</v>
      </c>
    </row>
    <row r="322">
      <c r="A322" s="157" t="s">
        <v>9326</v>
      </c>
      <c r="B322" s="158"/>
      <c r="C322" s="158"/>
      <c r="D322" s="158"/>
      <c r="E322" s="159" t="s">
        <v>6000</v>
      </c>
    </row>
    <row r="323">
      <c r="A323" s="160" t="s">
        <v>9249</v>
      </c>
      <c r="B323" s="161" t="s">
        <v>9</v>
      </c>
      <c r="C323" s="161" t="s">
        <v>5246</v>
      </c>
      <c r="D323" s="161" t="s">
        <v>201</v>
      </c>
      <c r="E323" s="161" t="s">
        <v>13</v>
      </c>
      <c r="F323" s="162" t="s">
        <v>8749</v>
      </c>
      <c r="G323" s="162" t="s">
        <v>8750</v>
      </c>
      <c r="H323" s="163" t="s">
        <v>217</v>
      </c>
    </row>
    <row r="324">
      <c r="A324" s="164">
        <v>1.0</v>
      </c>
      <c r="B324" s="165" t="s">
        <v>5998</v>
      </c>
      <c r="C324" s="165">
        <v>2.52610006E8</v>
      </c>
      <c r="D324" s="166" t="s">
        <v>5999</v>
      </c>
      <c r="E324" s="165" t="s">
        <v>227</v>
      </c>
      <c r="F324" s="126"/>
      <c r="G324" s="126"/>
      <c r="H324" s="126"/>
    </row>
    <row r="325">
      <c r="A325" s="164">
        <v>2.0</v>
      </c>
      <c r="B325" s="165" t="s">
        <v>6003</v>
      </c>
      <c r="C325" s="165">
        <v>2.52610017E8</v>
      </c>
      <c r="D325" s="166" t="s">
        <v>6004</v>
      </c>
      <c r="E325" s="165" t="s">
        <v>220</v>
      </c>
      <c r="F325" s="128"/>
      <c r="G325" s="128"/>
      <c r="H325" s="128"/>
    </row>
    <row r="326">
      <c r="A326" s="164">
        <v>3.0</v>
      </c>
      <c r="B326" s="165" t="s">
        <v>6007</v>
      </c>
      <c r="C326" s="165">
        <v>2.52610025E8</v>
      </c>
      <c r="D326" s="166" t="s">
        <v>6008</v>
      </c>
      <c r="E326" s="165" t="s">
        <v>227</v>
      </c>
      <c r="F326" s="128"/>
      <c r="G326" s="128"/>
      <c r="H326" s="128"/>
    </row>
    <row r="327">
      <c r="A327" s="164">
        <v>4.0</v>
      </c>
      <c r="B327" s="165" t="s">
        <v>6010</v>
      </c>
      <c r="C327" s="165">
        <v>2.52610044E8</v>
      </c>
      <c r="D327" s="166" t="s">
        <v>6011</v>
      </c>
      <c r="E327" s="165" t="s">
        <v>227</v>
      </c>
      <c r="F327" s="128"/>
      <c r="G327" s="128"/>
      <c r="H327" s="128"/>
    </row>
    <row r="328">
      <c r="A328" s="164">
        <v>5.0</v>
      </c>
      <c r="B328" s="165" t="s">
        <v>6013</v>
      </c>
      <c r="C328" s="165">
        <v>2.52610051E8</v>
      </c>
      <c r="D328" s="166" t="s">
        <v>6014</v>
      </c>
      <c r="E328" s="165" t="s">
        <v>227</v>
      </c>
      <c r="F328" s="128"/>
      <c r="G328" s="128"/>
      <c r="H328" s="128"/>
    </row>
    <row r="329">
      <c r="A329" s="164">
        <v>6.0</v>
      </c>
      <c r="B329" s="165" t="s">
        <v>6016</v>
      </c>
      <c r="C329" s="165">
        <v>2.52610064E8</v>
      </c>
      <c r="D329" s="166" t="s">
        <v>6017</v>
      </c>
      <c r="E329" s="165" t="s">
        <v>227</v>
      </c>
      <c r="F329" s="128"/>
      <c r="G329" s="128"/>
      <c r="H329" s="128"/>
    </row>
    <row r="330">
      <c r="A330" s="164">
        <v>7.0</v>
      </c>
      <c r="B330" s="165" t="s">
        <v>6019</v>
      </c>
      <c r="C330" s="165">
        <v>2.52610113E8</v>
      </c>
      <c r="D330" s="166" t="s">
        <v>6020</v>
      </c>
      <c r="E330" s="165" t="s">
        <v>220</v>
      </c>
      <c r="F330" s="128"/>
      <c r="G330" s="128"/>
      <c r="H330" s="128"/>
    </row>
    <row r="331">
      <c r="A331" s="164">
        <v>8.0</v>
      </c>
      <c r="B331" s="165" t="s">
        <v>6022</v>
      </c>
      <c r="C331" s="165">
        <v>2.5261014E8</v>
      </c>
      <c r="D331" s="166" t="s">
        <v>6023</v>
      </c>
      <c r="E331" s="165" t="s">
        <v>227</v>
      </c>
      <c r="F331" s="128"/>
      <c r="G331" s="128"/>
      <c r="H331" s="128"/>
    </row>
    <row r="332">
      <c r="A332" s="164">
        <v>9.0</v>
      </c>
      <c r="B332" s="165" t="s">
        <v>6025</v>
      </c>
      <c r="C332" s="165">
        <v>2.52610141E8</v>
      </c>
      <c r="D332" s="166" t="s">
        <v>6026</v>
      </c>
      <c r="E332" s="165" t="s">
        <v>227</v>
      </c>
      <c r="F332" s="128"/>
      <c r="G332" s="128"/>
      <c r="H332" s="128"/>
    </row>
    <row r="333">
      <c r="A333" s="164">
        <v>10.0</v>
      </c>
      <c r="B333" s="165" t="s">
        <v>6028</v>
      </c>
      <c r="C333" s="165">
        <v>2.52610144E8</v>
      </c>
      <c r="D333" s="166" t="s">
        <v>6029</v>
      </c>
      <c r="E333" s="165" t="s">
        <v>220</v>
      </c>
      <c r="F333" s="128"/>
      <c r="G333" s="128"/>
      <c r="H333" s="128"/>
    </row>
    <row r="334">
      <c r="A334" s="164">
        <v>11.0</v>
      </c>
      <c r="B334" s="165" t="s">
        <v>6031</v>
      </c>
      <c r="C334" s="165">
        <v>2.52610156E8</v>
      </c>
      <c r="D334" s="166" t="s">
        <v>6032</v>
      </c>
      <c r="E334" s="165" t="s">
        <v>227</v>
      </c>
      <c r="F334" s="128"/>
      <c r="G334" s="128"/>
      <c r="H334" s="128"/>
    </row>
    <row r="335">
      <c r="A335" s="164">
        <v>12.0</v>
      </c>
      <c r="B335" s="165" t="s">
        <v>6034</v>
      </c>
      <c r="C335" s="165">
        <v>2.52610159E8</v>
      </c>
      <c r="D335" s="166" t="s">
        <v>6035</v>
      </c>
      <c r="E335" s="165" t="s">
        <v>227</v>
      </c>
      <c r="F335" s="128"/>
      <c r="G335" s="128"/>
      <c r="H335" s="128"/>
    </row>
    <row r="336">
      <c r="A336" s="164">
        <v>13.0</v>
      </c>
      <c r="B336" s="165" t="s">
        <v>6037</v>
      </c>
      <c r="C336" s="165">
        <v>2.52610179E8</v>
      </c>
      <c r="D336" s="166" t="s">
        <v>6038</v>
      </c>
      <c r="E336" s="165" t="s">
        <v>227</v>
      </c>
      <c r="F336" s="128"/>
      <c r="G336" s="128"/>
      <c r="H336" s="128"/>
    </row>
    <row r="337">
      <c r="A337" s="164">
        <v>14.0</v>
      </c>
      <c r="B337" s="165" t="s">
        <v>9327</v>
      </c>
      <c r="C337" s="165">
        <v>2.52610182E8</v>
      </c>
      <c r="D337" s="166" t="s">
        <v>9328</v>
      </c>
      <c r="E337" s="165" t="s">
        <v>220</v>
      </c>
      <c r="F337" s="128"/>
      <c r="G337" s="128"/>
      <c r="H337" s="128"/>
    </row>
    <row r="338">
      <c r="A338" s="164">
        <v>15.0</v>
      </c>
      <c r="B338" s="165" t="s">
        <v>6040</v>
      </c>
      <c r="C338" s="165">
        <v>2.52610197E8</v>
      </c>
      <c r="D338" s="166" t="s">
        <v>6041</v>
      </c>
      <c r="E338" s="165" t="s">
        <v>220</v>
      </c>
      <c r="F338" s="128"/>
      <c r="G338" s="128"/>
      <c r="H338" s="128"/>
    </row>
    <row r="339">
      <c r="A339" s="164">
        <v>16.0</v>
      </c>
      <c r="B339" s="165" t="s">
        <v>26</v>
      </c>
      <c r="C339" s="165">
        <v>2.526102E8</v>
      </c>
      <c r="D339" s="166" t="s">
        <v>6043</v>
      </c>
      <c r="E339" s="165" t="s">
        <v>220</v>
      </c>
      <c r="F339" s="128"/>
      <c r="G339" s="128"/>
      <c r="H339" s="128"/>
    </row>
    <row r="340">
      <c r="A340" s="164">
        <v>17.0</v>
      </c>
      <c r="B340" s="165" t="s">
        <v>6045</v>
      </c>
      <c r="C340" s="165">
        <v>2.52610221E8</v>
      </c>
      <c r="D340" s="166" t="s">
        <v>6046</v>
      </c>
      <c r="E340" s="165" t="s">
        <v>227</v>
      </c>
      <c r="F340" s="128"/>
      <c r="G340" s="128"/>
      <c r="H340" s="128"/>
    </row>
    <row r="341">
      <c r="A341" s="164">
        <v>18.0</v>
      </c>
      <c r="B341" s="165" t="s">
        <v>6048</v>
      </c>
      <c r="C341" s="165">
        <v>2.52610225E8</v>
      </c>
      <c r="D341" s="166" t="s">
        <v>6049</v>
      </c>
      <c r="E341" s="165" t="s">
        <v>220</v>
      </c>
      <c r="F341" s="128"/>
      <c r="G341" s="128"/>
      <c r="H341" s="128"/>
    </row>
    <row r="342">
      <c r="A342" s="164">
        <v>19.0</v>
      </c>
      <c r="B342" s="165" t="s">
        <v>30</v>
      </c>
      <c r="C342" s="165">
        <v>2.52610252E8</v>
      </c>
      <c r="D342" s="166" t="s">
        <v>6051</v>
      </c>
      <c r="E342" s="165" t="s">
        <v>220</v>
      </c>
      <c r="F342" s="128"/>
      <c r="G342" s="128"/>
      <c r="H342" s="128"/>
    </row>
    <row r="343">
      <c r="A343" s="164">
        <v>20.0</v>
      </c>
      <c r="B343" s="165" t="s">
        <v>6053</v>
      </c>
      <c r="C343" s="165">
        <v>2.52610254E8</v>
      </c>
      <c r="D343" s="166" t="s">
        <v>6054</v>
      </c>
      <c r="E343" s="165" t="s">
        <v>227</v>
      </c>
      <c r="F343" s="128"/>
      <c r="G343" s="128"/>
      <c r="H343" s="128"/>
    </row>
    <row r="344">
      <c r="A344" s="164">
        <v>21.0</v>
      </c>
      <c r="B344" s="165" t="s">
        <v>6056</v>
      </c>
      <c r="C344" s="165">
        <v>2.52610264E8</v>
      </c>
      <c r="D344" s="166" t="s">
        <v>6057</v>
      </c>
      <c r="E344" s="165" t="s">
        <v>227</v>
      </c>
      <c r="F344" s="128"/>
      <c r="G344" s="128"/>
      <c r="H344" s="128"/>
    </row>
    <row r="345">
      <c r="A345" s="164">
        <v>22.0</v>
      </c>
      <c r="B345" s="165" t="s">
        <v>6059</v>
      </c>
      <c r="C345" s="165">
        <v>2.52610268E8</v>
      </c>
      <c r="D345" s="166" t="s">
        <v>6060</v>
      </c>
      <c r="E345" s="165" t="s">
        <v>227</v>
      </c>
      <c r="F345" s="128"/>
      <c r="G345" s="128"/>
      <c r="H345" s="128"/>
    </row>
    <row r="346">
      <c r="A346" s="164">
        <v>23.0</v>
      </c>
      <c r="B346" s="165" t="s">
        <v>6062</v>
      </c>
      <c r="C346" s="165">
        <v>2.52610284E8</v>
      </c>
      <c r="D346" s="166" t="s">
        <v>6063</v>
      </c>
      <c r="E346" s="165" t="s">
        <v>227</v>
      </c>
      <c r="F346" s="128"/>
      <c r="G346" s="128"/>
      <c r="H346" s="128"/>
    </row>
    <row r="347">
      <c r="A347" s="164">
        <v>24.0</v>
      </c>
      <c r="B347" s="165" t="s">
        <v>6066</v>
      </c>
      <c r="C347" s="165">
        <v>2.52610291E8</v>
      </c>
      <c r="D347" s="166" t="s">
        <v>6067</v>
      </c>
      <c r="E347" s="165" t="s">
        <v>227</v>
      </c>
      <c r="F347" s="128"/>
      <c r="G347" s="128"/>
      <c r="H347" s="128"/>
    </row>
    <row r="348">
      <c r="A348" s="164">
        <v>25.0</v>
      </c>
      <c r="B348" s="165" t="s">
        <v>6069</v>
      </c>
      <c r="C348" s="165">
        <v>2.526103E8</v>
      </c>
      <c r="D348" s="166" t="s">
        <v>6070</v>
      </c>
      <c r="E348" s="165" t="s">
        <v>220</v>
      </c>
      <c r="F348" s="128"/>
      <c r="G348" s="128"/>
      <c r="H348" s="128"/>
    </row>
    <row r="349">
      <c r="A349" s="164">
        <v>26.0</v>
      </c>
      <c r="B349" s="165" t="s">
        <v>24</v>
      </c>
      <c r="C349" s="165">
        <v>2.52610318E8</v>
      </c>
      <c r="D349" s="166" t="s">
        <v>6072</v>
      </c>
      <c r="E349" s="165" t="s">
        <v>220</v>
      </c>
      <c r="F349" s="128"/>
      <c r="G349" s="128"/>
      <c r="H349" s="128"/>
    </row>
    <row r="350">
      <c r="A350" s="164">
        <v>27.0</v>
      </c>
      <c r="B350" s="165" t="s">
        <v>29</v>
      </c>
      <c r="C350" s="165">
        <v>2.52610333E8</v>
      </c>
      <c r="D350" s="166" t="s">
        <v>6074</v>
      </c>
      <c r="E350" s="165" t="s">
        <v>220</v>
      </c>
      <c r="F350" s="128"/>
      <c r="G350" s="128"/>
      <c r="H350" s="128"/>
    </row>
    <row r="351">
      <c r="A351" s="164">
        <v>28.0</v>
      </c>
      <c r="B351" s="165" t="s">
        <v>25</v>
      </c>
      <c r="C351" s="165">
        <v>2.5261034E8</v>
      </c>
      <c r="D351" s="166" t="s">
        <v>6076</v>
      </c>
      <c r="E351" s="165" t="s">
        <v>220</v>
      </c>
      <c r="F351" s="128"/>
      <c r="G351" s="128"/>
      <c r="H351" s="128"/>
    </row>
    <row r="352">
      <c r="A352" s="164">
        <v>29.0</v>
      </c>
      <c r="B352" s="165" t="s">
        <v>6078</v>
      </c>
      <c r="C352" s="165">
        <v>2.52610345E8</v>
      </c>
      <c r="D352" s="166" t="s">
        <v>6079</v>
      </c>
      <c r="E352" s="165" t="s">
        <v>220</v>
      </c>
      <c r="F352" s="128"/>
      <c r="G352" s="128"/>
      <c r="H352" s="128"/>
    </row>
    <row r="353">
      <c r="A353" s="164">
        <v>30.0</v>
      </c>
      <c r="B353" s="165" t="s">
        <v>20</v>
      </c>
      <c r="C353" s="165">
        <v>2.52610352E8</v>
      </c>
      <c r="D353" s="166" t="s">
        <v>6081</v>
      </c>
      <c r="E353" s="165" t="s">
        <v>220</v>
      </c>
      <c r="F353" s="128"/>
      <c r="G353" s="128"/>
      <c r="H353" s="128"/>
    </row>
    <row r="354">
      <c r="A354" s="164">
        <v>31.0</v>
      </c>
      <c r="B354" s="165" t="s">
        <v>32</v>
      </c>
      <c r="C354" s="165">
        <v>2.52610354E8</v>
      </c>
      <c r="D354" s="166" t="s">
        <v>6083</v>
      </c>
      <c r="E354" s="165" t="s">
        <v>220</v>
      </c>
      <c r="F354" s="128"/>
      <c r="G354" s="128"/>
      <c r="H354" s="128"/>
    </row>
    <row r="355">
      <c r="A355" s="164">
        <v>32.0</v>
      </c>
      <c r="B355" s="165" t="s">
        <v>6085</v>
      </c>
      <c r="C355" s="165">
        <v>2.52610383E8</v>
      </c>
      <c r="D355" s="166" t="s">
        <v>6086</v>
      </c>
      <c r="E355" s="165" t="s">
        <v>227</v>
      </c>
      <c r="F355" s="128"/>
      <c r="G355" s="128"/>
      <c r="H355" s="128"/>
    </row>
    <row r="356">
      <c r="A356" s="164">
        <v>33.0</v>
      </c>
      <c r="B356" s="165" t="s">
        <v>6088</v>
      </c>
      <c r="C356" s="165">
        <v>2.52610389E8</v>
      </c>
      <c r="D356" s="166" t="s">
        <v>6089</v>
      </c>
      <c r="E356" s="165" t="s">
        <v>227</v>
      </c>
      <c r="F356" s="128"/>
      <c r="G356" s="128"/>
      <c r="H356" s="128"/>
    </row>
    <row r="357">
      <c r="A357" s="164">
        <v>34.0</v>
      </c>
      <c r="B357" s="165" t="s">
        <v>6091</v>
      </c>
      <c r="C357" s="165">
        <v>2.52610404E8</v>
      </c>
      <c r="D357" s="166" t="s">
        <v>6092</v>
      </c>
      <c r="E357" s="165" t="s">
        <v>227</v>
      </c>
      <c r="F357" s="128"/>
      <c r="G357" s="128"/>
      <c r="H357" s="128"/>
    </row>
    <row r="358">
      <c r="A358" s="164">
        <v>35.0</v>
      </c>
      <c r="B358" s="165" t="s">
        <v>6094</v>
      </c>
      <c r="C358" s="165">
        <v>2.52610409E8</v>
      </c>
      <c r="D358" s="166" t="s">
        <v>6095</v>
      </c>
      <c r="E358" s="165" t="s">
        <v>227</v>
      </c>
      <c r="F358" s="128"/>
      <c r="G358" s="128"/>
      <c r="H358" s="128"/>
    </row>
    <row r="359">
      <c r="A359" s="164">
        <v>36.0</v>
      </c>
      <c r="B359" s="165" t="s">
        <v>6097</v>
      </c>
      <c r="C359" s="165">
        <v>2.52610428E8</v>
      </c>
      <c r="D359" s="166" t="s">
        <v>6098</v>
      </c>
      <c r="E359" s="165" t="s">
        <v>227</v>
      </c>
      <c r="F359" s="128"/>
      <c r="G359" s="128"/>
      <c r="H359" s="128"/>
    </row>
    <row r="360">
      <c r="A360" s="164">
        <v>37.0</v>
      </c>
      <c r="B360" s="165" t="s">
        <v>6100</v>
      </c>
      <c r="C360" s="165">
        <v>2.52610464E8</v>
      </c>
      <c r="D360" s="166" t="s">
        <v>6101</v>
      </c>
      <c r="E360" s="165" t="s">
        <v>227</v>
      </c>
      <c r="F360" s="126"/>
      <c r="G360" s="126"/>
      <c r="H360" s="126"/>
    </row>
    <row r="361">
      <c r="A361" s="164">
        <v>38.0</v>
      </c>
      <c r="B361" s="165" t="s">
        <v>6103</v>
      </c>
      <c r="C361" s="165">
        <v>2.52610466E8</v>
      </c>
      <c r="D361" s="166" t="s">
        <v>6104</v>
      </c>
      <c r="E361" s="165" t="s">
        <v>227</v>
      </c>
      <c r="F361" s="128"/>
      <c r="G361" s="128"/>
      <c r="H361" s="128"/>
    </row>
    <row r="362">
      <c r="A362" s="164">
        <v>39.0</v>
      </c>
      <c r="B362" s="165" t="s">
        <v>6106</v>
      </c>
      <c r="C362" s="165">
        <v>2.52610468E8</v>
      </c>
      <c r="D362" s="166" t="s">
        <v>6107</v>
      </c>
      <c r="E362" s="165" t="s">
        <v>227</v>
      </c>
      <c r="F362" s="128"/>
      <c r="G362" s="128"/>
      <c r="H362" s="128"/>
    </row>
    <row r="363">
      <c r="A363" s="164">
        <v>40.0</v>
      </c>
      <c r="B363" s="165" t="s">
        <v>6109</v>
      </c>
      <c r="C363" s="165">
        <v>2.52610491E8</v>
      </c>
      <c r="D363" s="166" t="s">
        <v>6110</v>
      </c>
      <c r="E363" s="165" t="s">
        <v>227</v>
      </c>
      <c r="F363" s="128"/>
      <c r="G363" s="128"/>
      <c r="H363" s="128"/>
    </row>
    <row r="364">
      <c r="A364" s="164">
        <v>41.0</v>
      </c>
      <c r="B364" s="165" t="s">
        <v>28</v>
      </c>
      <c r="C364" s="165">
        <v>2.52610504E8</v>
      </c>
      <c r="D364" s="166" t="s">
        <v>6112</v>
      </c>
      <c r="E364" s="165" t="s">
        <v>220</v>
      </c>
      <c r="F364" s="128"/>
      <c r="G364" s="128"/>
      <c r="H364" s="128"/>
    </row>
    <row r="365">
      <c r="A365" s="164">
        <v>42.0</v>
      </c>
      <c r="B365" s="165" t="s">
        <v>6114</v>
      </c>
      <c r="C365" s="165">
        <v>2.52610523E8</v>
      </c>
      <c r="D365" s="166" t="s">
        <v>6115</v>
      </c>
      <c r="E365" s="165" t="s">
        <v>227</v>
      </c>
      <c r="F365" s="128"/>
      <c r="G365" s="128"/>
      <c r="H365" s="128"/>
    </row>
    <row r="366">
      <c r="A366" s="164">
        <v>43.0</v>
      </c>
      <c r="B366" s="165" t="s">
        <v>23</v>
      </c>
      <c r="C366" s="165">
        <v>2.52610525E8</v>
      </c>
      <c r="D366" s="166" t="s">
        <v>6117</v>
      </c>
      <c r="E366" s="165" t="s">
        <v>220</v>
      </c>
      <c r="F366" s="128"/>
      <c r="G366" s="128"/>
      <c r="H366" s="128"/>
    </row>
    <row r="367">
      <c r="A367" s="164">
        <v>44.0</v>
      </c>
      <c r="B367" s="165" t="s">
        <v>6119</v>
      </c>
      <c r="C367" s="165">
        <v>2.52610527E8</v>
      </c>
      <c r="D367" s="166" t="s">
        <v>6120</v>
      </c>
      <c r="E367" s="165" t="s">
        <v>227</v>
      </c>
      <c r="F367" s="128"/>
      <c r="G367" s="128"/>
      <c r="H367" s="128"/>
    </row>
    <row r="368">
      <c r="A368" s="164">
        <v>45.0</v>
      </c>
      <c r="B368" s="165" t="s">
        <v>6122</v>
      </c>
      <c r="C368" s="165">
        <v>2.52610532E8</v>
      </c>
      <c r="D368" s="166" t="s">
        <v>6123</v>
      </c>
      <c r="E368" s="165" t="s">
        <v>227</v>
      </c>
      <c r="F368" s="128"/>
      <c r="G368" s="128"/>
      <c r="H368" s="128"/>
    </row>
    <row r="369">
      <c r="A369" s="164">
        <v>46.0</v>
      </c>
      <c r="B369" s="165" t="s">
        <v>31</v>
      </c>
      <c r="C369" s="165">
        <v>2.52610539E8</v>
      </c>
      <c r="D369" s="166" t="s">
        <v>6125</v>
      </c>
      <c r="E369" s="165" t="s">
        <v>220</v>
      </c>
      <c r="F369" s="128"/>
      <c r="G369" s="128"/>
      <c r="H369" s="128"/>
    </row>
    <row r="370">
      <c r="A370" s="164">
        <v>47.0</v>
      </c>
      <c r="B370" s="165" t="s">
        <v>27</v>
      </c>
      <c r="C370" s="165">
        <v>2.52610547E8</v>
      </c>
      <c r="D370" s="166" t="s">
        <v>6127</v>
      </c>
      <c r="E370" s="165" t="s">
        <v>220</v>
      </c>
      <c r="F370" s="128"/>
      <c r="G370" s="128"/>
      <c r="H370" s="128"/>
    </row>
    <row r="371">
      <c r="A371" s="164">
        <v>48.0</v>
      </c>
      <c r="B371" s="165" t="s">
        <v>6129</v>
      </c>
      <c r="C371" s="165">
        <v>2.52610559E8</v>
      </c>
      <c r="D371" s="166" t="s">
        <v>6130</v>
      </c>
      <c r="E371" s="165" t="s">
        <v>227</v>
      </c>
      <c r="F371" s="128"/>
      <c r="G371" s="128"/>
      <c r="H371" s="128"/>
    </row>
    <row r="372">
      <c r="A372" s="167"/>
      <c r="B372" s="167"/>
      <c r="C372" s="167"/>
      <c r="D372" s="158"/>
      <c r="E372" s="158"/>
    </row>
    <row r="373">
      <c r="A373" s="167"/>
      <c r="B373" s="167"/>
      <c r="C373" s="168"/>
      <c r="D373" s="166" t="s">
        <v>9262</v>
      </c>
      <c r="E373" s="165">
        <f>COUNTIF(E324:E371,"P")</f>
        <v>29</v>
      </c>
    </row>
    <row r="374">
      <c r="A374" s="167"/>
      <c r="B374" s="167"/>
      <c r="C374" s="168"/>
      <c r="D374" s="166" t="s">
        <v>9263</v>
      </c>
      <c r="E374" s="165">
        <f>COUNTIF(E324:E371,"L")</f>
        <v>19</v>
      </c>
    </row>
    <row r="377">
      <c r="A377" s="157" t="s">
        <v>9329</v>
      </c>
      <c r="B377" s="158"/>
      <c r="C377" s="158"/>
      <c r="D377" s="158"/>
      <c r="E377" s="159" t="s">
        <v>6134</v>
      </c>
    </row>
    <row r="378">
      <c r="A378" s="160" t="s">
        <v>9249</v>
      </c>
      <c r="B378" s="161" t="s">
        <v>9</v>
      </c>
      <c r="C378" s="161" t="s">
        <v>5246</v>
      </c>
      <c r="D378" s="161" t="s">
        <v>201</v>
      </c>
      <c r="E378" s="161" t="s">
        <v>13</v>
      </c>
      <c r="F378" s="162" t="s">
        <v>8749</v>
      </c>
      <c r="G378" s="162" t="s">
        <v>8750</v>
      </c>
      <c r="H378" s="163" t="s">
        <v>217</v>
      </c>
    </row>
    <row r="379">
      <c r="A379" s="164">
        <v>1.0</v>
      </c>
      <c r="B379" s="165" t="s">
        <v>6132</v>
      </c>
      <c r="C379" s="165">
        <v>2.52610007E8</v>
      </c>
      <c r="D379" s="166" t="s">
        <v>6133</v>
      </c>
      <c r="E379" s="165" t="s">
        <v>227</v>
      </c>
      <c r="F379" s="126"/>
      <c r="G379" s="126"/>
      <c r="H379" s="126"/>
    </row>
    <row r="380">
      <c r="A380" s="164">
        <v>2.0</v>
      </c>
      <c r="B380" s="165" t="s">
        <v>6137</v>
      </c>
      <c r="C380" s="165">
        <v>2.52610028E8</v>
      </c>
      <c r="D380" s="166" t="s">
        <v>6138</v>
      </c>
      <c r="E380" s="165" t="s">
        <v>227</v>
      </c>
      <c r="F380" s="128"/>
      <c r="G380" s="128"/>
      <c r="H380" s="128"/>
    </row>
    <row r="381">
      <c r="A381" s="164">
        <v>3.0</v>
      </c>
      <c r="B381" s="165" t="s">
        <v>6140</v>
      </c>
      <c r="C381" s="165">
        <v>2.52610035E8</v>
      </c>
      <c r="D381" s="166" t="s">
        <v>6141</v>
      </c>
      <c r="E381" s="165" t="s">
        <v>227</v>
      </c>
      <c r="F381" s="128"/>
      <c r="G381" s="128"/>
      <c r="H381" s="128"/>
    </row>
    <row r="382">
      <c r="A382" s="164">
        <v>4.0</v>
      </c>
      <c r="B382" s="165" t="s">
        <v>6143</v>
      </c>
      <c r="C382" s="165">
        <v>2.5261004E8</v>
      </c>
      <c r="D382" s="166" t="s">
        <v>6144</v>
      </c>
      <c r="E382" s="165" t="s">
        <v>227</v>
      </c>
      <c r="F382" s="128"/>
      <c r="G382" s="128"/>
      <c r="H382" s="128"/>
    </row>
    <row r="383">
      <c r="A383" s="164">
        <v>5.0</v>
      </c>
      <c r="B383" s="165" t="s">
        <v>6146</v>
      </c>
      <c r="C383" s="165">
        <v>2.52610041E8</v>
      </c>
      <c r="D383" s="166" t="s">
        <v>6147</v>
      </c>
      <c r="E383" s="165" t="s">
        <v>227</v>
      </c>
      <c r="F383" s="128"/>
      <c r="G383" s="128"/>
      <c r="H383" s="128"/>
    </row>
    <row r="384">
      <c r="A384" s="164">
        <v>6.0</v>
      </c>
      <c r="B384" s="165" t="s">
        <v>6149</v>
      </c>
      <c r="C384" s="165">
        <v>2.52610061E8</v>
      </c>
      <c r="D384" s="166" t="s">
        <v>6150</v>
      </c>
      <c r="E384" s="165" t="s">
        <v>227</v>
      </c>
      <c r="F384" s="128"/>
      <c r="G384" s="128"/>
      <c r="H384" s="128"/>
    </row>
    <row r="385">
      <c r="A385" s="164">
        <v>7.0</v>
      </c>
      <c r="B385" s="165" t="s">
        <v>6152</v>
      </c>
      <c r="C385" s="165">
        <v>2.52610077E8</v>
      </c>
      <c r="D385" s="170" t="s">
        <v>6153</v>
      </c>
      <c r="E385" s="165" t="s">
        <v>227</v>
      </c>
      <c r="F385" s="128"/>
      <c r="G385" s="128"/>
      <c r="H385" s="128"/>
    </row>
    <row r="386">
      <c r="A386" s="164">
        <v>8.0</v>
      </c>
      <c r="B386" s="165" t="s">
        <v>6155</v>
      </c>
      <c r="C386" s="165">
        <v>2.52610097E8</v>
      </c>
      <c r="D386" s="166" t="s">
        <v>6156</v>
      </c>
      <c r="E386" s="165" t="s">
        <v>227</v>
      </c>
      <c r="F386" s="128"/>
      <c r="G386" s="128"/>
      <c r="H386" s="128"/>
    </row>
    <row r="387">
      <c r="A387" s="164">
        <v>9.0</v>
      </c>
      <c r="B387" s="165" t="s">
        <v>6158</v>
      </c>
      <c r="C387" s="165">
        <v>2.52610108E8</v>
      </c>
      <c r="D387" s="166" t="s">
        <v>6159</v>
      </c>
      <c r="E387" s="165" t="s">
        <v>227</v>
      </c>
      <c r="F387" s="128"/>
      <c r="G387" s="128"/>
      <c r="H387" s="128"/>
    </row>
    <row r="388">
      <c r="A388" s="164">
        <v>10.0</v>
      </c>
      <c r="B388" s="165" t="s">
        <v>6161</v>
      </c>
      <c r="C388" s="165">
        <v>2.52610118E8</v>
      </c>
      <c r="D388" s="166" t="s">
        <v>6162</v>
      </c>
      <c r="E388" s="165" t="s">
        <v>227</v>
      </c>
      <c r="F388" s="128"/>
      <c r="G388" s="128"/>
      <c r="H388" s="128"/>
    </row>
    <row r="389">
      <c r="A389" s="164">
        <v>11.0</v>
      </c>
      <c r="B389" s="165" t="s">
        <v>6164</v>
      </c>
      <c r="C389" s="165">
        <v>2.52610125E8</v>
      </c>
      <c r="D389" s="166" t="s">
        <v>6165</v>
      </c>
      <c r="E389" s="165" t="s">
        <v>220</v>
      </c>
      <c r="F389" s="128"/>
      <c r="G389" s="128"/>
      <c r="H389" s="128"/>
    </row>
    <row r="390">
      <c r="A390" s="164">
        <v>12.0</v>
      </c>
      <c r="B390" s="165" t="s">
        <v>6168</v>
      </c>
      <c r="C390" s="165">
        <v>2.52610151E8</v>
      </c>
      <c r="D390" s="166" t="s">
        <v>6169</v>
      </c>
      <c r="E390" s="165" t="s">
        <v>227</v>
      </c>
      <c r="F390" s="128"/>
      <c r="G390" s="128"/>
      <c r="H390" s="128"/>
    </row>
    <row r="391">
      <c r="A391" s="164">
        <v>13.0</v>
      </c>
      <c r="B391" s="165" t="s">
        <v>6171</v>
      </c>
      <c r="C391" s="165">
        <v>2.5261016E8</v>
      </c>
      <c r="D391" s="166" t="s">
        <v>6172</v>
      </c>
      <c r="E391" s="165" t="s">
        <v>227</v>
      </c>
      <c r="F391" s="128"/>
      <c r="G391" s="128"/>
      <c r="H391" s="128"/>
    </row>
    <row r="392">
      <c r="A392" s="164">
        <v>14.0</v>
      </c>
      <c r="B392" s="165" t="s">
        <v>6174</v>
      </c>
      <c r="C392" s="165">
        <v>2.52610161E8</v>
      </c>
      <c r="D392" s="166" t="s">
        <v>6175</v>
      </c>
      <c r="E392" s="165" t="s">
        <v>227</v>
      </c>
      <c r="F392" s="128"/>
      <c r="G392" s="128"/>
      <c r="H392" s="128"/>
    </row>
    <row r="393">
      <c r="A393" s="164">
        <v>15.0</v>
      </c>
      <c r="B393" s="165" t="s">
        <v>6177</v>
      </c>
      <c r="C393" s="165">
        <v>2.5261017E8</v>
      </c>
      <c r="D393" s="166" t="s">
        <v>6178</v>
      </c>
      <c r="E393" s="165" t="s">
        <v>227</v>
      </c>
      <c r="F393" s="128"/>
      <c r="G393" s="128"/>
      <c r="H393" s="128"/>
    </row>
    <row r="394">
      <c r="A394" s="164">
        <v>16.0</v>
      </c>
      <c r="B394" s="165" t="s">
        <v>6180</v>
      </c>
      <c r="C394" s="165">
        <v>2.52610174E8</v>
      </c>
      <c r="D394" s="166" t="s">
        <v>6181</v>
      </c>
      <c r="E394" s="165" t="s">
        <v>220</v>
      </c>
      <c r="F394" s="128"/>
      <c r="G394" s="128"/>
      <c r="H394" s="128"/>
    </row>
    <row r="395">
      <c r="A395" s="164">
        <v>17.0</v>
      </c>
      <c r="B395" s="165" t="s">
        <v>6183</v>
      </c>
      <c r="C395" s="165">
        <v>2.52610199E8</v>
      </c>
      <c r="D395" s="166" t="s">
        <v>6184</v>
      </c>
      <c r="E395" s="165" t="s">
        <v>220</v>
      </c>
      <c r="F395" s="128"/>
      <c r="G395" s="128"/>
      <c r="H395" s="128"/>
    </row>
    <row r="396">
      <c r="A396" s="164">
        <v>18.0</v>
      </c>
      <c r="B396" s="165" t="s">
        <v>6186</v>
      </c>
      <c r="C396" s="165">
        <v>2.52610203E8</v>
      </c>
      <c r="D396" s="170" t="s">
        <v>6187</v>
      </c>
      <c r="E396" s="165" t="s">
        <v>227</v>
      </c>
      <c r="F396" s="128"/>
      <c r="G396" s="128"/>
      <c r="H396" s="128"/>
    </row>
    <row r="397">
      <c r="A397" s="164">
        <v>19.0</v>
      </c>
      <c r="B397" s="165" t="s">
        <v>9330</v>
      </c>
      <c r="C397" s="165">
        <v>2.52610223E8</v>
      </c>
      <c r="D397" s="166" t="s">
        <v>9331</v>
      </c>
      <c r="E397" s="165" t="s">
        <v>227</v>
      </c>
      <c r="F397" s="128"/>
      <c r="G397" s="128"/>
      <c r="H397" s="128"/>
    </row>
    <row r="398">
      <c r="A398" s="164">
        <v>20.0</v>
      </c>
      <c r="B398" s="165" t="s">
        <v>6189</v>
      </c>
      <c r="C398" s="165">
        <v>2.52610255E8</v>
      </c>
      <c r="D398" s="166" t="s">
        <v>6190</v>
      </c>
      <c r="E398" s="165" t="s">
        <v>227</v>
      </c>
      <c r="F398" s="128"/>
      <c r="G398" s="128"/>
      <c r="H398" s="128"/>
    </row>
    <row r="399">
      <c r="A399" s="164">
        <v>21.0</v>
      </c>
      <c r="B399" s="165" t="s">
        <v>6193</v>
      </c>
      <c r="C399" s="165">
        <v>2.52610265E8</v>
      </c>
      <c r="D399" s="166" t="s">
        <v>6194</v>
      </c>
      <c r="E399" s="165" t="s">
        <v>220</v>
      </c>
      <c r="F399" s="128"/>
      <c r="G399" s="128"/>
      <c r="H399" s="128"/>
    </row>
    <row r="400">
      <c r="A400" s="164">
        <v>22.0</v>
      </c>
      <c r="B400" s="165" t="s">
        <v>6196</v>
      </c>
      <c r="C400" s="165">
        <v>2.52610293E8</v>
      </c>
      <c r="D400" s="170" t="s">
        <v>6197</v>
      </c>
      <c r="E400" s="165" t="s">
        <v>220</v>
      </c>
      <c r="F400" s="128"/>
      <c r="G400" s="128"/>
      <c r="H400" s="128"/>
    </row>
    <row r="401">
      <c r="A401" s="164">
        <v>23.0</v>
      </c>
      <c r="B401" s="165" t="s">
        <v>6199</v>
      </c>
      <c r="C401" s="165">
        <v>2.52610314E8</v>
      </c>
      <c r="D401" s="166" t="s">
        <v>6200</v>
      </c>
      <c r="E401" s="165" t="s">
        <v>220</v>
      </c>
      <c r="F401" s="128"/>
      <c r="G401" s="128"/>
      <c r="H401" s="128"/>
    </row>
    <row r="402">
      <c r="A402" s="164">
        <v>24.0</v>
      </c>
      <c r="B402" s="165" t="s">
        <v>6202</v>
      </c>
      <c r="C402" s="165">
        <v>2.52610317E8</v>
      </c>
      <c r="D402" s="166" t="s">
        <v>6203</v>
      </c>
      <c r="E402" s="165" t="s">
        <v>220</v>
      </c>
      <c r="F402" s="128"/>
      <c r="G402" s="128"/>
      <c r="H402" s="128"/>
    </row>
    <row r="403">
      <c r="A403" s="164">
        <v>25.0</v>
      </c>
      <c r="B403" s="165" t="s">
        <v>6205</v>
      </c>
      <c r="C403" s="165">
        <v>2.52610321E8</v>
      </c>
      <c r="D403" s="166" t="s">
        <v>6206</v>
      </c>
      <c r="E403" s="165" t="s">
        <v>227</v>
      </c>
      <c r="F403" s="128"/>
      <c r="G403" s="128"/>
      <c r="H403" s="128"/>
    </row>
    <row r="404">
      <c r="A404" s="164">
        <v>26.0</v>
      </c>
      <c r="B404" s="165" t="s">
        <v>6208</v>
      </c>
      <c r="C404" s="165">
        <v>2.52610324E8</v>
      </c>
      <c r="D404" s="166" t="s">
        <v>6209</v>
      </c>
      <c r="E404" s="165" t="s">
        <v>220</v>
      </c>
      <c r="F404" s="128"/>
      <c r="G404" s="128"/>
      <c r="H404" s="128"/>
    </row>
    <row r="405">
      <c r="A405" s="164">
        <v>27.0</v>
      </c>
      <c r="B405" s="165" t="s">
        <v>6211</v>
      </c>
      <c r="C405" s="165">
        <v>2.52610326E8</v>
      </c>
      <c r="D405" s="166" t="s">
        <v>6212</v>
      </c>
      <c r="E405" s="165" t="s">
        <v>220</v>
      </c>
      <c r="F405" s="128"/>
      <c r="G405" s="128"/>
      <c r="H405" s="128"/>
    </row>
    <row r="406">
      <c r="A406" s="164">
        <v>28.0</v>
      </c>
      <c r="B406" s="165" t="s">
        <v>6214</v>
      </c>
      <c r="C406" s="165">
        <v>2.52610349E8</v>
      </c>
      <c r="D406" s="166" t="s">
        <v>6215</v>
      </c>
      <c r="E406" s="165" t="s">
        <v>220</v>
      </c>
      <c r="F406" s="128"/>
      <c r="G406" s="128"/>
      <c r="H406" s="128"/>
    </row>
    <row r="407">
      <c r="A407" s="164">
        <v>29.0</v>
      </c>
      <c r="B407" s="165" t="s">
        <v>6217</v>
      </c>
      <c r="C407" s="165">
        <v>2.5261035E8</v>
      </c>
      <c r="D407" s="166" t="s">
        <v>6218</v>
      </c>
      <c r="E407" s="165" t="s">
        <v>220</v>
      </c>
      <c r="F407" s="128"/>
      <c r="G407" s="128"/>
      <c r="H407" s="128"/>
    </row>
    <row r="408">
      <c r="A408" s="164">
        <v>30.0</v>
      </c>
      <c r="B408" s="165" t="s">
        <v>6220</v>
      </c>
      <c r="C408" s="165">
        <v>2.52610353E8</v>
      </c>
      <c r="D408" s="170" t="s">
        <v>6221</v>
      </c>
      <c r="E408" s="165" t="s">
        <v>220</v>
      </c>
      <c r="F408" s="128"/>
      <c r="G408" s="128"/>
      <c r="H408" s="128"/>
    </row>
    <row r="409">
      <c r="A409" s="164">
        <v>31.0</v>
      </c>
      <c r="B409" s="165" t="s">
        <v>6223</v>
      </c>
      <c r="C409" s="165">
        <v>2.52610364E8</v>
      </c>
      <c r="D409" s="166" t="s">
        <v>6224</v>
      </c>
      <c r="E409" s="165" t="s">
        <v>220</v>
      </c>
      <c r="F409" s="128"/>
      <c r="G409" s="128"/>
      <c r="H409" s="128"/>
    </row>
    <row r="410">
      <c r="A410" s="164">
        <v>32.0</v>
      </c>
      <c r="B410" s="165" t="s">
        <v>6226</v>
      </c>
      <c r="C410" s="165">
        <v>2.52610376E8</v>
      </c>
      <c r="D410" s="166" t="s">
        <v>6227</v>
      </c>
      <c r="E410" s="165" t="s">
        <v>220</v>
      </c>
      <c r="F410" s="128"/>
      <c r="G410" s="128"/>
      <c r="H410" s="128"/>
    </row>
    <row r="411">
      <c r="A411" s="164">
        <v>33.0</v>
      </c>
      <c r="B411" s="165" t="s">
        <v>6229</v>
      </c>
      <c r="C411" s="165">
        <v>2.52610392E8</v>
      </c>
      <c r="D411" s="166" t="s">
        <v>6230</v>
      </c>
      <c r="E411" s="165" t="s">
        <v>227</v>
      </c>
      <c r="F411" s="128"/>
      <c r="G411" s="128"/>
      <c r="H411" s="128"/>
    </row>
    <row r="412">
      <c r="A412" s="164">
        <v>34.0</v>
      </c>
      <c r="B412" s="165" t="s">
        <v>6232</v>
      </c>
      <c r="C412" s="165">
        <v>2.52610395E8</v>
      </c>
      <c r="D412" s="166" t="s">
        <v>6233</v>
      </c>
      <c r="E412" s="165" t="s">
        <v>227</v>
      </c>
      <c r="F412" s="128"/>
      <c r="G412" s="128"/>
      <c r="H412" s="128"/>
    </row>
    <row r="413">
      <c r="A413" s="164">
        <v>35.0</v>
      </c>
      <c r="B413" s="165" t="s">
        <v>6235</v>
      </c>
      <c r="C413" s="165">
        <v>2.52610399E8</v>
      </c>
      <c r="D413" s="166" t="s">
        <v>6236</v>
      </c>
      <c r="E413" s="165" t="s">
        <v>227</v>
      </c>
      <c r="F413" s="128"/>
      <c r="G413" s="128"/>
      <c r="H413" s="128"/>
    </row>
    <row r="414">
      <c r="A414" s="164">
        <v>36.0</v>
      </c>
      <c r="B414" s="165" t="s">
        <v>6238</v>
      </c>
      <c r="C414" s="165">
        <v>2.52610408E8</v>
      </c>
      <c r="D414" s="170" t="s">
        <v>6239</v>
      </c>
      <c r="E414" s="165" t="s">
        <v>227</v>
      </c>
      <c r="F414" s="128"/>
      <c r="G414" s="128"/>
      <c r="H414" s="128"/>
    </row>
    <row r="415">
      <c r="A415" s="164">
        <v>37.0</v>
      </c>
      <c r="B415" s="165" t="s">
        <v>6241</v>
      </c>
      <c r="C415" s="165">
        <v>2.52610413E8</v>
      </c>
      <c r="D415" s="166" t="s">
        <v>6242</v>
      </c>
      <c r="E415" s="165" t="s">
        <v>227</v>
      </c>
      <c r="F415" s="126"/>
      <c r="G415" s="126"/>
      <c r="H415" s="126"/>
    </row>
    <row r="416">
      <c r="A416" s="164">
        <v>38.0</v>
      </c>
      <c r="B416" s="165" t="s">
        <v>6244</v>
      </c>
      <c r="C416" s="165">
        <v>2.5261042E8</v>
      </c>
      <c r="D416" s="166" t="s">
        <v>6245</v>
      </c>
      <c r="E416" s="165" t="s">
        <v>227</v>
      </c>
      <c r="F416" s="128"/>
      <c r="G416" s="128"/>
      <c r="H416" s="128"/>
    </row>
    <row r="417">
      <c r="A417" s="164">
        <v>39.0</v>
      </c>
      <c r="B417" s="165" t="s">
        <v>6247</v>
      </c>
      <c r="C417" s="165">
        <v>2.52610421E8</v>
      </c>
      <c r="D417" s="166" t="s">
        <v>6248</v>
      </c>
      <c r="E417" s="165" t="s">
        <v>227</v>
      </c>
      <c r="F417" s="128"/>
      <c r="G417" s="128"/>
      <c r="H417" s="128"/>
    </row>
    <row r="418">
      <c r="A418" s="164">
        <v>40.0</v>
      </c>
      <c r="B418" s="165" t="s">
        <v>6250</v>
      </c>
      <c r="C418" s="165">
        <v>2.52610444E8</v>
      </c>
      <c r="D418" s="166" t="s">
        <v>6251</v>
      </c>
      <c r="E418" s="165" t="s">
        <v>227</v>
      </c>
      <c r="F418" s="128"/>
      <c r="G418" s="128"/>
      <c r="H418" s="128"/>
    </row>
    <row r="419">
      <c r="A419" s="164">
        <v>41.0</v>
      </c>
      <c r="B419" s="165" t="s">
        <v>6253</v>
      </c>
      <c r="C419" s="165">
        <v>2.52610445E8</v>
      </c>
      <c r="D419" s="166" t="s">
        <v>6254</v>
      </c>
      <c r="E419" s="165" t="s">
        <v>227</v>
      </c>
      <c r="F419" s="128"/>
      <c r="G419" s="128"/>
      <c r="H419" s="128"/>
    </row>
    <row r="420">
      <c r="A420" s="164">
        <v>42.0</v>
      </c>
      <c r="B420" s="165" t="s">
        <v>6256</v>
      </c>
      <c r="C420" s="165">
        <v>2.52610463E8</v>
      </c>
      <c r="D420" s="166" t="s">
        <v>6257</v>
      </c>
      <c r="E420" s="165" t="s">
        <v>220</v>
      </c>
      <c r="F420" s="128"/>
      <c r="G420" s="128"/>
      <c r="H420" s="128"/>
    </row>
    <row r="421">
      <c r="A421" s="164">
        <v>43.0</v>
      </c>
      <c r="B421" s="165" t="s">
        <v>6259</v>
      </c>
      <c r="C421" s="165">
        <v>2.5261047E8</v>
      </c>
      <c r="D421" s="170" t="s">
        <v>6260</v>
      </c>
      <c r="E421" s="165" t="s">
        <v>220</v>
      </c>
      <c r="F421" s="128"/>
      <c r="G421" s="128"/>
      <c r="H421" s="128"/>
    </row>
    <row r="422">
      <c r="A422" s="164">
        <v>44.0</v>
      </c>
      <c r="B422" s="165" t="s">
        <v>6262</v>
      </c>
      <c r="C422" s="165">
        <v>2.526105E8</v>
      </c>
      <c r="D422" s="166" t="s">
        <v>6263</v>
      </c>
      <c r="E422" s="165" t="s">
        <v>220</v>
      </c>
      <c r="F422" s="128"/>
      <c r="G422" s="128"/>
      <c r="H422" s="128"/>
    </row>
    <row r="423">
      <c r="A423" s="164">
        <v>45.0</v>
      </c>
      <c r="B423" s="165" t="s">
        <v>6265</v>
      </c>
      <c r="C423" s="165">
        <v>2.52610522E8</v>
      </c>
      <c r="D423" s="166" t="s">
        <v>6266</v>
      </c>
      <c r="E423" s="165" t="s">
        <v>227</v>
      </c>
      <c r="F423" s="128"/>
      <c r="G423" s="128"/>
      <c r="H423" s="128"/>
    </row>
    <row r="424">
      <c r="A424" s="164">
        <v>46.0</v>
      </c>
      <c r="B424" s="165" t="s">
        <v>6268</v>
      </c>
      <c r="C424" s="165">
        <v>2.52610536E8</v>
      </c>
      <c r="D424" s="166" t="s">
        <v>6269</v>
      </c>
      <c r="E424" s="165" t="s">
        <v>227</v>
      </c>
      <c r="F424" s="128"/>
      <c r="G424" s="128"/>
      <c r="H424" s="128"/>
    </row>
    <row r="425">
      <c r="A425" s="164">
        <v>47.0</v>
      </c>
      <c r="B425" s="165" t="s">
        <v>6271</v>
      </c>
      <c r="C425" s="165">
        <v>2.52610548E8</v>
      </c>
      <c r="D425" s="166" t="s">
        <v>6272</v>
      </c>
      <c r="E425" s="165" t="s">
        <v>227</v>
      </c>
      <c r="F425" s="128"/>
      <c r="G425" s="128"/>
      <c r="H425" s="128"/>
    </row>
    <row r="426">
      <c r="A426" s="164">
        <v>48.0</v>
      </c>
      <c r="B426" s="165" t="s">
        <v>6274</v>
      </c>
      <c r="C426" s="165">
        <v>2.52610558E8</v>
      </c>
      <c r="D426" s="166" t="s">
        <v>6275</v>
      </c>
      <c r="E426" s="165" t="s">
        <v>220</v>
      </c>
      <c r="F426" s="128"/>
      <c r="G426" s="128"/>
      <c r="H426" s="128"/>
    </row>
    <row r="427">
      <c r="A427" s="167"/>
      <c r="B427" s="167"/>
      <c r="C427" s="167"/>
      <c r="D427" s="158"/>
      <c r="E427" s="158"/>
    </row>
    <row r="428">
      <c r="A428" s="167"/>
      <c r="B428" s="167"/>
      <c r="C428" s="168"/>
      <c r="D428" s="166" t="s">
        <v>9262</v>
      </c>
      <c r="E428" s="165">
        <f>COUNTIF(E379:E426,"P")</f>
        <v>30</v>
      </c>
    </row>
    <row r="429">
      <c r="A429" s="167"/>
      <c r="B429" s="167"/>
      <c r="C429" s="168"/>
      <c r="D429" s="166" t="s">
        <v>9263</v>
      </c>
      <c r="E429" s="165">
        <f>COUNTIF(E379:E426,"L")</f>
        <v>18</v>
      </c>
    </row>
    <row r="431">
      <c r="A431" s="157" t="s">
        <v>8874</v>
      </c>
      <c r="B431" s="158"/>
      <c r="C431" s="158"/>
      <c r="D431" s="158"/>
      <c r="E431" s="159" t="s">
        <v>6279</v>
      </c>
    </row>
    <row r="432">
      <c r="A432" s="160" t="s">
        <v>9249</v>
      </c>
      <c r="B432" s="161" t="s">
        <v>9</v>
      </c>
      <c r="C432" s="161" t="s">
        <v>5246</v>
      </c>
      <c r="D432" s="161" t="s">
        <v>201</v>
      </c>
      <c r="E432" s="161" t="s">
        <v>13</v>
      </c>
      <c r="F432" s="162" t="s">
        <v>8749</v>
      </c>
      <c r="G432" s="162" t="s">
        <v>8750</v>
      </c>
      <c r="H432" s="163" t="s">
        <v>217</v>
      </c>
    </row>
    <row r="433">
      <c r="A433" s="164">
        <v>1.0</v>
      </c>
      <c r="B433" s="165" t="s">
        <v>6277</v>
      </c>
      <c r="C433" s="165">
        <v>2.52610003E8</v>
      </c>
      <c r="D433" s="166" t="s">
        <v>6278</v>
      </c>
      <c r="E433" s="165" t="s">
        <v>220</v>
      </c>
      <c r="F433" s="126"/>
      <c r="G433" s="126"/>
      <c r="H433" s="126"/>
    </row>
    <row r="434">
      <c r="A434" s="164">
        <v>2.0</v>
      </c>
      <c r="B434" s="165" t="s">
        <v>6281</v>
      </c>
      <c r="C434" s="165">
        <v>2.52610019E8</v>
      </c>
      <c r="D434" s="166" t="s">
        <v>6282</v>
      </c>
      <c r="E434" s="165" t="s">
        <v>220</v>
      </c>
      <c r="F434" s="128"/>
      <c r="G434" s="128"/>
      <c r="H434" s="128"/>
    </row>
    <row r="435">
      <c r="A435" s="164">
        <v>3.0</v>
      </c>
      <c r="B435" s="165" t="s">
        <v>6284</v>
      </c>
      <c r="C435" s="165">
        <v>2.52610027E8</v>
      </c>
      <c r="D435" s="166" t="s">
        <v>6285</v>
      </c>
      <c r="E435" s="165" t="s">
        <v>227</v>
      </c>
      <c r="F435" s="128"/>
      <c r="G435" s="128"/>
      <c r="H435" s="128"/>
    </row>
    <row r="436">
      <c r="A436" s="164">
        <v>4.0</v>
      </c>
      <c r="B436" s="165" t="s">
        <v>6288</v>
      </c>
      <c r="C436" s="165">
        <v>2.52610071E8</v>
      </c>
      <c r="D436" s="166" t="s">
        <v>6289</v>
      </c>
      <c r="E436" s="165" t="s">
        <v>227</v>
      </c>
      <c r="F436" s="128"/>
      <c r="G436" s="128"/>
      <c r="H436" s="128"/>
    </row>
    <row r="437">
      <c r="A437" s="164">
        <v>5.0</v>
      </c>
      <c r="B437" s="165" t="s">
        <v>6291</v>
      </c>
      <c r="C437" s="165">
        <v>2.52610073E8</v>
      </c>
      <c r="D437" s="166" t="s">
        <v>6292</v>
      </c>
      <c r="E437" s="165" t="s">
        <v>227</v>
      </c>
      <c r="F437" s="128"/>
      <c r="G437" s="128"/>
      <c r="H437" s="128"/>
    </row>
    <row r="438">
      <c r="A438" s="164">
        <v>6.0</v>
      </c>
      <c r="B438" s="165" t="s">
        <v>6294</v>
      </c>
      <c r="C438" s="165">
        <v>2.52610078E8</v>
      </c>
      <c r="D438" s="166" t="s">
        <v>6295</v>
      </c>
      <c r="E438" s="165" t="s">
        <v>220</v>
      </c>
      <c r="F438" s="128"/>
      <c r="G438" s="128"/>
      <c r="H438" s="128"/>
    </row>
    <row r="439">
      <c r="A439" s="164">
        <v>7.0</v>
      </c>
      <c r="B439" s="165" t="s">
        <v>6298</v>
      </c>
      <c r="C439" s="165">
        <v>2.52610086E8</v>
      </c>
      <c r="D439" s="166" t="s">
        <v>6299</v>
      </c>
      <c r="E439" s="165" t="s">
        <v>227</v>
      </c>
      <c r="F439" s="128"/>
      <c r="G439" s="128"/>
      <c r="H439" s="128"/>
    </row>
    <row r="440">
      <c r="A440" s="164">
        <v>8.0</v>
      </c>
      <c r="B440" s="165" t="s">
        <v>6301</v>
      </c>
      <c r="C440" s="165">
        <v>2.52610092E8</v>
      </c>
      <c r="D440" s="166" t="s">
        <v>6302</v>
      </c>
      <c r="E440" s="165" t="s">
        <v>220</v>
      </c>
      <c r="F440" s="128"/>
      <c r="G440" s="128"/>
      <c r="H440" s="128"/>
    </row>
    <row r="441">
      <c r="A441" s="164">
        <v>9.0</v>
      </c>
      <c r="B441" s="165" t="s">
        <v>6304</v>
      </c>
      <c r="C441" s="165">
        <v>2.52610095E8</v>
      </c>
      <c r="D441" s="166" t="s">
        <v>6305</v>
      </c>
      <c r="E441" s="165" t="s">
        <v>227</v>
      </c>
      <c r="F441" s="128"/>
      <c r="G441" s="128"/>
      <c r="H441" s="128"/>
    </row>
    <row r="442">
      <c r="A442" s="164">
        <v>10.0</v>
      </c>
      <c r="B442" s="165" t="s">
        <v>6307</v>
      </c>
      <c r="C442" s="165">
        <v>2.52610117E8</v>
      </c>
      <c r="D442" s="166" t="s">
        <v>6308</v>
      </c>
      <c r="E442" s="165" t="s">
        <v>227</v>
      </c>
      <c r="F442" s="128"/>
      <c r="G442" s="128"/>
      <c r="H442" s="128"/>
    </row>
    <row r="443">
      <c r="A443" s="164">
        <v>11.0</v>
      </c>
      <c r="B443" s="165" t="s">
        <v>6310</v>
      </c>
      <c r="C443" s="165">
        <v>2.52610133E8</v>
      </c>
      <c r="D443" s="166" t="s">
        <v>6311</v>
      </c>
      <c r="E443" s="165" t="s">
        <v>227</v>
      </c>
      <c r="F443" s="128"/>
      <c r="G443" s="128"/>
      <c r="H443" s="128"/>
    </row>
    <row r="444">
      <c r="A444" s="164">
        <v>12.0</v>
      </c>
      <c r="B444" s="165" t="s">
        <v>6313</v>
      </c>
      <c r="C444" s="165">
        <v>2.52610135E8</v>
      </c>
      <c r="D444" s="166" t="s">
        <v>6314</v>
      </c>
      <c r="E444" s="165" t="s">
        <v>220</v>
      </c>
      <c r="F444" s="128"/>
      <c r="G444" s="128"/>
      <c r="H444" s="128"/>
    </row>
    <row r="445">
      <c r="A445" s="164">
        <v>13.0</v>
      </c>
      <c r="B445" s="165" t="s">
        <v>6316</v>
      </c>
      <c r="C445" s="165">
        <v>2.52610146E8</v>
      </c>
      <c r="D445" s="166" t="s">
        <v>6317</v>
      </c>
      <c r="E445" s="165" t="s">
        <v>227</v>
      </c>
      <c r="F445" s="128"/>
      <c r="G445" s="128"/>
      <c r="H445" s="128"/>
    </row>
    <row r="446">
      <c r="A446" s="164">
        <v>14.0</v>
      </c>
      <c r="B446" s="165" t="s">
        <v>6319</v>
      </c>
      <c r="C446" s="165">
        <v>2.52610178E8</v>
      </c>
      <c r="D446" s="166" t="s">
        <v>6320</v>
      </c>
      <c r="E446" s="165" t="s">
        <v>227</v>
      </c>
      <c r="F446" s="128"/>
      <c r="G446" s="128"/>
      <c r="H446" s="128"/>
    </row>
    <row r="447">
      <c r="A447" s="164">
        <v>15.0</v>
      </c>
      <c r="B447" s="165" t="s">
        <v>6322</v>
      </c>
      <c r="C447" s="165">
        <v>2.52610211E8</v>
      </c>
      <c r="D447" s="166" t="s">
        <v>6323</v>
      </c>
      <c r="E447" s="165" t="s">
        <v>220</v>
      </c>
      <c r="F447" s="128"/>
      <c r="G447" s="128"/>
      <c r="H447" s="128"/>
    </row>
    <row r="448">
      <c r="A448" s="164">
        <v>16.0</v>
      </c>
      <c r="B448" s="165" t="s">
        <v>6325</v>
      </c>
      <c r="C448" s="165">
        <v>2.52610212E8</v>
      </c>
      <c r="D448" s="166" t="s">
        <v>6326</v>
      </c>
      <c r="E448" s="165" t="s">
        <v>227</v>
      </c>
      <c r="F448" s="128"/>
      <c r="G448" s="128"/>
      <c r="H448" s="128"/>
    </row>
    <row r="449">
      <c r="A449" s="164">
        <v>17.0</v>
      </c>
      <c r="B449" s="165" t="s">
        <v>6328</v>
      </c>
      <c r="C449" s="165">
        <v>2.5261022E8</v>
      </c>
      <c r="D449" s="166" t="s">
        <v>6329</v>
      </c>
      <c r="E449" s="165" t="s">
        <v>227</v>
      </c>
      <c r="F449" s="128"/>
      <c r="G449" s="128"/>
      <c r="H449" s="128"/>
    </row>
    <row r="450">
      <c r="A450" s="164">
        <v>18.0</v>
      </c>
      <c r="B450" s="165" t="s">
        <v>6331</v>
      </c>
      <c r="C450" s="165">
        <v>2.52610231E8</v>
      </c>
      <c r="D450" s="166" t="s">
        <v>6332</v>
      </c>
      <c r="E450" s="165" t="s">
        <v>220</v>
      </c>
      <c r="F450" s="128"/>
      <c r="G450" s="128"/>
      <c r="H450" s="128"/>
    </row>
    <row r="451">
      <c r="A451" s="164">
        <v>19.0</v>
      </c>
      <c r="B451" s="165" t="s">
        <v>6334</v>
      </c>
      <c r="C451" s="165">
        <v>2.52610232E8</v>
      </c>
      <c r="D451" s="166" t="s">
        <v>6335</v>
      </c>
      <c r="E451" s="165" t="s">
        <v>220</v>
      </c>
      <c r="F451" s="128"/>
      <c r="G451" s="128"/>
      <c r="H451" s="128"/>
    </row>
    <row r="452">
      <c r="A452" s="164">
        <v>20.0</v>
      </c>
      <c r="B452" s="165" t="s">
        <v>6337</v>
      </c>
      <c r="C452" s="165">
        <v>2.52610236E8</v>
      </c>
      <c r="D452" s="166" t="s">
        <v>6338</v>
      </c>
      <c r="E452" s="165" t="s">
        <v>227</v>
      </c>
      <c r="F452" s="128"/>
      <c r="G452" s="128"/>
      <c r="H452" s="128"/>
    </row>
    <row r="453">
      <c r="A453" s="164">
        <v>21.0</v>
      </c>
      <c r="B453" s="165" t="s">
        <v>6340</v>
      </c>
      <c r="C453" s="165">
        <v>2.5261024E8</v>
      </c>
      <c r="D453" s="166" t="s">
        <v>6341</v>
      </c>
      <c r="E453" s="165" t="s">
        <v>220</v>
      </c>
      <c r="F453" s="128"/>
      <c r="G453" s="128"/>
      <c r="H453" s="128"/>
    </row>
    <row r="454">
      <c r="A454" s="164">
        <v>22.0</v>
      </c>
      <c r="B454" s="165" t="s">
        <v>6343</v>
      </c>
      <c r="C454" s="165">
        <v>2.52610248E8</v>
      </c>
      <c r="D454" s="166" t="s">
        <v>6344</v>
      </c>
      <c r="E454" s="165" t="s">
        <v>227</v>
      </c>
      <c r="F454" s="128"/>
      <c r="G454" s="128"/>
      <c r="H454" s="128"/>
    </row>
    <row r="455">
      <c r="A455" s="164">
        <v>23.0</v>
      </c>
      <c r="B455" s="165" t="s">
        <v>6346</v>
      </c>
      <c r="C455" s="165">
        <v>2.52610256E8</v>
      </c>
      <c r="D455" s="166" t="s">
        <v>6347</v>
      </c>
      <c r="E455" s="165" t="s">
        <v>227</v>
      </c>
      <c r="F455" s="128"/>
      <c r="G455" s="128"/>
      <c r="H455" s="128"/>
    </row>
    <row r="456">
      <c r="A456" s="164">
        <v>24.0</v>
      </c>
      <c r="B456" s="165" t="s">
        <v>6350</v>
      </c>
      <c r="C456" s="165">
        <v>2.52610263E8</v>
      </c>
      <c r="D456" s="166" t="s">
        <v>6351</v>
      </c>
      <c r="E456" s="165" t="s">
        <v>227</v>
      </c>
      <c r="F456" s="128"/>
      <c r="G456" s="128"/>
      <c r="H456" s="128"/>
    </row>
    <row r="457">
      <c r="A457" s="164">
        <v>25.0</v>
      </c>
      <c r="B457" s="165" t="s">
        <v>6353</v>
      </c>
      <c r="C457" s="165">
        <v>2.52610297E8</v>
      </c>
      <c r="D457" s="166" t="s">
        <v>6354</v>
      </c>
      <c r="E457" s="165" t="s">
        <v>227</v>
      </c>
      <c r="F457" s="128"/>
      <c r="G457" s="128"/>
      <c r="H457" s="128"/>
    </row>
    <row r="458">
      <c r="A458" s="164">
        <v>26.0</v>
      </c>
      <c r="B458" s="165" t="s">
        <v>6356</v>
      </c>
      <c r="C458" s="165">
        <v>2.52610325E8</v>
      </c>
      <c r="D458" s="166" t="s">
        <v>6357</v>
      </c>
      <c r="E458" s="165" t="s">
        <v>220</v>
      </c>
      <c r="F458" s="128"/>
      <c r="G458" s="128"/>
      <c r="H458" s="128"/>
    </row>
    <row r="459">
      <c r="A459" s="164">
        <v>27.0</v>
      </c>
      <c r="B459" s="165" t="s">
        <v>6359</v>
      </c>
      <c r="C459" s="165">
        <v>2.52610337E8</v>
      </c>
      <c r="D459" s="166" t="s">
        <v>6360</v>
      </c>
      <c r="E459" s="165" t="s">
        <v>220</v>
      </c>
      <c r="F459" s="128"/>
      <c r="G459" s="128"/>
      <c r="H459" s="128"/>
    </row>
    <row r="460">
      <c r="A460" s="164">
        <v>28.0</v>
      </c>
      <c r="B460" s="165" t="s">
        <v>6362</v>
      </c>
      <c r="C460" s="165">
        <v>2.52610341E8</v>
      </c>
      <c r="D460" s="166" t="s">
        <v>6363</v>
      </c>
      <c r="E460" s="165" t="s">
        <v>220</v>
      </c>
      <c r="F460" s="128"/>
      <c r="G460" s="128"/>
      <c r="H460" s="128"/>
    </row>
    <row r="461">
      <c r="A461" s="164">
        <v>29.0</v>
      </c>
      <c r="B461" s="165" t="s">
        <v>6365</v>
      </c>
      <c r="C461" s="165">
        <v>2.52610344E8</v>
      </c>
      <c r="D461" s="166" t="s">
        <v>6366</v>
      </c>
      <c r="E461" s="165" t="s">
        <v>220</v>
      </c>
      <c r="F461" s="128"/>
      <c r="G461" s="128"/>
      <c r="H461" s="128"/>
    </row>
    <row r="462">
      <c r="A462" s="164">
        <v>30.0</v>
      </c>
      <c r="B462" s="165" t="s">
        <v>6368</v>
      </c>
      <c r="C462" s="165">
        <v>2.52610347E8</v>
      </c>
      <c r="D462" s="166" t="s">
        <v>6369</v>
      </c>
      <c r="E462" s="165" t="s">
        <v>220</v>
      </c>
      <c r="F462" s="128"/>
      <c r="G462" s="128"/>
      <c r="H462" s="128"/>
    </row>
    <row r="463">
      <c r="A463" s="164">
        <v>31.0</v>
      </c>
      <c r="B463" s="165" t="s">
        <v>6371</v>
      </c>
      <c r="C463" s="165">
        <v>2.52610358E8</v>
      </c>
      <c r="D463" s="166" t="s">
        <v>6372</v>
      </c>
      <c r="E463" s="165" t="s">
        <v>220</v>
      </c>
      <c r="F463" s="128"/>
      <c r="G463" s="128"/>
      <c r="H463" s="128"/>
    </row>
    <row r="464">
      <c r="A464" s="164">
        <v>32.0</v>
      </c>
      <c r="B464" s="165" t="s">
        <v>6374</v>
      </c>
      <c r="C464" s="165">
        <v>2.52610368E8</v>
      </c>
      <c r="D464" s="166" t="s">
        <v>6375</v>
      </c>
      <c r="E464" s="165" t="s">
        <v>220</v>
      </c>
      <c r="F464" s="128"/>
      <c r="G464" s="128"/>
      <c r="H464" s="128"/>
    </row>
    <row r="465">
      <c r="A465" s="164">
        <v>33.0</v>
      </c>
      <c r="B465" s="165" t="s">
        <v>6377</v>
      </c>
      <c r="C465" s="165">
        <v>2.52610372E8</v>
      </c>
      <c r="D465" s="166" t="s">
        <v>6378</v>
      </c>
      <c r="E465" s="165" t="s">
        <v>220</v>
      </c>
      <c r="F465" s="128"/>
      <c r="G465" s="128"/>
      <c r="H465" s="128"/>
    </row>
    <row r="466">
      <c r="A466" s="164">
        <v>34.0</v>
      </c>
      <c r="B466" s="165" t="s">
        <v>6380</v>
      </c>
      <c r="C466" s="165">
        <v>2.52610397E8</v>
      </c>
      <c r="D466" s="166" t="s">
        <v>6381</v>
      </c>
      <c r="E466" s="165" t="s">
        <v>220</v>
      </c>
      <c r="F466" s="128"/>
      <c r="G466" s="128"/>
      <c r="H466" s="128"/>
    </row>
    <row r="467">
      <c r="A467" s="164">
        <v>35.0</v>
      </c>
      <c r="B467" s="165" t="s">
        <v>6383</v>
      </c>
      <c r="C467" s="165">
        <v>2.52610398E8</v>
      </c>
      <c r="D467" s="166" t="s">
        <v>6384</v>
      </c>
      <c r="E467" s="165" t="s">
        <v>227</v>
      </c>
      <c r="F467" s="128"/>
      <c r="G467" s="128"/>
      <c r="H467" s="128"/>
    </row>
    <row r="468">
      <c r="A468" s="164">
        <v>36.0</v>
      </c>
      <c r="B468" s="165" t="s">
        <v>6386</v>
      </c>
      <c r="C468" s="165">
        <v>2.52610425E8</v>
      </c>
      <c r="D468" s="166" t="s">
        <v>6387</v>
      </c>
      <c r="E468" s="165" t="s">
        <v>227</v>
      </c>
      <c r="F468" s="128"/>
      <c r="G468" s="128"/>
      <c r="H468" s="128"/>
    </row>
    <row r="469">
      <c r="A469" s="164">
        <v>37.0</v>
      </c>
      <c r="B469" s="165" t="s">
        <v>6389</v>
      </c>
      <c r="C469" s="165">
        <v>2.52610441E8</v>
      </c>
      <c r="D469" s="166" t="s">
        <v>6390</v>
      </c>
      <c r="E469" s="165" t="s">
        <v>227</v>
      </c>
      <c r="F469" s="126"/>
      <c r="G469" s="126"/>
      <c r="H469" s="126"/>
    </row>
    <row r="470">
      <c r="A470" s="164">
        <v>38.0</v>
      </c>
      <c r="B470" s="165" t="s">
        <v>6392</v>
      </c>
      <c r="C470" s="165">
        <v>2.52610457E8</v>
      </c>
      <c r="D470" s="166" t="s">
        <v>6393</v>
      </c>
      <c r="E470" s="165" t="s">
        <v>227</v>
      </c>
      <c r="F470" s="128"/>
      <c r="G470" s="128"/>
      <c r="H470" s="128"/>
    </row>
    <row r="471">
      <c r="A471" s="164">
        <v>39.0</v>
      </c>
      <c r="B471" s="165" t="s">
        <v>6395</v>
      </c>
      <c r="C471" s="165">
        <v>2.5261046E8</v>
      </c>
      <c r="D471" s="166" t="s">
        <v>6396</v>
      </c>
      <c r="E471" s="165" t="s">
        <v>220</v>
      </c>
      <c r="F471" s="128"/>
      <c r="G471" s="128"/>
      <c r="H471" s="128"/>
    </row>
    <row r="472">
      <c r="A472" s="164">
        <v>40.0</v>
      </c>
      <c r="B472" s="165" t="s">
        <v>6398</v>
      </c>
      <c r="C472" s="165">
        <v>2.52610465E8</v>
      </c>
      <c r="D472" s="166" t="s">
        <v>6399</v>
      </c>
      <c r="E472" s="165" t="s">
        <v>227</v>
      </c>
      <c r="F472" s="128"/>
      <c r="G472" s="128"/>
      <c r="H472" s="128"/>
    </row>
    <row r="473">
      <c r="A473" s="164">
        <v>41.0</v>
      </c>
      <c r="B473" s="165" t="s">
        <v>6401</v>
      </c>
      <c r="C473" s="165">
        <v>2.52610473E8</v>
      </c>
      <c r="D473" s="166" t="s">
        <v>6402</v>
      </c>
      <c r="E473" s="171" t="s">
        <v>220</v>
      </c>
      <c r="F473" s="128"/>
      <c r="G473" s="128"/>
      <c r="H473" s="128"/>
    </row>
    <row r="474">
      <c r="A474" s="164">
        <v>42.0</v>
      </c>
      <c r="B474" s="165" t="s">
        <v>6404</v>
      </c>
      <c r="C474" s="165">
        <v>2.52610487E8</v>
      </c>
      <c r="D474" s="166" t="s">
        <v>6405</v>
      </c>
      <c r="E474" s="165" t="s">
        <v>220</v>
      </c>
      <c r="F474" s="128"/>
      <c r="G474" s="128"/>
      <c r="H474" s="128"/>
    </row>
    <row r="475">
      <c r="A475" s="164">
        <v>43.0</v>
      </c>
      <c r="B475" s="165" t="s">
        <v>6407</v>
      </c>
      <c r="C475" s="165">
        <v>2.52610511E8</v>
      </c>
      <c r="D475" s="166" t="s">
        <v>6408</v>
      </c>
      <c r="E475" s="165" t="s">
        <v>227</v>
      </c>
      <c r="F475" s="128"/>
      <c r="G475" s="128"/>
      <c r="H475" s="128"/>
    </row>
    <row r="476">
      <c r="A476" s="164">
        <v>44.0</v>
      </c>
      <c r="B476" s="165" t="s">
        <v>6410</v>
      </c>
      <c r="C476" s="165">
        <v>2.5261053E8</v>
      </c>
      <c r="D476" s="166" t="s">
        <v>6411</v>
      </c>
      <c r="E476" s="165" t="s">
        <v>227</v>
      </c>
      <c r="F476" s="128"/>
      <c r="G476" s="128"/>
      <c r="H476" s="128"/>
    </row>
    <row r="477">
      <c r="A477" s="164">
        <v>45.0</v>
      </c>
      <c r="B477" s="165" t="s">
        <v>6413</v>
      </c>
      <c r="C477" s="165">
        <v>2.52610537E8</v>
      </c>
      <c r="D477" s="166" t="s">
        <v>6414</v>
      </c>
      <c r="E477" s="165" t="s">
        <v>227</v>
      </c>
      <c r="F477" s="128"/>
      <c r="G477" s="128"/>
      <c r="H477" s="128"/>
    </row>
    <row r="478">
      <c r="A478" s="164">
        <v>46.0</v>
      </c>
      <c r="B478" s="165" t="s">
        <v>6416</v>
      </c>
      <c r="C478" s="165">
        <v>2.52610542E8</v>
      </c>
      <c r="D478" s="166" t="s">
        <v>6417</v>
      </c>
      <c r="E478" s="165" t="s">
        <v>227</v>
      </c>
      <c r="F478" s="128"/>
      <c r="G478" s="128"/>
      <c r="H478" s="128"/>
    </row>
    <row r="479">
      <c r="A479" s="167"/>
      <c r="B479" s="167"/>
      <c r="C479" s="167"/>
      <c r="D479" s="158"/>
      <c r="E479" s="158"/>
      <c r="F479" s="128"/>
      <c r="G479" s="128"/>
      <c r="H479" s="128"/>
    </row>
    <row r="480">
      <c r="A480" s="167"/>
      <c r="B480" s="167"/>
      <c r="C480" s="168"/>
      <c r="D480" s="166" t="s">
        <v>9262</v>
      </c>
      <c r="E480" s="165">
        <f>COUNTIF(E433:E478,"P")</f>
        <v>25</v>
      </c>
      <c r="F480" s="128"/>
      <c r="G480" s="128"/>
      <c r="H480" s="128"/>
    </row>
    <row r="481">
      <c r="A481" s="167"/>
      <c r="B481" s="167"/>
      <c r="C481" s="168"/>
      <c r="D481" s="166" t="s">
        <v>9263</v>
      </c>
      <c r="E481" s="165">
        <f>COUNTIF(E433:E478,"L")</f>
        <v>21</v>
      </c>
    </row>
    <row r="484">
      <c r="A484" s="157" t="s">
        <v>9332</v>
      </c>
      <c r="B484" s="158"/>
      <c r="C484" s="158"/>
      <c r="D484" s="158"/>
      <c r="E484" s="159" t="s">
        <v>6421</v>
      </c>
    </row>
    <row r="485">
      <c r="A485" s="160" t="s">
        <v>9249</v>
      </c>
      <c r="B485" s="161" t="s">
        <v>9</v>
      </c>
      <c r="C485" s="161" t="s">
        <v>5246</v>
      </c>
      <c r="D485" s="161" t="s">
        <v>201</v>
      </c>
      <c r="E485" s="161" t="s">
        <v>13</v>
      </c>
      <c r="F485" s="162" t="s">
        <v>8749</v>
      </c>
      <c r="G485" s="162" t="s">
        <v>8750</v>
      </c>
      <c r="H485" s="163" t="s">
        <v>217</v>
      </c>
    </row>
    <row r="486">
      <c r="A486" s="164">
        <v>1.0</v>
      </c>
      <c r="B486" s="165" t="s">
        <v>6419</v>
      </c>
      <c r="C486" s="165">
        <v>2.52610001E8</v>
      </c>
      <c r="D486" s="166" t="s">
        <v>6420</v>
      </c>
      <c r="E486" s="165" t="s">
        <v>220</v>
      </c>
      <c r="F486" s="126"/>
      <c r="G486" s="126"/>
      <c r="H486" s="126"/>
    </row>
    <row r="487">
      <c r="A487" s="164">
        <v>2.0</v>
      </c>
      <c r="B487" s="165" t="s">
        <v>6423</v>
      </c>
      <c r="C487" s="165">
        <v>2.52610012E8</v>
      </c>
      <c r="D487" s="166" t="s">
        <v>6424</v>
      </c>
      <c r="E487" s="165" t="s">
        <v>220</v>
      </c>
      <c r="F487" s="128"/>
      <c r="G487" s="128"/>
      <c r="H487" s="128"/>
    </row>
    <row r="488">
      <c r="A488" s="164">
        <v>3.0</v>
      </c>
      <c r="B488" s="165" t="s">
        <v>6427</v>
      </c>
      <c r="C488" s="165">
        <v>2.52610014E8</v>
      </c>
      <c r="D488" s="170" t="s">
        <v>6428</v>
      </c>
      <c r="E488" s="165" t="s">
        <v>220</v>
      </c>
      <c r="F488" s="128"/>
      <c r="G488" s="128"/>
      <c r="H488" s="128"/>
    </row>
    <row r="489">
      <c r="A489" s="164">
        <v>4.0</v>
      </c>
      <c r="B489" s="165" t="s">
        <v>6430</v>
      </c>
      <c r="C489" s="165">
        <v>2.5261002E8</v>
      </c>
      <c r="D489" s="166" t="s">
        <v>6431</v>
      </c>
      <c r="E489" s="165" t="s">
        <v>220</v>
      </c>
      <c r="F489" s="128"/>
      <c r="G489" s="128"/>
      <c r="H489" s="128"/>
    </row>
    <row r="490">
      <c r="A490" s="164">
        <v>5.0</v>
      </c>
      <c r="B490" s="165" t="s">
        <v>6433</v>
      </c>
      <c r="C490" s="165">
        <v>2.52610032E8</v>
      </c>
      <c r="D490" s="166" t="s">
        <v>6434</v>
      </c>
      <c r="E490" s="165" t="s">
        <v>220</v>
      </c>
      <c r="F490" s="128"/>
      <c r="G490" s="128"/>
      <c r="H490" s="128"/>
    </row>
    <row r="491">
      <c r="A491" s="164">
        <v>6.0</v>
      </c>
      <c r="B491" s="165" t="s">
        <v>6436</v>
      </c>
      <c r="C491" s="165">
        <v>2.52610037E8</v>
      </c>
      <c r="D491" s="166" t="s">
        <v>6437</v>
      </c>
      <c r="E491" s="165" t="s">
        <v>227</v>
      </c>
      <c r="F491" s="128"/>
      <c r="G491" s="128"/>
      <c r="H491" s="128"/>
    </row>
    <row r="492">
      <c r="A492" s="164">
        <v>7.0</v>
      </c>
      <c r="B492" s="165" t="s">
        <v>6440</v>
      </c>
      <c r="C492" s="165">
        <v>2.52610054E8</v>
      </c>
      <c r="D492" s="166" t="s">
        <v>6441</v>
      </c>
      <c r="E492" s="165" t="s">
        <v>227</v>
      </c>
      <c r="F492" s="128"/>
      <c r="G492" s="128"/>
      <c r="H492" s="128"/>
    </row>
    <row r="493">
      <c r="A493" s="164">
        <v>8.0</v>
      </c>
      <c r="B493" s="165" t="s">
        <v>6443</v>
      </c>
      <c r="C493" s="165">
        <v>2.52610059E8</v>
      </c>
      <c r="D493" s="166" t="s">
        <v>6444</v>
      </c>
      <c r="E493" s="165" t="s">
        <v>220</v>
      </c>
      <c r="F493" s="128"/>
      <c r="G493" s="128"/>
      <c r="H493" s="128"/>
    </row>
    <row r="494">
      <c r="A494" s="164">
        <v>9.0</v>
      </c>
      <c r="B494" s="165" t="s">
        <v>6446</v>
      </c>
      <c r="C494" s="165">
        <v>2.52610089E8</v>
      </c>
      <c r="D494" s="166" t="s">
        <v>6447</v>
      </c>
      <c r="E494" s="165" t="s">
        <v>227</v>
      </c>
      <c r="F494" s="128"/>
      <c r="G494" s="128"/>
      <c r="H494" s="128"/>
    </row>
    <row r="495">
      <c r="A495" s="164">
        <v>10.0</v>
      </c>
      <c r="B495" s="165" t="s">
        <v>6449</v>
      </c>
      <c r="C495" s="165">
        <v>2.52610091E8</v>
      </c>
      <c r="D495" s="166" t="s">
        <v>6450</v>
      </c>
      <c r="E495" s="165" t="s">
        <v>227</v>
      </c>
      <c r="F495" s="128"/>
      <c r="G495" s="128"/>
      <c r="H495" s="128"/>
    </row>
    <row r="496">
      <c r="A496" s="164">
        <v>11.0</v>
      </c>
      <c r="B496" s="165" t="s">
        <v>6452</v>
      </c>
      <c r="C496" s="165">
        <v>2.52610099E8</v>
      </c>
      <c r="D496" s="166" t="s">
        <v>6453</v>
      </c>
      <c r="E496" s="165" t="s">
        <v>227</v>
      </c>
      <c r="F496" s="128"/>
      <c r="G496" s="128"/>
      <c r="H496" s="128"/>
    </row>
    <row r="497">
      <c r="A497" s="164">
        <v>12.0</v>
      </c>
      <c r="B497" s="165" t="s">
        <v>6455</v>
      </c>
      <c r="C497" s="165">
        <v>2.52610103E8</v>
      </c>
      <c r="D497" s="166" t="s">
        <v>6456</v>
      </c>
      <c r="E497" s="165" t="s">
        <v>227</v>
      </c>
      <c r="F497" s="128"/>
      <c r="G497" s="128"/>
      <c r="H497" s="128"/>
    </row>
    <row r="498">
      <c r="A498" s="164">
        <v>13.0</v>
      </c>
      <c r="B498" s="165" t="s">
        <v>6458</v>
      </c>
      <c r="C498" s="165">
        <v>2.52610119E8</v>
      </c>
      <c r="D498" s="166" t="s">
        <v>6459</v>
      </c>
      <c r="E498" s="165" t="s">
        <v>227</v>
      </c>
      <c r="F498" s="128"/>
      <c r="G498" s="128"/>
      <c r="H498" s="128"/>
    </row>
    <row r="499">
      <c r="A499" s="164">
        <v>14.0</v>
      </c>
      <c r="B499" s="165" t="s">
        <v>6461</v>
      </c>
      <c r="C499" s="165">
        <v>2.52610128E8</v>
      </c>
      <c r="D499" s="166" t="s">
        <v>6462</v>
      </c>
      <c r="E499" s="165" t="s">
        <v>220</v>
      </c>
      <c r="F499" s="128"/>
      <c r="G499" s="128"/>
      <c r="H499" s="128"/>
    </row>
    <row r="500">
      <c r="A500" s="164">
        <v>15.0</v>
      </c>
      <c r="B500" s="165" t="s">
        <v>9333</v>
      </c>
      <c r="C500" s="165">
        <v>2.52610142E8</v>
      </c>
      <c r="D500" s="166" t="s">
        <v>9334</v>
      </c>
      <c r="E500" s="165" t="s">
        <v>227</v>
      </c>
      <c r="F500" s="128"/>
      <c r="G500" s="128"/>
      <c r="H500" s="128"/>
    </row>
    <row r="501">
      <c r="A501" s="164">
        <v>16.0</v>
      </c>
      <c r="B501" s="165" t="s">
        <v>6464</v>
      </c>
      <c r="C501" s="165">
        <v>2.52610165E8</v>
      </c>
      <c r="D501" s="166" t="s">
        <v>6465</v>
      </c>
      <c r="E501" s="165" t="s">
        <v>227</v>
      </c>
      <c r="F501" s="128"/>
      <c r="G501" s="128"/>
      <c r="H501" s="128"/>
    </row>
    <row r="502">
      <c r="A502" s="164">
        <v>17.0</v>
      </c>
      <c r="B502" s="165" t="s">
        <v>6467</v>
      </c>
      <c r="C502" s="165">
        <v>2.52610168E8</v>
      </c>
      <c r="D502" s="166" t="s">
        <v>6468</v>
      </c>
      <c r="E502" s="165" t="s">
        <v>227</v>
      </c>
      <c r="F502" s="128"/>
      <c r="G502" s="128"/>
      <c r="H502" s="128"/>
    </row>
    <row r="503">
      <c r="A503" s="164">
        <v>18.0</v>
      </c>
      <c r="B503" s="165" t="s">
        <v>6470</v>
      </c>
      <c r="C503" s="165">
        <v>2.52610169E8</v>
      </c>
      <c r="D503" s="166" t="s">
        <v>6471</v>
      </c>
      <c r="E503" s="165" t="s">
        <v>220</v>
      </c>
      <c r="F503" s="128"/>
      <c r="G503" s="128"/>
      <c r="H503" s="128"/>
    </row>
    <row r="504">
      <c r="A504" s="164">
        <v>19.0</v>
      </c>
      <c r="B504" s="165" t="s">
        <v>6473</v>
      </c>
      <c r="C504" s="165">
        <v>2.52610222E8</v>
      </c>
      <c r="D504" s="166" t="s">
        <v>6474</v>
      </c>
      <c r="E504" s="165" t="s">
        <v>227</v>
      </c>
      <c r="F504" s="128"/>
      <c r="G504" s="128"/>
      <c r="H504" s="128"/>
    </row>
    <row r="505">
      <c r="A505" s="164">
        <v>20.0</v>
      </c>
      <c r="B505" s="165" t="s">
        <v>6476</v>
      </c>
      <c r="C505" s="165">
        <v>2.52610226E8</v>
      </c>
      <c r="D505" s="166" t="s">
        <v>6477</v>
      </c>
      <c r="E505" s="165" t="s">
        <v>227</v>
      </c>
      <c r="F505" s="128"/>
      <c r="G505" s="128"/>
      <c r="H505" s="128"/>
    </row>
    <row r="506">
      <c r="A506" s="164">
        <v>21.0</v>
      </c>
      <c r="B506" s="165" t="s">
        <v>6479</v>
      </c>
      <c r="C506" s="165">
        <v>2.52610234E8</v>
      </c>
      <c r="D506" s="166" t="s">
        <v>6480</v>
      </c>
      <c r="E506" s="165" t="s">
        <v>227</v>
      </c>
      <c r="F506" s="128"/>
      <c r="G506" s="128"/>
      <c r="H506" s="128"/>
    </row>
    <row r="507">
      <c r="A507" s="164">
        <v>22.0</v>
      </c>
      <c r="B507" s="165" t="s">
        <v>6482</v>
      </c>
      <c r="C507" s="165">
        <v>2.52610235E8</v>
      </c>
      <c r="D507" s="166" t="s">
        <v>6483</v>
      </c>
      <c r="E507" s="165" t="s">
        <v>227</v>
      </c>
      <c r="F507" s="128"/>
      <c r="G507" s="128"/>
      <c r="H507" s="128"/>
    </row>
    <row r="508">
      <c r="A508" s="164">
        <v>23.0</v>
      </c>
      <c r="B508" s="165" t="s">
        <v>9335</v>
      </c>
      <c r="C508" s="165">
        <v>2.52610242E8</v>
      </c>
      <c r="D508" s="166" t="s">
        <v>9336</v>
      </c>
      <c r="E508" s="165" t="s">
        <v>220</v>
      </c>
      <c r="F508" s="128"/>
      <c r="G508" s="128"/>
      <c r="H508" s="128"/>
    </row>
    <row r="509">
      <c r="A509" s="164">
        <v>24.0</v>
      </c>
      <c r="B509" s="165" t="s">
        <v>6485</v>
      </c>
      <c r="C509" s="165">
        <v>2.52610243E8</v>
      </c>
      <c r="D509" s="166" t="s">
        <v>6486</v>
      </c>
      <c r="E509" s="165" t="s">
        <v>220</v>
      </c>
      <c r="F509" s="128"/>
      <c r="G509" s="128"/>
      <c r="H509" s="128"/>
    </row>
    <row r="510">
      <c r="A510" s="164">
        <v>25.0</v>
      </c>
      <c r="B510" s="165" t="s">
        <v>6488</v>
      </c>
      <c r="C510" s="165">
        <v>2.52610251E8</v>
      </c>
      <c r="D510" s="166" t="s">
        <v>6489</v>
      </c>
      <c r="E510" s="165" t="s">
        <v>220</v>
      </c>
      <c r="F510" s="128"/>
      <c r="G510" s="128"/>
      <c r="H510" s="128"/>
    </row>
    <row r="511">
      <c r="A511" s="164">
        <v>26.0</v>
      </c>
      <c r="B511" s="165" t="s">
        <v>6491</v>
      </c>
      <c r="C511" s="165">
        <v>2.52610262E8</v>
      </c>
      <c r="D511" s="166" t="s">
        <v>6492</v>
      </c>
      <c r="E511" s="165" t="s">
        <v>227</v>
      </c>
      <c r="F511" s="128"/>
      <c r="G511" s="128"/>
      <c r="H511" s="128"/>
    </row>
    <row r="512">
      <c r="A512" s="164">
        <v>27.0</v>
      </c>
      <c r="B512" s="165" t="s">
        <v>6494</v>
      </c>
      <c r="C512" s="165">
        <v>2.52610272E8</v>
      </c>
      <c r="D512" s="166" t="s">
        <v>6495</v>
      </c>
      <c r="E512" s="165" t="s">
        <v>227</v>
      </c>
      <c r="F512" s="128"/>
      <c r="G512" s="128"/>
      <c r="H512" s="128"/>
    </row>
    <row r="513">
      <c r="A513" s="164">
        <v>28.0</v>
      </c>
      <c r="B513" s="165" t="s">
        <v>94</v>
      </c>
      <c r="C513" s="165">
        <v>2.52610283E8</v>
      </c>
      <c r="D513" s="166" t="s">
        <v>6498</v>
      </c>
      <c r="E513" s="165" t="s">
        <v>227</v>
      </c>
      <c r="F513" s="128"/>
      <c r="G513" s="128"/>
      <c r="H513" s="128"/>
    </row>
    <row r="514">
      <c r="A514" s="164">
        <v>29.0</v>
      </c>
      <c r="B514" s="165" t="s">
        <v>6500</v>
      </c>
      <c r="C514" s="165">
        <v>2.52610305E8</v>
      </c>
      <c r="D514" s="166" t="s">
        <v>6501</v>
      </c>
      <c r="E514" s="165" t="s">
        <v>220</v>
      </c>
      <c r="F514" s="128"/>
      <c r="G514" s="128"/>
      <c r="H514" s="128"/>
    </row>
    <row r="515">
      <c r="A515" s="164">
        <v>30.0</v>
      </c>
      <c r="B515" s="165" t="s">
        <v>6503</v>
      </c>
      <c r="C515" s="165">
        <v>2.52610327E8</v>
      </c>
      <c r="D515" s="166" t="s">
        <v>6504</v>
      </c>
      <c r="E515" s="165" t="s">
        <v>220</v>
      </c>
      <c r="F515" s="128"/>
      <c r="G515" s="128"/>
      <c r="H515" s="128"/>
    </row>
    <row r="516">
      <c r="A516" s="164">
        <v>31.0</v>
      </c>
      <c r="B516" s="165" t="s">
        <v>6506</v>
      </c>
      <c r="C516" s="165">
        <v>2.52610335E8</v>
      </c>
      <c r="D516" s="166" t="s">
        <v>6507</v>
      </c>
      <c r="E516" s="165" t="s">
        <v>220</v>
      </c>
      <c r="F516" s="128"/>
      <c r="G516" s="128"/>
      <c r="H516" s="128"/>
    </row>
    <row r="517">
      <c r="A517" s="164">
        <v>32.0</v>
      </c>
      <c r="B517" s="165" t="s">
        <v>6509</v>
      </c>
      <c r="C517" s="165">
        <v>2.52610375E8</v>
      </c>
      <c r="D517" s="166" t="s">
        <v>6510</v>
      </c>
      <c r="E517" s="165" t="s">
        <v>220</v>
      </c>
      <c r="F517" s="128"/>
      <c r="G517" s="128"/>
      <c r="H517" s="128"/>
    </row>
    <row r="518">
      <c r="A518" s="164">
        <v>33.0</v>
      </c>
      <c r="B518" s="165" t="s">
        <v>6512</v>
      </c>
      <c r="C518" s="165">
        <v>2.52610396E8</v>
      </c>
      <c r="D518" s="166" t="s">
        <v>6513</v>
      </c>
      <c r="E518" s="165" t="s">
        <v>227</v>
      </c>
      <c r="F518" s="128"/>
      <c r="G518" s="128"/>
      <c r="H518" s="128"/>
    </row>
    <row r="519">
      <c r="A519" s="164">
        <v>34.0</v>
      </c>
      <c r="B519" s="165" t="s">
        <v>6515</v>
      </c>
      <c r="C519" s="165">
        <v>2.52610402E8</v>
      </c>
      <c r="D519" s="166" t="s">
        <v>6516</v>
      </c>
      <c r="E519" s="165" t="s">
        <v>220</v>
      </c>
      <c r="F519" s="128"/>
      <c r="G519" s="128"/>
      <c r="H519" s="128"/>
    </row>
    <row r="520">
      <c r="A520" s="164">
        <v>35.0</v>
      </c>
      <c r="B520" s="165" t="s">
        <v>6518</v>
      </c>
      <c r="C520" s="165">
        <v>2.52610403E8</v>
      </c>
      <c r="D520" s="166" t="s">
        <v>6519</v>
      </c>
      <c r="E520" s="165" t="s">
        <v>227</v>
      </c>
      <c r="F520" s="128"/>
      <c r="G520" s="128"/>
      <c r="H520" s="128"/>
    </row>
    <row r="521">
      <c r="A521" s="164">
        <v>36.0</v>
      </c>
      <c r="B521" s="165" t="s">
        <v>9337</v>
      </c>
      <c r="C521" s="165">
        <v>2.52610406E8</v>
      </c>
      <c r="D521" s="166" t="s">
        <v>9338</v>
      </c>
      <c r="E521" s="165" t="s">
        <v>227</v>
      </c>
      <c r="F521" s="128"/>
      <c r="G521" s="128"/>
      <c r="H521" s="128"/>
    </row>
    <row r="522">
      <c r="A522" s="164">
        <v>37.0</v>
      </c>
      <c r="B522" s="165" t="s">
        <v>6521</v>
      </c>
      <c r="C522" s="165">
        <v>2.52610443E8</v>
      </c>
      <c r="D522" s="166" t="s">
        <v>6522</v>
      </c>
      <c r="E522" s="165" t="s">
        <v>227</v>
      </c>
      <c r="F522" s="126"/>
      <c r="G522" s="126"/>
      <c r="H522" s="126"/>
    </row>
    <row r="523">
      <c r="A523" s="164">
        <v>38.0</v>
      </c>
      <c r="B523" s="165" t="s">
        <v>6524</v>
      </c>
      <c r="C523" s="165">
        <v>2.52610459E8</v>
      </c>
      <c r="D523" s="166" t="s">
        <v>6525</v>
      </c>
      <c r="E523" s="165" t="s">
        <v>220</v>
      </c>
      <c r="F523" s="128"/>
      <c r="G523" s="128"/>
      <c r="H523" s="128"/>
    </row>
    <row r="524">
      <c r="A524" s="164">
        <v>39.0</v>
      </c>
      <c r="B524" s="165" t="s">
        <v>6527</v>
      </c>
      <c r="C524" s="165">
        <v>2.52610462E8</v>
      </c>
      <c r="D524" s="166" t="s">
        <v>6528</v>
      </c>
      <c r="E524" s="165" t="s">
        <v>227</v>
      </c>
      <c r="F524" s="128"/>
      <c r="G524" s="128"/>
      <c r="H524" s="128"/>
    </row>
    <row r="525">
      <c r="A525" s="164">
        <v>40.0</v>
      </c>
      <c r="B525" s="165" t="s">
        <v>6530</v>
      </c>
      <c r="C525" s="165">
        <v>2.52610469E8</v>
      </c>
      <c r="D525" s="166" t="s">
        <v>6531</v>
      </c>
      <c r="E525" s="165" t="s">
        <v>220</v>
      </c>
      <c r="F525" s="128"/>
      <c r="G525" s="128"/>
      <c r="H525" s="128"/>
    </row>
    <row r="526">
      <c r="A526" s="164">
        <v>41.0</v>
      </c>
      <c r="B526" s="165" t="s">
        <v>6533</v>
      </c>
      <c r="C526" s="165">
        <v>2.52610493E8</v>
      </c>
      <c r="D526" s="166" t="s">
        <v>6534</v>
      </c>
      <c r="E526" s="165" t="s">
        <v>227</v>
      </c>
      <c r="F526" s="128"/>
      <c r="G526" s="128"/>
      <c r="H526" s="128"/>
    </row>
    <row r="527">
      <c r="A527" s="164">
        <v>42.0</v>
      </c>
      <c r="B527" s="165" t="s">
        <v>6536</v>
      </c>
      <c r="C527" s="165">
        <v>2.52610509E8</v>
      </c>
      <c r="D527" s="166" t="s">
        <v>6537</v>
      </c>
      <c r="E527" s="165" t="s">
        <v>227</v>
      </c>
      <c r="F527" s="128"/>
      <c r="G527" s="128"/>
      <c r="H527" s="128"/>
    </row>
    <row r="528">
      <c r="A528" s="164">
        <v>43.0</v>
      </c>
      <c r="B528" s="165" t="s">
        <v>6539</v>
      </c>
      <c r="C528" s="165">
        <v>2.5261051E8</v>
      </c>
      <c r="D528" s="166" t="s">
        <v>6540</v>
      </c>
      <c r="E528" s="165" t="s">
        <v>227</v>
      </c>
      <c r="F528" s="128"/>
      <c r="G528" s="128"/>
      <c r="H528" s="128"/>
    </row>
    <row r="529">
      <c r="A529" s="164">
        <v>44.0</v>
      </c>
      <c r="B529" s="165" t="s">
        <v>92</v>
      </c>
      <c r="C529" s="165">
        <v>2.52610521E8</v>
      </c>
      <c r="D529" s="166" t="s">
        <v>6542</v>
      </c>
      <c r="E529" s="165" t="s">
        <v>227</v>
      </c>
      <c r="F529" s="128"/>
      <c r="G529" s="128"/>
      <c r="H529" s="128"/>
    </row>
    <row r="530">
      <c r="A530" s="164">
        <v>45.0</v>
      </c>
      <c r="B530" s="165" t="s">
        <v>6544</v>
      </c>
      <c r="C530" s="165">
        <v>2.52610526E8</v>
      </c>
      <c r="D530" s="166" t="s">
        <v>6545</v>
      </c>
      <c r="E530" s="165" t="s">
        <v>227</v>
      </c>
      <c r="F530" s="128"/>
      <c r="G530" s="128"/>
      <c r="H530" s="128"/>
    </row>
    <row r="531">
      <c r="A531" s="164">
        <v>46.0</v>
      </c>
      <c r="B531" s="165" t="s">
        <v>9339</v>
      </c>
      <c r="C531" s="165">
        <v>2.52610552E8</v>
      </c>
      <c r="D531" s="166" t="s">
        <v>9340</v>
      </c>
      <c r="E531" s="165" t="s">
        <v>220</v>
      </c>
      <c r="F531" s="128"/>
      <c r="G531" s="128"/>
      <c r="H531" s="128"/>
    </row>
    <row r="532">
      <c r="A532" s="167"/>
      <c r="B532" s="167"/>
      <c r="C532" s="167"/>
      <c r="D532" s="158"/>
      <c r="E532" s="158"/>
      <c r="F532" s="128"/>
      <c r="G532" s="128"/>
      <c r="H532" s="128"/>
    </row>
    <row r="533">
      <c r="A533" s="167"/>
      <c r="B533" s="167"/>
      <c r="C533" s="168"/>
      <c r="D533" s="166" t="s">
        <v>9262</v>
      </c>
      <c r="E533" s="165">
        <f>COUNTIF(E486:E531,"P")</f>
        <v>27</v>
      </c>
      <c r="F533" s="128"/>
      <c r="G533" s="128"/>
      <c r="H533" s="128"/>
    </row>
    <row r="534">
      <c r="A534" s="167"/>
      <c r="B534" s="167"/>
      <c r="C534" s="168"/>
      <c r="D534" s="166" t="s">
        <v>9263</v>
      </c>
      <c r="E534" s="165">
        <f>COUNTIF(E486:E531,"L")</f>
        <v>19</v>
      </c>
    </row>
    <row r="537">
      <c r="A537" s="157" t="s">
        <v>9341</v>
      </c>
      <c r="B537" s="158"/>
      <c r="C537" s="158"/>
      <c r="D537" s="158"/>
      <c r="E537" s="159" t="s">
        <v>6549</v>
      </c>
    </row>
    <row r="538">
      <c r="A538" s="160" t="s">
        <v>9249</v>
      </c>
      <c r="B538" s="161" t="s">
        <v>9</v>
      </c>
      <c r="C538" s="161" t="s">
        <v>5246</v>
      </c>
      <c r="D538" s="161" t="s">
        <v>201</v>
      </c>
      <c r="E538" s="161" t="s">
        <v>13</v>
      </c>
      <c r="F538" s="162" t="s">
        <v>8749</v>
      </c>
      <c r="G538" s="162" t="s">
        <v>8750</v>
      </c>
      <c r="H538" s="163" t="s">
        <v>217</v>
      </c>
    </row>
    <row r="539">
      <c r="A539" s="164">
        <v>1.0</v>
      </c>
      <c r="B539" s="165" t="s">
        <v>6547</v>
      </c>
      <c r="C539" s="165">
        <v>2.5261001E8</v>
      </c>
      <c r="D539" s="166" t="s">
        <v>6548</v>
      </c>
      <c r="E539" s="165" t="s">
        <v>227</v>
      </c>
      <c r="F539" s="126"/>
      <c r="G539" s="126"/>
      <c r="H539" s="126"/>
    </row>
    <row r="540">
      <c r="A540" s="164">
        <v>2.0</v>
      </c>
      <c r="B540" s="165" t="s">
        <v>6552</v>
      </c>
      <c r="C540" s="165">
        <v>2.52610031E8</v>
      </c>
      <c r="D540" s="166" t="s">
        <v>6553</v>
      </c>
      <c r="E540" s="165" t="s">
        <v>227</v>
      </c>
      <c r="F540" s="128"/>
      <c r="G540" s="128"/>
      <c r="H540" s="128"/>
    </row>
    <row r="541">
      <c r="A541" s="164">
        <v>3.0</v>
      </c>
      <c r="B541" s="165" t="s">
        <v>6555</v>
      </c>
      <c r="C541" s="165">
        <v>2.52610033E8</v>
      </c>
      <c r="D541" s="166" t="s">
        <v>6556</v>
      </c>
      <c r="E541" s="165" t="s">
        <v>220</v>
      </c>
      <c r="F541" s="128"/>
      <c r="G541" s="128"/>
      <c r="H541" s="128"/>
    </row>
    <row r="542">
      <c r="A542" s="164">
        <v>4.0</v>
      </c>
      <c r="B542" s="165" t="s">
        <v>6559</v>
      </c>
      <c r="C542" s="165">
        <v>2.52610047E8</v>
      </c>
      <c r="D542" s="166" t="s">
        <v>6560</v>
      </c>
      <c r="E542" s="165" t="s">
        <v>227</v>
      </c>
      <c r="F542" s="128"/>
      <c r="G542" s="128"/>
      <c r="H542" s="128"/>
    </row>
    <row r="543">
      <c r="A543" s="164">
        <v>5.0</v>
      </c>
      <c r="B543" s="165" t="s">
        <v>6562</v>
      </c>
      <c r="C543" s="165">
        <v>2.52610066E8</v>
      </c>
      <c r="D543" s="166" t="s">
        <v>6563</v>
      </c>
      <c r="E543" s="165" t="s">
        <v>227</v>
      </c>
      <c r="F543" s="128"/>
      <c r="G543" s="128"/>
      <c r="H543" s="128"/>
    </row>
    <row r="544">
      <c r="A544" s="164">
        <v>6.0</v>
      </c>
      <c r="B544" s="165" t="s">
        <v>6565</v>
      </c>
      <c r="C544" s="165">
        <v>2.52610085E8</v>
      </c>
      <c r="D544" s="166" t="s">
        <v>6566</v>
      </c>
      <c r="E544" s="165" t="s">
        <v>227</v>
      </c>
      <c r="F544" s="128"/>
      <c r="G544" s="128"/>
      <c r="H544" s="128"/>
    </row>
    <row r="545">
      <c r="A545" s="164">
        <v>7.0</v>
      </c>
      <c r="B545" s="165" t="s">
        <v>6568</v>
      </c>
      <c r="C545" s="165">
        <v>2.52610098E8</v>
      </c>
      <c r="D545" s="166" t="s">
        <v>6569</v>
      </c>
      <c r="E545" s="165" t="s">
        <v>227</v>
      </c>
      <c r="F545" s="128"/>
      <c r="G545" s="128"/>
      <c r="H545" s="128"/>
    </row>
    <row r="546">
      <c r="A546" s="164">
        <v>8.0</v>
      </c>
      <c r="B546" s="165" t="s">
        <v>6571</v>
      </c>
      <c r="C546" s="165">
        <v>2.52610105E8</v>
      </c>
      <c r="D546" s="166" t="s">
        <v>6572</v>
      </c>
      <c r="E546" s="165" t="s">
        <v>220</v>
      </c>
      <c r="F546" s="128"/>
      <c r="G546" s="128"/>
      <c r="H546" s="128"/>
    </row>
    <row r="547">
      <c r="A547" s="164">
        <v>9.0</v>
      </c>
      <c r="B547" s="165" t="s">
        <v>6574</v>
      </c>
      <c r="C547" s="165">
        <v>2.5261011E8</v>
      </c>
      <c r="D547" s="166" t="s">
        <v>6575</v>
      </c>
      <c r="E547" s="165" t="s">
        <v>220</v>
      </c>
      <c r="F547" s="128"/>
      <c r="G547" s="128"/>
      <c r="H547" s="128"/>
    </row>
    <row r="548">
      <c r="A548" s="164">
        <v>10.0</v>
      </c>
      <c r="B548" s="165" t="s">
        <v>6577</v>
      </c>
      <c r="C548" s="165">
        <v>2.52610111E8</v>
      </c>
      <c r="D548" s="166" t="s">
        <v>6578</v>
      </c>
      <c r="E548" s="171" t="s">
        <v>227</v>
      </c>
      <c r="F548" s="128"/>
      <c r="G548" s="128"/>
      <c r="H548" s="128"/>
    </row>
    <row r="549">
      <c r="A549" s="164">
        <v>11.0</v>
      </c>
      <c r="B549" s="165" t="s">
        <v>6580</v>
      </c>
      <c r="C549" s="165">
        <v>2.52610112E8</v>
      </c>
      <c r="D549" s="166" t="s">
        <v>6581</v>
      </c>
      <c r="E549" s="165" t="s">
        <v>227</v>
      </c>
      <c r="F549" s="128"/>
      <c r="G549" s="128"/>
      <c r="H549" s="128"/>
    </row>
    <row r="550">
      <c r="A550" s="164">
        <v>12.0</v>
      </c>
      <c r="B550" s="165" t="s">
        <v>6583</v>
      </c>
      <c r="C550" s="165">
        <v>2.52610114E8</v>
      </c>
      <c r="D550" s="166" t="s">
        <v>6584</v>
      </c>
      <c r="E550" s="165" t="s">
        <v>227</v>
      </c>
      <c r="F550" s="128"/>
      <c r="G550" s="128"/>
      <c r="H550" s="128"/>
    </row>
    <row r="551">
      <c r="A551" s="164">
        <v>13.0</v>
      </c>
      <c r="B551" s="165" t="s">
        <v>6586</v>
      </c>
      <c r="C551" s="165">
        <v>2.52610116E8</v>
      </c>
      <c r="D551" s="166" t="s">
        <v>6587</v>
      </c>
      <c r="E551" s="165" t="s">
        <v>227</v>
      </c>
      <c r="F551" s="128"/>
      <c r="G551" s="128"/>
      <c r="H551" s="128"/>
    </row>
    <row r="552">
      <c r="A552" s="164">
        <v>14.0</v>
      </c>
      <c r="B552" s="165" t="s">
        <v>6589</v>
      </c>
      <c r="C552" s="165">
        <v>2.52610131E8</v>
      </c>
      <c r="D552" s="166" t="s">
        <v>6590</v>
      </c>
      <c r="E552" s="165" t="s">
        <v>227</v>
      </c>
      <c r="F552" s="128"/>
      <c r="G552" s="128"/>
      <c r="H552" s="128"/>
    </row>
    <row r="553">
      <c r="A553" s="164">
        <v>15.0</v>
      </c>
      <c r="B553" s="165" t="s">
        <v>9342</v>
      </c>
      <c r="C553" s="165">
        <v>2.52610137E8</v>
      </c>
      <c r="D553" s="166" t="s">
        <v>9343</v>
      </c>
      <c r="E553" s="165" t="s">
        <v>227</v>
      </c>
      <c r="F553" s="128"/>
      <c r="G553" s="128"/>
      <c r="H553" s="128"/>
    </row>
    <row r="554">
      <c r="A554" s="164">
        <v>16.0</v>
      </c>
      <c r="B554" s="165" t="s">
        <v>6592</v>
      </c>
      <c r="C554" s="165">
        <v>2.52610184E8</v>
      </c>
      <c r="D554" s="166" t="s">
        <v>6593</v>
      </c>
      <c r="E554" s="165" t="s">
        <v>220</v>
      </c>
      <c r="F554" s="128"/>
      <c r="G554" s="128"/>
      <c r="H554" s="128"/>
    </row>
    <row r="555">
      <c r="A555" s="164">
        <v>17.0</v>
      </c>
      <c r="B555" s="165" t="s">
        <v>6595</v>
      </c>
      <c r="C555" s="165">
        <v>2.52610196E8</v>
      </c>
      <c r="D555" s="166" t="s">
        <v>6596</v>
      </c>
      <c r="E555" s="165" t="s">
        <v>220</v>
      </c>
      <c r="F555" s="128"/>
      <c r="G555" s="128"/>
      <c r="H555" s="128"/>
    </row>
    <row r="556">
      <c r="A556" s="164">
        <v>18.0</v>
      </c>
      <c r="B556" s="165" t="s">
        <v>6598</v>
      </c>
      <c r="C556" s="165">
        <v>2.52610217E8</v>
      </c>
      <c r="D556" s="166" t="s">
        <v>6599</v>
      </c>
      <c r="E556" s="165" t="s">
        <v>220</v>
      </c>
      <c r="F556" s="128"/>
      <c r="G556" s="128"/>
      <c r="H556" s="128"/>
    </row>
    <row r="557">
      <c r="A557" s="164">
        <v>19.0</v>
      </c>
      <c r="B557" s="165" t="s">
        <v>9344</v>
      </c>
      <c r="C557" s="165">
        <v>2.52610228E8</v>
      </c>
      <c r="D557" s="166" t="s">
        <v>9345</v>
      </c>
      <c r="E557" s="165" t="s">
        <v>227</v>
      </c>
      <c r="F557" s="128"/>
      <c r="G557" s="128"/>
      <c r="H557" s="128"/>
    </row>
    <row r="558">
      <c r="A558" s="164">
        <v>20.0</v>
      </c>
      <c r="B558" s="165" t="s">
        <v>6601</v>
      </c>
      <c r="C558" s="165">
        <v>2.52610241E8</v>
      </c>
      <c r="D558" s="166" t="s">
        <v>6602</v>
      </c>
      <c r="E558" s="165" t="s">
        <v>227</v>
      </c>
      <c r="F558" s="128"/>
      <c r="G558" s="128"/>
      <c r="H558" s="128"/>
    </row>
    <row r="559">
      <c r="A559" s="164">
        <v>21.0</v>
      </c>
      <c r="B559" s="165" t="s">
        <v>6604</v>
      </c>
      <c r="C559" s="165">
        <v>2.52610253E8</v>
      </c>
      <c r="D559" s="166" t="s">
        <v>6605</v>
      </c>
      <c r="E559" s="165" t="s">
        <v>227</v>
      </c>
      <c r="F559" s="128"/>
      <c r="G559" s="128"/>
      <c r="H559" s="128"/>
    </row>
    <row r="560">
      <c r="A560" s="164">
        <v>22.0</v>
      </c>
      <c r="B560" s="165" t="s">
        <v>6608</v>
      </c>
      <c r="C560" s="165">
        <v>2.52610289E8</v>
      </c>
      <c r="D560" s="166" t="s">
        <v>6609</v>
      </c>
      <c r="E560" s="165" t="s">
        <v>220</v>
      </c>
      <c r="F560" s="128"/>
      <c r="G560" s="128"/>
      <c r="H560" s="128"/>
    </row>
    <row r="561">
      <c r="A561" s="164">
        <v>23.0</v>
      </c>
      <c r="B561" s="165" t="s">
        <v>6611</v>
      </c>
      <c r="C561" s="165">
        <v>2.52610292E8</v>
      </c>
      <c r="D561" s="166" t="s">
        <v>6612</v>
      </c>
      <c r="E561" s="165" t="s">
        <v>227</v>
      </c>
      <c r="F561" s="128"/>
      <c r="G561" s="128"/>
      <c r="H561" s="128"/>
    </row>
    <row r="562">
      <c r="A562" s="164">
        <v>24.0</v>
      </c>
      <c r="B562" s="165" t="s">
        <v>6614</v>
      </c>
      <c r="C562" s="165">
        <v>2.52610295E8</v>
      </c>
      <c r="D562" s="166" t="s">
        <v>6615</v>
      </c>
      <c r="E562" s="165" t="s">
        <v>227</v>
      </c>
      <c r="F562" s="128"/>
      <c r="G562" s="128"/>
      <c r="H562" s="128"/>
    </row>
    <row r="563">
      <c r="A563" s="164">
        <v>25.0</v>
      </c>
      <c r="B563" s="165" t="s">
        <v>6617</v>
      </c>
      <c r="C563" s="165">
        <v>2.5261031E8</v>
      </c>
      <c r="D563" s="166" t="s">
        <v>6618</v>
      </c>
      <c r="E563" s="165" t="s">
        <v>220</v>
      </c>
      <c r="F563" s="128"/>
      <c r="G563" s="128"/>
      <c r="H563" s="128"/>
    </row>
    <row r="564">
      <c r="A564" s="164">
        <v>26.0</v>
      </c>
      <c r="B564" s="165" t="s">
        <v>6620</v>
      </c>
      <c r="C564" s="165">
        <v>2.52610315E8</v>
      </c>
      <c r="D564" s="166" t="s">
        <v>6621</v>
      </c>
      <c r="E564" s="165" t="s">
        <v>220</v>
      </c>
      <c r="F564" s="128"/>
      <c r="G564" s="128"/>
      <c r="H564" s="128"/>
    </row>
    <row r="565">
      <c r="A565" s="164">
        <v>27.0</v>
      </c>
      <c r="B565" s="165" t="s">
        <v>6623</v>
      </c>
      <c r="C565" s="165">
        <v>2.52610328E8</v>
      </c>
      <c r="D565" s="166" t="s">
        <v>6624</v>
      </c>
      <c r="E565" s="165" t="s">
        <v>220</v>
      </c>
      <c r="F565" s="128"/>
      <c r="G565" s="128"/>
      <c r="H565" s="128"/>
    </row>
    <row r="566">
      <c r="A566" s="164">
        <v>28.0</v>
      </c>
      <c r="B566" s="165" t="s">
        <v>6626</v>
      </c>
      <c r="C566" s="165">
        <v>2.52610346E8</v>
      </c>
      <c r="D566" s="166" t="s">
        <v>6627</v>
      </c>
      <c r="E566" s="165" t="s">
        <v>220</v>
      </c>
      <c r="F566" s="128"/>
      <c r="G566" s="128"/>
      <c r="H566" s="128"/>
    </row>
    <row r="567">
      <c r="A567" s="164">
        <v>29.0</v>
      </c>
      <c r="B567" s="165" t="s">
        <v>6629</v>
      </c>
      <c r="C567" s="165">
        <v>2.52610348E8</v>
      </c>
      <c r="D567" s="166" t="s">
        <v>6630</v>
      </c>
      <c r="E567" s="165" t="s">
        <v>220</v>
      </c>
      <c r="F567" s="128"/>
      <c r="G567" s="128"/>
      <c r="H567" s="128"/>
    </row>
    <row r="568">
      <c r="A568" s="164">
        <v>30.0</v>
      </c>
      <c r="B568" s="165" t="s">
        <v>6632</v>
      </c>
      <c r="C568" s="165">
        <v>2.52610356E8</v>
      </c>
      <c r="D568" s="166" t="s">
        <v>6633</v>
      </c>
      <c r="E568" s="165" t="s">
        <v>220</v>
      </c>
      <c r="F568" s="128"/>
      <c r="G568" s="128"/>
      <c r="H568" s="128"/>
    </row>
    <row r="569">
      <c r="A569" s="164">
        <v>31.0</v>
      </c>
      <c r="B569" s="165" t="s">
        <v>6635</v>
      </c>
      <c r="C569" s="165">
        <v>2.52610367E8</v>
      </c>
      <c r="D569" s="166" t="s">
        <v>6636</v>
      </c>
      <c r="E569" s="165" t="s">
        <v>220</v>
      </c>
      <c r="F569" s="128"/>
      <c r="G569" s="128"/>
      <c r="H569" s="128"/>
    </row>
    <row r="570">
      <c r="A570" s="164">
        <v>32.0</v>
      </c>
      <c r="B570" s="165" t="s">
        <v>6638</v>
      </c>
      <c r="C570" s="165">
        <v>2.5261038E8</v>
      </c>
      <c r="D570" s="166" t="s">
        <v>6639</v>
      </c>
      <c r="E570" s="165" t="s">
        <v>220</v>
      </c>
      <c r="F570" s="128"/>
      <c r="G570" s="128"/>
      <c r="H570" s="128"/>
    </row>
    <row r="571">
      <c r="A571" s="164">
        <v>33.0</v>
      </c>
      <c r="B571" s="165" t="s">
        <v>6641</v>
      </c>
      <c r="C571" s="165">
        <v>2.52610385E8</v>
      </c>
      <c r="D571" s="166" t="s">
        <v>6642</v>
      </c>
      <c r="E571" s="165" t="s">
        <v>227</v>
      </c>
      <c r="F571" s="128"/>
      <c r="G571" s="128"/>
      <c r="H571" s="128"/>
    </row>
    <row r="572">
      <c r="A572" s="164">
        <v>34.0</v>
      </c>
      <c r="B572" s="165" t="s">
        <v>6644</v>
      </c>
      <c r="C572" s="165">
        <v>2.52610388E8</v>
      </c>
      <c r="D572" s="166" t="s">
        <v>6645</v>
      </c>
      <c r="E572" s="165" t="s">
        <v>227</v>
      </c>
      <c r="F572" s="128"/>
      <c r="G572" s="128"/>
      <c r="H572" s="128"/>
    </row>
    <row r="573">
      <c r="A573" s="164">
        <v>35.0</v>
      </c>
      <c r="B573" s="165" t="s">
        <v>6647</v>
      </c>
      <c r="C573" s="165">
        <v>2.52610417E8</v>
      </c>
      <c r="D573" s="166" t="s">
        <v>6648</v>
      </c>
      <c r="E573" s="165" t="s">
        <v>227</v>
      </c>
      <c r="F573" s="128"/>
      <c r="G573" s="128"/>
      <c r="H573" s="128"/>
    </row>
    <row r="574">
      <c r="A574" s="164">
        <v>36.0</v>
      </c>
      <c r="B574" s="165" t="s">
        <v>6650</v>
      </c>
      <c r="C574" s="165">
        <v>2.52610458E8</v>
      </c>
      <c r="D574" s="166" t="s">
        <v>6651</v>
      </c>
      <c r="E574" s="165" t="s">
        <v>220</v>
      </c>
      <c r="F574" s="128"/>
      <c r="G574" s="128"/>
      <c r="H574" s="128"/>
    </row>
    <row r="575">
      <c r="A575" s="164">
        <v>37.0</v>
      </c>
      <c r="B575" s="165" t="s">
        <v>6653</v>
      </c>
      <c r="C575" s="165">
        <v>2.52610482E8</v>
      </c>
      <c r="D575" s="166" t="s">
        <v>6654</v>
      </c>
      <c r="E575" s="165" t="s">
        <v>220</v>
      </c>
      <c r="F575" s="126"/>
      <c r="G575" s="126"/>
      <c r="H575" s="126"/>
    </row>
    <row r="576">
      <c r="A576" s="164">
        <v>38.0</v>
      </c>
      <c r="B576" s="165" t="s">
        <v>6656</v>
      </c>
      <c r="C576" s="165">
        <v>2.52610499E8</v>
      </c>
      <c r="D576" s="166" t="s">
        <v>6657</v>
      </c>
      <c r="E576" s="165" t="s">
        <v>227</v>
      </c>
      <c r="F576" s="128"/>
      <c r="G576" s="128"/>
      <c r="H576" s="128"/>
    </row>
    <row r="577">
      <c r="A577" s="164">
        <v>39.0</v>
      </c>
      <c r="B577" s="165" t="s">
        <v>6659</v>
      </c>
      <c r="C577" s="165">
        <v>2.52610503E8</v>
      </c>
      <c r="D577" s="166" t="s">
        <v>6660</v>
      </c>
      <c r="E577" s="165" t="s">
        <v>227</v>
      </c>
      <c r="F577" s="128"/>
      <c r="G577" s="128"/>
      <c r="H577" s="128"/>
    </row>
    <row r="578">
      <c r="A578" s="164">
        <v>40.0</v>
      </c>
      <c r="B578" s="165" t="s">
        <v>6662</v>
      </c>
      <c r="C578" s="165">
        <v>2.52610506E8</v>
      </c>
      <c r="D578" s="166" t="s">
        <v>6663</v>
      </c>
      <c r="E578" s="165" t="s">
        <v>227</v>
      </c>
      <c r="F578" s="128"/>
      <c r="G578" s="128"/>
      <c r="H578" s="128"/>
    </row>
    <row r="579">
      <c r="A579" s="164">
        <v>41.0</v>
      </c>
      <c r="B579" s="165" t="s">
        <v>6665</v>
      </c>
      <c r="C579" s="165">
        <v>2.52610518E8</v>
      </c>
      <c r="D579" s="166" t="s">
        <v>6666</v>
      </c>
      <c r="E579" s="165" t="s">
        <v>227</v>
      </c>
      <c r="F579" s="128"/>
      <c r="G579" s="128"/>
      <c r="H579" s="128"/>
    </row>
    <row r="580">
      <c r="A580" s="164">
        <v>42.0</v>
      </c>
      <c r="B580" s="165" t="s">
        <v>6668</v>
      </c>
      <c r="C580" s="165">
        <v>2.52610524E8</v>
      </c>
      <c r="D580" s="166" t="s">
        <v>6669</v>
      </c>
      <c r="E580" s="165" t="s">
        <v>227</v>
      </c>
      <c r="F580" s="128"/>
      <c r="G580" s="128"/>
      <c r="H580" s="128"/>
    </row>
    <row r="581">
      <c r="A581" s="164">
        <v>43.0</v>
      </c>
      <c r="B581" s="165" t="s">
        <v>6671</v>
      </c>
      <c r="C581" s="165">
        <v>2.52610545E8</v>
      </c>
      <c r="D581" s="166" t="s">
        <v>6672</v>
      </c>
      <c r="E581" s="165" t="s">
        <v>227</v>
      </c>
      <c r="F581" s="128"/>
      <c r="G581" s="128"/>
      <c r="H581" s="128"/>
    </row>
    <row r="582">
      <c r="A582" s="164">
        <v>44.0</v>
      </c>
      <c r="B582" s="165" t="s">
        <v>6674</v>
      </c>
      <c r="C582" s="165">
        <v>2.52610551E8</v>
      </c>
      <c r="D582" s="166" t="s">
        <v>6675</v>
      </c>
      <c r="E582" s="165" t="s">
        <v>227</v>
      </c>
      <c r="F582" s="128"/>
      <c r="G582" s="128"/>
      <c r="H582" s="128"/>
    </row>
    <row r="583">
      <c r="A583" s="164">
        <v>45.0</v>
      </c>
      <c r="B583" s="165" t="s">
        <v>9346</v>
      </c>
      <c r="C583" s="165">
        <v>2.52610553E8</v>
      </c>
      <c r="D583" s="166" t="s">
        <v>9347</v>
      </c>
      <c r="E583" s="165" t="s">
        <v>227</v>
      </c>
      <c r="F583" s="128"/>
      <c r="G583" s="128"/>
      <c r="H583" s="128"/>
    </row>
    <row r="584">
      <c r="A584" s="164">
        <v>46.0</v>
      </c>
      <c r="B584" s="165" t="s">
        <v>9348</v>
      </c>
      <c r="C584" s="165">
        <v>2.52610557E8</v>
      </c>
      <c r="D584" s="166" t="s">
        <v>9349</v>
      </c>
      <c r="E584" s="165" t="s">
        <v>227</v>
      </c>
      <c r="F584" s="128"/>
      <c r="G584" s="128"/>
      <c r="H584" s="128"/>
    </row>
    <row r="585">
      <c r="A585" s="164">
        <v>47.0</v>
      </c>
      <c r="B585" s="165" t="s">
        <v>6677</v>
      </c>
      <c r="C585" s="165">
        <v>2.52610561E8</v>
      </c>
      <c r="D585" s="166" t="s">
        <v>6678</v>
      </c>
      <c r="E585" s="165" t="s">
        <v>220</v>
      </c>
      <c r="F585" s="128"/>
      <c r="G585" s="128"/>
      <c r="H585" s="128"/>
    </row>
    <row r="586">
      <c r="A586" s="164">
        <v>48.0</v>
      </c>
      <c r="B586" s="165" t="s">
        <v>6680</v>
      </c>
      <c r="C586" s="165">
        <v>2.52610565E8</v>
      </c>
      <c r="D586" s="166" t="s">
        <v>6681</v>
      </c>
      <c r="E586" s="165" t="s">
        <v>227</v>
      </c>
      <c r="F586" s="128"/>
      <c r="G586" s="128"/>
      <c r="H586" s="128"/>
    </row>
    <row r="587">
      <c r="A587" s="167"/>
      <c r="B587" s="167"/>
      <c r="C587" s="167"/>
      <c r="D587" s="158"/>
      <c r="E587" s="158"/>
    </row>
    <row r="588">
      <c r="A588" s="167"/>
      <c r="B588" s="167"/>
      <c r="C588" s="168"/>
      <c r="D588" s="166" t="s">
        <v>9262</v>
      </c>
      <c r="E588" s="169">
        <f>COUNTIF(E539:E586,"P")</f>
        <v>30</v>
      </c>
    </row>
    <row r="589">
      <c r="A589" s="167"/>
      <c r="B589" s="167"/>
      <c r="C589" s="168"/>
      <c r="D589" s="166" t="s">
        <v>9263</v>
      </c>
      <c r="E589" s="169">
        <f>COUNTIF(E539:E586,"L")</f>
        <v>18</v>
      </c>
    </row>
    <row r="592">
      <c r="A592" s="157" t="s">
        <v>9350</v>
      </c>
      <c r="B592" s="158"/>
      <c r="C592" s="158"/>
      <c r="D592" s="158"/>
      <c r="E592" s="159" t="s">
        <v>6685</v>
      </c>
    </row>
    <row r="593">
      <c r="A593" s="160" t="s">
        <v>9249</v>
      </c>
      <c r="B593" s="161" t="s">
        <v>9</v>
      </c>
      <c r="C593" s="161" t="s">
        <v>5246</v>
      </c>
      <c r="D593" s="161" t="s">
        <v>201</v>
      </c>
      <c r="E593" s="161" t="s">
        <v>13</v>
      </c>
      <c r="F593" s="162" t="s">
        <v>8749</v>
      </c>
      <c r="G593" s="162" t="s">
        <v>8750</v>
      </c>
      <c r="H593" s="163" t="s">
        <v>217</v>
      </c>
    </row>
    <row r="594">
      <c r="A594" s="164">
        <v>1.0</v>
      </c>
      <c r="B594" s="165" t="s">
        <v>6683</v>
      </c>
      <c r="C594" s="165">
        <v>2.52610015E8</v>
      </c>
      <c r="D594" s="166" t="s">
        <v>6684</v>
      </c>
      <c r="E594" s="165" t="s">
        <v>220</v>
      </c>
      <c r="F594" s="126"/>
      <c r="G594" s="126"/>
      <c r="H594" s="126"/>
    </row>
    <row r="595">
      <c r="A595" s="164">
        <v>2.0</v>
      </c>
      <c r="B595" s="165" t="s">
        <v>6688</v>
      </c>
      <c r="C595" s="165">
        <v>2.52610021E8</v>
      </c>
      <c r="D595" s="166" t="s">
        <v>6689</v>
      </c>
      <c r="E595" s="165" t="s">
        <v>227</v>
      </c>
      <c r="F595" s="128"/>
      <c r="G595" s="128"/>
      <c r="H595" s="128"/>
    </row>
    <row r="596">
      <c r="A596" s="164">
        <v>3.0</v>
      </c>
      <c r="B596" s="165" t="s">
        <v>6692</v>
      </c>
      <c r="C596" s="165">
        <v>2.52610029E8</v>
      </c>
      <c r="D596" s="166" t="s">
        <v>6693</v>
      </c>
      <c r="E596" s="165" t="s">
        <v>227</v>
      </c>
      <c r="F596" s="128"/>
      <c r="G596" s="128"/>
      <c r="H596" s="128"/>
    </row>
    <row r="597">
      <c r="A597" s="164">
        <v>4.0</v>
      </c>
      <c r="B597" s="165" t="s">
        <v>6695</v>
      </c>
      <c r="C597" s="165">
        <v>2.5261003E8</v>
      </c>
      <c r="D597" s="166" t="s">
        <v>6696</v>
      </c>
      <c r="E597" s="165" t="s">
        <v>227</v>
      </c>
      <c r="F597" s="128"/>
      <c r="G597" s="128"/>
      <c r="H597" s="128"/>
    </row>
    <row r="598">
      <c r="A598" s="164">
        <v>5.0</v>
      </c>
      <c r="B598" s="165" t="s">
        <v>6698</v>
      </c>
      <c r="C598" s="165">
        <v>2.52610046E8</v>
      </c>
      <c r="D598" s="166" t="s">
        <v>6699</v>
      </c>
      <c r="E598" s="165" t="s">
        <v>227</v>
      </c>
      <c r="F598" s="128"/>
      <c r="G598" s="128"/>
      <c r="H598" s="128"/>
    </row>
    <row r="599">
      <c r="A599" s="164">
        <v>6.0</v>
      </c>
      <c r="B599" s="165" t="s">
        <v>6701</v>
      </c>
      <c r="C599" s="165">
        <v>2.52610068E8</v>
      </c>
      <c r="D599" s="166" t="s">
        <v>6702</v>
      </c>
      <c r="E599" s="165" t="s">
        <v>227</v>
      </c>
      <c r="F599" s="128"/>
      <c r="G599" s="128"/>
      <c r="H599" s="128"/>
    </row>
    <row r="600">
      <c r="A600" s="164">
        <v>7.0</v>
      </c>
      <c r="B600" s="165" t="s">
        <v>6704</v>
      </c>
      <c r="C600" s="165">
        <v>2.5261008E8</v>
      </c>
      <c r="D600" s="166" t="s">
        <v>6705</v>
      </c>
      <c r="E600" s="165" t="s">
        <v>220</v>
      </c>
      <c r="F600" s="128"/>
      <c r="G600" s="128"/>
      <c r="H600" s="128"/>
    </row>
    <row r="601">
      <c r="A601" s="164">
        <v>8.0</v>
      </c>
      <c r="B601" s="165" t="s">
        <v>6707</v>
      </c>
      <c r="C601" s="165">
        <v>2.52610081E8</v>
      </c>
      <c r="D601" s="166" t="s">
        <v>6708</v>
      </c>
      <c r="E601" s="165" t="s">
        <v>227</v>
      </c>
      <c r="F601" s="128"/>
      <c r="G601" s="128"/>
      <c r="H601" s="128"/>
    </row>
    <row r="602">
      <c r="A602" s="164">
        <v>9.0</v>
      </c>
      <c r="B602" s="165" t="s">
        <v>9351</v>
      </c>
      <c r="C602" s="165">
        <v>2.52610104E8</v>
      </c>
      <c r="D602" s="166" t="s">
        <v>9352</v>
      </c>
      <c r="E602" s="165" t="s">
        <v>227</v>
      </c>
      <c r="F602" s="128"/>
      <c r="G602" s="128"/>
      <c r="H602" s="128"/>
    </row>
    <row r="603">
      <c r="A603" s="164">
        <v>10.0</v>
      </c>
      <c r="B603" s="165" t="s">
        <v>6710</v>
      </c>
      <c r="C603" s="165">
        <v>2.52610106E8</v>
      </c>
      <c r="D603" s="166" t="s">
        <v>6711</v>
      </c>
      <c r="E603" s="165" t="s">
        <v>220</v>
      </c>
      <c r="F603" s="128"/>
      <c r="G603" s="128"/>
      <c r="H603" s="128"/>
    </row>
    <row r="604">
      <c r="A604" s="164">
        <v>11.0</v>
      </c>
      <c r="B604" s="165" t="s">
        <v>6713</v>
      </c>
      <c r="C604" s="165">
        <v>2.52610107E8</v>
      </c>
      <c r="D604" s="166" t="s">
        <v>6714</v>
      </c>
      <c r="E604" s="165" t="s">
        <v>227</v>
      </c>
      <c r="F604" s="128"/>
      <c r="G604" s="128"/>
      <c r="H604" s="128"/>
    </row>
    <row r="605">
      <c r="A605" s="164">
        <v>12.0</v>
      </c>
      <c r="B605" s="165" t="s">
        <v>6716</v>
      </c>
      <c r="C605" s="165">
        <v>2.52610127E8</v>
      </c>
      <c r="D605" s="166" t="s">
        <v>6717</v>
      </c>
      <c r="E605" s="165" t="s">
        <v>220</v>
      </c>
      <c r="F605" s="128"/>
      <c r="G605" s="128"/>
      <c r="H605" s="128"/>
    </row>
    <row r="606">
      <c r="A606" s="164">
        <v>13.0</v>
      </c>
      <c r="B606" s="165" t="s">
        <v>6719</v>
      </c>
      <c r="C606" s="165">
        <v>2.52610143E8</v>
      </c>
      <c r="D606" s="166" t="s">
        <v>6720</v>
      </c>
      <c r="E606" s="165" t="s">
        <v>220</v>
      </c>
      <c r="F606" s="128"/>
      <c r="G606" s="128"/>
      <c r="H606" s="128"/>
    </row>
    <row r="607">
      <c r="A607" s="164">
        <v>14.0</v>
      </c>
      <c r="B607" s="165" t="s">
        <v>6722</v>
      </c>
      <c r="C607" s="165">
        <v>2.52610147E8</v>
      </c>
      <c r="D607" s="166" t="s">
        <v>6723</v>
      </c>
      <c r="E607" s="165" t="s">
        <v>220</v>
      </c>
      <c r="F607" s="128"/>
      <c r="G607" s="128"/>
      <c r="H607" s="128"/>
    </row>
    <row r="608">
      <c r="A608" s="164">
        <v>15.0</v>
      </c>
      <c r="B608" s="165" t="s">
        <v>6725</v>
      </c>
      <c r="C608" s="165">
        <v>2.52610149E8</v>
      </c>
      <c r="D608" s="166" t="s">
        <v>6726</v>
      </c>
      <c r="E608" s="165" t="s">
        <v>227</v>
      </c>
      <c r="F608" s="128"/>
      <c r="G608" s="128"/>
      <c r="H608" s="128"/>
    </row>
    <row r="609">
      <c r="A609" s="164">
        <v>16.0</v>
      </c>
      <c r="B609" s="165" t="s">
        <v>6728</v>
      </c>
      <c r="C609" s="165">
        <v>2.52610152E8</v>
      </c>
      <c r="D609" s="166" t="s">
        <v>6729</v>
      </c>
      <c r="E609" s="165" t="s">
        <v>227</v>
      </c>
      <c r="F609" s="128"/>
      <c r="G609" s="128"/>
      <c r="H609" s="128"/>
    </row>
    <row r="610">
      <c r="A610" s="164">
        <v>17.0</v>
      </c>
      <c r="B610" s="165" t="s">
        <v>6731</v>
      </c>
      <c r="C610" s="165">
        <v>2.52610208E8</v>
      </c>
      <c r="D610" s="166" t="s">
        <v>6732</v>
      </c>
      <c r="E610" s="165" t="s">
        <v>227</v>
      </c>
      <c r="F610" s="128"/>
      <c r="G610" s="128"/>
      <c r="H610" s="128"/>
    </row>
    <row r="611">
      <c r="A611" s="164">
        <v>18.0</v>
      </c>
      <c r="B611" s="165" t="s">
        <v>6734</v>
      </c>
      <c r="C611" s="165">
        <v>2.52610218E8</v>
      </c>
      <c r="D611" s="166" t="s">
        <v>6735</v>
      </c>
      <c r="E611" s="165" t="s">
        <v>220</v>
      </c>
      <c r="F611" s="128"/>
      <c r="G611" s="128"/>
      <c r="H611" s="128"/>
    </row>
    <row r="612">
      <c r="A612" s="164">
        <v>19.0</v>
      </c>
      <c r="B612" s="165" t="s">
        <v>6737</v>
      </c>
      <c r="C612" s="165">
        <v>2.52610267E8</v>
      </c>
      <c r="D612" s="166" t="s">
        <v>6738</v>
      </c>
      <c r="E612" s="165" t="s">
        <v>227</v>
      </c>
      <c r="F612" s="128"/>
      <c r="G612" s="128"/>
      <c r="H612" s="128"/>
    </row>
    <row r="613">
      <c r="A613" s="164">
        <v>20.0</v>
      </c>
      <c r="B613" s="165" t="s">
        <v>6740</v>
      </c>
      <c r="C613" s="165">
        <v>2.52610269E8</v>
      </c>
      <c r="D613" s="166" t="s">
        <v>6741</v>
      </c>
      <c r="E613" s="165" t="s">
        <v>220</v>
      </c>
      <c r="F613" s="128"/>
      <c r="G613" s="128"/>
      <c r="H613" s="128"/>
    </row>
    <row r="614">
      <c r="A614" s="164">
        <v>21.0</v>
      </c>
      <c r="B614" s="165" t="s">
        <v>6743</v>
      </c>
      <c r="C614" s="165">
        <v>2.5261027E8</v>
      </c>
      <c r="D614" s="166" t="s">
        <v>6744</v>
      </c>
      <c r="E614" s="165" t="s">
        <v>227</v>
      </c>
      <c r="F614" s="128"/>
      <c r="G614" s="128"/>
      <c r="H614" s="128"/>
    </row>
    <row r="615">
      <c r="A615" s="164">
        <v>22.0</v>
      </c>
      <c r="B615" s="165" t="s">
        <v>6746</v>
      </c>
      <c r="C615" s="165">
        <v>2.52610271E8</v>
      </c>
      <c r="D615" s="166" t="s">
        <v>6747</v>
      </c>
      <c r="E615" s="165" t="s">
        <v>220</v>
      </c>
      <c r="F615" s="128"/>
      <c r="G615" s="128"/>
      <c r="H615" s="128"/>
    </row>
    <row r="616">
      <c r="A616" s="164">
        <v>23.0</v>
      </c>
      <c r="B616" s="165" t="s">
        <v>6749</v>
      </c>
      <c r="C616" s="165">
        <v>2.52610296E8</v>
      </c>
      <c r="D616" s="166" t="s">
        <v>6750</v>
      </c>
      <c r="E616" s="165" t="s">
        <v>227</v>
      </c>
      <c r="F616" s="128"/>
      <c r="G616" s="128"/>
      <c r="H616" s="128"/>
    </row>
    <row r="617">
      <c r="A617" s="164">
        <v>24.0</v>
      </c>
      <c r="B617" s="165" t="s">
        <v>6753</v>
      </c>
      <c r="C617" s="165">
        <v>2.52610298E8</v>
      </c>
      <c r="D617" s="166" t="s">
        <v>6754</v>
      </c>
      <c r="E617" s="165" t="s">
        <v>220</v>
      </c>
      <c r="F617" s="128"/>
      <c r="G617" s="128"/>
      <c r="H617" s="128"/>
    </row>
    <row r="618">
      <c r="A618" s="164">
        <v>25.0</v>
      </c>
      <c r="B618" s="165" t="s">
        <v>9353</v>
      </c>
      <c r="C618" s="165">
        <v>2.52610303E8</v>
      </c>
      <c r="D618" s="166" t="s">
        <v>9354</v>
      </c>
      <c r="E618" s="165" t="s">
        <v>227</v>
      </c>
      <c r="F618" s="128"/>
      <c r="G618" s="128"/>
      <c r="H618" s="128"/>
    </row>
    <row r="619">
      <c r="A619" s="164">
        <v>26.0</v>
      </c>
      <c r="B619" s="165" t="s">
        <v>6756</v>
      </c>
      <c r="C619" s="165">
        <v>2.52610307E8</v>
      </c>
      <c r="D619" s="166" t="s">
        <v>6757</v>
      </c>
      <c r="E619" s="165" t="s">
        <v>227</v>
      </c>
      <c r="F619" s="128"/>
      <c r="G619" s="128"/>
      <c r="H619" s="128"/>
    </row>
    <row r="620">
      <c r="A620" s="164">
        <v>27.0</v>
      </c>
      <c r="B620" s="165" t="s">
        <v>6759</v>
      </c>
      <c r="C620" s="165">
        <v>2.52610331E8</v>
      </c>
      <c r="D620" s="166" t="s">
        <v>6760</v>
      </c>
      <c r="E620" s="165" t="s">
        <v>220</v>
      </c>
      <c r="F620" s="128"/>
      <c r="G620" s="128"/>
      <c r="H620" s="128"/>
    </row>
    <row r="621">
      <c r="A621" s="164">
        <v>28.0</v>
      </c>
      <c r="B621" s="165" t="s">
        <v>6762</v>
      </c>
      <c r="C621" s="165">
        <v>2.52610339E8</v>
      </c>
      <c r="D621" s="166" t="s">
        <v>6763</v>
      </c>
      <c r="E621" s="165" t="s">
        <v>220</v>
      </c>
      <c r="F621" s="128"/>
      <c r="G621" s="128"/>
      <c r="H621" s="128"/>
    </row>
    <row r="622">
      <c r="A622" s="164">
        <v>29.0</v>
      </c>
      <c r="B622" s="165" t="s">
        <v>6765</v>
      </c>
      <c r="C622" s="165">
        <v>2.52610359E8</v>
      </c>
      <c r="D622" s="166" t="s">
        <v>6766</v>
      </c>
      <c r="E622" s="165" t="s">
        <v>220</v>
      </c>
      <c r="F622" s="128"/>
      <c r="G622" s="128"/>
      <c r="H622" s="128"/>
    </row>
    <row r="623">
      <c r="A623" s="164">
        <v>30.0</v>
      </c>
      <c r="B623" s="165" t="s">
        <v>6768</v>
      </c>
      <c r="C623" s="165">
        <v>2.52610377E8</v>
      </c>
      <c r="D623" s="166" t="s">
        <v>6769</v>
      </c>
      <c r="E623" s="165" t="s">
        <v>220</v>
      </c>
      <c r="F623" s="128"/>
      <c r="G623" s="128"/>
      <c r="H623" s="128"/>
    </row>
    <row r="624">
      <c r="A624" s="164">
        <v>31.0</v>
      </c>
      <c r="B624" s="165" t="s">
        <v>6771</v>
      </c>
      <c r="C624" s="165">
        <v>2.52610387E8</v>
      </c>
      <c r="D624" s="166" t="s">
        <v>6772</v>
      </c>
      <c r="E624" s="165" t="s">
        <v>227</v>
      </c>
      <c r="F624" s="128"/>
      <c r="G624" s="128"/>
      <c r="H624" s="128"/>
    </row>
    <row r="625">
      <c r="A625" s="164">
        <v>32.0</v>
      </c>
      <c r="B625" s="165" t="s">
        <v>6774</v>
      </c>
      <c r="C625" s="165">
        <v>2.52610391E8</v>
      </c>
      <c r="D625" s="166" t="s">
        <v>6775</v>
      </c>
      <c r="E625" s="165" t="s">
        <v>227</v>
      </c>
      <c r="F625" s="128"/>
      <c r="G625" s="128"/>
      <c r="H625" s="128"/>
    </row>
    <row r="626">
      <c r="A626" s="164">
        <v>33.0</v>
      </c>
      <c r="B626" s="165" t="s">
        <v>6777</v>
      </c>
      <c r="C626" s="165">
        <v>2.526104E8</v>
      </c>
      <c r="D626" s="166" t="s">
        <v>6778</v>
      </c>
      <c r="E626" s="165" t="s">
        <v>220</v>
      </c>
      <c r="F626" s="128"/>
      <c r="G626" s="128"/>
      <c r="H626" s="128"/>
    </row>
    <row r="627">
      <c r="A627" s="164">
        <v>34.0</v>
      </c>
      <c r="B627" s="165" t="s">
        <v>6780</v>
      </c>
      <c r="C627" s="165">
        <v>2.52610405E8</v>
      </c>
      <c r="D627" s="166" t="s">
        <v>6781</v>
      </c>
      <c r="E627" s="165" t="s">
        <v>227</v>
      </c>
      <c r="F627" s="128"/>
      <c r="G627" s="128"/>
      <c r="H627" s="128"/>
    </row>
    <row r="628">
      <c r="A628" s="164">
        <v>35.0</v>
      </c>
      <c r="B628" s="165" t="s">
        <v>6783</v>
      </c>
      <c r="C628" s="165">
        <v>2.52610407E8</v>
      </c>
      <c r="D628" s="166" t="s">
        <v>6784</v>
      </c>
      <c r="E628" s="165" t="s">
        <v>227</v>
      </c>
      <c r="F628" s="128"/>
      <c r="G628" s="128"/>
      <c r="H628" s="128"/>
    </row>
    <row r="629">
      <c r="A629" s="164">
        <v>36.0</v>
      </c>
      <c r="B629" s="165" t="s">
        <v>6786</v>
      </c>
      <c r="C629" s="165">
        <v>2.52610411E8</v>
      </c>
      <c r="D629" s="166" t="s">
        <v>6787</v>
      </c>
      <c r="E629" s="165" t="s">
        <v>227</v>
      </c>
      <c r="F629" s="128"/>
      <c r="G629" s="128"/>
      <c r="H629" s="128"/>
    </row>
    <row r="630">
      <c r="A630" s="164">
        <v>37.0</v>
      </c>
      <c r="B630" s="165" t="s">
        <v>9355</v>
      </c>
      <c r="C630" s="165">
        <v>2.52610418E8</v>
      </c>
      <c r="D630" s="166" t="s">
        <v>9356</v>
      </c>
      <c r="E630" s="165" t="s">
        <v>227</v>
      </c>
      <c r="F630" s="126"/>
      <c r="G630" s="126"/>
      <c r="H630" s="126"/>
    </row>
    <row r="631">
      <c r="A631" s="164">
        <v>38.0</v>
      </c>
      <c r="B631" s="165" t="s">
        <v>9357</v>
      </c>
      <c r="C631" s="165">
        <v>2.5261043E8</v>
      </c>
      <c r="D631" s="166" t="s">
        <v>9358</v>
      </c>
      <c r="E631" s="165" t="s">
        <v>227</v>
      </c>
      <c r="F631" s="128"/>
      <c r="G631" s="128"/>
      <c r="H631" s="128"/>
    </row>
    <row r="632">
      <c r="A632" s="164">
        <v>39.0</v>
      </c>
      <c r="B632" s="165" t="s">
        <v>6789</v>
      </c>
      <c r="C632" s="165">
        <v>2.52610448E8</v>
      </c>
      <c r="D632" s="166" t="s">
        <v>6790</v>
      </c>
      <c r="E632" s="165" t="s">
        <v>220</v>
      </c>
      <c r="F632" s="128"/>
      <c r="G632" s="128"/>
      <c r="H632" s="128"/>
    </row>
    <row r="633">
      <c r="A633" s="164">
        <v>40.0</v>
      </c>
      <c r="B633" s="165" t="s">
        <v>6792</v>
      </c>
      <c r="C633" s="165">
        <v>2.52610455E8</v>
      </c>
      <c r="D633" s="166" t="s">
        <v>6793</v>
      </c>
      <c r="E633" s="165" t="s">
        <v>220</v>
      </c>
      <c r="F633" s="128"/>
      <c r="G633" s="128"/>
      <c r="H633" s="128"/>
    </row>
    <row r="634">
      <c r="A634" s="164">
        <v>41.0</v>
      </c>
      <c r="B634" s="165" t="s">
        <v>6795</v>
      </c>
      <c r="C634" s="165">
        <v>2.5261049E8</v>
      </c>
      <c r="D634" s="166" t="s">
        <v>6796</v>
      </c>
      <c r="E634" s="165" t="s">
        <v>227</v>
      </c>
      <c r="F634" s="128"/>
      <c r="G634" s="128"/>
      <c r="H634" s="128"/>
    </row>
    <row r="635">
      <c r="A635" s="164">
        <v>42.0</v>
      </c>
      <c r="B635" s="165" t="s">
        <v>6798</v>
      </c>
      <c r="C635" s="165">
        <v>2.52610494E8</v>
      </c>
      <c r="D635" s="166" t="s">
        <v>6799</v>
      </c>
      <c r="E635" s="165" t="s">
        <v>220</v>
      </c>
      <c r="F635" s="128"/>
      <c r="G635" s="128"/>
      <c r="H635" s="128"/>
    </row>
    <row r="636">
      <c r="A636" s="164">
        <v>43.0</v>
      </c>
      <c r="B636" s="165" t="s">
        <v>6801</v>
      </c>
      <c r="C636" s="165">
        <v>2.52610496E8</v>
      </c>
      <c r="D636" s="166" t="s">
        <v>6802</v>
      </c>
      <c r="E636" s="165" t="s">
        <v>227</v>
      </c>
      <c r="F636" s="128"/>
      <c r="G636" s="128"/>
      <c r="H636" s="128"/>
    </row>
    <row r="637">
      <c r="A637" s="164">
        <v>44.0</v>
      </c>
      <c r="B637" s="165" t="s">
        <v>6804</v>
      </c>
      <c r="C637" s="165">
        <v>2.52610502E8</v>
      </c>
      <c r="D637" s="166" t="s">
        <v>6805</v>
      </c>
      <c r="E637" s="165" t="s">
        <v>227</v>
      </c>
      <c r="F637" s="128"/>
      <c r="G637" s="128"/>
      <c r="H637" s="128"/>
    </row>
    <row r="638">
      <c r="A638" s="164">
        <v>45.0</v>
      </c>
      <c r="B638" s="165" t="s">
        <v>6807</v>
      </c>
      <c r="C638" s="165">
        <v>2.52610516E8</v>
      </c>
      <c r="D638" s="166" t="s">
        <v>6808</v>
      </c>
      <c r="E638" s="165" t="s">
        <v>227</v>
      </c>
      <c r="F638" s="128"/>
      <c r="G638" s="128"/>
      <c r="H638" s="128"/>
    </row>
    <row r="639">
      <c r="A639" s="164">
        <v>46.0</v>
      </c>
      <c r="B639" s="165" t="s">
        <v>6810</v>
      </c>
      <c r="C639" s="165">
        <v>2.52610531E8</v>
      </c>
      <c r="D639" s="166" t="s">
        <v>6811</v>
      </c>
      <c r="E639" s="165" t="s">
        <v>227</v>
      </c>
      <c r="F639" s="128"/>
      <c r="G639" s="128"/>
      <c r="H639" s="128"/>
    </row>
    <row r="640">
      <c r="A640" s="164">
        <v>47.0</v>
      </c>
      <c r="B640" s="165" t="s">
        <v>6813</v>
      </c>
      <c r="C640" s="165">
        <v>2.5261055E8</v>
      </c>
      <c r="D640" s="166" t="s">
        <v>6814</v>
      </c>
      <c r="E640" s="165" t="s">
        <v>227</v>
      </c>
      <c r="F640" s="128"/>
      <c r="G640" s="128"/>
      <c r="H640" s="128"/>
    </row>
    <row r="641">
      <c r="A641" s="164">
        <v>48.0</v>
      </c>
      <c r="B641" s="165" t="s">
        <v>6816</v>
      </c>
      <c r="C641" s="165">
        <v>2.52610562E8</v>
      </c>
      <c r="D641" s="166" t="s">
        <v>6817</v>
      </c>
      <c r="E641" s="165" t="s">
        <v>227</v>
      </c>
      <c r="F641" s="128"/>
      <c r="G641" s="128"/>
      <c r="H641" s="128"/>
    </row>
    <row r="642">
      <c r="A642" s="167"/>
      <c r="B642" s="167"/>
      <c r="C642" s="167"/>
      <c r="D642" s="158"/>
      <c r="E642" s="158"/>
    </row>
    <row r="643">
      <c r="A643" s="167"/>
      <c r="B643" s="167"/>
      <c r="C643" s="168"/>
      <c r="D643" s="166" t="s">
        <v>9262</v>
      </c>
      <c r="E643" s="169">
        <f>COUNTIF(E594:E641,"P")</f>
        <v>30</v>
      </c>
    </row>
    <row r="644">
      <c r="A644" s="167"/>
      <c r="B644" s="167"/>
      <c r="C644" s="168"/>
      <c r="D644" s="166" t="s">
        <v>9263</v>
      </c>
      <c r="E644" s="169">
        <f>COUNTIF(E594:E641,"L")</f>
        <v>18</v>
      </c>
    </row>
  </sheetData>
  <mergeCells count="1">
    <mergeCell ref="A1:E1"/>
  </mergeCell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7.63"/>
    <col customWidth="1" min="4" max="4" width="25.88"/>
  </cols>
  <sheetData>
    <row r="1" ht="22.5" customHeight="1">
      <c r="A1" s="173" t="s">
        <v>9359</v>
      </c>
      <c r="B1" s="174" t="s">
        <v>9360</v>
      </c>
      <c r="C1" s="174" t="s">
        <v>9361</v>
      </c>
      <c r="D1" s="174" t="s">
        <v>9362</v>
      </c>
      <c r="E1" s="174" t="s">
        <v>9363</v>
      </c>
      <c r="F1" s="175" t="s">
        <v>9364</v>
      </c>
    </row>
    <row r="2" ht="22.5" hidden="1" customHeight="1">
      <c r="A2" s="176" t="s">
        <v>9365</v>
      </c>
      <c r="B2" s="177"/>
      <c r="C2" s="177"/>
      <c r="D2" s="177"/>
      <c r="E2" s="177"/>
    </row>
    <row r="3" ht="22.5" hidden="1" customHeight="1">
      <c r="A3" s="176" t="s">
        <v>8745</v>
      </c>
      <c r="B3" s="177"/>
      <c r="C3" s="177"/>
      <c r="D3" s="177"/>
      <c r="E3" s="177"/>
    </row>
    <row r="4" ht="22.5" customHeight="1">
      <c r="A4" s="178" t="s">
        <v>9366</v>
      </c>
      <c r="B4" s="177"/>
      <c r="C4" s="177"/>
      <c r="D4" s="177"/>
      <c r="E4" s="177"/>
    </row>
    <row r="5" ht="22.5" hidden="1" customHeight="1">
      <c r="A5" s="179" t="s">
        <v>9367</v>
      </c>
      <c r="B5" s="180"/>
      <c r="C5" s="180"/>
      <c r="D5" s="180"/>
      <c r="E5" s="180"/>
    </row>
    <row r="6" ht="22.5" hidden="1" customHeight="1">
      <c r="A6" s="181" t="s">
        <v>8748</v>
      </c>
      <c r="B6" s="181" t="s">
        <v>5246</v>
      </c>
      <c r="C6" s="181" t="s">
        <v>9</v>
      </c>
      <c r="D6" s="181" t="s">
        <v>8680</v>
      </c>
      <c r="E6" s="181" t="s">
        <v>13</v>
      </c>
    </row>
    <row r="7" ht="22.5" hidden="1" customHeight="1">
      <c r="A7" s="182"/>
      <c r="B7" s="182"/>
      <c r="C7" s="182"/>
      <c r="D7" s="182"/>
      <c r="E7" s="182"/>
    </row>
    <row r="8" ht="22.5" hidden="1" customHeight="1">
      <c r="A8" s="183"/>
      <c r="B8" s="183"/>
      <c r="C8" s="183"/>
      <c r="D8" s="183"/>
      <c r="E8" s="183"/>
    </row>
    <row r="9" ht="22.5" hidden="1" customHeight="1">
      <c r="A9" s="184">
        <v>1.0</v>
      </c>
      <c r="B9" s="184">
        <v>2.3241003E8</v>
      </c>
      <c r="C9" s="184" t="s">
        <v>7703</v>
      </c>
      <c r="D9" s="185" t="s">
        <v>7704</v>
      </c>
      <c r="E9" s="184" t="s">
        <v>227</v>
      </c>
      <c r="F9" s="6" t="s">
        <v>2995</v>
      </c>
    </row>
    <row r="10" ht="22.5" hidden="1" customHeight="1">
      <c r="A10" s="184">
        <v>2.0</v>
      </c>
      <c r="B10" s="184">
        <v>2.32410047E8</v>
      </c>
      <c r="C10" s="186" t="s">
        <v>7707</v>
      </c>
      <c r="D10" s="185" t="s">
        <v>7708</v>
      </c>
      <c r="E10" s="184" t="s">
        <v>227</v>
      </c>
      <c r="F10" s="6" t="s">
        <v>2995</v>
      </c>
    </row>
    <row r="11" ht="22.5" hidden="1" customHeight="1">
      <c r="A11" s="184">
        <v>3.0</v>
      </c>
      <c r="B11" s="184">
        <v>2.32410054E8</v>
      </c>
      <c r="C11" s="184" t="s">
        <v>7709</v>
      </c>
      <c r="D11" s="185" t="s">
        <v>7710</v>
      </c>
      <c r="E11" s="184" t="s">
        <v>220</v>
      </c>
      <c r="F11" s="6" t="s">
        <v>2995</v>
      </c>
    </row>
    <row r="12" ht="22.5" hidden="1" customHeight="1">
      <c r="A12" s="184">
        <v>4.0</v>
      </c>
      <c r="B12" s="184">
        <v>2.32410056E8</v>
      </c>
      <c r="C12" s="186" t="s">
        <v>7711</v>
      </c>
      <c r="D12" s="185" t="s">
        <v>7712</v>
      </c>
      <c r="E12" s="184" t="s">
        <v>227</v>
      </c>
      <c r="F12" s="6" t="s">
        <v>2995</v>
      </c>
    </row>
    <row r="13" ht="22.5" hidden="1" customHeight="1">
      <c r="A13" s="184">
        <v>5.0</v>
      </c>
      <c r="B13" s="184">
        <v>2.32410066E8</v>
      </c>
      <c r="C13" s="186" t="s">
        <v>7713</v>
      </c>
      <c r="D13" s="185" t="s">
        <v>7714</v>
      </c>
      <c r="E13" s="184" t="s">
        <v>227</v>
      </c>
      <c r="F13" s="6" t="s">
        <v>2995</v>
      </c>
    </row>
    <row r="14" ht="22.5" hidden="1" customHeight="1">
      <c r="A14" s="184">
        <v>6.0</v>
      </c>
      <c r="B14" s="184">
        <v>2.32410119E8</v>
      </c>
      <c r="C14" s="186" t="s">
        <v>7715</v>
      </c>
      <c r="D14" s="185" t="s">
        <v>7716</v>
      </c>
      <c r="E14" s="184" t="s">
        <v>227</v>
      </c>
      <c r="F14" s="6" t="s">
        <v>2995</v>
      </c>
    </row>
    <row r="15" ht="22.5" hidden="1" customHeight="1">
      <c r="A15" s="184">
        <v>7.0</v>
      </c>
      <c r="B15" s="184">
        <v>2.32410122E8</v>
      </c>
      <c r="C15" s="186" t="s">
        <v>7717</v>
      </c>
      <c r="D15" s="185" t="s">
        <v>7718</v>
      </c>
      <c r="E15" s="184" t="s">
        <v>227</v>
      </c>
      <c r="F15" s="6" t="s">
        <v>2995</v>
      </c>
    </row>
    <row r="16" ht="22.5" hidden="1" customHeight="1">
      <c r="A16" s="184">
        <v>8.0</v>
      </c>
      <c r="B16" s="184">
        <v>2.32410154E8</v>
      </c>
      <c r="C16" s="186" t="s">
        <v>7719</v>
      </c>
      <c r="D16" s="185" t="s">
        <v>7720</v>
      </c>
      <c r="E16" s="184" t="s">
        <v>227</v>
      </c>
      <c r="F16" s="6" t="s">
        <v>2995</v>
      </c>
    </row>
    <row r="17" ht="22.5" hidden="1" customHeight="1">
      <c r="A17" s="184">
        <v>9.0</v>
      </c>
      <c r="B17" s="184">
        <v>2.32410178E8</v>
      </c>
      <c r="C17" s="186" t="s">
        <v>7721</v>
      </c>
      <c r="D17" s="185" t="s">
        <v>7722</v>
      </c>
      <c r="E17" s="184" t="s">
        <v>227</v>
      </c>
      <c r="F17" s="6" t="s">
        <v>2995</v>
      </c>
    </row>
    <row r="18" ht="22.5" hidden="1" customHeight="1">
      <c r="A18" s="184">
        <v>10.0</v>
      </c>
      <c r="B18" s="184">
        <v>2.32410182E8</v>
      </c>
      <c r="C18" s="186" t="s">
        <v>7723</v>
      </c>
      <c r="D18" s="185" t="s">
        <v>7724</v>
      </c>
      <c r="E18" s="184" t="s">
        <v>227</v>
      </c>
      <c r="F18" s="6" t="s">
        <v>2995</v>
      </c>
    </row>
    <row r="19" ht="22.5" hidden="1" customHeight="1">
      <c r="A19" s="184">
        <v>11.0</v>
      </c>
      <c r="B19" s="184">
        <v>2.32410209E8</v>
      </c>
      <c r="C19" s="186" t="s">
        <v>7725</v>
      </c>
      <c r="D19" s="185" t="s">
        <v>7726</v>
      </c>
      <c r="E19" s="184" t="s">
        <v>227</v>
      </c>
      <c r="F19" s="6" t="s">
        <v>2995</v>
      </c>
    </row>
    <row r="20" ht="22.5" hidden="1" customHeight="1">
      <c r="A20" s="184">
        <v>12.0</v>
      </c>
      <c r="B20" s="184">
        <v>2.32410226E8</v>
      </c>
      <c r="C20" s="186" t="s">
        <v>7727</v>
      </c>
      <c r="D20" s="185" t="s">
        <v>7728</v>
      </c>
      <c r="E20" s="184" t="s">
        <v>227</v>
      </c>
      <c r="F20" s="6" t="s">
        <v>2995</v>
      </c>
    </row>
    <row r="21" ht="22.5" hidden="1" customHeight="1">
      <c r="A21" s="184">
        <v>13.0</v>
      </c>
      <c r="B21" s="184">
        <v>2.32410227E8</v>
      </c>
      <c r="C21" s="186" t="s">
        <v>7729</v>
      </c>
      <c r="D21" s="185" t="s">
        <v>7730</v>
      </c>
      <c r="E21" s="184" t="s">
        <v>227</v>
      </c>
      <c r="F21" s="6" t="s">
        <v>2995</v>
      </c>
    </row>
    <row r="22" ht="22.5" hidden="1" customHeight="1">
      <c r="A22" s="184">
        <v>14.0</v>
      </c>
      <c r="B22" s="184">
        <v>2.32410236E8</v>
      </c>
      <c r="C22" s="186" t="s">
        <v>7731</v>
      </c>
      <c r="D22" s="185" t="s">
        <v>7732</v>
      </c>
      <c r="E22" s="184" t="s">
        <v>220</v>
      </c>
      <c r="F22" s="6" t="s">
        <v>2995</v>
      </c>
    </row>
    <row r="23" ht="22.5" hidden="1" customHeight="1">
      <c r="A23" s="184">
        <v>15.0</v>
      </c>
      <c r="B23" s="184">
        <v>2.32410229E8</v>
      </c>
      <c r="C23" s="186" t="s">
        <v>7733</v>
      </c>
      <c r="D23" s="185" t="s">
        <v>7734</v>
      </c>
      <c r="E23" s="184" t="s">
        <v>220</v>
      </c>
      <c r="F23" s="6" t="s">
        <v>2995</v>
      </c>
    </row>
    <row r="24" ht="22.5" hidden="1" customHeight="1">
      <c r="A24" s="184">
        <v>16.0</v>
      </c>
      <c r="B24" s="184">
        <v>2.3241024E8</v>
      </c>
      <c r="C24" s="186" t="s">
        <v>7735</v>
      </c>
      <c r="D24" s="185" t="s">
        <v>7736</v>
      </c>
      <c r="E24" s="184" t="s">
        <v>220</v>
      </c>
      <c r="F24" s="6" t="s">
        <v>2995</v>
      </c>
    </row>
    <row r="25" ht="22.5" hidden="1" customHeight="1">
      <c r="A25" s="184">
        <v>17.0</v>
      </c>
      <c r="B25" s="184">
        <v>2.32410228E8</v>
      </c>
      <c r="C25" s="184" t="s">
        <v>7737</v>
      </c>
      <c r="D25" s="185" t="s">
        <v>7738</v>
      </c>
      <c r="E25" s="184" t="s">
        <v>220</v>
      </c>
      <c r="F25" s="6" t="s">
        <v>2995</v>
      </c>
    </row>
    <row r="26" ht="22.5" hidden="1" customHeight="1">
      <c r="A26" s="184">
        <v>18.0</v>
      </c>
      <c r="B26" s="184">
        <v>2.32410271E8</v>
      </c>
      <c r="C26" s="184" t="s">
        <v>7739</v>
      </c>
      <c r="D26" s="187" t="s">
        <v>7740</v>
      </c>
      <c r="E26" s="184" t="s">
        <v>227</v>
      </c>
      <c r="F26" s="6" t="s">
        <v>2995</v>
      </c>
    </row>
    <row r="27" ht="22.5" hidden="1" customHeight="1">
      <c r="A27" s="184">
        <v>19.0</v>
      </c>
      <c r="B27" s="184">
        <v>2.32410273E8</v>
      </c>
      <c r="C27" s="184" t="s">
        <v>7741</v>
      </c>
      <c r="D27" s="185" t="s">
        <v>7742</v>
      </c>
      <c r="E27" s="184" t="s">
        <v>227</v>
      </c>
      <c r="F27" s="6" t="s">
        <v>2995</v>
      </c>
    </row>
    <row r="28" ht="22.5" hidden="1" customHeight="1">
      <c r="A28" s="184">
        <v>20.0</v>
      </c>
      <c r="B28" s="184">
        <v>2.32410292E8</v>
      </c>
      <c r="C28" s="184" t="s">
        <v>7743</v>
      </c>
      <c r="D28" s="185" t="s">
        <v>7744</v>
      </c>
      <c r="E28" s="184" t="s">
        <v>227</v>
      </c>
      <c r="F28" s="6" t="s">
        <v>2995</v>
      </c>
    </row>
    <row r="29" ht="22.5" hidden="1" customHeight="1">
      <c r="A29" s="184">
        <v>21.0</v>
      </c>
      <c r="B29" s="184">
        <v>2.32410299E8</v>
      </c>
      <c r="C29" s="184" t="s">
        <v>7745</v>
      </c>
      <c r="D29" s="185" t="s">
        <v>7746</v>
      </c>
      <c r="E29" s="184" t="s">
        <v>227</v>
      </c>
      <c r="F29" s="6" t="s">
        <v>2995</v>
      </c>
    </row>
    <row r="30" ht="22.5" hidden="1" customHeight="1">
      <c r="A30" s="184">
        <v>22.0</v>
      </c>
      <c r="B30" s="184">
        <v>2.32410302E8</v>
      </c>
      <c r="C30" s="184" t="s">
        <v>7747</v>
      </c>
      <c r="D30" s="185" t="s">
        <v>7748</v>
      </c>
      <c r="E30" s="184" t="s">
        <v>227</v>
      </c>
      <c r="F30" s="6" t="s">
        <v>2995</v>
      </c>
    </row>
    <row r="31" ht="22.5" hidden="1" customHeight="1">
      <c r="A31" s="184">
        <v>23.0</v>
      </c>
      <c r="B31" s="184">
        <v>2.32410306E8</v>
      </c>
      <c r="C31" s="184" t="s">
        <v>7749</v>
      </c>
      <c r="D31" s="185" t="s">
        <v>7750</v>
      </c>
      <c r="E31" s="184" t="s">
        <v>227</v>
      </c>
      <c r="F31" s="6" t="s">
        <v>2995</v>
      </c>
    </row>
    <row r="32" ht="22.5" hidden="1" customHeight="1">
      <c r="A32" s="184">
        <v>24.0</v>
      </c>
      <c r="B32" s="184">
        <v>2.32410318E8</v>
      </c>
      <c r="C32" s="184" t="s">
        <v>7751</v>
      </c>
      <c r="D32" s="185" t="s">
        <v>7752</v>
      </c>
      <c r="E32" s="184" t="s">
        <v>227</v>
      </c>
      <c r="F32" s="6" t="s">
        <v>2995</v>
      </c>
    </row>
    <row r="33" ht="22.5" hidden="1" customHeight="1">
      <c r="A33" s="184">
        <v>25.0</v>
      </c>
      <c r="B33" s="184">
        <v>2.32410322E8</v>
      </c>
      <c r="C33" s="184" t="s">
        <v>7753</v>
      </c>
      <c r="D33" s="185" t="s">
        <v>7754</v>
      </c>
      <c r="E33" s="184" t="s">
        <v>220</v>
      </c>
      <c r="F33" s="6" t="s">
        <v>2995</v>
      </c>
    </row>
    <row r="34" ht="22.5" hidden="1" customHeight="1">
      <c r="A34" s="184">
        <v>26.0</v>
      </c>
      <c r="B34" s="184">
        <v>2.32410338E8</v>
      </c>
      <c r="C34" s="184" t="s">
        <v>7755</v>
      </c>
      <c r="D34" s="185" t="s">
        <v>7756</v>
      </c>
      <c r="E34" s="184" t="s">
        <v>227</v>
      </c>
      <c r="F34" s="6" t="s">
        <v>2995</v>
      </c>
    </row>
    <row r="35" ht="22.5" hidden="1" customHeight="1">
      <c r="A35" s="184">
        <v>27.0</v>
      </c>
      <c r="B35" s="184">
        <v>2.32410357E8</v>
      </c>
      <c r="C35" s="184" t="s">
        <v>7757</v>
      </c>
      <c r="D35" s="185" t="s">
        <v>7758</v>
      </c>
      <c r="E35" s="184" t="s">
        <v>227</v>
      </c>
      <c r="F35" s="6" t="s">
        <v>2995</v>
      </c>
    </row>
    <row r="36" ht="22.5" hidden="1" customHeight="1">
      <c r="A36" s="184">
        <v>28.0</v>
      </c>
      <c r="B36" s="184">
        <v>2.32410362E8</v>
      </c>
      <c r="C36" s="184" t="s">
        <v>7759</v>
      </c>
      <c r="D36" s="185" t="s">
        <v>7760</v>
      </c>
      <c r="E36" s="184" t="s">
        <v>227</v>
      </c>
      <c r="F36" s="6" t="s">
        <v>2995</v>
      </c>
    </row>
    <row r="37" ht="22.5" hidden="1" customHeight="1">
      <c r="A37" s="184">
        <v>29.0</v>
      </c>
      <c r="B37" s="184">
        <v>2.32410378E8</v>
      </c>
      <c r="C37" s="184" t="s">
        <v>7761</v>
      </c>
      <c r="D37" s="185" t="s">
        <v>7762</v>
      </c>
      <c r="E37" s="184" t="s">
        <v>227</v>
      </c>
      <c r="F37" s="6" t="s">
        <v>2995</v>
      </c>
    </row>
    <row r="38" ht="22.5" hidden="1" customHeight="1">
      <c r="A38" s="184">
        <v>30.0</v>
      </c>
      <c r="B38" s="184">
        <v>2.32410379E8</v>
      </c>
      <c r="C38" s="184" t="s">
        <v>7763</v>
      </c>
      <c r="D38" s="185" t="s">
        <v>7764</v>
      </c>
      <c r="E38" s="184" t="s">
        <v>227</v>
      </c>
      <c r="F38" s="6" t="s">
        <v>2995</v>
      </c>
    </row>
    <row r="39" ht="22.5" hidden="1" customHeight="1">
      <c r="A39" s="184">
        <v>31.0</v>
      </c>
      <c r="B39" s="184">
        <v>2.32410382E8</v>
      </c>
      <c r="C39" s="184" t="s">
        <v>7765</v>
      </c>
      <c r="D39" s="185" t="s">
        <v>7766</v>
      </c>
      <c r="E39" s="184" t="s">
        <v>227</v>
      </c>
      <c r="F39" s="6" t="s">
        <v>2995</v>
      </c>
    </row>
    <row r="40" ht="22.5" hidden="1" customHeight="1">
      <c r="A40" s="184">
        <v>32.0</v>
      </c>
      <c r="B40" s="184">
        <v>2.32410384E8</v>
      </c>
      <c r="C40" s="186" t="s">
        <v>7767</v>
      </c>
      <c r="D40" s="185" t="s">
        <v>7768</v>
      </c>
      <c r="E40" s="184" t="s">
        <v>227</v>
      </c>
      <c r="F40" s="6" t="s">
        <v>2995</v>
      </c>
    </row>
    <row r="41" ht="22.5" hidden="1" customHeight="1">
      <c r="A41" s="184">
        <v>33.0</v>
      </c>
      <c r="B41" s="184">
        <v>2.32410386E8</v>
      </c>
      <c r="C41" s="186" t="s">
        <v>7769</v>
      </c>
      <c r="D41" s="185" t="s">
        <v>7770</v>
      </c>
      <c r="E41" s="184" t="s">
        <v>220</v>
      </c>
      <c r="F41" s="6" t="s">
        <v>2995</v>
      </c>
    </row>
    <row r="42" ht="22.5" hidden="1" customHeight="1">
      <c r="A42" s="184">
        <v>34.0</v>
      </c>
      <c r="B42" s="184">
        <v>2.32410395E8</v>
      </c>
      <c r="C42" s="184" t="s">
        <v>7771</v>
      </c>
      <c r="D42" s="185" t="s">
        <v>7772</v>
      </c>
      <c r="E42" s="184" t="s">
        <v>227</v>
      </c>
      <c r="F42" s="6" t="s">
        <v>2995</v>
      </c>
    </row>
    <row r="43" ht="22.5" hidden="1" customHeight="1">
      <c r="A43" s="184">
        <v>35.0</v>
      </c>
      <c r="B43" s="184">
        <v>2.32410398E8</v>
      </c>
      <c r="C43" s="184" t="s">
        <v>7773</v>
      </c>
      <c r="D43" s="185" t="s">
        <v>7774</v>
      </c>
      <c r="E43" s="184" t="s">
        <v>220</v>
      </c>
      <c r="F43" s="6" t="s">
        <v>2995</v>
      </c>
    </row>
    <row r="44" ht="22.5" hidden="1" customHeight="1">
      <c r="A44" s="184">
        <v>36.0</v>
      </c>
      <c r="B44" s="184" t="s">
        <v>9368</v>
      </c>
      <c r="C44" s="184" t="s">
        <v>7775</v>
      </c>
      <c r="D44" s="185" t="s">
        <v>7776</v>
      </c>
      <c r="E44" s="184" t="s">
        <v>220</v>
      </c>
      <c r="F44" s="6" t="s">
        <v>2995</v>
      </c>
    </row>
    <row r="45" ht="22.5" hidden="1" customHeight="1">
      <c r="A45" s="188"/>
      <c r="B45" s="189" t="s">
        <v>8789</v>
      </c>
      <c r="C45" s="188"/>
      <c r="D45" s="190">
        <f>COUNTIF(E9:E47,"L")</f>
        <v>9</v>
      </c>
      <c r="E45" s="188"/>
    </row>
    <row r="46" ht="22.5" hidden="1" customHeight="1">
      <c r="A46" s="188"/>
      <c r="B46" s="189" t="s">
        <v>8790</v>
      </c>
      <c r="C46" s="188"/>
      <c r="D46" s="190">
        <f>COUNTIF(E9:E47,"P")</f>
        <v>27</v>
      </c>
      <c r="E46" s="188"/>
    </row>
    <row r="47" ht="22.5" hidden="1" customHeight="1">
      <c r="A47" s="188"/>
      <c r="B47" s="189" t="s">
        <v>8792</v>
      </c>
      <c r="C47" s="188"/>
      <c r="D47" s="190">
        <f>D45+D46</f>
        <v>36</v>
      </c>
      <c r="E47" s="188"/>
    </row>
    <row r="48" ht="22.5" hidden="1" customHeight="1">
      <c r="A48" s="188"/>
      <c r="B48" s="188"/>
      <c r="C48" s="188"/>
      <c r="D48" s="188"/>
      <c r="E48" s="188"/>
    </row>
    <row r="49" ht="22.5" hidden="1" customHeight="1">
      <c r="A49" s="191" t="s">
        <v>9359</v>
      </c>
      <c r="B49" s="192"/>
      <c r="C49" s="192"/>
      <c r="D49" s="192"/>
      <c r="E49" s="192"/>
    </row>
    <row r="50" ht="22.5" hidden="1" customHeight="1">
      <c r="A50" s="193" t="s">
        <v>9365</v>
      </c>
      <c r="B50" s="194"/>
      <c r="C50" s="194"/>
      <c r="D50" s="194"/>
      <c r="E50" s="194"/>
    </row>
    <row r="51" ht="22.5" hidden="1" customHeight="1">
      <c r="A51" s="176" t="s">
        <v>8745</v>
      </c>
      <c r="B51" s="177"/>
      <c r="C51" s="177"/>
      <c r="D51" s="177"/>
      <c r="E51" s="177"/>
    </row>
    <row r="52" ht="22.5" customHeight="1">
      <c r="A52" s="178" t="s">
        <v>9369</v>
      </c>
      <c r="B52" s="177"/>
      <c r="C52" s="177"/>
      <c r="D52" s="177"/>
      <c r="E52" s="177"/>
    </row>
    <row r="53" ht="22.5" hidden="1" customHeight="1">
      <c r="A53" s="179" t="s">
        <v>9370</v>
      </c>
      <c r="B53" s="180"/>
      <c r="C53" s="180"/>
      <c r="D53" s="180"/>
      <c r="E53" s="180"/>
    </row>
    <row r="54" ht="22.5" hidden="1" customHeight="1">
      <c r="A54" s="181" t="s">
        <v>8748</v>
      </c>
      <c r="B54" s="181" t="s">
        <v>5246</v>
      </c>
      <c r="C54" s="181" t="s">
        <v>9</v>
      </c>
      <c r="D54" s="181" t="s">
        <v>8680</v>
      </c>
      <c r="E54" s="181" t="s">
        <v>13</v>
      </c>
    </row>
    <row r="55" ht="22.5" hidden="1" customHeight="1">
      <c r="A55" s="182"/>
      <c r="B55" s="182"/>
      <c r="C55" s="182"/>
      <c r="D55" s="182"/>
      <c r="E55" s="182"/>
    </row>
    <row r="56" ht="22.5" hidden="1" customHeight="1">
      <c r="A56" s="183"/>
      <c r="B56" s="183"/>
      <c r="C56" s="183"/>
      <c r="D56" s="183"/>
      <c r="E56" s="183"/>
    </row>
    <row r="57" ht="22.5" hidden="1" customHeight="1">
      <c r="A57" s="184">
        <v>1.0</v>
      </c>
      <c r="B57" s="184">
        <v>2.32410073E8</v>
      </c>
      <c r="C57" s="186" t="s">
        <v>7777</v>
      </c>
      <c r="D57" s="185" t="s">
        <v>7778</v>
      </c>
      <c r="E57" s="184" t="s">
        <v>227</v>
      </c>
    </row>
    <row r="58" ht="22.5" hidden="1" customHeight="1">
      <c r="A58" s="184">
        <v>2.0</v>
      </c>
      <c r="B58" s="184">
        <v>2.3241009E8</v>
      </c>
      <c r="C58" s="184" t="s">
        <v>7780</v>
      </c>
      <c r="D58" s="185" t="s">
        <v>7781</v>
      </c>
      <c r="E58" s="184" t="s">
        <v>227</v>
      </c>
    </row>
    <row r="59" ht="22.5" hidden="1" customHeight="1">
      <c r="A59" s="184">
        <v>3.0</v>
      </c>
      <c r="B59" s="184">
        <v>2.32410092E8</v>
      </c>
      <c r="C59" s="186" t="s">
        <v>7782</v>
      </c>
      <c r="D59" s="185" t="s">
        <v>7783</v>
      </c>
      <c r="E59" s="184" t="s">
        <v>227</v>
      </c>
    </row>
    <row r="60" ht="22.5" hidden="1" customHeight="1">
      <c r="A60" s="184">
        <v>4.0</v>
      </c>
      <c r="B60" s="184">
        <v>2.32410095E8</v>
      </c>
      <c r="C60" s="186" t="s">
        <v>7784</v>
      </c>
      <c r="D60" s="185" t="s">
        <v>7785</v>
      </c>
      <c r="E60" s="184" t="s">
        <v>220</v>
      </c>
    </row>
    <row r="61" ht="22.5" hidden="1" customHeight="1">
      <c r="A61" s="184">
        <v>5.0</v>
      </c>
      <c r="B61" s="184">
        <v>2.32410108E8</v>
      </c>
      <c r="C61" s="186" t="s">
        <v>7786</v>
      </c>
      <c r="D61" s="185" t="s">
        <v>7787</v>
      </c>
      <c r="E61" s="184" t="s">
        <v>220</v>
      </c>
    </row>
    <row r="62" ht="22.5" hidden="1" customHeight="1">
      <c r="A62" s="184">
        <v>6.0</v>
      </c>
      <c r="B62" s="184">
        <v>2.3241011E8</v>
      </c>
      <c r="C62" s="186" t="s">
        <v>7788</v>
      </c>
      <c r="D62" s="185" t="s">
        <v>7789</v>
      </c>
      <c r="E62" s="184" t="s">
        <v>227</v>
      </c>
    </row>
    <row r="63" ht="22.5" hidden="1" customHeight="1">
      <c r="A63" s="184">
        <v>7.0</v>
      </c>
      <c r="B63" s="184">
        <v>2.32410118E8</v>
      </c>
      <c r="C63" s="184" t="s">
        <v>7790</v>
      </c>
      <c r="D63" s="185" t="s">
        <v>7791</v>
      </c>
      <c r="E63" s="184" t="s">
        <v>227</v>
      </c>
    </row>
    <row r="64" ht="22.5" hidden="1" customHeight="1">
      <c r="A64" s="184">
        <v>8.0</v>
      </c>
      <c r="B64" s="184">
        <v>2.3241013E8</v>
      </c>
      <c r="C64" s="184" t="s">
        <v>7792</v>
      </c>
      <c r="D64" s="185" t="s">
        <v>7793</v>
      </c>
      <c r="E64" s="184" t="s">
        <v>220</v>
      </c>
    </row>
    <row r="65" ht="22.5" hidden="1" customHeight="1">
      <c r="A65" s="184">
        <v>9.0</v>
      </c>
      <c r="B65" s="184">
        <v>2.32410147E8</v>
      </c>
      <c r="C65" s="184" t="s">
        <v>7794</v>
      </c>
      <c r="D65" s="185" t="s">
        <v>7795</v>
      </c>
      <c r="E65" s="184" t="s">
        <v>227</v>
      </c>
    </row>
    <row r="66" ht="22.5" hidden="1" customHeight="1">
      <c r="A66" s="184">
        <v>10.0</v>
      </c>
      <c r="B66" s="184">
        <v>2.32410152E8</v>
      </c>
      <c r="C66" s="184" t="s">
        <v>7796</v>
      </c>
      <c r="D66" s="185" t="s">
        <v>7797</v>
      </c>
      <c r="E66" s="184" t="s">
        <v>220</v>
      </c>
    </row>
    <row r="67" ht="22.5" hidden="1" customHeight="1">
      <c r="A67" s="184">
        <v>11.0</v>
      </c>
      <c r="B67" s="184">
        <v>2.32410157E8</v>
      </c>
      <c r="C67" s="186" t="s">
        <v>7798</v>
      </c>
      <c r="D67" s="185" t="s">
        <v>7799</v>
      </c>
      <c r="E67" s="184" t="s">
        <v>227</v>
      </c>
    </row>
    <row r="68" ht="22.5" hidden="1" customHeight="1">
      <c r="A68" s="184">
        <v>12.0</v>
      </c>
      <c r="B68" s="184">
        <v>2.32410165E8</v>
      </c>
      <c r="C68" s="186" t="s">
        <v>7800</v>
      </c>
      <c r="D68" s="185" t="s">
        <v>7801</v>
      </c>
      <c r="E68" s="184" t="s">
        <v>220</v>
      </c>
    </row>
    <row r="69" ht="22.5" hidden="1" customHeight="1">
      <c r="A69" s="184">
        <v>13.0</v>
      </c>
      <c r="B69" s="184">
        <v>2.32410189E8</v>
      </c>
      <c r="C69" s="195" t="s">
        <v>7802</v>
      </c>
      <c r="D69" s="185" t="s">
        <v>7803</v>
      </c>
      <c r="E69" s="184" t="s">
        <v>220</v>
      </c>
    </row>
    <row r="70" ht="22.5" hidden="1" customHeight="1">
      <c r="A70" s="184">
        <v>14.0</v>
      </c>
      <c r="B70" s="184">
        <v>2.32410194E8</v>
      </c>
      <c r="C70" s="186" t="s">
        <v>7804</v>
      </c>
      <c r="D70" s="185" t="s">
        <v>7805</v>
      </c>
      <c r="E70" s="184" t="s">
        <v>227</v>
      </c>
    </row>
    <row r="71" ht="22.5" hidden="1" customHeight="1">
      <c r="A71" s="184">
        <v>15.0</v>
      </c>
      <c r="B71" s="184">
        <v>2.32410246E8</v>
      </c>
      <c r="C71" s="186" t="s">
        <v>7806</v>
      </c>
      <c r="D71" s="185" t="s">
        <v>7807</v>
      </c>
      <c r="E71" s="184" t="s">
        <v>220</v>
      </c>
    </row>
    <row r="72" ht="22.5" hidden="1" customHeight="1">
      <c r="A72" s="184">
        <v>16.0</v>
      </c>
      <c r="B72" s="184">
        <v>2.02107217E8</v>
      </c>
      <c r="C72" s="186" t="s">
        <v>7808</v>
      </c>
      <c r="D72" s="185" t="s">
        <v>7809</v>
      </c>
      <c r="E72" s="184" t="s">
        <v>227</v>
      </c>
    </row>
    <row r="73" ht="22.5" hidden="1" customHeight="1">
      <c r="A73" s="184">
        <v>17.0</v>
      </c>
      <c r="B73" s="184">
        <v>2.32410021E8</v>
      </c>
      <c r="C73" s="186" t="s">
        <v>7810</v>
      </c>
      <c r="D73" s="185" t="s">
        <v>7811</v>
      </c>
      <c r="E73" s="184" t="s">
        <v>227</v>
      </c>
    </row>
    <row r="74" ht="22.5" hidden="1" customHeight="1">
      <c r="A74" s="184">
        <v>18.0</v>
      </c>
      <c r="B74" s="184">
        <v>2.32410282E8</v>
      </c>
      <c r="C74" s="186" t="s">
        <v>7812</v>
      </c>
      <c r="D74" s="185" t="s">
        <v>7813</v>
      </c>
      <c r="E74" s="184" t="s">
        <v>227</v>
      </c>
    </row>
    <row r="75" ht="22.5" hidden="1" customHeight="1">
      <c r="A75" s="184">
        <v>19.0</v>
      </c>
      <c r="B75" s="184">
        <v>2.32410283E8</v>
      </c>
      <c r="C75" s="186" t="s">
        <v>7814</v>
      </c>
      <c r="D75" s="185" t="s">
        <v>7815</v>
      </c>
      <c r="E75" s="184" t="s">
        <v>227</v>
      </c>
    </row>
    <row r="76" ht="22.5" hidden="1" customHeight="1">
      <c r="A76" s="184">
        <v>20.0</v>
      </c>
      <c r="B76" s="184">
        <v>2.32410284E8</v>
      </c>
      <c r="C76" s="186" t="s">
        <v>7816</v>
      </c>
      <c r="D76" s="185" t="s">
        <v>7817</v>
      </c>
      <c r="E76" s="184" t="s">
        <v>220</v>
      </c>
    </row>
    <row r="77" ht="22.5" hidden="1" customHeight="1">
      <c r="A77" s="184">
        <v>21.0</v>
      </c>
      <c r="B77" s="184">
        <v>2.32410287E8</v>
      </c>
      <c r="C77" s="186" t="s">
        <v>7818</v>
      </c>
      <c r="D77" s="185" t="s">
        <v>7819</v>
      </c>
      <c r="E77" s="184" t="s">
        <v>227</v>
      </c>
    </row>
    <row r="78" ht="22.5" hidden="1" customHeight="1">
      <c r="A78" s="184">
        <v>22.0</v>
      </c>
      <c r="B78" s="196">
        <v>2.32410293E8</v>
      </c>
      <c r="C78" s="186" t="s">
        <v>7820</v>
      </c>
      <c r="D78" s="185" t="s">
        <v>7821</v>
      </c>
      <c r="E78" s="184" t="s">
        <v>227</v>
      </c>
    </row>
    <row r="79" ht="22.5" hidden="1" customHeight="1">
      <c r="A79" s="184">
        <v>23.0</v>
      </c>
      <c r="B79" s="196">
        <v>2.32410296E8</v>
      </c>
      <c r="C79" s="186" t="s">
        <v>7822</v>
      </c>
      <c r="D79" s="185" t="s">
        <v>7823</v>
      </c>
      <c r="E79" s="184" t="s">
        <v>227</v>
      </c>
    </row>
    <row r="80" ht="22.5" hidden="1" customHeight="1">
      <c r="A80" s="184">
        <v>24.0</v>
      </c>
      <c r="B80" s="184" t="s">
        <v>9371</v>
      </c>
      <c r="C80" s="186" t="s">
        <v>7824</v>
      </c>
      <c r="D80" s="185" t="s">
        <v>7825</v>
      </c>
      <c r="E80" s="184" t="s">
        <v>227</v>
      </c>
    </row>
    <row r="81" ht="22.5" hidden="1" customHeight="1">
      <c r="A81" s="184">
        <v>25.0</v>
      </c>
      <c r="B81" s="184">
        <v>2.32410308E8</v>
      </c>
      <c r="C81" s="186" t="s">
        <v>7826</v>
      </c>
      <c r="D81" s="185" t="s">
        <v>7827</v>
      </c>
      <c r="E81" s="184" t="s">
        <v>227</v>
      </c>
    </row>
    <row r="82" ht="22.5" hidden="1" customHeight="1">
      <c r="A82" s="184">
        <v>26.0</v>
      </c>
      <c r="B82" s="184">
        <v>2.32410315E8</v>
      </c>
      <c r="C82" s="186" t="s">
        <v>7828</v>
      </c>
      <c r="D82" s="185" t="s">
        <v>7829</v>
      </c>
      <c r="E82" s="184" t="s">
        <v>227</v>
      </c>
    </row>
    <row r="83" ht="22.5" hidden="1" customHeight="1">
      <c r="A83" s="184">
        <v>27.0</v>
      </c>
      <c r="B83" s="184">
        <v>2.32410325E8</v>
      </c>
      <c r="C83" s="186" t="s">
        <v>7830</v>
      </c>
      <c r="D83" s="185" t="s">
        <v>7831</v>
      </c>
      <c r="E83" s="184" t="s">
        <v>227</v>
      </c>
    </row>
    <row r="84" ht="22.5" hidden="1" customHeight="1">
      <c r="A84" s="184">
        <v>28.0</v>
      </c>
      <c r="B84" s="184">
        <v>2.32410345E8</v>
      </c>
      <c r="C84" s="186" t="s">
        <v>7832</v>
      </c>
      <c r="D84" s="185" t="s">
        <v>7833</v>
      </c>
      <c r="E84" s="184" t="s">
        <v>227</v>
      </c>
    </row>
    <row r="85" ht="22.5" hidden="1" customHeight="1">
      <c r="A85" s="184">
        <v>29.0</v>
      </c>
      <c r="B85" s="184">
        <v>2.32410353E8</v>
      </c>
      <c r="C85" s="186" t="s">
        <v>7834</v>
      </c>
      <c r="D85" s="185" t="s">
        <v>7835</v>
      </c>
      <c r="E85" s="184" t="s">
        <v>227</v>
      </c>
    </row>
    <row r="86" ht="22.5" hidden="1" customHeight="1">
      <c r="A86" s="184">
        <v>30.0</v>
      </c>
      <c r="B86" s="184">
        <v>2.32410361E8</v>
      </c>
      <c r="C86" s="184" t="s">
        <v>7836</v>
      </c>
      <c r="D86" s="185" t="s">
        <v>7837</v>
      </c>
      <c r="E86" s="184" t="s">
        <v>227</v>
      </c>
    </row>
    <row r="87" ht="22.5" hidden="1" customHeight="1">
      <c r="A87" s="184">
        <v>31.0</v>
      </c>
      <c r="B87" s="184">
        <v>2.32410388E8</v>
      </c>
      <c r="C87" s="186" t="s">
        <v>7838</v>
      </c>
      <c r="D87" s="185" t="s">
        <v>7839</v>
      </c>
      <c r="E87" s="184" t="s">
        <v>227</v>
      </c>
    </row>
    <row r="88" ht="22.5" hidden="1" customHeight="1">
      <c r="A88" s="184">
        <v>32.0</v>
      </c>
      <c r="B88" s="184">
        <v>2.32410394E8</v>
      </c>
      <c r="C88" s="186" t="s">
        <v>7840</v>
      </c>
      <c r="D88" s="185" t="s">
        <v>7841</v>
      </c>
      <c r="E88" s="184" t="s">
        <v>227</v>
      </c>
    </row>
    <row r="89" ht="22.5" hidden="1" customHeight="1">
      <c r="A89" s="184">
        <v>33.0</v>
      </c>
      <c r="B89" s="184">
        <v>2.02107907E8</v>
      </c>
      <c r="C89" s="186" t="s">
        <v>7842</v>
      </c>
      <c r="D89" s="185" t="s">
        <v>7843</v>
      </c>
      <c r="E89" s="184" t="s">
        <v>227</v>
      </c>
    </row>
    <row r="90" ht="22.5" hidden="1" customHeight="1">
      <c r="A90" s="184">
        <v>34.0</v>
      </c>
      <c r="B90" s="184">
        <v>2.32410422E8</v>
      </c>
      <c r="C90" s="186" t="s">
        <v>7844</v>
      </c>
      <c r="D90" s="185" t="s">
        <v>7845</v>
      </c>
      <c r="E90" s="184" t="s">
        <v>227</v>
      </c>
    </row>
    <row r="91" ht="22.5" hidden="1" customHeight="1">
      <c r="A91" s="184">
        <v>35.0</v>
      </c>
      <c r="B91" s="184">
        <v>2.32410423E8</v>
      </c>
      <c r="C91" s="186" t="s">
        <v>7846</v>
      </c>
      <c r="D91" s="185" t="s">
        <v>7847</v>
      </c>
      <c r="E91" s="184" t="s">
        <v>227</v>
      </c>
    </row>
    <row r="92" ht="22.5" hidden="1" customHeight="1">
      <c r="A92" s="184">
        <v>36.0</v>
      </c>
      <c r="B92" s="197"/>
      <c r="C92" s="197"/>
      <c r="D92" s="197"/>
      <c r="E92" s="197"/>
    </row>
    <row r="93" ht="22.5" hidden="1" customHeight="1">
      <c r="A93" s="188"/>
      <c r="B93" s="189" t="s">
        <v>8789</v>
      </c>
      <c r="C93" s="188"/>
      <c r="D93" s="190">
        <f>COUNTIF(E57:E92,"L")</f>
        <v>8</v>
      </c>
      <c r="E93" s="188"/>
    </row>
    <row r="94" ht="22.5" hidden="1" customHeight="1">
      <c r="A94" s="188"/>
      <c r="B94" s="189" t="s">
        <v>8790</v>
      </c>
      <c r="C94" s="188"/>
      <c r="D94" s="190">
        <f>COUNTIF(E57:E92,"P")</f>
        <v>27</v>
      </c>
      <c r="E94" s="188"/>
    </row>
    <row r="95" ht="22.5" hidden="1" customHeight="1">
      <c r="A95" s="188"/>
      <c r="B95" s="189" t="s">
        <v>8792</v>
      </c>
      <c r="C95" s="188"/>
      <c r="D95" s="190">
        <f>D93+D94</f>
        <v>35</v>
      </c>
      <c r="E95" s="188"/>
    </row>
    <row r="96" ht="22.5" hidden="1" customHeight="1">
      <c r="A96" s="188"/>
      <c r="B96" s="188"/>
      <c r="C96" s="188"/>
      <c r="D96" s="188"/>
      <c r="E96" s="188"/>
    </row>
    <row r="97" ht="22.5" hidden="1" customHeight="1">
      <c r="A97" s="191" t="s">
        <v>9359</v>
      </c>
      <c r="B97" s="192"/>
      <c r="C97" s="192"/>
      <c r="D97" s="192"/>
      <c r="E97" s="192"/>
    </row>
    <row r="98" ht="22.5" hidden="1" customHeight="1">
      <c r="A98" s="193" t="s">
        <v>9365</v>
      </c>
      <c r="B98" s="194"/>
      <c r="C98" s="194"/>
      <c r="D98" s="194"/>
      <c r="E98" s="194"/>
    </row>
    <row r="99" ht="22.5" hidden="1" customHeight="1">
      <c r="A99" s="176" t="s">
        <v>8745</v>
      </c>
      <c r="B99" s="177"/>
      <c r="C99" s="177"/>
      <c r="D99" s="177"/>
      <c r="E99" s="177"/>
    </row>
    <row r="100" ht="22.5" customHeight="1">
      <c r="A100" s="178" t="s">
        <v>9372</v>
      </c>
      <c r="B100" s="177"/>
      <c r="C100" s="177"/>
      <c r="D100" s="177"/>
      <c r="E100" s="177"/>
    </row>
    <row r="101" ht="22.5" hidden="1" customHeight="1">
      <c r="A101" s="179" t="s">
        <v>9373</v>
      </c>
      <c r="B101" s="180"/>
      <c r="C101" s="180"/>
      <c r="D101" s="180"/>
      <c r="E101" s="180"/>
    </row>
    <row r="102" ht="22.5" hidden="1" customHeight="1">
      <c r="A102" s="181" t="s">
        <v>8748</v>
      </c>
      <c r="B102" s="181" t="s">
        <v>5246</v>
      </c>
      <c r="C102" s="181" t="s">
        <v>9</v>
      </c>
      <c r="D102" s="181" t="s">
        <v>8680</v>
      </c>
      <c r="E102" s="181" t="s">
        <v>13</v>
      </c>
    </row>
    <row r="103" ht="22.5" hidden="1" customHeight="1">
      <c r="A103" s="182"/>
      <c r="B103" s="182"/>
      <c r="C103" s="182"/>
      <c r="D103" s="182"/>
      <c r="E103" s="182"/>
    </row>
    <row r="104" ht="22.5" hidden="1" customHeight="1">
      <c r="A104" s="183"/>
      <c r="B104" s="183"/>
      <c r="C104" s="183"/>
      <c r="D104" s="183"/>
      <c r="E104" s="183"/>
    </row>
    <row r="105" ht="22.5" hidden="1" customHeight="1">
      <c r="A105" s="184">
        <v>1.0</v>
      </c>
      <c r="B105" s="184">
        <v>2.32410004E8</v>
      </c>
      <c r="C105" s="186" t="s">
        <v>7848</v>
      </c>
      <c r="D105" s="185" t="s">
        <v>7849</v>
      </c>
      <c r="E105" s="184" t="s">
        <v>220</v>
      </c>
    </row>
    <row r="106" ht="22.5" hidden="1" customHeight="1">
      <c r="A106" s="184">
        <v>2.0</v>
      </c>
      <c r="B106" s="184">
        <v>2.32410007E8</v>
      </c>
      <c r="C106" s="186" t="s">
        <v>7851</v>
      </c>
      <c r="D106" s="185" t="s">
        <v>7852</v>
      </c>
      <c r="E106" s="184" t="s">
        <v>220</v>
      </c>
    </row>
    <row r="107" ht="22.5" hidden="1" customHeight="1">
      <c r="A107" s="184">
        <v>3.0</v>
      </c>
      <c r="B107" s="184">
        <v>2.32410022E8</v>
      </c>
      <c r="C107" s="186" t="s">
        <v>7853</v>
      </c>
      <c r="D107" s="185" t="s">
        <v>7854</v>
      </c>
      <c r="E107" s="184" t="s">
        <v>227</v>
      </c>
    </row>
    <row r="108" ht="22.5" hidden="1" customHeight="1">
      <c r="A108" s="184">
        <v>4.0</v>
      </c>
      <c r="B108" s="184" t="s">
        <v>9374</v>
      </c>
      <c r="C108" s="186" t="s">
        <v>7855</v>
      </c>
      <c r="D108" s="185" t="s">
        <v>7856</v>
      </c>
      <c r="E108" s="184" t="s">
        <v>220</v>
      </c>
    </row>
    <row r="109" ht="22.5" hidden="1" customHeight="1">
      <c r="A109" s="184">
        <v>5.0</v>
      </c>
      <c r="B109" s="184">
        <v>2.32410089E8</v>
      </c>
      <c r="C109" s="186" t="s">
        <v>7857</v>
      </c>
      <c r="D109" s="185" t="s">
        <v>7858</v>
      </c>
      <c r="E109" s="184" t="s">
        <v>227</v>
      </c>
    </row>
    <row r="110" ht="22.5" hidden="1" customHeight="1">
      <c r="A110" s="184">
        <v>6.0</v>
      </c>
      <c r="B110" s="184">
        <v>2.32410109E8</v>
      </c>
      <c r="C110" s="186" t="s">
        <v>7786</v>
      </c>
      <c r="D110" s="185" t="s">
        <v>7859</v>
      </c>
      <c r="E110" s="184" t="s">
        <v>220</v>
      </c>
    </row>
    <row r="111" ht="22.5" hidden="1" customHeight="1">
      <c r="A111" s="184">
        <v>7.0</v>
      </c>
      <c r="B111" s="184">
        <v>2.32410138E8</v>
      </c>
      <c r="C111" s="184" t="s">
        <v>7860</v>
      </c>
      <c r="D111" s="185" t="s">
        <v>7861</v>
      </c>
      <c r="E111" s="184" t="s">
        <v>220</v>
      </c>
    </row>
    <row r="112" ht="22.5" hidden="1" customHeight="1">
      <c r="A112" s="184">
        <v>8.0</v>
      </c>
      <c r="B112" s="184">
        <v>2.3241016E8</v>
      </c>
      <c r="C112" s="186" t="s">
        <v>7862</v>
      </c>
      <c r="D112" s="185" t="s">
        <v>7863</v>
      </c>
      <c r="E112" s="184" t="s">
        <v>220</v>
      </c>
    </row>
    <row r="113" ht="22.5" hidden="1" customHeight="1">
      <c r="A113" s="184">
        <v>9.0</v>
      </c>
      <c r="B113" s="184">
        <v>2.32410166E8</v>
      </c>
      <c r="C113" s="186" t="s">
        <v>7864</v>
      </c>
      <c r="D113" s="185" t="s">
        <v>7865</v>
      </c>
      <c r="E113" s="184" t="s">
        <v>220</v>
      </c>
    </row>
    <row r="114" ht="22.5" hidden="1" customHeight="1">
      <c r="A114" s="184">
        <v>10.0</v>
      </c>
      <c r="B114" s="184">
        <v>2.32410173E8</v>
      </c>
      <c r="C114" s="186" t="s">
        <v>7866</v>
      </c>
      <c r="D114" s="185" t="s">
        <v>7867</v>
      </c>
      <c r="E114" s="184" t="s">
        <v>227</v>
      </c>
    </row>
    <row r="115" ht="22.5" hidden="1" customHeight="1">
      <c r="A115" s="184">
        <v>11.0</v>
      </c>
      <c r="B115" s="184">
        <v>2.32410177E8</v>
      </c>
      <c r="C115" s="184" t="s">
        <v>7868</v>
      </c>
      <c r="D115" s="185" t="s">
        <v>7869</v>
      </c>
      <c r="E115" s="184" t="s">
        <v>220</v>
      </c>
    </row>
    <row r="116" ht="22.5" hidden="1" customHeight="1">
      <c r="A116" s="184">
        <v>12.0</v>
      </c>
      <c r="B116" s="184">
        <v>2.3241019E8</v>
      </c>
      <c r="C116" s="186" t="s">
        <v>7870</v>
      </c>
      <c r="D116" s="185" t="s">
        <v>7871</v>
      </c>
      <c r="E116" s="184" t="s">
        <v>227</v>
      </c>
    </row>
    <row r="117" ht="22.5" hidden="1" customHeight="1">
      <c r="A117" s="184">
        <v>13.0</v>
      </c>
      <c r="B117" s="184">
        <v>2.32410191E8</v>
      </c>
      <c r="C117" s="186" t="s">
        <v>7872</v>
      </c>
      <c r="D117" s="185" t="s">
        <v>7873</v>
      </c>
      <c r="E117" s="184" t="s">
        <v>227</v>
      </c>
    </row>
    <row r="118" ht="22.5" hidden="1" customHeight="1">
      <c r="A118" s="184">
        <v>14.0</v>
      </c>
      <c r="B118" s="184">
        <v>2.32410214E8</v>
      </c>
      <c r="C118" s="186" t="s">
        <v>7874</v>
      </c>
      <c r="D118" s="185" t="s">
        <v>7875</v>
      </c>
      <c r="E118" s="184" t="s">
        <v>227</v>
      </c>
    </row>
    <row r="119" ht="22.5" hidden="1" customHeight="1">
      <c r="A119" s="184">
        <v>15.0</v>
      </c>
      <c r="B119" s="184">
        <v>2.3241022E8</v>
      </c>
      <c r="C119" s="184" t="s">
        <v>7876</v>
      </c>
      <c r="D119" s="185" t="s">
        <v>7877</v>
      </c>
      <c r="E119" s="184" t="s">
        <v>220</v>
      </c>
    </row>
    <row r="120" ht="22.5" hidden="1" customHeight="1">
      <c r="A120" s="184">
        <v>16.0</v>
      </c>
      <c r="B120" s="184">
        <v>2.32410222E8</v>
      </c>
      <c r="C120" s="186" t="s">
        <v>7878</v>
      </c>
      <c r="D120" s="185" t="s">
        <v>7879</v>
      </c>
      <c r="E120" s="184" t="s">
        <v>227</v>
      </c>
    </row>
    <row r="121" ht="22.5" hidden="1" customHeight="1">
      <c r="A121" s="184">
        <v>17.0</v>
      </c>
      <c r="B121" s="198">
        <v>2.4251244E8</v>
      </c>
      <c r="C121" s="199" t="s">
        <v>7880</v>
      </c>
      <c r="D121" s="200" t="s">
        <v>7881</v>
      </c>
      <c r="E121" s="201" t="s">
        <v>220</v>
      </c>
    </row>
    <row r="122" ht="22.5" hidden="1" customHeight="1">
      <c r="A122" s="184">
        <v>18.0</v>
      </c>
      <c r="B122" s="184">
        <v>2.32410241E8</v>
      </c>
      <c r="C122" s="186" t="s">
        <v>7882</v>
      </c>
      <c r="D122" s="185" t="s">
        <v>7883</v>
      </c>
      <c r="E122" s="184" t="s">
        <v>220</v>
      </c>
    </row>
    <row r="123" ht="22.5" hidden="1" customHeight="1">
      <c r="A123" s="184">
        <v>19.0</v>
      </c>
      <c r="B123" s="184">
        <v>2.32410257E8</v>
      </c>
      <c r="C123" s="184" t="s">
        <v>7884</v>
      </c>
      <c r="D123" s="185" t="s">
        <v>7885</v>
      </c>
      <c r="E123" s="184" t="s">
        <v>227</v>
      </c>
    </row>
    <row r="124" ht="22.5" hidden="1" customHeight="1">
      <c r="A124" s="184">
        <v>20.0</v>
      </c>
      <c r="B124" s="184">
        <v>2.32410266E8</v>
      </c>
      <c r="C124" s="189" t="s">
        <v>7886</v>
      </c>
      <c r="D124" s="185" t="s">
        <v>7887</v>
      </c>
      <c r="E124" s="184" t="s">
        <v>227</v>
      </c>
    </row>
    <row r="125" ht="22.5" hidden="1" customHeight="1">
      <c r="A125" s="184">
        <v>21.0</v>
      </c>
      <c r="B125" s="184">
        <v>2.32410268E8</v>
      </c>
      <c r="C125" s="184" t="s">
        <v>7888</v>
      </c>
      <c r="D125" s="185" t="s">
        <v>7889</v>
      </c>
      <c r="E125" s="184" t="s">
        <v>227</v>
      </c>
    </row>
    <row r="126" ht="22.5" hidden="1" customHeight="1">
      <c r="A126" s="184">
        <v>22.0</v>
      </c>
      <c r="B126" s="184">
        <v>2.32410274E8</v>
      </c>
      <c r="C126" s="186" t="s">
        <v>7890</v>
      </c>
      <c r="D126" s="185" t="s">
        <v>7891</v>
      </c>
      <c r="E126" s="184" t="s">
        <v>227</v>
      </c>
    </row>
    <row r="127" ht="22.5" hidden="1" customHeight="1">
      <c r="A127" s="184">
        <v>23.0</v>
      </c>
      <c r="B127" s="184">
        <v>2.32410278E8</v>
      </c>
      <c r="C127" s="186" t="s">
        <v>7892</v>
      </c>
      <c r="D127" s="185" t="s">
        <v>7893</v>
      </c>
      <c r="E127" s="184" t="s">
        <v>227</v>
      </c>
    </row>
    <row r="128" ht="22.5" hidden="1" customHeight="1">
      <c r="A128" s="184">
        <v>24.0</v>
      </c>
      <c r="B128" s="184">
        <v>2.32410303E8</v>
      </c>
      <c r="C128" s="186" t="s">
        <v>7894</v>
      </c>
      <c r="D128" s="185" t="s">
        <v>7895</v>
      </c>
      <c r="E128" s="184" t="s">
        <v>220</v>
      </c>
    </row>
    <row r="129" ht="22.5" hidden="1" customHeight="1">
      <c r="A129" s="184">
        <v>25.0</v>
      </c>
      <c r="B129" s="184">
        <v>2.32410305E8</v>
      </c>
      <c r="C129" s="186" t="s">
        <v>7896</v>
      </c>
      <c r="D129" s="202" t="s">
        <v>7897</v>
      </c>
      <c r="E129" s="184" t="s">
        <v>220</v>
      </c>
    </row>
    <row r="130" ht="22.5" hidden="1" customHeight="1">
      <c r="A130" s="184">
        <v>26.0</v>
      </c>
      <c r="B130" s="184">
        <v>2.32410323E8</v>
      </c>
      <c r="C130" s="186" t="s">
        <v>7898</v>
      </c>
      <c r="D130" s="202" t="s">
        <v>7899</v>
      </c>
      <c r="E130" s="184" t="s">
        <v>227</v>
      </c>
    </row>
    <row r="131" ht="22.5" hidden="1" customHeight="1">
      <c r="A131" s="184">
        <v>27.0</v>
      </c>
      <c r="B131" s="184">
        <v>2.32410328E8</v>
      </c>
      <c r="C131" s="186" t="s">
        <v>7900</v>
      </c>
      <c r="D131" s="185" t="s">
        <v>7901</v>
      </c>
      <c r="E131" s="184" t="s">
        <v>220</v>
      </c>
    </row>
    <row r="132" ht="22.5" hidden="1" customHeight="1">
      <c r="A132" s="184">
        <v>28.0</v>
      </c>
      <c r="B132" s="184">
        <v>2.32410346E8</v>
      </c>
      <c r="C132" s="186" t="s">
        <v>7902</v>
      </c>
      <c r="D132" s="185" t="s">
        <v>7903</v>
      </c>
      <c r="E132" s="184" t="s">
        <v>220</v>
      </c>
    </row>
    <row r="133" ht="22.5" hidden="1" customHeight="1">
      <c r="A133" s="184">
        <v>29.0</v>
      </c>
      <c r="B133" s="184">
        <v>2.32410356E8</v>
      </c>
      <c r="C133" s="186" t="s">
        <v>7904</v>
      </c>
      <c r="D133" s="185" t="s">
        <v>7905</v>
      </c>
      <c r="E133" s="184" t="s">
        <v>220</v>
      </c>
    </row>
    <row r="134" ht="22.5" hidden="1" customHeight="1">
      <c r="A134" s="184">
        <v>30.0</v>
      </c>
      <c r="B134" s="184">
        <v>2.32410359E8</v>
      </c>
      <c r="C134" s="184" t="s">
        <v>7906</v>
      </c>
      <c r="D134" s="185" t="s">
        <v>7907</v>
      </c>
      <c r="E134" s="184" t="s">
        <v>227</v>
      </c>
    </row>
    <row r="135" ht="22.5" hidden="1" customHeight="1">
      <c r="A135" s="184">
        <v>31.0</v>
      </c>
      <c r="B135" s="184">
        <v>2.32410372E8</v>
      </c>
      <c r="C135" s="186" t="s">
        <v>7908</v>
      </c>
      <c r="D135" s="185" t="s">
        <v>7909</v>
      </c>
      <c r="E135" s="184" t="s">
        <v>227</v>
      </c>
    </row>
    <row r="136" ht="22.5" hidden="1" customHeight="1">
      <c r="A136" s="184">
        <v>32.0</v>
      </c>
      <c r="B136" s="184">
        <v>2.32410376E8</v>
      </c>
      <c r="C136" s="184" t="s">
        <v>7910</v>
      </c>
      <c r="D136" s="185" t="s">
        <v>7911</v>
      </c>
      <c r="E136" s="184" t="s">
        <v>227</v>
      </c>
    </row>
    <row r="137" ht="22.5" hidden="1" customHeight="1">
      <c r="A137" s="184">
        <v>33.0</v>
      </c>
      <c r="B137" s="184">
        <v>2.32410401E8</v>
      </c>
      <c r="C137" s="184" t="s">
        <v>7912</v>
      </c>
      <c r="D137" s="185" t="s">
        <v>7913</v>
      </c>
      <c r="E137" s="184" t="s">
        <v>220</v>
      </c>
    </row>
    <row r="138" ht="22.5" hidden="1" customHeight="1">
      <c r="A138" s="184">
        <v>34.0</v>
      </c>
      <c r="B138" s="184" t="s">
        <v>9375</v>
      </c>
      <c r="C138" s="186" t="s">
        <v>7914</v>
      </c>
      <c r="D138" s="185" t="s">
        <v>7915</v>
      </c>
      <c r="E138" s="184" t="s">
        <v>227</v>
      </c>
    </row>
    <row r="139" ht="22.5" hidden="1" customHeight="1">
      <c r="A139" s="184">
        <v>35.0</v>
      </c>
      <c r="B139" s="184" t="s">
        <v>9376</v>
      </c>
      <c r="C139" s="186" t="s">
        <v>7916</v>
      </c>
      <c r="D139" s="185" t="s">
        <v>7917</v>
      </c>
      <c r="E139" s="184" t="s">
        <v>227</v>
      </c>
    </row>
    <row r="140" ht="22.5" hidden="1" customHeight="1">
      <c r="A140" s="184">
        <v>36.0</v>
      </c>
      <c r="B140" s="184" t="s">
        <v>9377</v>
      </c>
      <c r="C140" s="186" t="s">
        <v>7918</v>
      </c>
      <c r="D140" s="185" t="s">
        <v>7919</v>
      </c>
      <c r="E140" s="184" t="s">
        <v>227</v>
      </c>
    </row>
    <row r="141" ht="22.5" hidden="1" customHeight="1">
      <c r="A141" s="188"/>
      <c r="B141" s="189" t="s">
        <v>8789</v>
      </c>
      <c r="C141" s="188"/>
      <c r="D141" s="190">
        <f>COUNTIF(E105:E140,"L")</f>
        <v>17</v>
      </c>
      <c r="E141" s="188"/>
    </row>
    <row r="142" ht="22.5" hidden="1" customHeight="1">
      <c r="A142" s="188"/>
      <c r="B142" s="189" t="s">
        <v>8790</v>
      </c>
      <c r="C142" s="188"/>
      <c r="D142" s="190">
        <f>COUNTIF(E105:E140,"P")</f>
        <v>19</v>
      </c>
      <c r="E142" s="188"/>
    </row>
    <row r="143" ht="22.5" hidden="1" customHeight="1">
      <c r="A143" s="188"/>
      <c r="B143" s="189" t="s">
        <v>8792</v>
      </c>
      <c r="C143" s="188"/>
      <c r="D143" s="190">
        <f>D141+D142</f>
        <v>36</v>
      </c>
      <c r="E143" s="188"/>
    </row>
    <row r="144" ht="22.5" hidden="1" customHeight="1">
      <c r="A144" s="188"/>
      <c r="B144" s="188"/>
      <c r="C144" s="188"/>
      <c r="D144" s="188"/>
      <c r="E144" s="188"/>
    </row>
    <row r="145" ht="22.5" hidden="1" customHeight="1">
      <c r="A145" s="191" t="s">
        <v>9359</v>
      </c>
      <c r="B145" s="192"/>
      <c r="C145" s="192"/>
      <c r="D145" s="192"/>
      <c r="E145" s="192"/>
    </row>
    <row r="146" ht="22.5" hidden="1" customHeight="1">
      <c r="A146" s="193" t="s">
        <v>9365</v>
      </c>
      <c r="B146" s="194"/>
      <c r="C146" s="194"/>
      <c r="D146" s="194"/>
      <c r="E146" s="194"/>
    </row>
    <row r="147" ht="22.5" hidden="1" customHeight="1">
      <c r="A147" s="176" t="s">
        <v>8745</v>
      </c>
      <c r="B147" s="177"/>
      <c r="C147" s="177"/>
      <c r="D147" s="177"/>
      <c r="E147" s="177"/>
    </row>
    <row r="148" ht="22.5" customHeight="1">
      <c r="A148" s="178" t="s">
        <v>9378</v>
      </c>
      <c r="B148" s="177"/>
      <c r="C148" s="177"/>
      <c r="D148" s="177"/>
      <c r="E148" s="177"/>
    </row>
    <row r="149" ht="22.5" hidden="1" customHeight="1">
      <c r="A149" s="179" t="s">
        <v>9379</v>
      </c>
      <c r="B149" s="180"/>
      <c r="C149" s="180"/>
      <c r="D149" s="180"/>
      <c r="E149" s="180"/>
    </row>
    <row r="150" ht="22.5" hidden="1" customHeight="1">
      <c r="A150" s="181" t="s">
        <v>8748</v>
      </c>
      <c r="B150" s="181" t="s">
        <v>5246</v>
      </c>
      <c r="C150" s="181" t="s">
        <v>9</v>
      </c>
      <c r="D150" s="181" t="s">
        <v>8680</v>
      </c>
      <c r="E150" s="181" t="s">
        <v>13</v>
      </c>
    </row>
    <row r="151" ht="22.5" hidden="1" customHeight="1">
      <c r="A151" s="182"/>
      <c r="B151" s="182"/>
      <c r="C151" s="182"/>
      <c r="D151" s="182"/>
      <c r="E151" s="182"/>
    </row>
    <row r="152" ht="22.5" hidden="1" customHeight="1">
      <c r="A152" s="203"/>
      <c r="B152" s="183"/>
      <c r="C152" s="183"/>
      <c r="D152" s="183"/>
      <c r="E152" s="183"/>
    </row>
    <row r="153" ht="22.5" hidden="1" customHeight="1">
      <c r="A153" s="204">
        <v>1.0</v>
      </c>
      <c r="B153" s="184">
        <v>2.32410002E8</v>
      </c>
      <c r="C153" s="184" t="s">
        <v>7920</v>
      </c>
      <c r="D153" s="185" t="s">
        <v>7921</v>
      </c>
      <c r="E153" s="184" t="s">
        <v>220</v>
      </c>
    </row>
    <row r="154" ht="22.5" hidden="1" customHeight="1">
      <c r="A154" s="184">
        <v>2.0</v>
      </c>
      <c r="B154" s="184">
        <v>2.32410011E8</v>
      </c>
      <c r="C154" s="186" t="s">
        <v>7923</v>
      </c>
      <c r="D154" s="185" t="s">
        <v>7924</v>
      </c>
      <c r="E154" s="184" t="s">
        <v>220</v>
      </c>
    </row>
    <row r="155" ht="22.5" hidden="1" customHeight="1">
      <c r="A155" s="204">
        <v>3.0</v>
      </c>
      <c r="B155" s="184">
        <v>2.32410032E8</v>
      </c>
      <c r="C155" s="186" t="s">
        <v>7925</v>
      </c>
      <c r="D155" s="185" t="s">
        <v>7926</v>
      </c>
      <c r="E155" s="184" t="s">
        <v>227</v>
      </c>
    </row>
    <row r="156" ht="22.5" hidden="1" customHeight="1">
      <c r="A156" s="184">
        <v>4.0</v>
      </c>
      <c r="B156" s="184">
        <v>2.32410043E8</v>
      </c>
      <c r="C156" s="184" t="s">
        <v>7927</v>
      </c>
      <c r="D156" s="185" t="s">
        <v>7928</v>
      </c>
      <c r="E156" s="184" t="s">
        <v>227</v>
      </c>
    </row>
    <row r="157" ht="22.5" hidden="1" customHeight="1">
      <c r="A157" s="204">
        <v>5.0</v>
      </c>
      <c r="B157" s="184">
        <v>2.32410045E8</v>
      </c>
      <c r="C157" s="184" t="s">
        <v>7929</v>
      </c>
      <c r="D157" s="185" t="s">
        <v>7930</v>
      </c>
      <c r="E157" s="184" t="s">
        <v>227</v>
      </c>
    </row>
    <row r="158" ht="22.5" hidden="1" customHeight="1">
      <c r="A158" s="184">
        <v>6.0</v>
      </c>
      <c r="B158" s="184">
        <v>2.32410052E8</v>
      </c>
      <c r="C158" s="184" t="s">
        <v>7931</v>
      </c>
      <c r="D158" s="185" t="s">
        <v>7932</v>
      </c>
      <c r="E158" s="184" t="s">
        <v>220</v>
      </c>
    </row>
    <row r="159" ht="22.5" hidden="1" customHeight="1">
      <c r="A159" s="204">
        <v>7.0</v>
      </c>
      <c r="B159" s="184">
        <v>2.32410062E8</v>
      </c>
      <c r="C159" s="184" t="s">
        <v>7933</v>
      </c>
      <c r="D159" s="185" t="s">
        <v>7934</v>
      </c>
      <c r="E159" s="184" t="s">
        <v>227</v>
      </c>
    </row>
    <row r="160" ht="22.5" hidden="1" customHeight="1">
      <c r="A160" s="184">
        <v>8.0</v>
      </c>
      <c r="B160" s="184" t="s">
        <v>9380</v>
      </c>
      <c r="C160" s="205" t="s">
        <v>7935</v>
      </c>
      <c r="D160" s="185" t="s">
        <v>7936</v>
      </c>
      <c r="E160" s="184" t="s">
        <v>220</v>
      </c>
    </row>
    <row r="161" ht="22.5" hidden="1" customHeight="1">
      <c r="A161" s="204">
        <v>9.0</v>
      </c>
      <c r="B161" s="184">
        <v>2.324101E8</v>
      </c>
      <c r="C161" s="184" t="s">
        <v>7935</v>
      </c>
      <c r="D161" s="185" t="s">
        <v>7937</v>
      </c>
      <c r="E161" s="184" t="s">
        <v>220</v>
      </c>
    </row>
    <row r="162" ht="22.5" hidden="1" customHeight="1">
      <c r="A162" s="184">
        <v>10.0</v>
      </c>
      <c r="B162" s="184">
        <v>2.32410111E8</v>
      </c>
      <c r="C162" s="186" t="s">
        <v>7938</v>
      </c>
      <c r="D162" s="185" t="s">
        <v>7939</v>
      </c>
      <c r="E162" s="184" t="s">
        <v>227</v>
      </c>
    </row>
    <row r="163" ht="22.5" hidden="1" customHeight="1">
      <c r="A163" s="204">
        <v>11.0</v>
      </c>
      <c r="B163" s="206">
        <v>2.32410436E8</v>
      </c>
      <c r="C163" s="186" t="s">
        <v>7940</v>
      </c>
      <c r="D163" s="185" t="s">
        <v>7941</v>
      </c>
      <c r="E163" s="184" t="s">
        <v>220</v>
      </c>
    </row>
    <row r="164" ht="22.5" hidden="1" customHeight="1">
      <c r="A164" s="184">
        <v>12.0</v>
      </c>
      <c r="B164" s="184" t="s">
        <v>9381</v>
      </c>
      <c r="C164" s="184" t="s">
        <v>7942</v>
      </c>
      <c r="D164" s="185" t="s">
        <v>7943</v>
      </c>
      <c r="E164" s="184" t="s">
        <v>220</v>
      </c>
    </row>
    <row r="165" ht="22.5" hidden="1" customHeight="1">
      <c r="A165" s="204">
        <v>13.0</v>
      </c>
      <c r="B165" s="184" t="s">
        <v>9382</v>
      </c>
      <c r="C165" s="184" t="s">
        <v>7944</v>
      </c>
      <c r="D165" s="185" t="s">
        <v>7945</v>
      </c>
      <c r="E165" s="184" t="s">
        <v>227</v>
      </c>
    </row>
    <row r="166" ht="22.5" hidden="1" customHeight="1">
      <c r="A166" s="184">
        <v>14.0</v>
      </c>
      <c r="B166" s="184" t="s">
        <v>9383</v>
      </c>
      <c r="C166" s="184" t="s">
        <v>7946</v>
      </c>
      <c r="D166" s="185" t="s">
        <v>7947</v>
      </c>
      <c r="E166" s="184" t="s">
        <v>220</v>
      </c>
    </row>
    <row r="167" ht="22.5" hidden="1" customHeight="1">
      <c r="A167" s="204">
        <v>15.0</v>
      </c>
      <c r="B167" s="184" t="s">
        <v>9384</v>
      </c>
      <c r="C167" s="184" t="s">
        <v>7948</v>
      </c>
      <c r="D167" s="185" t="s">
        <v>7949</v>
      </c>
      <c r="E167" s="184" t="s">
        <v>227</v>
      </c>
    </row>
    <row r="168" ht="22.5" hidden="1" customHeight="1">
      <c r="A168" s="184">
        <v>16.0</v>
      </c>
      <c r="B168" s="184" t="s">
        <v>9385</v>
      </c>
      <c r="C168" s="184" t="s">
        <v>7950</v>
      </c>
      <c r="D168" s="185" t="s">
        <v>7951</v>
      </c>
      <c r="E168" s="184" t="s">
        <v>220</v>
      </c>
    </row>
    <row r="169" ht="22.5" hidden="1" customHeight="1">
      <c r="A169" s="204">
        <v>17.0</v>
      </c>
      <c r="B169" s="184" t="s">
        <v>9386</v>
      </c>
      <c r="C169" s="186" t="s">
        <v>7952</v>
      </c>
      <c r="D169" s="185" t="s">
        <v>7953</v>
      </c>
      <c r="E169" s="184" t="s">
        <v>227</v>
      </c>
    </row>
    <row r="170" ht="22.5" hidden="1" customHeight="1">
      <c r="A170" s="184">
        <v>18.0</v>
      </c>
      <c r="B170" s="184" t="s">
        <v>9387</v>
      </c>
      <c r="C170" s="186" t="s">
        <v>7954</v>
      </c>
      <c r="D170" s="185" t="s">
        <v>7955</v>
      </c>
      <c r="E170" s="184" t="s">
        <v>227</v>
      </c>
    </row>
    <row r="171" ht="22.5" hidden="1" customHeight="1">
      <c r="A171" s="204">
        <v>19.0</v>
      </c>
      <c r="B171" s="184" t="s">
        <v>9388</v>
      </c>
      <c r="C171" s="186" t="s">
        <v>7956</v>
      </c>
      <c r="D171" s="185" t="s">
        <v>7957</v>
      </c>
      <c r="E171" s="184" t="s">
        <v>227</v>
      </c>
    </row>
    <row r="172" ht="22.5" hidden="1" customHeight="1">
      <c r="A172" s="184">
        <v>20.0</v>
      </c>
      <c r="B172" s="184" t="s">
        <v>9389</v>
      </c>
      <c r="C172" s="184" t="s">
        <v>7958</v>
      </c>
      <c r="D172" s="185" t="s">
        <v>7959</v>
      </c>
      <c r="E172" s="184" t="s">
        <v>220</v>
      </c>
    </row>
    <row r="173" ht="22.5" hidden="1" customHeight="1">
      <c r="A173" s="204">
        <v>21.0</v>
      </c>
      <c r="B173" s="184" t="s">
        <v>9390</v>
      </c>
      <c r="C173" s="184" t="s">
        <v>7960</v>
      </c>
      <c r="D173" s="185" t="s">
        <v>7961</v>
      </c>
      <c r="E173" s="184" t="s">
        <v>227</v>
      </c>
    </row>
    <row r="174" ht="22.5" hidden="1" customHeight="1">
      <c r="A174" s="184">
        <v>22.0</v>
      </c>
      <c r="B174" s="184" t="s">
        <v>9391</v>
      </c>
      <c r="C174" s="184" t="s">
        <v>7962</v>
      </c>
      <c r="D174" s="185" t="s">
        <v>7963</v>
      </c>
      <c r="E174" s="184" t="s">
        <v>220</v>
      </c>
    </row>
    <row r="175" ht="22.5" hidden="1" customHeight="1">
      <c r="A175" s="204">
        <v>23.0</v>
      </c>
      <c r="B175" s="201" t="s">
        <v>9392</v>
      </c>
      <c r="C175" s="201" t="s">
        <v>7964</v>
      </c>
      <c r="D175" s="185" t="s">
        <v>7965</v>
      </c>
      <c r="E175" s="184" t="s">
        <v>227</v>
      </c>
    </row>
    <row r="176" ht="22.5" hidden="1" customHeight="1">
      <c r="A176" s="184">
        <v>24.0</v>
      </c>
      <c r="B176" s="184" t="s">
        <v>9393</v>
      </c>
      <c r="C176" s="184" t="s">
        <v>7966</v>
      </c>
      <c r="D176" s="185" t="s">
        <v>7967</v>
      </c>
      <c r="E176" s="184" t="s">
        <v>220</v>
      </c>
    </row>
    <row r="177" ht="22.5" hidden="1" customHeight="1">
      <c r="A177" s="204">
        <v>25.0</v>
      </c>
      <c r="B177" s="184" t="s">
        <v>9394</v>
      </c>
      <c r="C177" s="184" t="s">
        <v>7968</v>
      </c>
      <c r="D177" s="185" t="s">
        <v>7969</v>
      </c>
      <c r="E177" s="184" t="s">
        <v>227</v>
      </c>
    </row>
    <row r="178" ht="22.5" hidden="1" customHeight="1">
      <c r="A178" s="184">
        <v>26.0</v>
      </c>
      <c r="B178" s="184" t="s">
        <v>9395</v>
      </c>
      <c r="C178" s="184" t="s">
        <v>7970</v>
      </c>
      <c r="D178" s="185" t="s">
        <v>7971</v>
      </c>
      <c r="E178" s="184" t="s">
        <v>227</v>
      </c>
    </row>
    <row r="179" ht="22.5" hidden="1" customHeight="1">
      <c r="A179" s="204">
        <v>27.0</v>
      </c>
      <c r="B179" s="184" t="s">
        <v>9396</v>
      </c>
      <c r="C179" s="184" t="s">
        <v>7972</v>
      </c>
      <c r="D179" s="185" t="s">
        <v>7973</v>
      </c>
      <c r="E179" s="184" t="s">
        <v>227</v>
      </c>
    </row>
    <row r="180" ht="22.5" hidden="1" customHeight="1">
      <c r="A180" s="184">
        <v>28.0</v>
      </c>
      <c r="B180" s="184" t="s">
        <v>9397</v>
      </c>
      <c r="C180" s="184" t="s">
        <v>7974</v>
      </c>
      <c r="D180" s="185" t="s">
        <v>7975</v>
      </c>
      <c r="E180" s="184" t="s">
        <v>220</v>
      </c>
    </row>
    <row r="181" ht="22.5" hidden="1" customHeight="1">
      <c r="A181" s="204">
        <v>29.0</v>
      </c>
      <c r="B181" s="184" t="s">
        <v>9398</v>
      </c>
      <c r="C181" s="184" t="s">
        <v>7976</v>
      </c>
      <c r="D181" s="185" t="s">
        <v>7977</v>
      </c>
      <c r="E181" s="184" t="s">
        <v>220</v>
      </c>
    </row>
    <row r="182" ht="22.5" hidden="1" customHeight="1">
      <c r="A182" s="184">
        <v>30.0</v>
      </c>
      <c r="B182" s="184" t="s">
        <v>9399</v>
      </c>
      <c r="C182" s="184" t="s">
        <v>7978</v>
      </c>
      <c r="D182" s="185" t="s">
        <v>7979</v>
      </c>
      <c r="E182" s="184" t="s">
        <v>227</v>
      </c>
    </row>
    <row r="183" ht="22.5" hidden="1" customHeight="1">
      <c r="A183" s="204">
        <v>31.0</v>
      </c>
      <c r="B183" s="184" t="s">
        <v>9400</v>
      </c>
      <c r="C183" s="184" t="s">
        <v>7980</v>
      </c>
      <c r="D183" s="185" t="s">
        <v>7981</v>
      </c>
      <c r="E183" s="184" t="s">
        <v>227</v>
      </c>
    </row>
    <row r="184" ht="22.5" hidden="1" customHeight="1">
      <c r="A184" s="184">
        <v>32.0</v>
      </c>
      <c r="B184" s="184" t="s">
        <v>9401</v>
      </c>
      <c r="C184" s="184" t="s">
        <v>7982</v>
      </c>
      <c r="D184" s="185" t="s">
        <v>7983</v>
      </c>
      <c r="E184" s="184" t="s">
        <v>227</v>
      </c>
    </row>
    <row r="185" ht="22.5" hidden="1" customHeight="1">
      <c r="A185" s="204">
        <v>33.0</v>
      </c>
      <c r="B185" s="184" t="s">
        <v>9402</v>
      </c>
      <c r="C185" s="184" t="s">
        <v>7984</v>
      </c>
      <c r="D185" s="185" t="s">
        <v>7985</v>
      </c>
      <c r="E185" s="184" t="s">
        <v>227</v>
      </c>
    </row>
    <row r="186" ht="22.5" hidden="1" customHeight="1">
      <c r="A186" s="184">
        <v>34.0</v>
      </c>
      <c r="B186" s="184" t="s">
        <v>9403</v>
      </c>
      <c r="C186" s="186" t="s">
        <v>7986</v>
      </c>
      <c r="D186" s="185" t="s">
        <v>7987</v>
      </c>
      <c r="E186" s="184" t="s">
        <v>227</v>
      </c>
    </row>
    <row r="187" ht="22.5" hidden="1" customHeight="1">
      <c r="A187" s="204">
        <v>35.0</v>
      </c>
      <c r="B187" s="184" t="s">
        <v>9404</v>
      </c>
      <c r="C187" s="186" t="s">
        <v>7988</v>
      </c>
      <c r="D187" s="185" t="s">
        <v>7989</v>
      </c>
      <c r="E187" s="184" t="s">
        <v>220</v>
      </c>
    </row>
    <row r="188" ht="22.5" hidden="1" customHeight="1">
      <c r="A188" s="184">
        <v>36.0</v>
      </c>
      <c r="B188" s="184" t="s">
        <v>9405</v>
      </c>
      <c r="C188" s="186" t="s">
        <v>7990</v>
      </c>
      <c r="D188" s="185" t="s">
        <v>7991</v>
      </c>
      <c r="E188" s="184" t="s">
        <v>227</v>
      </c>
    </row>
    <row r="189" ht="22.5" hidden="1" customHeight="1">
      <c r="A189" s="188"/>
      <c r="B189" s="189" t="s">
        <v>8789</v>
      </c>
      <c r="C189" s="188"/>
      <c r="D189" s="190">
        <f>COUNTIF(E153:E188,"L")</f>
        <v>15</v>
      </c>
      <c r="E189" s="188"/>
    </row>
    <row r="190" ht="22.5" hidden="1" customHeight="1">
      <c r="A190" s="188"/>
      <c r="B190" s="189" t="s">
        <v>8790</v>
      </c>
      <c r="C190" s="188"/>
      <c r="D190" s="190">
        <f>COUNTIF(E153:E188,"P")</f>
        <v>21</v>
      </c>
      <c r="E190" s="188"/>
    </row>
    <row r="191" ht="22.5" hidden="1" customHeight="1">
      <c r="A191" s="188"/>
      <c r="B191" s="189" t="s">
        <v>8792</v>
      </c>
      <c r="C191" s="188"/>
      <c r="D191" s="190">
        <f>SUM(D189:D190)</f>
        <v>36</v>
      </c>
      <c r="E191" s="188"/>
    </row>
    <row r="192" ht="22.5" hidden="1" customHeight="1">
      <c r="A192" s="188"/>
      <c r="B192" s="188"/>
      <c r="C192" s="188"/>
      <c r="D192" s="188"/>
      <c r="E192" s="188"/>
    </row>
    <row r="193" ht="22.5" hidden="1" customHeight="1">
      <c r="A193" s="191" t="s">
        <v>9359</v>
      </c>
      <c r="B193" s="192"/>
      <c r="C193" s="192"/>
      <c r="D193" s="192"/>
      <c r="E193" s="192"/>
    </row>
    <row r="194" ht="22.5" hidden="1" customHeight="1">
      <c r="A194" s="193" t="s">
        <v>9365</v>
      </c>
      <c r="B194" s="194"/>
      <c r="C194" s="194"/>
      <c r="D194" s="194"/>
      <c r="E194" s="194"/>
    </row>
    <row r="195" ht="22.5" hidden="1" customHeight="1">
      <c r="A195" s="176" t="s">
        <v>8745</v>
      </c>
      <c r="B195" s="177"/>
      <c r="C195" s="177"/>
      <c r="D195" s="177"/>
      <c r="E195" s="177"/>
    </row>
    <row r="196" ht="22.5" customHeight="1">
      <c r="A196" s="178" t="s">
        <v>9406</v>
      </c>
      <c r="B196" s="177"/>
      <c r="C196" s="177"/>
      <c r="D196" s="177"/>
      <c r="E196" s="177"/>
    </row>
    <row r="197" ht="22.5" hidden="1" customHeight="1">
      <c r="A197" s="179" t="s">
        <v>9407</v>
      </c>
      <c r="B197" s="180"/>
      <c r="C197" s="180"/>
      <c r="D197" s="180"/>
      <c r="E197" s="180"/>
    </row>
    <row r="198" ht="22.5" hidden="1" customHeight="1">
      <c r="A198" s="181" t="s">
        <v>8748</v>
      </c>
      <c r="B198" s="181" t="s">
        <v>5246</v>
      </c>
      <c r="C198" s="181" t="s">
        <v>9</v>
      </c>
      <c r="D198" s="181" t="s">
        <v>8680</v>
      </c>
      <c r="E198" s="181" t="s">
        <v>13</v>
      </c>
    </row>
    <row r="199" ht="22.5" hidden="1" customHeight="1">
      <c r="A199" s="182"/>
      <c r="B199" s="182"/>
      <c r="C199" s="182"/>
      <c r="D199" s="182"/>
      <c r="E199" s="182"/>
    </row>
    <row r="200" ht="22.5" hidden="1" customHeight="1">
      <c r="A200" s="183"/>
      <c r="B200" s="183"/>
      <c r="C200" s="183"/>
      <c r="D200" s="183"/>
      <c r="E200" s="183"/>
    </row>
    <row r="201" ht="22.5" hidden="1" customHeight="1">
      <c r="A201" s="184">
        <v>1.0</v>
      </c>
      <c r="B201" s="186" t="s">
        <v>9408</v>
      </c>
      <c r="C201" s="184" t="s">
        <v>7992</v>
      </c>
      <c r="D201" s="185" t="s">
        <v>7993</v>
      </c>
      <c r="E201" s="184" t="s">
        <v>220</v>
      </c>
    </row>
    <row r="202" ht="22.5" hidden="1" customHeight="1">
      <c r="A202" s="184">
        <v>2.0</v>
      </c>
      <c r="B202" s="184" t="s">
        <v>9409</v>
      </c>
      <c r="C202" s="184" t="s">
        <v>7996</v>
      </c>
      <c r="D202" s="185" t="s">
        <v>7997</v>
      </c>
      <c r="E202" s="184" t="s">
        <v>227</v>
      </c>
    </row>
    <row r="203" ht="22.5" hidden="1" customHeight="1">
      <c r="A203" s="184">
        <v>3.0</v>
      </c>
      <c r="B203" s="184" t="s">
        <v>9410</v>
      </c>
      <c r="C203" s="186" t="s">
        <v>7998</v>
      </c>
      <c r="D203" s="202" t="s">
        <v>7999</v>
      </c>
      <c r="E203" s="184" t="s">
        <v>227</v>
      </c>
    </row>
    <row r="204" ht="22.5" hidden="1" customHeight="1">
      <c r="A204" s="184">
        <v>4.0</v>
      </c>
      <c r="B204" s="184" t="s">
        <v>9411</v>
      </c>
      <c r="C204" s="184" t="s">
        <v>8000</v>
      </c>
      <c r="D204" s="185" t="s">
        <v>8001</v>
      </c>
      <c r="E204" s="184" t="s">
        <v>220</v>
      </c>
    </row>
    <row r="205" ht="22.5" hidden="1" customHeight="1">
      <c r="A205" s="184">
        <v>5.0</v>
      </c>
      <c r="B205" s="184" t="s">
        <v>9412</v>
      </c>
      <c r="C205" s="186" t="s">
        <v>8002</v>
      </c>
      <c r="D205" s="185" t="s">
        <v>8003</v>
      </c>
      <c r="E205" s="184" t="s">
        <v>227</v>
      </c>
    </row>
    <row r="206" ht="22.5" hidden="1" customHeight="1">
      <c r="A206" s="184">
        <v>6.0</v>
      </c>
      <c r="B206" s="184" t="s">
        <v>9413</v>
      </c>
      <c r="C206" s="184" t="s">
        <v>8004</v>
      </c>
      <c r="D206" s="185" t="s">
        <v>8005</v>
      </c>
      <c r="E206" s="184" t="s">
        <v>220</v>
      </c>
    </row>
    <row r="207" ht="22.5" hidden="1" customHeight="1">
      <c r="A207" s="184">
        <v>7.0</v>
      </c>
      <c r="B207" s="184" t="s">
        <v>9414</v>
      </c>
      <c r="C207" s="184" t="s">
        <v>8006</v>
      </c>
      <c r="D207" s="185" t="s">
        <v>8007</v>
      </c>
      <c r="E207" s="184" t="s">
        <v>227</v>
      </c>
    </row>
    <row r="208" ht="22.5" hidden="1" customHeight="1">
      <c r="A208" s="184">
        <v>8.0</v>
      </c>
      <c r="B208" s="184" t="s">
        <v>9415</v>
      </c>
      <c r="C208" s="184" t="s">
        <v>8008</v>
      </c>
      <c r="D208" s="185" t="s">
        <v>8009</v>
      </c>
      <c r="E208" s="184" t="s">
        <v>220</v>
      </c>
    </row>
    <row r="209" ht="22.5" hidden="1" customHeight="1">
      <c r="A209" s="184">
        <v>9.0</v>
      </c>
      <c r="B209" s="184" t="s">
        <v>9416</v>
      </c>
      <c r="C209" s="184" t="s">
        <v>8010</v>
      </c>
      <c r="D209" s="185" t="s">
        <v>8011</v>
      </c>
      <c r="E209" s="184" t="s">
        <v>220</v>
      </c>
    </row>
    <row r="210" ht="22.5" hidden="1" customHeight="1">
      <c r="A210" s="184">
        <v>10.0</v>
      </c>
      <c r="B210" s="184" t="s">
        <v>9417</v>
      </c>
      <c r="C210" s="184" t="s">
        <v>8012</v>
      </c>
      <c r="D210" s="185" t="s">
        <v>8013</v>
      </c>
      <c r="E210" s="184" t="s">
        <v>220</v>
      </c>
    </row>
    <row r="211" ht="22.5" hidden="1" customHeight="1">
      <c r="A211" s="184">
        <v>11.0</v>
      </c>
      <c r="B211" s="184" t="s">
        <v>9418</v>
      </c>
      <c r="C211" s="184" t="s">
        <v>8014</v>
      </c>
      <c r="D211" s="185" t="s">
        <v>8015</v>
      </c>
      <c r="E211" s="184" t="s">
        <v>220</v>
      </c>
    </row>
    <row r="212" ht="22.5" hidden="1" customHeight="1">
      <c r="A212" s="184">
        <v>12.0</v>
      </c>
      <c r="B212" s="184" t="s">
        <v>9419</v>
      </c>
      <c r="C212" s="186" t="s">
        <v>8016</v>
      </c>
      <c r="D212" s="202" t="s">
        <v>8017</v>
      </c>
      <c r="E212" s="184" t="s">
        <v>220</v>
      </c>
    </row>
    <row r="213" ht="22.5" hidden="1" customHeight="1">
      <c r="A213" s="184">
        <v>13.0</v>
      </c>
      <c r="B213" s="184" t="s">
        <v>9420</v>
      </c>
      <c r="C213" s="184" t="s">
        <v>8018</v>
      </c>
      <c r="D213" s="185" t="s">
        <v>8019</v>
      </c>
      <c r="E213" s="184" t="s">
        <v>227</v>
      </c>
    </row>
    <row r="214" ht="22.5" hidden="1" customHeight="1">
      <c r="A214" s="184">
        <v>14.0</v>
      </c>
      <c r="B214" s="184" t="s">
        <v>9421</v>
      </c>
      <c r="C214" s="184" t="s">
        <v>8020</v>
      </c>
      <c r="D214" s="185" t="s">
        <v>8021</v>
      </c>
      <c r="E214" s="184" t="s">
        <v>220</v>
      </c>
    </row>
    <row r="215" ht="22.5" hidden="1" customHeight="1">
      <c r="A215" s="184">
        <v>15.0</v>
      </c>
      <c r="B215" s="184" t="s">
        <v>9422</v>
      </c>
      <c r="C215" s="184" t="s">
        <v>8022</v>
      </c>
      <c r="D215" s="185" t="s">
        <v>8023</v>
      </c>
      <c r="E215" s="184" t="s">
        <v>220</v>
      </c>
    </row>
    <row r="216" ht="22.5" hidden="1" customHeight="1">
      <c r="A216" s="184">
        <v>16.0</v>
      </c>
      <c r="B216" s="184" t="s">
        <v>9423</v>
      </c>
      <c r="C216" s="186" t="s">
        <v>8024</v>
      </c>
      <c r="D216" s="185" t="s">
        <v>8025</v>
      </c>
      <c r="E216" s="184" t="s">
        <v>220</v>
      </c>
    </row>
    <row r="217" ht="22.5" hidden="1" customHeight="1">
      <c r="A217" s="184">
        <v>17.0</v>
      </c>
      <c r="B217" s="184" t="s">
        <v>9424</v>
      </c>
      <c r="C217" s="184" t="s">
        <v>8026</v>
      </c>
      <c r="D217" s="185" t="s">
        <v>8027</v>
      </c>
      <c r="E217" s="184" t="s">
        <v>227</v>
      </c>
    </row>
    <row r="218" ht="22.5" hidden="1" customHeight="1">
      <c r="A218" s="184">
        <v>18.0</v>
      </c>
      <c r="B218" s="184" t="s">
        <v>9425</v>
      </c>
      <c r="C218" s="186" t="s">
        <v>8028</v>
      </c>
      <c r="D218" s="202" t="s">
        <v>8029</v>
      </c>
      <c r="E218" s="184" t="s">
        <v>227</v>
      </c>
    </row>
    <row r="219" ht="22.5" hidden="1" customHeight="1">
      <c r="A219" s="184">
        <v>19.0</v>
      </c>
      <c r="B219" s="184" t="s">
        <v>9426</v>
      </c>
      <c r="C219" s="186" t="s">
        <v>8030</v>
      </c>
      <c r="D219" s="185" t="s">
        <v>8031</v>
      </c>
      <c r="E219" s="184" t="s">
        <v>227</v>
      </c>
    </row>
    <row r="220" ht="22.5" hidden="1" customHeight="1">
      <c r="A220" s="184">
        <v>20.0</v>
      </c>
      <c r="B220" s="184" t="s">
        <v>9427</v>
      </c>
      <c r="C220" s="184" t="s">
        <v>8032</v>
      </c>
      <c r="D220" s="185" t="s">
        <v>8033</v>
      </c>
      <c r="E220" s="184" t="s">
        <v>227</v>
      </c>
    </row>
    <row r="221" ht="22.5" hidden="1" customHeight="1">
      <c r="A221" s="184">
        <v>21.0</v>
      </c>
      <c r="B221" s="184" t="s">
        <v>9428</v>
      </c>
      <c r="C221" s="186" t="s">
        <v>8034</v>
      </c>
      <c r="D221" s="202" t="s">
        <v>8035</v>
      </c>
      <c r="E221" s="184" t="s">
        <v>220</v>
      </c>
    </row>
    <row r="222" ht="22.5" hidden="1" customHeight="1">
      <c r="A222" s="184">
        <v>22.0</v>
      </c>
      <c r="B222" s="184">
        <v>2.32410212E8</v>
      </c>
      <c r="C222" s="186" t="s">
        <v>8036</v>
      </c>
      <c r="D222" s="185" t="s">
        <v>8037</v>
      </c>
      <c r="E222" s="184" t="s">
        <v>220</v>
      </c>
    </row>
    <row r="223" ht="22.5" hidden="1" customHeight="1">
      <c r="A223" s="184">
        <v>23.0</v>
      </c>
      <c r="B223" s="184">
        <v>2.32410231E8</v>
      </c>
      <c r="C223" s="186" t="s">
        <v>8038</v>
      </c>
      <c r="D223" s="185" t="s">
        <v>8039</v>
      </c>
      <c r="E223" s="184" t="s">
        <v>220</v>
      </c>
    </row>
    <row r="224" ht="22.5" hidden="1" customHeight="1">
      <c r="A224" s="184">
        <v>24.0</v>
      </c>
      <c r="B224" s="184" t="s">
        <v>9429</v>
      </c>
      <c r="C224" s="184" t="s">
        <v>8040</v>
      </c>
      <c r="D224" s="185" t="s">
        <v>8041</v>
      </c>
      <c r="E224" s="184" t="s">
        <v>220</v>
      </c>
    </row>
    <row r="225" ht="22.5" hidden="1" customHeight="1">
      <c r="A225" s="184">
        <v>25.0</v>
      </c>
      <c r="B225" s="184" t="s">
        <v>9430</v>
      </c>
      <c r="C225" s="184" t="s">
        <v>8042</v>
      </c>
      <c r="D225" s="185" t="s">
        <v>8043</v>
      </c>
      <c r="E225" s="184" t="s">
        <v>220</v>
      </c>
    </row>
    <row r="226" ht="22.5" hidden="1" customHeight="1">
      <c r="A226" s="184">
        <v>26.0</v>
      </c>
      <c r="B226" s="184" t="s">
        <v>9431</v>
      </c>
      <c r="C226" s="184" t="s">
        <v>8044</v>
      </c>
      <c r="D226" s="185" t="s">
        <v>8045</v>
      </c>
      <c r="E226" s="184" t="s">
        <v>220</v>
      </c>
    </row>
    <row r="227" ht="22.5" hidden="1" customHeight="1">
      <c r="A227" s="184">
        <v>27.0</v>
      </c>
      <c r="B227" s="184">
        <v>2.32410441E8</v>
      </c>
      <c r="C227" s="186" t="s">
        <v>8046</v>
      </c>
      <c r="D227" s="185" t="s">
        <v>8047</v>
      </c>
      <c r="E227" s="184" t="s">
        <v>220</v>
      </c>
    </row>
    <row r="228" ht="22.5" hidden="1" customHeight="1">
      <c r="A228" s="184">
        <v>28.0</v>
      </c>
      <c r="B228" s="184" t="s">
        <v>9432</v>
      </c>
      <c r="C228" s="184" t="s">
        <v>8048</v>
      </c>
      <c r="D228" s="185" t="s">
        <v>8049</v>
      </c>
      <c r="E228" s="184" t="s">
        <v>227</v>
      </c>
    </row>
    <row r="229" ht="22.5" hidden="1" customHeight="1">
      <c r="A229" s="184">
        <v>29.0</v>
      </c>
      <c r="B229" s="184" t="s">
        <v>9433</v>
      </c>
      <c r="C229" s="186" t="s">
        <v>8050</v>
      </c>
      <c r="D229" s="202" t="s">
        <v>8051</v>
      </c>
      <c r="E229" s="184" t="s">
        <v>220</v>
      </c>
    </row>
    <row r="230" ht="22.5" hidden="1" customHeight="1">
      <c r="A230" s="184">
        <v>30.0</v>
      </c>
      <c r="B230" s="184" t="s">
        <v>9434</v>
      </c>
      <c r="C230" s="184" t="s">
        <v>8052</v>
      </c>
      <c r="D230" s="185" t="s">
        <v>8053</v>
      </c>
      <c r="E230" s="184" t="s">
        <v>220</v>
      </c>
    </row>
    <row r="231" ht="22.5" hidden="1" customHeight="1">
      <c r="A231" s="184">
        <v>31.0</v>
      </c>
      <c r="B231" s="184" t="s">
        <v>9435</v>
      </c>
      <c r="C231" s="186" t="s">
        <v>8054</v>
      </c>
      <c r="D231" s="185" t="s">
        <v>8055</v>
      </c>
      <c r="E231" s="184" t="s">
        <v>227</v>
      </c>
    </row>
    <row r="232" ht="22.5" hidden="1" customHeight="1">
      <c r="A232" s="184">
        <v>32.0</v>
      </c>
      <c r="B232" s="184" t="s">
        <v>9436</v>
      </c>
      <c r="C232" s="184" t="s">
        <v>8056</v>
      </c>
      <c r="D232" s="185" t="s">
        <v>8057</v>
      </c>
      <c r="E232" s="184" t="s">
        <v>227</v>
      </c>
    </row>
    <row r="233" ht="22.5" hidden="1" customHeight="1">
      <c r="A233" s="184">
        <v>33.0</v>
      </c>
      <c r="B233" s="184" t="s">
        <v>9437</v>
      </c>
      <c r="C233" s="186" t="s">
        <v>8058</v>
      </c>
      <c r="D233" s="185" t="s">
        <v>8059</v>
      </c>
      <c r="E233" s="184" t="s">
        <v>220</v>
      </c>
    </row>
    <row r="234" ht="22.5" hidden="1" customHeight="1">
      <c r="A234" s="184">
        <v>34.0</v>
      </c>
      <c r="B234" s="184" t="s">
        <v>9438</v>
      </c>
      <c r="C234" s="186" t="s">
        <v>8060</v>
      </c>
      <c r="D234" s="185" t="s">
        <v>8061</v>
      </c>
      <c r="E234" s="184" t="s">
        <v>227</v>
      </c>
    </row>
    <row r="235" ht="22.5" hidden="1" customHeight="1">
      <c r="A235" s="184">
        <v>35.0</v>
      </c>
      <c r="B235" s="184" t="s">
        <v>9439</v>
      </c>
      <c r="C235" s="207" t="s">
        <v>8062</v>
      </c>
      <c r="D235" s="185" t="s">
        <v>8063</v>
      </c>
      <c r="E235" s="184" t="s">
        <v>227</v>
      </c>
    </row>
    <row r="236" ht="22.5" hidden="1" customHeight="1">
      <c r="A236" s="184">
        <v>36.0</v>
      </c>
      <c r="B236" s="186" t="s">
        <v>9440</v>
      </c>
      <c r="C236" s="186" t="s">
        <v>8064</v>
      </c>
      <c r="D236" s="185" t="s">
        <v>8065</v>
      </c>
      <c r="E236" s="184" t="s">
        <v>220</v>
      </c>
    </row>
    <row r="237" ht="22.5" hidden="1" customHeight="1">
      <c r="A237" s="184">
        <v>37.0</v>
      </c>
      <c r="B237" s="197"/>
      <c r="C237" s="197"/>
      <c r="D237" s="197"/>
      <c r="E237" s="197"/>
    </row>
    <row r="238" ht="22.5" hidden="1" customHeight="1">
      <c r="A238" s="188"/>
      <c r="B238" s="189" t="s">
        <v>8789</v>
      </c>
      <c r="C238" s="188"/>
      <c r="D238" s="190">
        <f>COUNTIF(E201:E237,"L")</f>
        <v>22</v>
      </c>
      <c r="E238" s="188"/>
    </row>
    <row r="239" ht="22.5" hidden="1" customHeight="1">
      <c r="A239" s="188"/>
      <c r="B239" s="189" t="s">
        <v>8790</v>
      </c>
      <c r="C239" s="188"/>
      <c r="D239" s="190">
        <f>COUNTIF(E201:E237,"P")</f>
        <v>14</v>
      </c>
      <c r="E239" s="188"/>
    </row>
    <row r="240" ht="22.5" hidden="1" customHeight="1">
      <c r="A240" s="188"/>
      <c r="B240" s="189" t="s">
        <v>8792</v>
      </c>
      <c r="C240" s="188"/>
      <c r="D240" s="190">
        <f>SUM(D238:D239)</f>
        <v>36</v>
      </c>
      <c r="E240" s="188"/>
    </row>
    <row r="241" ht="22.5" hidden="1" customHeight="1">
      <c r="A241" s="188"/>
      <c r="B241" s="188"/>
      <c r="C241" s="188"/>
      <c r="D241" s="188"/>
      <c r="E241" s="188"/>
    </row>
    <row r="242" ht="22.5" hidden="1" customHeight="1">
      <c r="A242" s="191" t="s">
        <v>9359</v>
      </c>
      <c r="B242" s="192"/>
      <c r="C242" s="192"/>
      <c r="D242" s="192"/>
      <c r="E242" s="192"/>
    </row>
    <row r="243" ht="22.5" hidden="1" customHeight="1">
      <c r="A243" s="193" t="s">
        <v>9365</v>
      </c>
      <c r="B243" s="194"/>
      <c r="C243" s="194"/>
      <c r="D243" s="194"/>
      <c r="E243" s="194"/>
    </row>
    <row r="244" ht="22.5" hidden="1" customHeight="1">
      <c r="A244" s="176" t="s">
        <v>8745</v>
      </c>
      <c r="B244" s="177"/>
      <c r="C244" s="177"/>
      <c r="D244" s="177"/>
      <c r="E244" s="177"/>
    </row>
    <row r="245" ht="22.5" customHeight="1">
      <c r="A245" s="178" t="s">
        <v>9441</v>
      </c>
      <c r="B245" s="177"/>
      <c r="C245" s="177"/>
      <c r="D245" s="177"/>
      <c r="E245" s="177"/>
    </row>
    <row r="246" ht="22.5" hidden="1" customHeight="1">
      <c r="A246" s="179" t="s">
        <v>9442</v>
      </c>
      <c r="B246" s="180"/>
      <c r="C246" s="180"/>
      <c r="D246" s="180"/>
      <c r="E246" s="180"/>
    </row>
    <row r="247" ht="22.5" hidden="1" customHeight="1">
      <c r="A247" s="181" t="s">
        <v>8748</v>
      </c>
      <c r="B247" s="181" t="s">
        <v>5246</v>
      </c>
      <c r="C247" s="181" t="s">
        <v>9</v>
      </c>
      <c r="D247" s="181" t="s">
        <v>8680</v>
      </c>
      <c r="E247" s="181" t="s">
        <v>13</v>
      </c>
    </row>
    <row r="248" ht="22.5" hidden="1" customHeight="1">
      <c r="A248" s="182"/>
      <c r="B248" s="182"/>
      <c r="C248" s="182"/>
      <c r="D248" s="182"/>
      <c r="E248" s="182"/>
    </row>
    <row r="249" ht="22.5" hidden="1" customHeight="1">
      <c r="A249" s="183"/>
      <c r="B249" s="183"/>
      <c r="C249" s="183"/>
      <c r="D249" s="183"/>
      <c r="E249" s="183"/>
    </row>
    <row r="250" ht="22.5" hidden="1" customHeight="1">
      <c r="A250" s="184">
        <v>1.0</v>
      </c>
      <c r="B250" s="184" t="s">
        <v>9443</v>
      </c>
      <c r="C250" s="184" t="s">
        <v>8066</v>
      </c>
      <c r="D250" s="185" t="s">
        <v>8067</v>
      </c>
      <c r="E250" s="184" t="s">
        <v>220</v>
      </c>
    </row>
    <row r="251" ht="22.5" hidden="1" customHeight="1">
      <c r="A251" s="184">
        <v>2.0</v>
      </c>
      <c r="B251" s="184" t="s">
        <v>9444</v>
      </c>
      <c r="C251" s="186" t="s">
        <v>8070</v>
      </c>
      <c r="D251" s="185" t="s">
        <v>8071</v>
      </c>
      <c r="E251" s="184" t="s">
        <v>227</v>
      </c>
    </row>
    <row r="252" ht="22.5" hidden="1" customHeight="1">
      <c r="A252" s="184">
        <v>3.0</v>
      </c>
      <c r="B252" s="184" t="s">
        <v>9445</v>
      </c>
      <c r="C252" s="186" t="s">
        <v>8072</v>
      </c>
      <c r="D252" s="185" t="s">
        <v>8073</v>
      </c>
      <c r="E252" s="184" t="s">
        <v>227</v>
      </c>
    </row>
    <row r="253" ht="22.5" hidden="1" customHeight="1">
      <c r="A253" s="184">
        <v>4.0</v>
      </c>
      <c r="B253" s="184" t="s">
        <v>9446</v>
      </c>
      <c r="C253" s="184" t="s">
        <v>8074</v>
      </c>
      <c r="D253" s="185" t="s">
        <v>8075</v>
      </c>
      <c r="E253" s="184" t="s">
        <v>220</v>
      </c>
    </row>
    <row r="254" ht="22.5" hidden="1" customHeight="1">
      <c r="A254" s="184">
        <v>5.0</v>
      </c>
      <c r="B254" s="184" t="s">
        <v>9447</v>
      </c>
      <c r="C254" s="184" t="s">
        <v>8076</v>
      </c>
      <c r="D254" s="185" t="s">
        <v>8077</v>
      </c>
      <c r="E254" s="184" t="s">
        <v>220</v>
      </c>
    </row>
    <row r="255" ht="22.5" hidden="1" customHeight="1">
      <c r="A255" s="184">
        <v>6.0</v>
      </c>
      <c r="B255" s="184" t="s">
        <v>9448</v>
      </c>
      <c r="C255" s="184" t="s">
        <v>8078</v>
      </c>
      <c r="D255" s="185" t="s">
        <v>8079</v>
      </c>
      <c r="E255" s="184" t="s">
        <v>227</v>
      </c>
    </row>
    <row r="256" ht="22.5" hidden="1" customHeight="1">
      <c r="A256" s="184">
        <v>7.0</v>
      </c>
      <c r="B256" s="184" t="s">
        <v>9449</v>
      </c>
      <c r="C256" s="184" t="s">
        <v>8080</v>
      </c>
      <c r="D256" s="185" t="s">
        <v>8081</v>
      </c>
      <c r="E256" s="184" t="s">
        <v>227</v>
      </c>
    </row>
    <row r="257" ht="22.5" hidden="1" customHeight="1">
      <c r="A257" s="184">
        <v>8.0</v>
      </c>
      <c r="B257" s="184" t="s">
        <v>9450</v>
      </c>
      <c r="C257" s="184" t="s">
        <v>8082</v>
      </c>
      <c r="D257" s="185" t="s">
        <v>8083</v>
      </c>
      <c r="E257" s="184" t="s">
        <v>227</v>
      </c>
    </row>
    <row r="258" ht="22.5" hidden="1" customHeight="1">
      <c r="A258" s="184">
        <v>9.0</v>
      </c>
      <c r="B258" s="184" t="s">
        <v>9451</v>
      </c>
      <c r="C258" s="184" t="s">
        <v>8084</v>
      </c>
      <c r="D258" s="185" t="s">
        <v>8085</v>
      </c>
      <c r="E258" s="184" t="s">
        <v>227</v>
      </c>
    </row>
    <row r="259" ht="22.5" hidden="1" customHeight="1">
      <c r="A259" s="184">
        <v>10.0</v>
      </c>
      <c r="B259" s="184" t="s">
        <v>9452</v>
      </c>
      <c r="C259" s="184" t="s">
        <v>8086</v>
      </c>
      <c r="D259" s="185" t="s">
        <v>8087</v>
      </c>
      <c r="E259" s="184" t="s">
        <v>227</v>
      </c>
    </row>
    <row r="260" ht="22.5" hidden="1" customHeight="1">
      <c r="A260" s="184">
        <v>11.0</v>
      </c>
      <c r="B260" s="184" t="s">
        <v>9453</v>
      </c>
      <c r="C260" s="186" t="s">
        <v>8088</v>
      </c>
      <c r="D260" s="185" t="s">
        <v>8089</v>
      </c>
      <c r="E260" s="184" t="s">
        <v>220</v>
      </c>
    </row>
    <row r="261" ht="22.5" hidden="1" customHeight="1">
      <c r="A261" s="184">
        <v>12.0</v>
      </c>
      <c r="B261" s="184" t="s">
        <v>9454</v>
      </c>
      <c r="C261" s="184" t="s">
        <v>8088</v>
      </c>
      <c r="D261" s="185" t="s">
        <v>8090</v>
      </c>
      <c r="E261" s="184" t="s">
        <v>220</v>
      </c>
    </row>
    <row r="262" ht="22.5" hidden="1" customHeight="1">
      <c r="A262" s="184">
        <v>13.0</v>
      </c>
      <c r="B262" s="184" t="s">
        <v>9455</v>
      </c>
      <c r="C262" s="184" t="s">
        <v>8091</v>
      </c>
      <c r="D262" s="185" t="s">
        <v>8092</v>
      </c>
      <c r="E262" s="184" t="s">
        <v>227</v>
      </c>
    </row>
    <row r="263" ht="22.5" hidden="1" customHeight="1">
      <c r="A263" s="184">
        <v>14.0</v>
      </c>
      <c r="B263" s="184" t="s">
        <v>9456</v>
      </c>
      <c r="C263" s="184" t="s">
        <v>8093</v>
      </c>
      <c r="D263" s="202" t="s">
        <v>8094</v>
      </c>
      <c r="E263" s="184" t="s">
        <v>220</v>
      </c>
    </row>
    <row r="264" ht="22.5" hidden="1" customHeight="1">
      <c r="A264" s="184">
        <v>15.0</v>
      </c>
      <c r="B264" s="184" t="s">
        <v>9457</v>
      </c>
      <c r="C264" s="184" t="s">
        <v>8095</v>
      </c>
      <c r="D264" s="185" t="s">
        <v>8096</v>
      </c>
      <c r="E264" s="184" t="s">
        <v>220</v>
      </c>
    </row>
    <row r="265" ht="22.5" hidden="1" customHeight="1">
      <c r="A265" s="184">
        <v>16.0</v>
      </c>
      <c r="B265" s="184" t="s">
        <v>9458</v>
      </c>
      <c r="C265" s="186" t="s">
        <v>8097</v>
      </c>
      <c r="D265" s="185" t="s">
        <v>8098</v>
      </c>
      <c r="E265" s="184" t="s">
        <v>227</v>
      </c>
    </row>
    <row r="266" ht="22.5" hidden="1" customHeight="1">
      <c r="A266" s="184">
        <v>17.0</v>
      </c>
      <c r="B266" s="184" t="s">
        <v>9459</v>
      </c>
      <c r="C266" s="184" t="s">
        <v>8099</v>
      </c>
      <c r="D266" s="185" t="s">
        <v>8100</v>
      </c>
      <c r="E266" s="184" t="s">
        <v>227</v>
      </c>
    </row>
    <row r="267" ht="22.5" hidden="1" customHeight="1">
      <c r="A267" s="184">
        <v>18.0</v>
      </c>
      <c r="B267" s="184" t="s">
        <v>9460</v>
      </c>
      <c r="C267" s="186" t="s">
        <v>8101</v>
      </c>
      <c r="D267" s="185" t="s">
        <v>8102</v>
      </c>
      <c r="E267" s="184" t="s">
        <v>227</v>
      </c>
    </row>
    <row r="268" ht="22.5" hidden="1" customHeight="1">
      <c r="A268" s="184">
        <v>19.0</v>
      </c>
      <c r="B268" s="184" t="s">
        <v>9461</v>
      </c>
      <c r="C268" s="184" t="s">
        <v>8103</v>
      </c>
      <c r="D268" s="185" t="s">
        <v>8104</v>
      </c>
      <c r="E268" s="184" t="s">
        <v>220</v>
      </c>
    </row>
    <row r="269" ht="22.5" hidden="1" customHeight="1">
      <c r="A269" s="184">
        <v>20.0</v>
      </c>
      <c r="B269" s="184" t="s">
        <v>9462</v>
      </c>
      <c r="C269" s="184" t="s">
        <v>8105</v>
      </c>
      <c r="D269" s="185" t="s">
        <v>8106</v>
      </c>
      <c r="E269" s="184" t="s">
        <v>227</v>
      </c>
    </row>
    <row r="270" ht="22.5" hidden="1" customHeight="1">
      <c r="A270" s="184">
        <v>21.0</v>
      </c>
      <c r="B270" s="184" t="s">
        <v>9463</v>
      </c>
      <c r="C270" s="184" t="s">
        <v>8107</v>
      </c>
      <c r="D270" s="202" t="s">
        <v>8108</v>
      </c>
      <c r="E270" s="184" t="s">
        <v>220</v>
      </c>
    </row>
    <row r="271" ht="22.5" hidden="1" customHeight="1">
      <c r="A271" s="184">
        <v>22.0</v>
      </c>
      <c r="B271" s="184" t="s">
        <v>9464</v>
      </c>
      <c r="C271" s="184" t="s">
        <v>8109</v>
      </c>
      <c r="D271" s="185" t="s">
        <v>8110</v>
      </c>
      <c r="E271" s="184" t="s">
        <v>220</v>
      </c>
    </row>
    <row r="272" ht="22.5" hidden="1" customHeight="1">
      <c r="A272" s="184">
        <v>23.0</v>
      </c>
      <c r="B272" s="184" t="s">
        <v>9465</v>
      </c>
      <c r="C272" s="186" t="s">
        <v>8111</v>
      </c>
      <c r="D272" s="202" t="s">
        <v>8112</v>
      </c>
      <c r="E272" s="184" t="s">
        <v>220</v>
      </c>
    </row>
    <row r="273" ht="22.5" hidden="1" customHeight="1">
      <c r="A273" s="184">
        <v>24.0</v>
      </c>
      <c r="B273" s="184" t="s">
        <v>9466</v>
      </c>
      <c r="C273" s="184" t="s">
        <v>8113</v>
      </c>
      <c r="D273" s="185" t="s">
        <v>8114</v>
      </c>
      <c r="E273" s="184" t="s">
        <v>220</v>
      </c>
    </row>
    <row r="274" ht="22.5" hidden="1" customHeight="1">
      <c r="A274" s="184">
        <v>25.0</v>
      </c>
      <c r="B274" s="184" t="s">
        <v>9467</v>
      </c>
      <c r="C274" s="186" t="s">
        <v>8115</v>
      </c>
      <c r="D274" s="185" t="s">
        <v>8116</v>
      </c>
      <c r="E274" s="184" t="s">
        <v>220</v>
      </c>
    </row>
    <row r="275" ht="22.5" hidden="1" customHeight="1">
      <c r="A275" s="184">
        <v>26.0</v>
      </c>
      <c r="B275" s="184" t="s">
        <v>9468</v>
      </c>
      <c r="C275" s="184" t="s">
        <v>8117</v>
      </c>
      <c r="D275" s="185" t="s">
        <v>8118</v>
      </c>
      <c r="E275" s="184" t="s">
        <v>220</v>
      </c>
    </row>
    <row r="276" ht="22.5" hidden="1" customHeight="1">
      <c r="A276" s="184">
        <v>27.0</v>
      </c>
      <c r="B276" s="184" t="s">
        <v>9469</v>
      </c>
      <c r="C276" s="184" t="s">
        <v>8119</v>
      </c>
      <c r="D276" s="185" t="s">
        <v>8120</v>
      </c>
      <c r="E276" s="184" t="s">
        <v>220</v>
      </c>
    </row>
    <row r="277" ht="22.5" hidden="1" customHeight="1">
      <c r="A277" s="184">
        <v>28.0</v>
      </c>
      <c r="B277" s="184" t="s">
        <v>9470</v>
      </c>
      <c r="C277" s="186" t="s">
        <v>8121</v>
      </c>
      <c r="D277" s="185" t="s">
        <v>8122</v>
      </c>
      <c r="E277" s="184" t="s">
        <v>227</v>
      </c>
    </row>
    <row r="278" ht="22.5" hidden="1" customHeight="1">
      <c r="A278" s="184">
        <v>29.0</v>
      </c>
      <c r="B278" s="184" t="s">
        <v>9471</v>
      </c>
      <c r="C278" s="186" t="s">
        <v>8123</v>
      </c>
      <c r="D278" s="185" t="s">
        <v>8124</v>
      </c>
      <c r="E278" s="184" t="s">
        <v>220</v>
      </c>
    </row>
    <row r="279" ht="22.5" hidden="1" customHeight="1">
      <c r="A279" s="184">
        <v>30.0</v>
      </c>
      <c r="B279" s="184" t="s">
        <v>9472</v>
      </c>
      <c r="C279" s="184" t="s">
        <v>8125</v>
      </c>
      <c r="D279" s="185" t="s">
        <v>8126</v>
      </c>
      <c r="E279" s="184" t="s">
        <v>227</v>
      </c>
    </row>
    <row r="280" ht="22.5" hidden="1" customHeight="1">
      <c r="A280" s="184">
        <v>31.0</v>
      </c>
      <c r="B280" s="184" t="s">
        <v>9473</v>
      </c>
      <c r="C280" s="186" t="s">
        <v>8127</v>
      </c>
      <c r="D280" s="185" t="s">
        <v>8128</v>
      </c>
      <c r="E280" s="184" t="s">
        <v>220</v>
      </c>
    </row>
    <row r="281" ht="22.5" hidden="1" customHeight="1">
      <c r="A281" s="184">
        <v>32.0</v>
      </c>
      <c r="B281" s="184" t="s">
        <v>9474</v>
      </c>
      <c r="C281" s="184" t="s">
        <v>8129</v>
      </c>
      <c r="D281" s="202" t="s">
        <v>8130</v>
      </c>
      <c r="E281" s="184" t="s">
        <v>220</v>
      </c>
    </row>
    <row r="282" ht="22.5" hidden="1" customHeight="1">
      <c r="A282" s="184">
        <v>33.0</v>
      </c>
      <c r="B282" s="184" t="s">
        <v>9475</v>
      </c>
      <c r="C282" s="184" t="s">
        <v>8131</v>
      </c>
      <c r="D282" s="202" t="s">
        <v>8132</v>
      </c>
      <c r="E282" s="184" t="s">
        <v>227</v>
      </c>
    </row>
    <row r="283" ht="22.5" hidden="1" customHeight="1">
      <c r="A283" s="184">
        <v>34.0</v>
      </c>
      <c r="B283" s="184" t="s">
        <v>9476</v>
      </c>
      <c r="C283" s="184" t="s">
        <v>8133</v>
      </c>
      <c r="D283" s="185" t="s">
        <v>8134</v>
      </c>
      <c r="E283" s="184" t="s">
        <v>227</v>
      </c>
    </row>
    <row r="284" ht="22.5" hidden="1" customHeight="1">
      <c r="A284" s="184">
        <v>35.0</v>
      </c>
      <c r="B284" s="184" t="s">
        <v>9477</v>
      </c>
      <c r="C284" s="184" t="s">
        <v>8135</v>
      </c>
      <c r="D284" s="185" t="s">
        <v>8136</v>
      </c>
      <c r="E284" s="184" t="s">
        <v>220</v>
      </c>
    </row>
    <row r="285" ht="22.5" hidden="1" customHeight="1">
      <c r="A285" s="184">
        <v>36.0</v>
      </c>
      <c r="B285" s="201" t="s">
        <v>9478</v>
      </c>
      <c r="C285" s="208" t="s">
        <v>8137</v>
      </c>
      <c r="D285" s="209" t="s">
        <v>8138</v>
      </c>
      <c r="E285" s="201" t="s">
        <v>220</v>
      </c>
    </row>
    <row r="286" ht="22.5" hidden="1" customHeight="1">
      <c r="A286" s="188"/>
      <c r="B286" s="189" t="s">
        <v>8789</v>
      </c>
      <c r="C286" s="188"/>
      <c r="D286" s="190">
        <f>COUNTIF(E250:E285,"L")</f>
        <v>20</v>
      </c>
      <c r="E286" s="188"/>
    </row>
    <row r="287" ht="22.5" hidden="1" customHeight="1">
      <c r="A287" s="188"/>
      <c r="B287" s="189" t="s">
        <v>8790</v>
      </c>
      <c r="C287" s="188"/>
      <c r="D287" s="190">
        <f>COUNTIF(E250:E285,"P")</f>
        <v>16</v>
      </c>
      <c r="E287" s="188"/>
    </row>
    <row r="288" ht="22.5" hidden="1" customHeight="1">
      <c r="A288" s="188"/>
      <c r="B288" s="189" t="s">
        <v>8792</v>
      </c>
      <c r="C288" s="188"/>
      <c r="D288" s="190">
        <f>SUM(D286:D287)</f>
        <v>36</v>
      </c>
      <c r="E288" s="188"/>
    </row>
    <row r="289" ht="22.5" hidden="1" customHeight="1">
      <c r="A289" s="188"/>
      <c r="B289" s="188"/>
      <c r="C289" s="188"/>
      <c r="D289" s="188"/>
      <c r="E289" s="188"/>
    </row>
    <row r="290" ht="22.5" hidden="1" customHeight="1">
      <c r="A290" s="191" t="s">
        <v>9359</v>
      </c>
      <c r="B290" s="192"/>
      <c r="C290" s="192"/>
      <c r="D290" s="192"/>
      <c r="E290" s="192"/>
    </row>
    <row r="291" ht="22.5" hidden="1" customHeight="1">
      <c r="A291" s="193" t="s">
        <v>9365</v>
      </c>
      <c r="B291" s="194"/>
      <c r="C291" s="194"/>
      <c r="D291" s="194"/>
      <c r="E291" s="194"/>
    </row>
    <row r="292" ht="22.5" hidden="1" customHeight="1">
      <c r="A292" s="176" t="s">
        <v>8745</v>
      </c>
      <c r="B292" s="177"/>
      <c r="C292" s="177"/>
      <c r="D292" s="177"/>
      <c r="E292" s="177"/>
    </row>
    <row r="293" ht="22.5" customHeight="1">
      <c r="A293" s="178" t="s">
        <v>9479</v>
      </c>
      <c r="B293" s="177"/>
      <c r="C293" s="177"/>
      <c r="D293" s="177"/>
      <c r="E293" s="177"/>
    </row>
    <row r="294" ht="22.5" hidden="1" customHeight="1">
      <c r="A294" s="179" t="s">
        <v>9480</v>
      </c>
      <c r="B294" s="180"/>
      <c r="C294" s="180"/>
      <c r="D294" s="180"/>
      <c r="E294" s="180"/>
    </row>
    <row r="295" ht="22.5" hidden="1" customHeight="1">
      <c r="A295" s="181" t="s">
        <v>8748</v>
      </c>
      <c r="B295" s="181" t="s">
        <v>5246</v>
      </c>
      <c r="C295" s="181" t="s">
        <v>9</v>
      </c>
      <c r="D295" s="181" t="s">
        <v>8680</v>
      </c>
      <c r="E295" s="181" t="s">
        <v>13</v>
      </c>
    </row>
    <row r="296" ht="22.5" hidden="1" customHeight="1">
      <c r="A296" s="182"/>
      <c r="B296" s="182"/>
      <c r="C296" s="182"/>
      <c r="D296" s="182"/>
      <c r="E296" s="182"/>
    </row>
    <row r="297" ht="22.5" hidden="1" customHeight="1">
      <c r="A297" s="183"/>
      <c r="B297" s="183"/>
      <c r="C297" s="183"/>
      <c r="D297" s="183"/>
      <c r="E297" s="183"/>
    </row>
    <row r="298" ht="22.5" hidden="1" customHeight="1">
      <c r="A298" s="184">
        <v>1.0</v>
      </c>
      <c r="B298" s="184" t="s">
        <v>9481</v>
      </c>
      <c r="C298" s="186" t="s">
        <v>8139</v>
      </c>
      <c r="D298" s="185" t="s">
        <v>8140</v>
      </c>
      <c r="E298" s="184" t="s">
        <v>220</v>
      </c>
    </row>
    <row r="299" ht="22.5" hidden="1" customHeight="1">
      <c r="A299" s="184">
        <v>2.0</v>
      </c>
      <c r="B299" s="184" t="s">
        <v>9482</v>
      </c>
      <c r="C299" s="184" t="s">
        <v>8142</v>
      </c>
      <c r="D299" s="185" t="s">
        <v>8143</v>
      </c>
      <c r="E299" s="184" t="s">
        <v>227</v>
      </c>
    </row>
    <row r="300" ht="22.5" hidden="1" customHeight="1">
      <c r="A300" s="184">
        <v>3.0</v>
      </c>
      <c r="B300" s="184" t="s">
        <v>9483</v>
      </c>
      <c r="C300" s="184" t="s">
        <v>8144</v>
      </c>
      <c r="D300" s="202" t="s">
        <v>8145</v>
      </c>
      <c r="E300" s="184" t="s">
        <v>227</v>
      </c>
    </row>
    <row r="301" ht="22.5" hidden="1" customHeight="1">
      <c r="A301" s="184">
        <v>4.0</v>
      </c>
      <c r="B301" s="184" t="s">
        <v>9484</v>
      </c>
      <c r="C301" s="186" t="s">
        <v>8146</v>
      </c>
      <c r="D301" s="185" t="s">
        <v>8147</v>
      </c>
      <c r="E301" s="184" t="s">
        <v>227</v>
      </c>
    </row>
    <row r="302" ht="22.5" hidden="1" customHeight="1">
      <c r="A302" s="184">
        <v>5.0</v>
      </c>
      <c r="B302" s="184" t="s">
        <v>9485</v>
      </c>
      <c r="C302" s="184" t="s">
        <v>8148</v>
      </c>
      <c r="D302" s="185" t="s">
        <v>8149</v>
      </c>
      <c r="E302" s="184" t="s">
        <v>227</v>
      </c>
    </row>
    <row r="303" ht="22.5" hidden="1" customHeight="1">
      <c r="A303" s="184">
        <v>6.0</v>
      </c>
      <c r="B303" s="184" t="s">
        <v>9486</v>
      </c>
      <c r="C303" s="184" t="s">
        <v>8150</v>
      </c>
      <c r="D303" s="185" t="s">
        <v>8151</v>
      </c>
      <c r="E303" s="184" t="s">
        <v>227</v>
      </c>
    </row>
    <row r="304" ht="22.5" hidden="1" customHeight="1">
      <c r="A304" s="184">
        <v>7.0</v>
      </c>
      <c r="B304" s="184" t="s">
        <v>9487</v>
      </c>
      <c r="C304" s="184" t="s">
        <v>8152</v>
      </c>
      <c r="D304" s="185" t="s">
        <v>8153</v>
      </c>
      <c r="E304" s="184" t="s">
        <v>227</v>
      </c>
    </row>
    <row r="305" ht="22.5" hidden="1" customHeight="1">
      <c r="A305" s="184">
        <v>8.0</v>
      </c>
      <c r="B305" s="201" t="s">
        <v>9488</v>
      </c>
      <c r="C305" s="199" t="s">
        <v>8154</v>
      </c>
      <c r="D305" s="200" t="s">
        <v>8155</v>
      </c>
      <c r="E305" s="201" t="s">
        <v>227</v>
      </c>
    </row>
    <row r="306" ht="22.5" hidden="1" customHeight="1">
      <c r="A306" s="184">
        <v>9.0</v>
      </c>
      <c r="B306" s="184" t="s">
        <v>9489</v>
      </c>
      <c r="C306" s="184" t="s">
        <v>8156</v>
      </c>
      <c r="D306" s="185" t="s">
        <v>8157</v>
      </c>
      <c r="E306" s="184" t="s">
        <v>220</v>
      </c>
    </row>
    <row r="307" ht="22.5" hidden="1" customHeight="1">
      <c r="A307" s="184">
        <v>10.0</v>
      </c>
      <c r="B307" s="184" t="s">
        <v>9490</v>
      </c>
      <c r="C307" s="184" t="s">
        <v>8158</v>
      </c>
      <c r="D307" s="185" t="s">
        <v>8159</v>
      </c>
      <c r="E307" s="184" t="s">
        <v>227</v>
      </c>
    </row>
    <row r="308" ht="22.5" hidden="1" customHeight="1">
      <c r="A308" s="184">
        <v>11.0</v>
      </c>
      <c r="B308" s="184" t="s">
        <v>9491</v>
      </c>
      <c r="C308" s="184" t="s">
        <v>8160</v>
      </c>
      <c r="D308" s="185" t="s">
        <v>8161</v>
      </c>
      <c r="E308" s="184" t="s">
        <v>227</v>
      </c>
    </row>
    <row r="309" ht="22.5" hidden="1" customHeight="1">
      <c r="A309" s="184">
        <v>12.0</v>
      </c>
      <c r="B309" s="184" t="s">
        <v>9492</v>
      </c>
      <c r="C309" s="184" t="s">
        <v>8162</v>
      </c>
      <c r="D309" s="185" t="s">
        <v>8163</v>
      </c>
      <c r="E309" s="184" t="s">
        <v>220</v>
      </c>
    </row>
    <row r="310" ht="22.5" hidden="1" customHeight="1">
      <c r="A310" s="184">
        <v>13.0</v>
      </c>
      <c r="B310" s="184" t="s">
        <v>9493</v>
      </c>
      <c r="C310" s="184" t="s">
        <v>8164</v>
      </c>
      <c r="D310" s="185" t="s">
        <v>8165</v>
      </c>
      <c r="E310" s="184" t="s">
        <v>220</v>
      </c>
    </row>
    <row r="311" ht="22.5" hidden="1" customHeight="1">
      <c r="A311" s="184">
        <v>14.0</v>
      </c>
      <c r="B311" s="184" t="s">
        <v>9494</v>
      </c>
      <c r="C311" s="184" t="s">
        <v>8166</v>
      </c>
      <c r="D311" s="185" t="s">
        <v>8167</v>
      </c>
      <c r="E311" s="184" t="s">
        <v>220</v>
      </c>
    </row>
    <row r="312" ht="22.5" hidden="1" customHeight="1">
      <c r="A312" s="184">
        <v>15.0</v>
      </c>
      <c r="B312" s="184" t="s">
        <v>9495</v>
      </c>
      <c r="C312" s="186" t="s">
        <v>8168</v>
      </c>
      <c r="D312" s="185" t="s">
        <v>8169</v>
      </c>
      <c r="E312" s="184" t="s">
        <v>227</v>
      </c>
    </row>
    <row r="313" ht="22.5" hidden="1" customHeight="1">
      <c r="A313" s="184">
        <v>16.0</v>
      </c>
      <c r="B313" s="184" t="s">
        <v>9496</v>
      </c>
      <c r="C313" s="184" t="s">
        <v>8170</v>
      </c>
      <c r="D313" s="185" t="s">
        <v>8171</v>
      </c>
      <c r="E313" s="184" t="s">
        <v>220</v>
      </c>
    </row>
    <row r="314" ht="22.5" hidden="1" customHeight="1">
      <c r="A314" s="184">
        <v>17.0</v>
      </c>
      <c r="B314" s="184" t="s">
        <v>9497</v>
      </c>
      <c r="C314" s="184" t="s">
        <v>8172</v>
      </c>
      <c r="D314" s="185" t="s">
        <v>8173</v>
      </c>
      <c r="E314" s="184" t="s">
        <v>227</v>
      </c>
    </row>
    <row r="315" ht="22.5" hidden="1" customHeight="1">
      <c r="A315" s="184">
        <v>18.0</v>
      </c>
      <c r="B315" s="184" t="s">
        <v>9498</v>
      </c>
      <c r="C315" s="184" t="s">
        <v>8174</v>
      </c>
      <c r="D315" s="185" t="s">
        <v>8175</v>
      </c>
      <c r="E315" s="184" t="s">
        <v>220</v>
      </c>
    </row>
    <row r="316" ht="22.5" hidden="1" customHeight="1">
      <c r="A316" s="184">
        <v>19.0</v>
      </c>
      <c r="B316" s="184" t="s">
        <v>9499</v>
      </c>
      <c r="C316" s="184" t="s">
        <v>8176</v>
      </c>
      <c r="D316" s="185" t="s">
        <v>8177</v>
      </c>
      <c r="E316" s="184" t="s">
        <v>227</v>
      </c>
    </row>
    <row r="317" ht="22.5" hidden="1" customHeight="1">
      <c r="A317" s="184">
        <v>20.0</v>
      </c>
      <c r="B317" s="184" t="s">
        <v>9500</v>
      </c>
      <c r="C317" s="186" t="s">
        <v>8178</v>
      </c>
      <c r="D317" s="185" t="s">
        <v>8179</v>
      </c>
      <c r="E317" s="184" t="s">
        <v>227</v>
      </c>
    </row>
    <row r="318" ht="22.5" hidden="1" customHeight="1">
      <c r="A318" s="184">
        <v>21.0</v>
      </c>
      <c r="B318" s="184" t="s">
        <v>9501</v>
      </c>
      <c r="C318" s="184" t="s">
        <v>8180</v>
      </c>
      <c r="D318" s="185" t="s">
        <v>8181</v>
      </c>
      <c r="E318" s="184" t="s">
        <v>227</v>
      </c>
    </row>
    <row r="319" ht="22.5" hidden="1" customHeight="1">
      <c r="A319" s="184">
        <v>22.0</v>
      </c>
      <c r="B319" s="184" t="s">
        <v>9502</v>
      </c>
      <c r="C319" s="184" t="s">
        <v>8182</v>
      </c>
      <c r="D319" s="185" t="s">
        <v>8183</v>
      </c>
      <c r="E319" s="184" t="s">
        <v>227</v>
      </c>
    </row>
    <row r="320" ht="22.5" hidden="1" customHeight="1">
      <c r="A320" s="184">
        <v>23.0</v>
      </c>
      <c r="B320" s="184" t="s">
        <v>9503</v>
      </c>
      <c r="C320" s="186" t="s">
        <v>8184</v>
      </c>
      <c r="D320" s="185" t="s">
        <v>8185</v>
      </c>
      <c r="E320" s="184" t="s">
        <v>227</v>
      </c>
    </row>
    <row r="321" ht="22.5" hidden="1" customHeight="1">
      <c r="A321" s="184">
        <v>24.0</v>
      </c>
      <c r="B321" s="184" t="s">
        <v>9504</v>
      </c>
      <c r="C321" s="186" t="s">
        <v>8186</v>
      </c>
      <c r="D321" s="185" t="s">
        <v>8187</v>
      </c>
      <c r="E321" s="184" t="s">
        <v>227</v>
      </c>
    </row>
    <row r="322" ht="22.5" hidden="1" customHeight="1">
      <c r="A322" s="184">
        <v>25.0</v>
      </c>
      <c r="B322" s="184" t="s">
        <v>9505</v>
      </c>
      <c r="C322" s="186" t="s">
        <v>8188</v>
      </c>
      <c r="D322" s="185" t="s">
        <v>8189</v>
      </c>
      <c r="E322" s="184" t="s">
        <v>220</v>
      </c>
    </row>
    <row r="323" ht="22.5" hidden="1" customHeight="1">
      <c r="A323" s="184">
        <v>26.0</v>
      </c>
      <c r="B323" s="184" t="s">
        <v>9506</v>
      </c>
      <c r="C323" s="186" t="s">
        <v>8190</v>
      </c>
      <c r="D323" s="185" t="s">
        <v>8191</v>
      </c>
      <c r="E323" s="184" t="s">
        <v>220</v>
      </c>
    </row>
    <row r="324" ht="22.5" hidden="1" customHeight="1">
      <c r="A324" s="184">
        <v>27.0</v>
      </c>
      <c r="B324" s="201" t="s">
        <v>8193</v>
      </c>
      <c r="C324" s="199" t="s">
        <v>8192</v>
      </c>
      <c r="D324" s="200" t="s">
        <v>8194</v>
      </c>
      <c r="E324" s="201" t="s">
        <v>220</v>
      </c>
    </row>
    <row r="325" ht="22.5" hidden="1" customHeight="1">
      <c r="A325" s="184">
        <v>28.0</v>
      </c>
      <c r="B325" s="184" t="s">
        <v>9507</v>
      </c>
      <c r="C325" s="184" t="s">
        <v>8195</v>
      </c>
      <c r="D325" s="202" t="s">
        <v>8196</v>
      </c>
      <c r="E325" s="184" t="s">
        <v>227</v>
      </c>
    </row>
    <row r="326" ht="22.5" hidden="1" customHeight="1">
      <c r="A326" s="184">
        <v>29.0</v>
      </c>
      <c r="B326" s="184" t="s">
        <v>9508</v>
      </c>
      <c r="C326" s="186" t="s">
        <v>8197</v>
      </c>
      <c r="D326" s="185" t="s">
        <v>8198</v>
      </c>
      <c r="E326" s="184" t="s">
        <v>220</v>
      </c>
    </row>
    <row r="327" ht="22.5" hidden="1" customHeight="1">
      <c r="A327" s="184">
        <v>30.0</v>
      </c>
      <c r="B327" s="184" t="s">
        <v>9509</v>
      </c>
      <c r="C327" s="186" t="s">
        <v>8199</v>
      </c>
      <c r="D327" s="185" t="s">
        <v>8200</v>
      </c>
      <c r="E327" s="184" t="s">
        <v>227</v>
      </c>
    </row>
    <row r="328" ht="22.5" hidden="1" customHeight="1">
      <c r="A328" s="184">
        <v>31.0</v>
      </c>
      <c r="B328" s="184" t="s">
        <v>9510</v>
      </c>
      <c r="C328" s="184" t="s">
        <v>8201</v>
      </c>
      <c r="D328" s="185" t="s">
        <v>8202</v>
      </c>
      <c r="E328" s="184" t="s">
        <v>227</v>
      </c>
    </row>
    <row r="329" ht="22.5" hidden="1" customHeight="1">
      <c r="A329" s="184">
        <v>32.0</v>
      </c>
      <c r="B329" s="184" t="s">
        <v>9511</v>
      </c>
      <c r="C329" s="184" t="s">
        <v>8203</v>
      </c>
      <c r="D329" s="185" t="s">
        <v>8204</v>
      </c>
      <c r="E329" s="184" t="s">
        <v>227</v>
      </c>
    </row>
    <row r="330" ht="22.5" hidden="1" customHeight="1">
      <c r="A330" s="184">
        <v>33.0</v>
      </c>
      <c r="B330" s="184" t="s">
        <v>9512</v>
      </c>
      <c r="C330" s="186" t="s">
        <v>8205</v>
      </c>
      <c r="D330" s="185" t="s">
        <v>8206</v>
      </c>
      <c r="E330" s="184" t="s">
        <v>220</v>
      </c>
    </row>
    <row r="331" ht="22.5" hidden="1" customHeight="1">
      <c r="A331" s="184">
        <v>34.0</v>
      </c>
      <c r="B331" s="184" t="s">
        <v>9513</v>
      </c>
      <c r="C331" s="184" t="s">
        <v>8207</v>
      </c>
      <c r="D331" s="185" t="s">
        <v>8208</v>
      </c>
      <c r="E331" s="184" t="s">
        <v>227</v>
      </c>
    </row>
    <row r="332" ht="22.5" hidden="1" customHeight="1">
      <c r="A332" s="184">
        <v>35.0</v>
      </c>
      <c r="B332" s="184" t="s">
        <v>9514</v>
      </c>
      <c r="C332" s="186" t="s">
        <v>8209</v>
      </c>
      <c r="D332" s="185" t="s">
        <v>8210</v>
      </c>
      <c r="E332" s="184" t="s">
        <v>227</v>
      </c>
    </row>
    <row r="333" ht="22.5" hidden="1" customHeight="1">
      <c r="A333" s="184">
        <v>36.0</v>
      </c>
      <c r="B333" s="184">
        <v>2.32410412E8</v>
      </c>
      <c r="C333" s="186" t="s">
        <v>8211</v>
      </c>
      <c r="D333" s="185" t="s">
        <v>8212</v>
      </c>
      <c r="E333" s="184" t="s">
        <v>220</v>
      </c>
    </row>
    <row r="334" ht="22.5" hidden="1" customHeight="1">
      <c r="A334" s="197"/>
      <c r="B334" s="197"/>
      <c r="C334" s="197"/>
      <c r="D334" s="197"/>
      <c r="E334" s="197"/>
    </row>
    <row r="335" ht="22.5" hidden="1" customHeight="1">
      <c r="A335" s="188"/>
      <c r="B335" s="189" t="s">
        <v>8789</v>
      </c>
      <c r="C335" s="188"/>
      <c r="D335" s="190">
        <f>COUNTIF(E298:E334,"L")</f>
        <v>13</v>
      </c>
      <c r="E335" s="188"/>
    </row>
    <row r="336" ht="22.5" hidden="1" customHeight="1">
      <c r="A336" s="188"/>
      <c r="B336" s="189" t="s">
        <v>8790</v>
      </c>
      <c r="C336" s="188"/>
      <c r="D336" s="190">
        <f>COUNTIF(E298:E334,"P")</f>
        <v>23</v>
      </c>
      <c r="E336" s="188"/>
    </row>
    <row r="337" ht="22.5" hidden="1" customHeight="1">
      <c r="A337" s="188"/>
      <c r="B337" s="189" t="s">
        <v>8792</v>
      </c>
      <c r="C337" s="188"/>
      <c r="D337" s="190">
        <f>SUM(D335:D336)</f>
        <v>36</v>
      </c>
      <c r="E337" s="188"/>
    </row>
    <row r="338" ht="22.5" hidden="1" customHeight="1">
      <c r="A338" s="188"/>
      <c r="B338" s="188"/>
      <c r="C338" s="188"/>
      <c r="D338" s="188"/>
      <c r="E338" s="188"/>
    </row>
    <row r="339" ht="22.5" hidden="1" customHeight="1">
      <c r="A339" s="191" t="s">
        <v>9359</v>
      </c>
      <c r="B339" s="192"/>
      <c r="C339" s="192"/>
      <c r="D339" s="192"/>
      <c r="E339" s="192"/>
    </row>
    <row r="340" ht="22.5" hidden="1" customHeight="1">
      <c r="A340" s="193" t="s">
        <v>9365</v>
      </c>
      <c r="B340" s="194"/>
      <c r="C340" s="194"/>
      <c r="D340" s="194"/>
      <c r="E340" s="194"/>
    </row>
    <row r="341" ht="22.5" hidden="1" customHeight="1">
      <c r="A341" s="176" t="s">
        <v>8745</v>
      </c>
      <c r="B341" s="177"/>
      <c r="C341" s="177"/>
      <c r="D341" s="177"/>
      <c r="E341" s="177"/>
    </row>
    <row r="342" ht="22.5" customHeight="1">
      <c r="A342" s="178" t="s">
        <v>9515</v>
      </c>
      <c r="B342" s="177"/>
      <c r="C342" s="177"/>
      <c r="D342" s="177"/>
      <c r="E342" s="177"/>
    </row>
    <row r="343" ht="22.5" hidden="1" customHeight="1">
      <c r="A343" s="179" t="s">
        <v>9516</v>
      </c>
      <c r="B343" s="180"/>
      <c r="C343" s="180"/>
      <c r="D343" s="180"/>
      <c r="E343" s="180"/>
    </row>
    <row r="344" ht="22.5" hidden="1" customHeight="1">
      <c r="A344" s="181" t="s">
        <v>8748</v>
      </c>
      <c r="B344" s="181" t="s">
        <v>5246</v>
      </c>
      <c r="C344" s="181" t="s">
        <v>9</v>
      </c>
      <c r="D344" s="181" t="s">
        <v>8680</v>
      </c>
      <c r="E344" s="181" t="s">
        <v>13</v>
      </c>
    </row>
    <row r="345" ht="22.5" hidden="1" customHeight="1">
      <c r="A345" s="182"/>
      <c r="B345" s="182"/>
      <c r="C345" s="182"/>
      <c r="D345" s="182"/>
      <c r="E345" s="182"/>
    </row>
    <row r="346" ht="22.5" hidden="1" customHeight="1">
      <c r="A346" s="183"/>
      <c r="B346" s="183"/>
      <c r="C346" s="183"/>
      <c r="D346" s="183"/>
      <c r="E346" s="183"/>
    </row>
    <row r="347" ht="22.5" hidden="1" customHeight="1">
      <c r="A347" s="184">
        <v>1.0</v>
      </c>
      <c r="B347" s="184" t="s">
        <v>9517</v>
      </c>
      <c r="C347" s="186" t="s">
        <v>8213</v>
      </c>
      <c r="D347" s="185" t="s">
        <v>8214</v>
      </c>
      <c r="E347" s="190" t="s">
        <v>220</v>
      </c>
    </row>
    <row r="348" ht="22.5" hidden="1" customHeight="1">
      <c r="A348" s="184">
        <v>2.0</v>
      </c>
      <c r="B348" s="184" t="s">
        <v>9518</v>
      </c>
      <c r="C348" s="184" t="s">
        <v>8216</v>
      </c>
      <c r="D348" s="185" t="s">
        <v>8217</v>
      </c>
      <c r="E348" s="184" t="s">
        <v>227</v>
      </c>
    </row>
    <row r="349" ht="22.5" hidden="1" customHeight="1">
      <c r="A349" s="184">
        <v>3.0</v>
      </c>
      <c r="B349" s="184">
        <v>2.32410034E8</v>
      </c>
      <c r="C349" s="186" t="s">
        <v>8218</v>
      </c>
      <c r="D349" s="185" t="s">
        <v>8219</v>
      </c>
      <c r="E349" s="184" t="s">
        <v>227</v>
      </c>
    </row>
    <row r="350" ht="22.5" hidden="1" customHeight="1">
      <c r="A350" s="184">
        <v>4.0</v>
      </c>
      <c r="B350" s="184" t="s">
        <v>9519</v>
      </c>
      <c r="C350" s="184" t="s">
        <v>8220</v>
      </c>
      <c r="D350" s="185" t="s">
        <v>8221</v>
      </c>
      <c r="E350" s="184" t="s">
        <v>227</v>
      </c>
    </row>
    <row r="351" ht="22.5" hidden="1" customHeight="1">
      <c r="A351" s="184">
        <v>5.0</v>
      </c>
      <c r="B351" s="184" t="s">
        <v>9520</v>
      </c>
      <c r="C351" s="184" t="s">
        <v>8222</v>
      </c>
      <c r="D351" s="185" t="s">
        <v>8223</v>
      </c>
      <c r="E351" s="184" t="s">
        <v>227</v>
      </c>
    </row>
    <row r="352" ht="22.5" hidden="1" customHeight="1">
      <c r="A352" s="184">
        <v>6.0</v>
      </c>
      <c r="B352" s="184" t="s">
        <v>9521</v>
      </c>
      <c r="C352" s="184" t="s">
        <v>8224</v>
      </c>
      <c r="D352" s="185" t="s">
        <v>8225</v>
      </c>
      <c r="E352" s="184" t="s">
        <v>227</v>
      </c>
    </row>
    <row r="353" ht="22.5" hidden="1" customHeight="1">
      <c r="A353" s="184">
        <v>7.0</v>
      </c>
      <c r="B353" s="184" t="s">
        <v>9522</v>
      </c>
      <c r="C353" s="186" t="s">
        <v>8226</v>
      </c>
      <c r="D353" s="185" t="s">
        <v>8227</v>
      </c>
      <c r="E353" s="184" t="s">
        <v>227</v>
      </c>
    </row>
    <row r="354" ht="22.5" hidden="1" customHeight="1">
      <c r="A354" s="184">
        <v>8.0</v>
      </c>
      <c r="B354" s="184" t="s">
        <v>9523</v>
      </c>
      <c r="C354" s="186" t="s">
        <v>8228</v>
      </c>
      <c r="D354" s="185" t="s">
        <v>8230</v>
      </c>
      <c r="E354" s="184" t="s">
        <v>220</v>
      </c>
    </row>
    <row r="355" ht="22.5" hidden="1" customHeight="1">
      <c r="A355" s="184">
        <v>9.0</v>
      </c>
      <c r="B355" s="184" t="s">
        <v>9524</v>
      </c>
      <c r="C355" s="186" t="s">
        <v>8231</v>
      </c>
      <c r="D355" s="185" t="s">
        <v>8232</v>
      </c>
      <c r="E355" s="184" t="s">
        <v>227</v>
      </c>
    </row>
    <row r="356" ht="22.5" hidden="1" customHeight="1">
      <c r="A356" s="184">
        <v>10.0</v>
      </c>
      <c r="B356" s="184" t="s">
        <v>9525</v>
      </c>
      <c r="C356" s="186" t="s">
        <v>8233</v>
      </c>
      <c r="D356" s="185" t="s">
        <v>8234</v>
      </c>
      <c r="E356" s="184" t="s">
        <v>227</v>
      </c>
    </row>
    <row r="357" ht="22.5" hidden="1" customHeight="1">
      <c r="A357" s="184">
        <v>11.0</v>
      </c>
      <c r="B357" s="184" t="s">
        <v>9526</v>
      </c>
      <c r="C357" s="210" t="s">
        <v>7790</v>
      </c>
      <c r="D357" s="185" t="s">
        <v>8235</v>
      </c>
      <c r="E357" s="184" t="s">
        <v>227</v>
      </c>
    </row>
    <row r="358" ht="22.5" hidden="1" customHeight="1">
      <c r="A358" s="184">
        <v>12.0</v>
      </c>
      <c r="B358" s="184" t="s">
        <v>9527</v>
      </c>
      <c r="C358" s="186" t="s">
        <v>8236</v>
      </c>
      <c r="D358" s="185" t="s">
        <v>8237</v>
      </c>
      <c r="E358" s="184" t="s">
        <v>227</v>
      </c>
    </row>
    <row r="359" ht="22.5" hidden="1" customHeight="1">
      <c r="A359" s="184">
        <v>13.0</v>
      </c>
      <c r="B359" s="184" t="s">
        <v>9528</v>
      </c>
      <c r="C359" s="186" t="s">
        <v>7715</v>
      </c>
      <c r="D359" s="185" t="s">
        <v>8238</v>
      </c>
      <c r="E359" s="184" t="s">
        <v>227</v>
      </c>
    </row>
    <row r="360" ht="22.5" hidden="1" customHeight="1">
      <c r="A360" s="184">
        <v>14.0</v>
      </c>
      <c r="B360" s="184" t="s">
        <v>9529</v>
      </c>
      <c r="C360" s="184" t="s">
        <v>8239</v>
      </c>
      <c r="D360" s="185" t="s">
        <v>8240</v>
      </c>
      <c r="E360" s="184" t="s">
        <v>220</v>
      </c>
    </row>
    <row r="361" ht="22.5" hidden="1" customHeight="1">
      <c r="A361" s="184">
        <v>15.0</v>
      </c>
      <c r="B361" s="184" t="s">
        <v>9530</v>
      </c>
      <c r="C361" s="186" t="s">
        <v>8241</v>
      </c>
      <c r="D361" s="185" t="s">
        <v>8242</v>
      </c>
      <c r="E361" s="184" t="s">
        <v>227</v>
      </c>
    </row>
    <row r="362" ht="22.5" hidden="1" customHeight="1">
      <c r="A362" s="184">
        <v>16.0</v>
      </c>
      <c r="B362" s="184" t="s">
        <v>9531</v>
      </c>
      <c r="C362" s="186" t="s">
        <v>8243</v>
      </c>
      <c r="D362" s="185" t="s">
        <v>8244</v>
      </c>
      <c r="E362" s="184" t="s">
        <v>227</v>
      </c>
    </row>
    <row r="363" ht="22.5" hidden="1" customHeight="1">
      <c r="A363" s="184">
        <v>17.0</v>
      </c>
      <c r="B363" s="184" t="s">
        <v>9532</v>
      </c>
      <c r="C363" s="184" t="s">
        <v>8245</v>
      </c>
      <c r="D363" s="185" t="s">
        <v>8246</v>
      </c>
      <c r="E363" s="184" t="s">
        <v>227</v>
      </c>
    </row>
    <row r="364" ht="22.5" hidden="1" customHeight="1">
      <c r="A364" s="184">
        <v>18.0</v>
      </c>
      <c r="B364" s="184" t="s">
        <v>9533</v>
      </c>
      <c r="C364" s="186" t="s">
        <v>8247</v>
      </c>
      <c r="D364" s="185" t="s">
        <v>8248</v>
      </c>
      <c r="E364" s="184" t="s">
        <v>220</v>
      </c>
    </row>
    <row r="365" ht="22.5" hidden="1" customHeight="1">
      <c r="A365" s="184">
        <v>19.0</v>
      </c>
      <c r="B365" s="184" t="s">
        <v>9534</v>
      </c>
      <c r="C365" s="186" t="s">
        <v>8249</v>
      </c>
      <c r="D365" s="185" t="s">
        <v>8250</v>
      </c>
      <c r="E365" s="184" t="s">
        <v>220</v>
      </c>
    </row>
    <row r="366" ht="22.5" hidden="1" customHeight="1">
      <c r="A366" s="184">
        <v>20.0</v>
      </c>
      <c r="B366" s="184" t="s">
        <v>9535</v>
      </c>
      <c r="C366" s="186" t="s">
        <v>8251</v>
      </c>
      <c r="D366" s="185" t="s">
        <v>8252</v>
      </c>
      <c r="E366" s="184" t="s">
        <v>220</v>
      </c>
    </row>
    <row r="367" ht="22.5" hidden="1" customHeight="1">
      <c r="A367" s="184">
        <v>21.0</v>
      </c>
      <c r="B367" s="184" t="s">
        <v>9536</v>
      </c>
      <c r="C367" s="186" t="s">
        <v>8253</v>
      </c>
      <c r="D367" s="185" t="s">
        <v>8254</v>
      </c>
      <c r="E367" s="184" t="s">
        <v>227</v>
      </c>
    </row>
    <row r="368" ht="22.5" hidden="1" customHeight="1">
      <c r="A368" s="184">
        <v>22.0</v>
      </c>
      <c r="B368" s="184" t="s">
        <v>9537</v>
      </c>
      <c r="C368" s="186" t="s">
        <v>8255</v>
      </c>
      <c r="D368" s="185" t="s">
        <v>8256</v>
      </c>
      <c r="E368" s="184" t="s">
        <v>227</v>
      </c>
    </row>
    <row r="369" ht="22.5" hidden="1" customHeight="1">
      <c r="A369" s="184">
        <v>23.0</v>
      </c>
      <c r="B369" s="184" t="s">
        <v>9538</v>
      </c>
      <c r="C369" s="186" t="s">
        <v>8257</v>
      </c>
      <c r="D369" s="185" t="s">
        <v>8258</v>
      </c>
      <c r="E369" s="184" t="s">
        <v>227</v>
      </c>
    </row>
    <row r="370" ht="22.5" hidden="1" customHeight="1">
      <c r="A370" s="184">
        <v>24.0</v>
      </c>
      <c r="B370" s="184" t="s">
        <v>9539</v>
      </c>
      <c r="C370" s="186" t="s">
        <v>8259</v>
      </c>
      <c r="D370" s="185" t="s">
        <v>8260</v>
      </c>
      <c r="E370" s="184" t="s">
        <v>227</v>
      </c>
    </row>
    <row r="371" ht="22.5" hidden="1" customHeight="1">
      <c r="A371" s="184">
        <v>25.0</v>
      </c>
      <c r="B371" s="184" t="s">
        <v>9540</v>
      </c>
      <c r="C371" s="186" t="s">
        <v>8261</v>
      </c>
      <c r="D371" s="185" t="s">
        <v>8262</v>
      </c>
      <c r="E371" s="184" t="s">
        <v>220</v>
      </c>
    </row>
    <row r="372" ht="22.5" hidden="1" customHeight="1">
      <c r="A372" s="184">
        <v>26.0</v>
      </c>
      <c r="B372" s="184" t="s">
        <v>9541</v>
      </c>
      <c r="C372" s="184" t="s">
        <v>8263</v>
      </c>
      <c r="D372" s="185" t="s">
        <v>8264</v>
      </c>
      <c r="E372" s="184" t="s">
        <v>220</v>
      </c>
    </row>
    <row r="373" ht="22.5" hidden="1" customHeight="1">
      <c r="A373" s="184">
        <v>27.0</v>
      </c>
      <c r="B373" s="184" t="s">
        <v>9542</v>
      </c>
      <c r="C373" s="186" t="s">
        <v>8265</v>
      </c>
      <c r="D373" s="185" t="s">
        <v>8266</v>
      </c>
      <c r="E373" s="184" t="s">
        <v>220</v>
      </c>
    </row>
    <row r="374" ht="22.5" hidden="1" customHeight="1">
      <c r="A374" s="184">
        <v>28.0</v>
      </c>
      <c r="B374" s="184" t="s">
        <v>9543</v>
      </c>
      <c r="C374" s="184" t="s">
        <v>8267</v>
      </c>
      <c r="D374" s="185" t="s">
        <v>8268</v>
      </c>
      <c r="E374" s="184" t="s">
        <v>220</v>
      </c>
    </row>
    <row r="375" ht="22.5" hidden="1" customHeight="1">
      <c r="A375" s="184">
        <v>29.0</v>
      </c>
      <c r="B375" s="184" t="s">
        <v>9544</v>
      </c>
      <c r="C375" s="186" t="s">
        <v>8269</v>
      </c>
      <c r="D375" s="185" t="s">
        <v>8270</v>
      </c>
      <c r="E375" s="184" t="s">
        <v>227</v>
      </c>
    </row>
    <row r="376" ht="22.5" hidden="1" customHeight="1">
      <c r="A376" s="184">
        <v>30.0</v>
      </c>
      <c r="B376" s="184" t="s">
        <v>9545</v>
      </c>
      <c r="C376" s="186" t="s">
        <v>8271</v>
      </c>
      <c r="D376" s="185" t="s">
        <v>8272</v>
      </c>
      <c r="E376" s="184" t="s">
        <v>227</v>
      </c>
    </row>
    <row r="377" ht="22.5" hidden="1" customHeight="1">
      <c r="A377" s="184">
        <v>31.0</v>
      </c>
      <c r="B377" s="184" t="s">
        <v>9546</v>
      </c>
      <c r="C377" s="186" t="s">
        <v>8273</v>
      </c>
      <c r="D377" s="185" t="s">
        <v>8274</v>
      </c>
      <c r="E377" s="184" t="s">
        <v>227</v>
      </c>
    </row>
    <row r="378" ht="22.5" hidden="1" customHeight="1">
      <c r="A378" s="184">
        <v>32.0</v>
      </c>
      <c r="B378" s="184" t="s">
        <v>9547</v>
      </c>
      <c r="C378" s="186" t="s">
        <v>8275</v>
      </c>
      <c r="D378" s="185" t="s">
        <v>8276</v>
      </c>
      <c r="E378" s="184" t="s">
        <v>227</v>
      </c>
    </row>
    <row r="379" ht="22.5" hidden="1" customHeight="1">
      <c r="A379" s="184">
        <v>33.0</v>
      </c>
      <c r="B379" s="184" t="s">
        <v>9548</v>
      </c>
      <c r="C379" s="186" t="s">
        <v>8277</v>
      </c>
      <c r="D379" s="185" t="s">
        <v>8278</v>
      </c>
      <c r="E379" s="184" t="s">
        <v>227</v>
      </c>
    </row>
    <row r="380" ht="22.5" hidden="1" customHeight="1">
      <c r="A380" s="184">
        <v>34.0</v>
      </c>
      <c r="B380" s="184">
        <v>2.32410408E8</v>
      </c>
      <c r="C380" s="186" t="s">
        <v>8279</v>
      </c>
      <c r="D380" s="185" t="s">
        <v>8280</v>
      </c>
      <c r="E380" s="184" t="s">
        <v>220</v>
      </c>
    </row>
    <row r="381" ht="22.5" hidden="1" customHeight="1">
      <c r="A381" s="184">
        <v>35.0</v>
      </c>
      <c r="B381" s="184" t="s">
        <v>9549</v>
      </c>
      <c r="C381" s="211" t="s">
        <v>8281</v>
      </c>
      <c r="D381" s="185" t="s">
        <v>8282</v>
      </c>
      <c r="E381" s="184" t="s">
        <v>227</v>
      </c>
    </row>
    <row r="382" ht="22.5" hidden="1" customHeight="1">
      <c r="A382" s="184">
        <v>36.0</v>
      </c>
      <c r="B382" s="184" t="s">
        <v>9550</v>
      </c>
      <c r="C382" s="186" t="s">
        <v>8283</v>
      </c>
      <c r="D382" s="185" t="s">
        <v>8284</v>
      </c>
      <c r="E382" s="184" t="s">
        <v>227</v>
      </c>
    </row>
    <row r="383" ht="22.5" hidden="1" customHeight="1">
      <c r="A383" s="184">
        <v>37.0</v>
      </c>
      <c r="B383" s="197"/>
      <c r="C383" s="197"/>
      <c r="D383" s="197"/>
      <c r="E383" s="197"/>
    </row>
    <row r="384" ht="22.5" hidden="1" customHeight="1">
      <c r="A384" s="188"/>
      <c r="B384" s="189" t="s">
        <v>8789</v>
      </c>
      <c r="C384" s="188"/>
      <c r="D384" s="190">
        <f>COUNTIF(E347:E383,"L")</f>
        <v>11</v>
      </c>
      <c r="E384" s="188"/>
    </row>
    <row r="385" ht="22.5" hidden="1" customHeight="1">
      <c r="A385" s="188"/>
      <c r="B385" s="189" t="s">
        <v>8790</v>
      </c>
      <c r="C385" s="188"/>
      <c r="D385" s="190">
        <f>COUNTIF(E347:E383,"P")</f>
        <v>25</v>
      </c>
      <c r="E385" s="188"/>
    </row>
    <row r="386" ht="22.5" hidden="1" customHeight="1">
      <c r="A386" s="188"/>
      <c r="B386" s="189" t="s">
        <v>8792</v>
      </c>
      <c r="C386" s="188"/>
      <c r="D386" s="190">
        <f>SUM(D384:D385)</f>
        <v>36</v>
      </c>
      <c r="E386" s="188"/>
    </row>
    <row r="387" ht="22.5" hidden="1" customHeight="1">
      <c r="A387" s="188"/>
      <c r="B387" s="188"/>
      <c r="C387" s="188"/>
      <c r="D387" s="188"/>
      <c r="E387" s="188"/>
    </row>
    <row r="388" ht="22.5" hidden="1" customHeight="1">
      <c r="A388" s="191" t="s">
        <v>9359</v>
      </c>
      <c r="B388" s="192"/>
      <c r="C388" s="192"/>
      <c r="D388" s="192"/>
      <c r="E388" s="192"/>
    </row>
    <row r="389" ht="22.5" hidden="1" customHeight="1">
      <c r="A389" s="193" t="s">
        <v>9365</v>
      </c>
      <c r="B389" s="194"/>
      <c r="C389" s="194"/>
      <c r="D389" s="194"/>
      <c r="E389" s="194"/>
    </row>
    <row r="390" ht="22.5" hidden="1" customHeight="1">
      <c r="A390" s="176" t="s">
        <v>8745</v>
      </c>
      <c r="B390" s="177"/>
      <c r="C390" s="177"/>
      <c r="D390" s="177"/>
      <c r="E390" s="177"/>
    </row>
    <row r="391" ht="22.5" customHeight="1">
      <c r="A391" s="178" t="s">
        <v>9551</v>
      </c>
      <c r="B391" s="177"/>
      <c r="C391" s="177"/>
      <c r="D391" s="177"/>
      <c r="E391" s="177"/>
    </row>
    <row r="392" ht="22.5" hidden="1" customHeight="1">
      <c r="A392" s="179" t="s">
        <v>9552</v>
      </c>
      <c r="B392" s="180"/>
      <c r="C392" s="180"/>
      <c r="D392" s="180"/>
      <c r="E392" s="180"/>
    </row>
    <row r="393" ht="22.5" hidden="1" customHeight="1">
      <c r="A393" s="181" t="s">
        <v>8748</v>
      </c>
      <c r="B393" s="181" t="s">
        <v>5246</v>
      </c>
      <c r="C393" s="181" t="s">
        <v>9</v>
      </c>
      <c r="D393" s="181" t="s">
        <v>8680</v>
      </c>
      <c r="E393" s="181" t="s">
        <v>13</v>
      </c>
    </row>
    <row r="394" ht="22.5" hidden="1" customHeight="1">
      <c r="A394" s="182"/>
      <c r="B394" s="182"/>
      <c r="C394" s="182"/>
      <c r="D394" s="182"/>
      <c r="E394" s="182"/>
    </row>
    <row r="395" ht="22.5" hidden="1" customHeight="1">
      <c r="A395" s="183"/>
      <c r="B395" s="183"/>
      <c r="C395" s="183"/>
      <c r="D395" s="183"/>
      <c r="E395" s="183"/>
    </row>
    <row r="396" ht="22.5" hidden="1" customHeight="1">
      <c r="A396" s="184">
        <v>1.0</v>
      </c>
      <c r="B396" s="184" t="s">
        <v>9553</v>
      </c>
      <c r="C396" s="184" t="s">
        <v>8285</v>
      </c>
      <c r="D396" s="185" t="s">
        <v>8286</v>
      </c>
      <c r="E396" s="184" t="s">
        <v>220</v>
      </c>
    </row>
    <row r="397" ht="22.5" hidden="1" customHeight="1">
      <c r="A397" s="184">
        <v>2.0</v>
      </c>
      <c r="B397" s="184" t="s">
        <v>9554</v>
      </c>
      <c r="C397" s="195" t="s">
        <v>8289</v>
      </c>
      <c r="D397" s="185" t="s">
        <v>8290</v>
      </c>
      <c r="E397" s="184" t="s">
        <v>220</v>
      </c>
    </row>
    <row r="398" ht="22.5" hidden="1" customHeight="1">
      <c r="A398" s="184">
        <v>3.0</v>
      </c>
      <c r="B398" s="184" t="s">
        <v>9555</v>
      </c>
      <c r="C398" s="184" t="s">
        <v>8291</v>
      </c>
      <c r="D398" s="185" t="s">
        <v>8292</v>
      </c>
      <c r="E398" s="184" t="s">
        <v>227</v>
      </c>
    </row>
    <row r="399" ht="22.5" hidden="1" customHeight="1">
      <c r="A399" s="184">
        <v>4.0</v>
      </c>
      <c r="B399" s="184" t="s">
        <v>9556</v>
      </c>
      <c r="C399" s="184" t="s">
        <v>8293</v>
      </c>
      <c r="D399" s="185" t="s">
        <v>8294</v>
      </c>
      <c r="E399" s="184" t="s">
        <v>227</v>
      </c>
    </row>
    <row r="400" ht="22.5" hidden="1" customHeight="1">
      <c r="A400" s="184">
        <v>5.0</v>
      </c>
      <c r="B400" s="184" t="s">
        <v>9557</v>
      </c>
      <c r="C400" s="186" t="s">
        <v>8295</v>
      </c>
      <c r="D400" s="185" t="s">
        <v>8296</v>
      </c>
      <c r="E400" s="184" t="s">
        <v>220</v>
      </c>
    </row>
    <row r="401" ht="22.5" hidden="1" customHeight="1">
      <c r="A401" s="184">
        <v>6.0</v>
      </c>
      <c r="B401" s="184" t="s">
        <v>9558</v>
      </c>
      <c r="C401" s="184" t="s">
        <v>8297</v>
      </c>
      <c r="D401" s="185" t="s">
        <v>8298</v>
      </c>
      <c r="E401" s="184" t="s">
        <v>220</v>
      </c>
    </row>
    <row r="402" ht="22.5" hidden="1" customHeight="1">
      <c r="A402" s="184">
        <v>7.0</v>
      </c>
      <c r="B402" s="184" t="s">
        <v>9559</v>
      </c>
      <c r="C402" s="186" t="s">
        <v>8084</v>
      </c>
      <c r="D402" s="185" t="s">
        <v>8299</v>
      </c>
      <c r="E402" s="184" t="s">
        <v>220</v>
      </c>
    </row>
    <row r="403" ht="22.5" hidden="1" customHeight="1">
      <c r="A403" s="184">
        <v>8.0</v>
      </c>
      <c r="B403" s="184" t="s">
        <v>9560</v>
      </c>
      <c r="C403" s="184" t="s">
        <v>8300</v>
      </c>
      <c r="D403" s="185" t="s">
        <v>8301</v>
      </c>
      <c r="E403" s="184" t="s">
        <v>227</v>
      </c>
    </row>
    <row r="404" ht="22.5" hidden="1" customHeight="1">
      <c r="A404" s="184">
        <v>9.0</v>
      </c>
      <c r="B404" s="184" t="s">
        <v>9561</v>
      </c>
      <c r="C404" s="186" t="s">
        <v>8302</v>
      </c>
      <c r="D404" s="185" t="s">
        <v>8303</v>
      </c>
      <c r="E404" s="184" t="s">
        <v>220</v>
      </c>
    </row>
    <row r="405" ht="22.5" hidden="1" customHeight="1">
      <c r="A405" s="184">
        <v>10.0</v>
      </c>
      <c r="B405" s="184" t="s">
        <v>9562</v>
      </c>
      <c r="C405" s="184" t="s">
        <v>8304</v>
      </c>
      <c r="D405" s="185" t="s">
        <v>8305</v>
      </c>
      <c r="E405" s="184" t="s">
        <v>220</v>
      </c>
    </row>
    <row r="406" ht="22.5" hidden="1" customHeight="1">
      <c r="A406" s="184">
        <v>11.0</v>
      </c>
      <c r="B406" s="184" t="s">
        <v>9563</v>
      </c>
      <c r="C406" s="186" t="s">
        <v>8306</v>
      </c>
      <c r="D406" s="185" t="s">
        <v>8307</v>
      </c>
      <c r="E406" s="184" t="s">
        <v>220</v>
      </c>
    </row>
    <row r="407" ht="22.5" hidden="1" customHeight="1">
      <c r="A407" s="184">
        <v>12.0</v>
      </c>
      <c r="B407" s="184" t="s">
        <v>9564</v>
      </c>
      <c r="C407" s="186" t="s">
        <v>8308</v>
      </c>
      <c r="D407" s="185" t="s">
        <v>8309</v>
      </c>
      <c r="E407" s="184" t="s">
        <v>220</v>
      </c>
    </row>
    <row r="408" ht="22.5" hidden="1" customHeight="1">
      <c r="A408" s="184">
        <v>13.0</v>
      </c>
      <c r="B408" s="184" t="s">
        <v>9565</v>
      </c>
      <c r="C408" s="184" t="s">
        <v>8310</v>
      </c>
      <c r="D408" s="185" t="s">
        <v>8311</v>
      </c>
      <c r="E408" s="184" t="s">
        <v>227</v>
      </c>
    </row>
    <row r="409" ht="22.5" hidden="1" customHeight="1">
      <c r="A409" s="184">
        <v>14.0</v>
      </c>
      <c r="B409" s="184" t="s">
        <v>9566</v>
      </c>
      <c r="C409" s="184" t="s">
        <v>8312</v>
      </c>
      <c r="D409" s="185" t="s">
        <v>8313</v>
      </c>
      <c r="E409" s="184" t="s">
        <v>227</v>
      </c>
    </row>
    <row r="410" ht="22.5" hidden="1" customHeight="1">
      <c r="A410" s="184">
        <v>15.0</v>
      </c>
      <c r="B410" s="184" t="s">
        <v>9567</v>
      </c>
      <c r="C410" s="186" t="s">
        <v>8314</v>
      </c>
      <c r="D410" s="202" t="s">
        <v>8315</v>
      </c>
      <c r="E410" s="184" t="s">
        <v>220</v>
      </c>
    </row>
    <row r="411" ht="22.5" hidden="1" customHeight="1">
      <c r="A411" s="184">
        <v>16.0</v>
      </c>
      <c r="B411" s="184" t="s">
        <v>9568</v>
      </c>
      <c r="C411" s="186" t="s">
        <v>8316</v>
      </c>
      <c r="D411" s="185" t="s">
        <v>8317</v>
      </c>
      <c r="E411" s="184" t="s">
        <v>227</v>
      </c>
    </row>
    <row r="412" ht="22.5" hidden="1" customHeight="1">
      <c r="A412" s="184">
        <v>17.0</v>
      </c>
      <c r="B412" s="184">
        <v>8.4177568E7</v>
      </c>
      <c r="C412" s="184" t="s">
        <v>9569</v>
      </c>
      <c r="D412" s="185" t="s">
        <v>8319</v>
      </c>
      <c r="E412" s="184" t="s">
        <v>220</v>
      </c>
    </row>
    <row r="413" ht="22.5" hidden="1" customHeight="1">
      <c r="A413" s="184">
        <v>18.0</v>
      </c>
      <c r="B413" s="184" t="s">
        <v>9570</v>
      </c>
      <c r="C413" s="184" t="s">
        <v>8320</v>
      </c>
      <c r="D413" s="185" t="s">
        <v>8321</v>
      </c>
      <c r="E413" s="184" t="s">
        <v>227</v>
      </c>
    </row>
    <row r="414" ht="22.5" hidden="1" customHeight="1">
      <c r="A414" s="184">
        <v>19.0</v>
      </c>
      <c r="B414" s="201" t="s">
        <v>9571</v>
      </c>
      <c r="C414" s="201" t="s">
        <v>8322</v>
      </c>
      <c r="D414" s="185" t="s">
        <v>8323</v>
      </c>
      <c r="E414" s="184" t="s">
        <v>227</v>
      </c>
    </row>
    <row r="415" ht="22.5" hidden="1" customHeight="1">
      <c r="A415" s="184">
        <v>20.0</v>
      </c>
      <c r="B415" s="184" t="s">
        <v>9572</v>
      </c>
      <c r="C415" s="186" t="s">
        <v>8324</v>
      </c>
      <c r="D415" s="202" t="s">
        <v>8325</v>
      </c>
      <c r="E415" s="184" t="s">
        <v>220</v>
      </c>
    </row>
    <row r="416" ht="22.5" hidden="1" customHeight="1">
      <c r="A416" s="184">
        <v>21.0</v>
      </c>
      <c r="B416" s="184" t="s">
        <v>9573</v>
      </c>
      <c r="C416" s="186" t="s">
        <v>8326</v>
      </c>
      <c r="D416" s="185" t="s">
        <v>8327</v>
      </c>
      <c r="E416" s="184" t="s">
        <v>227</v>
      </c>
    </row>
    <row r="417" ht="22.5" hidden="1" customHeight="1">
      <c r="A417" s="184">
        <v>22.0</v>
      </c>
      <c r="B417" s="184" t="s">
        <v>9574</v>
      </c>
      <c r="C417" s="184">
        <v>3.082660397E9</v>
      </c>
      <c r="D417" s="185" t="s">
        <v>8328</v>
      </c>
      <c r="E417" s="184" t="s">
        <v>227</v>
      </c>
    </row>
    <row r="418" ht="22.5" hidden="1" customHeight="1">
      <c r="A418" s="184">
        <v>23.0</v>
      </c>
      <c r="B418" s="184" t="s">
        <v>9575</v>
      </c>
      <c r="C418" s="184" t="s">
        <v>8329</v>
      </c>
      <c r="D418" s="185" t="s">
        <v>8330</v>
      </c>
      <c r="E418" s="184" t="s">
        <v>227</v>
      </c>
    </row>
    <row r="419" ht="22.5" hidden="1" customHeight="1">
      <c r="A419" s="184">
        <v>24.0</v>
      </c>
      <c r="B419" s="184" t="s">
        <v>9576</v>
      </c>
      <c r="C419" s="184" t="s">
        <v>8331</v>
      </c>
      <c r="D419" s="185" t="s">
        <v>8332</v>
      </c>
      <c r="E419" s="184" t="s">
        <v>227</v>
      </c>
    </row>
    <row r="420" ht="22.5" hidden="1" customHeight="1">
      <c r="A420" s="184">
        <v>25.0</v>
      </c>
      <c r="B420" s="184" t="s">
        <v>9577</v>
      </c>
      <c r="C420" s="184" t="s">
        <v>8333</v>
      </c>
      <c r="D420" s="185" t="s">
        <v>8334</v>
      </c>
      <c r="E420" s="184" t="s">
        <v>220</v>
      </c>
    </row>
    <row r="421" ht="22.5" hidden="1" customHeight="1">
      <c r="A421" s="184">
        <v>26.0</v>
      </c>
      <c r="B421" s="184" t="s">
        <v>9578</v>
      </c>
      <c r="C421" s="184" t="s">
        <v>8335</v>
      </c>
      <c r="D421" s="185" t="s">
        <v>8336</v>
      </c>
      <c r="E421" s="184" t="s">
        <v>220</v>
      </c>
    </row>
    <row r="422" ht="22.5" hidden="1" customHeight="1">
      <c r="A422" s="184">
        <v>27.0</v>
      </c>
      <c r="B422" s="184" t="s">
        <v>9579</v>
      </c>
      <c r="C422" s="184" t="s">
        <v>8337</v>
      </c>
      <c r="D422" s="185" t="s">
        <v>8338</v>
      </c>
      <c r="E422" s="184" t="s">
        <v>220</v>
      </c>
    </row>
    <row r="423" ht="22.5" hidden="1" customHeight="1">
      <c r="A423" s="184">
        <v>28.0</v>
      </c>
      <c r="B423" s="184" t="s">
        <v>9580</v>
      </c>
      <c r="C423" s="186" t="s">
        <v>8339</v>
      </c>
      <c r="D423" s="185" t="s">
        <v>8340</v>
      </c>
      <c r="E423" s="184" t="s">
        <v>220</v>
      </c>
    </row>
    <row r="424" ht="22.5" hidden="1" customHeight="1">
      <c r="A424" s="184">
        <v>29.0</v>
      </c>
      <c r="B424" s="184" t="s">
        <v>9581</v>
      </c>
      <c r="C424" s="184" t="s">
        <v>8341</v>
      </c>
      <c r="D424" s="185" t="s">
        <v>8342</v>
      </c>
      <c r="E424" s="184" t="s">
        <v>227</v>
      </c>
    </row>
    <row r="425" ht="22.5" hidden="1" customHeight="1">
      <c r="A425" s="184">
        <v>30.0</v>
      </c>
      <c r="B425" s="184" t="s">
        <v>9582</v>
      </c>
      <c r="C425" s="184" t="s">
        <v>8343</v>
      </c>
      <c r="D425" s="185" t="s">
        <v>8344</v>
      </c>
      <c r="E425" s="184" t="s">
        <v>227</v>
      </c>
    </row>
    <row r="426" ht="22.5" hidden="1" customHeight="1">
      <c r="A426" s="184">
        <v>31.0</v>
      </c>
      <c r="B426" s="184" t="s">
        <v>9583</v>
      </c>
      <c r="C426" s="184" t="s">
        <v>8345</v>
      </c>
      <c r="D426" s="185" t="s">
        <v>8346</v>
      </c>
      <c r="E426" s="184" t="s">
        <v>227</v>
      </c>
    </row>
    <row r="427" ht="22.5" hidden="1" customHeight="1">
      <c r="A427" s="184">
        <v>32.0</v>
      </c>
      <c r="B427" s="184">
        <v>2.42511437E8</v>
      </c>
      <c r="C427" s="186" t="s">
        <v>8347</v>
      </c>
      <c r="D427" s="197" t="s">
        <v>8348</v>
      </c>
      <c r="E427" s="212" t="s">
        <v>227</v>
      </c>
    </row>
    <row r="428" ht="22.5" hidden="1" customHeight="1">
      <c r="A428" s="184">
        <v>33.0</v>
      </c>
      <c r="B428" s="184" t="s">
        <v>9584</v>
      </c>
      <c r="C428" s="184">
        <v>3.073656051E9</v>
      </c>
      <c r="D428" s="185" t="s">
        <v>8349</v>
      </c>
      <c r="E428" s="184" t="s">
        <v>220</v>
      </c>
    </row>
    <row r="429" ht="22.5" hidden="1" customHeight="1">
      <c r="A429" s="184">
        <v>34.0</v>
      </c>
      <c r="B429" s="184" t="s">
        <v>9585</v>
      </c>
      <c r="C429" s="184" t="s">
        <v>8350</v>
      </c>
      <c r="D429" s="185" t="s">
        <v>8351</v>
      </c>
      <c r="E429" s="184" t="s">
        <v>227</v>
      </c>
    </row>
    <row r="430" ht="22.5" hidden="1" customHeight="1">
      <c r="A430" s="184">
        <v>35.0</v>
      </c>
      <c r="B430" s="184" t="s">
        <v>9586</v>
      </c>
      <c r="C430" s="186" t="s">
        <v>8352</v>
      </c>
      <c r="D430" s="185" t="s">
        <v>8353</v>
      </c>
      <c r="E430" s="184" t="s">
        <v>220</v>
      </c>
    </row>
    <row r="431" ht="22.5" hidden="1" customHeight="1">
      <c r="A431" s="188"/>
      <c r="B431" s="189" t="s">
        <v>8789</v>
      </c>
      <c r="C431" s="188"/>
      <c r="D431" s="190">
        <f>COUNTIF(E396:E430,"L")</f>
        <v>18</v>
      </c>
      <c r="E431" s="188"/>
    </row>
    <row r="432" ht="22.5" hidden="1" customHeight="1">
      <c r="A432" s="188"/>
      <c r="B432" s="189" t="s">
        <v>8790</v>
      </c>
      <c r="C432" s="188"/>
      <c r="D432" s="190">
        <f>COUNTIF(E396:E430,"P")</f>
        <v>17</v>
      </c>
      <c r="E432" s="188"/>
    </row>
    <row r="433" ht="22.5" hidden="1" customHeight="1">
      <c r="A433" s="188"/>
      <c r="B433" s="189" t="s">
        <v>8792</v>
      </c>
      <c r="C433" s="188"/>
      <c r="D433" s="190">
        <f>SUM(D431:D432)</f>
        <v>35</v>
      </c>
      <c r="E433" s="188"/>
    </row>
    <row r="434" ht="22.5" hidden="1" customHeight="1">
      <c r="A434" s="188"/>
      <c r="B434" s="188"/>
      <c r="C434" s="188"/>
      <c r="D434" s="188"/>
      <c r="E434" s="188"/>
    </row>
    <row r="435" ht="22.5" hidden="1" customHeight="1">
      <c r="A435" s="191" t="s">
        <v>9359</v>
      </c>
      <c r="B435" s="192"/>
      <c r="C435" s="192"/>
      <c r="D435" s="192"/>
      <c r="E435" s="192"/>
    </row>
    <row r="436" ht="22.5" hidden="1" customHeight="1">
      <c r="A436" s="193" t="s">
        <v>9365</v>
      </c>
      <c r="B436" s="194"/>
      <c r="C436" s="194"/>
      <c r="D436" s="194"/>
      <c r="E436" s="194"/>
    </row>
    <row r="437" ht="22.5" hidden="1" customHeight="1">
      <c r="A437" s="176" t="s">
        <v>8745</v>
      </c>
      <c r="B437" s="177"/>
      <c r="C437" s="177"/>
      <c r="D437" s="177"/>
      <c r="E437" s="177"/>
    </row>
    <row r="438" ht="22.5" customHeight="1">
      <c r="A438" s="178" t="s">
        <v>9587</v>
      </c>
      <c r="B438" s="177"/>
      <c r="C438" s="177"/>
      <c r="D438" s="177"/>
      <c r="E438" s="177"/>
    </row>
    <row r="439" ht="22.5" hidden="1" customHeight="1">
      <c r="A439" s="179" t="s">
        <v>9248</v>
      </c>
      <c r="B439" s="180"/>
      <c r="C439" s="180"/>
      <c r="D439" s="180"/>
      <c r="E439" s="180"/>
    </row>
    <row r="440" ht="22.5" hidden="1" customHeight="1">
      <c r="A440" s="181" t="s">
        <v>8748</v>
      </c>
      <c r="B440" s="181" t="s">
        <v>5246</v>
      </c>
      <c r="C440" s="181" t="s">
        <v>9</v>
      </c>
      <c r="D440" s="181" t="s">
        <v>8680</v>
      </c>
      <c r="E440" s="181" t="s">
        <v>13</v>
      </c>
    </row>
    <row r="441" ht="22.5" hidden="1" customHeight="1">
      <c r="A441" s="182"/>
      <c r="B441" s="182"/>
      <c r="C441" s="182"/>
      <c r="D441" s="182"/>
      <c r="E441" s="182"/>
    </row>
    <row r="442" ht="22.5" hidden="1" customHeight="1">
      <c r="A442" s="183"/>
      <c r="B442" s="183"/>
      <c r="C442" s="183"/>
      <c r="D442" s="183"/>
      <c r="E442" s="183"/>
    </row>
    <row r="443" ht="22.5" hidden="1" customHeight="1">
      <c r="A443" s="184">
        <v>1.0</v>
      </c>
      <c r="B443" s="184" t="s">
        <v>9588</v>
      </c>
      <c r="C443" s="186" t="s">
        <v>8354</v>
      </c>
      <c r="D443" s="185" t="s">
        <v>8355</v>
      </c>
      <c r="E443" s="184" t="s">
        <v>227</v>
      </c>
    </row>
    <row r="444" ht="22.5" hidden="1" customHeight="1">
      <c r="A444" s="184">
        <v>2.0</v>
      </c>
      <c r="B444" s="184" t="s">
        <v>9589</v>
      </c>
      <c r="C444" s="184" t="s">
        <v>8358</v>
      </c>
      <c r="D444" s="185" t="s">
        <v>8359</v>
      </c>
      <c r="E444" s="184" t="s">
        <v>227</v>
      </c>
    </row>
    <row r="445" ht="22.5" hidden="1" customHeight="1">
      <c r="A445" s="184">
        <v>3.0</v>
      </c>
      <c r="B445" s="201" t="s">
        <v>9590</v>
      </c>
      <c r="C445" s="201" t="s">
        <v>8360</v>
      </c>
      <c r="D445" s="200" t="s">
        <v>8361</v>
      </c>
      <c r="E445" s="201" t="s">
        <v>220</v>
      </c>
    </row>
    <row r="446" ht="22.5" hidden="1" customHeight="1">
      <c r="A446" s="184">
        <v>4.0</v>
      </c>
      <c r="B446" s="184" t="s">
        <v>9591</v>
      </c>
      <c r="C446" s="184" t="s">
        <v>8362</v>
      </c>
      <c r="D446" s="185" t="s">
        <v>8363</v>
      </c>
      <c r="E446" s="184" t="s">
        <v>227</v>
      </c>
    </row>
    <row r="447" ht="22.5" hidden="1" customHeight="1">
      <c r="A447" s="184">
        <v>5.0</v>
      </c>
      <c r="B447" s="184" t="s">
        <v>9592</v>
      </c>
      <c r="C447" s="186" t="s">
        <v>8364</v>
      </c>
      <c r="D447" s="185" t="s">
        <v>8365</v>
      </c>
      <c r="E447" s="184" t="s">
        <v>220</v>
      </c>
    </row>
    <row r="448" ht="22.5" hidden="1" customHeight="1">
      <c r="A448" s="184">
        <v>6.0</v>
      </c>
      <c r="B448" s="184" t="s">
        <v>9593</v>
      </c>
      <c r="C448" s="184" t="s">
        <v>8366</v>
      </c>
      <c r="D448" s="185" t="s">
        <v>8367</v>
      </c>
      <c r="E448" s="184" t="s">
        <v>227</v>
      </c>
    </row>
    <row r="449" ht="22.5" hidden="1" customHeight="1">
      <c r="A449" s="184">
        <v>7.0</v>
      </c>
      <c r="B449" s="184" t="s">
        <v>9594</v>
      </c>
      <c r="C449" s="184" t="s">
        <v>8368</v>
      </c>
      <c r="D449" s="185" t="s">
        <v>8369</v>
      </c>
      <c r="E449" s="184" t="s">
        <v>227</v>
      </c>
    </row>
    <row r="450" ht="22.5" hidden="1" customHeight="1">
      <c r="A450" s="184">
        <v>8.0</v>
      </c>
      <c r="B450" s="184" t="s">
        <v>9595</v>
      </c>
      <c r="C450" s="184" t="s">
        <v>8370</v>
      </c>
      <c r="D450" s="185" t="s">
        <v>8371</v>
      </c>
      <c r="E450" s="184" t="s">
        <v>227</v>
      </c>
    </row>
    <row r="451" ht="22.5" hidden="1" customHeight="1">
      <c r="A451" s="184">
        <v>9.0</v>
      </c>
      <c r="B451" s="184" t="s">
        <v>9596</v>
      </c>
      <c r="C451" s="184" t="s">
        <v>8372</v>
      </c>
      <c r="D451" s="185" t="s">
        <v>8373</v>
      </c>
      <c r="E451" s="184" t="s">
        <v>227</v>
      </c>
    </row>
    <row r="452" ht="22.5" hidden="1" customHeight="1">
      <c r="A452" s="184">
        <v>10.0</v>
      </c>
      <c r="B452" s="184" t="s">
        <v>9597</v>
      </c>
      <c r="C452" s="184" t="s">
        <v>8374</v>
      </c>
      <c r="D452" s="185" t="s">
        <v>8375</v>
      </c>
      <c r="E452" s="184" t="s">
        <v>227</v>
      </c>
    </row>
    <row r="453" ht="22.5" hidden="1" customHeight="1">
      <c r="A453" s="184">
        <v>11.0</v>
      </c>
      <c r="B453" s="184" t="s">
        <v>9598</v>
      </c>
      <c r="C453" s="184" t="s">
        <v>8376</v>
      </c>
      <c r="D453" s="185" t="s">
        <v>8377</v>
      </c>
      <c r="E453" s="184" t="s">
        <v>227</v>
      </c>
    </row>
    <row r="454" ht="22.5" hidden="1" customHeight="1">
      <c r="A454" s="184">
        <v>12.0</v>
      </c>
      <c r="B454" s="184" t="s">
        <v>9599</v>
      </c>
      <c r="C454" s="186" t="s">
        <v>8378</v>
      </c>
      <c r="D454" s="185" t="s">
        <v>8379</v>
      </c>
      <c r="E454" s="184" t="s">
        <v>220</v>
      </c>
    </row>
    <row r="455" ht="22.5" hidden="1" customHeight="1">
      <c r="A455" s="184">
        <v>13.0</v>
      </c>
      <c r="B455" s="184" t="s">
        <v>9600</v>
      </c>
      <c r="C455" s="184" t="s">
        <v>8380</v>
      </c>
      <c r="D455" s="185" t="s">
        <v>8381</v>
      </c>
      <c r="E455" s="184" t="s">
        <v>227</v>
      </c>
    </row>
    <row r="456" ht="22.5" hidden="1" customHeight="1">
      <c r="A456" s="184">
        <v>14.0</v>
      </c>
      <c r="B456" s="184" t="s">
        <v>9601</v>
      </c>
      <c r="C456" s="184" t="s">
        <v>8382</v>
      </c>
      <c r="D456" s="185" t="s">
        <v>8383</v>
      </c>
      <c r="E456" s="184" t="s">
        <v>227</v>
      </c>
    </row>
    <row r="457" ht="22.5" hidden="1" customHeight="1">
      <c r="A457" s="184">
        <v>15.0</v>
      </c>
      <c r="B457" s="184" t="s">
        <v>9602</v>
      </c>
      <c r="C457" s="184" t="s">
        <v>8384</v>
      </c>
      <c r="D457" s="202" t="s">
        <v>8385</v>
      </c>
      <c r="E457" s="184" t="s">
        <v>227</v>
      </c>
    </row>
    <row r="458" ht="22.5" hidden="1" customHeight="1">
      <c r="A458" s="184">
        <v>16.0</v>
      </c>
      <c r="B458" s="184" t="s">
        <v>9603</v>
      </c>
      <c r="C458" s="184" t="s">
        <v>8386</v>
      </c>
      <c r="D458" s="202" t="s">
        <v>8387</v>
      </c>
      <c r="E458" s="184" t="s">
        <v>227</v>
      </c>
    </row>
    <row r="459" ht="22.5" hidden="1" customHeight="1">
      <c r="A459" s="184">
        <v>17.0</v>
      </c>
      <c r="B459" s="184" t="s">
        <v>9604</v>
      </c>
      <c r="C459" s="184" t="s">
        <v>8388</v>
      </c>
      <c r="D459" s="185" t="s">
        <v>8389</v>
      </c>
      <c r="E459" s="184" t="s">
        <v>220</v>
      </c>
    </row>
    <row r="460" ht="22.5" hidden="1" customHeight="1">
      <c r="A460" s="184">
        <v>18.0</v>
      </c>
      <c r="B460" s="184" t="s">
        <v>9605</v>
      </c>
      <c r="C460" s="184" t="s">
        <v>8390</v>
      </c>
      <c r="D460" s="202" t="s">
        <v>8391</v>
      </c>
      <c r="E460" s="184" t="s">
        <v>220</v>
      </c>
    </row>
    <row r="461" ht="22.5" hidden="1" customHeight="1">
      <c r="A461" s="184">
        <v>19.0</v>
      </c>
      <c r="B461" s="184" t="s">
        <v>9606</v>
      </c>
      <c r="C461" s="184" t="s">
        <v>8392</v>
      </c>
      <c r="D461" s="185" t="s">
        <v>8393</v>
      </c>
      <c r="E461" s="184" t="s">
        <v>227</v>
      </c>
    </row>
    <row r="462" ht="22.5" hidden="1" customHeight="1">
      <c r="A462" s="184">
        <v>20.0</v>
      </c>
      <c r="B462" s="184" t="s">
        <v>9607</v>
      </c>
      <c r="C462" s="184" t="s">
        <v>8394</v>
      </c>
      <c r="D462" s="197" t="s">
        <v>8395</v>
      </c>
      <c r="E462" s="184" t="s">
        <v>220</v>
      </c>
    </row>
    <row r="463" ht="22.5" hidden="1" customHeight="1">
      <c r="A463" s="184">
        <v>21.0</v>
      </c>
      <c r="B463" s="184" t="s">
        <v>9608</v>
      </c>
      <c r="C463" s="184" t="s">
        <v>8396</v>
      </c>
      <c r="D463" s="185" t="s">
        <v>8397</v>
      </c>
      <c r="E463" s="184" t="s">
        <v>227</v>
      </c>
    </row>
    <row r="464" ht="22.5" hidden="1" customHeight="1">
      <c r="A464" s="184">
        <v>22.0</v>
      </c>
      <c r="B464" s="184" t="s">
        <v>9609</v>
      </c>
      <c r="C464" s="184" t="s">
        <v>8398</v>
      </c>
      <c r="D464" s="185" t="s">
        <v>8399</v>
      </c>
      <c r="E464" s="184" t="s">
        <v>220</v>
      </c>
    </row>
    <row r="465" ht="22.5" hidden="1" customHeight="1">
      <c r="A465" s="184">
        <v>23.0</v>
      </c>
      <c r="B465" s="184" t="s">
        <v>9610</v>
      </c>
      <c r="C465" s="184" t="s">
        <v>8400</v>
      </c>
      <c r="D465" s="185" t="s">
        <v>8401</v>
      </c>
      <c r="E465" s="184" t="s">
        <v>227</v>
      </c>
    </row>
    <row r="466" ht="22.5" hidden="1" customHeight="1">
      <c r="A466" s="184">
        <v>24.0</v>
      </c>
      <c r="B466" s="184" t="s">
        <v>9611</v>
      </c>
      <c r="C466" s="184" t="s">
        <v>8402</v>
      </c>
      <c r="D466" s="185" t="s">
        <v>8403</v>
      </c>
      <c r="E466" s="184" t="s">
        <v>227</v>
      </c>
    </row>
    <row r="467" ht="22.5" hidden="1" customHeight="1">
      <c r="A467" s="184">
        <v>25.0</v>
      </c>
      <c r="B467" s="184" t="s">
        <v>9612</v>
      </c>
      <c r="C467" s="184" t="s">
        <v>8404</v>
      </c>
      <c r="D467" s="185" t="s">
        <v>8405</v>
      </c>
      <c r="E467" s="184" t="s">
        <v>227</v>
      </c>
    </row>
    <row r="468" ht="22.5" hidden="1" customHeight="1">
      <c r="A468" s="184">
        <v>26.0</v>
      </c>
      <c r="B468" s="184" t="s">
        <v>9613</v>
      </c>
      <c r="C468" s="184" t="s">
        <v>8406</v>
      </c>
      <c r="D468" s="202" t="s">
        <v>8407</v>
      </c>
      <c r="E468" s="184" t="s">
        <v>220</v>
      </c>
    </row>
    <row r="469" ht="22.5" hidden="1" customHeight="1">
      <c r="A469" s="184">
        <v>27.0</v>
      </c>
      <c r="B469" s="184" t="s">
        <v>9614</v>
      </c>
      <c r="C469" s="184" t="s">
        <v>8408</v>
      </c>
      <c r="D469" s="202" t="s">
        <v>8409</v>
      </c>
      <c r="E469" s="184" t="s">
        <v>220</v>
      </c>
    </row>
    <row r="470" ht="22.5" hidden="1" customHeight="1">
      <c r="A470" s="184">
        <v>28.0</v>
      </c>
      <c r="B470" s="184" t="s">
        <v>9615</v>
      </c>
      <c r="C470" s="184" t="s">
        <v>8410</v>
      </c>
      <c r="D470" s="185" t="s">
        <v>8411</v>
      </c>
      <c r="E470" s="184" t="s">
        <v>227</v>
      </c>
    </row>
    <row r="471" ht="22.5" hidden="1" customHeight="1">
      <c r="A471" s="184">
        <v>29.0</v>
      </c>
      <c r="B471" s="184" t="s">
        <v>9616</v>
      </c>
      <c r="C471" s="184" t="s">
        <v>8412</v>
      </c>
      <c r="D471" s="185" t="s">
        <v>8413</v>
      </c>
      <c r="E471" s="184" t="s">
        <v>220</v>
      </c>
    </row>
    <row r="472" ht="22.5" hidden="1" customHeight="1">
      <c r="A472" s="184">
        <v>30.0</v>
      </c>
      <c r="B472" s="184" t="s">
        <v>9617</v>
      </c>
      <c r="C472" s="184" t="s">
        <v>8414</v>
      </c>
      <c r="D472" s="185" t="s">
        <v>8415</v>
      </c>
      <c r="E472" s="184" t="s">
        <v>227</v>
      </c>
    </row>
    <row r="473" ht="22.5" hidden="1" customHeight="1">
      <c r="A473" s="184">
        <v>31.0</v>
      </c>
      <c r="B473" s="184" t="s">
        <v>9618</v>
      </c>
      <c r="C473" s="184" t="s">
        <v>8416</v>
      </c>
      <c r="D473" s="185" t="s">
        <v>8417</v>
      </c>
      <c r="E473" s="184" t="s">
        <v>220</v>
      </c>
    </row>
    <row r="474" ht="22.5" hidden="1" customHeight="1">
      <c r="A474" s="184">
        <v>32.0</v>
      </c>
      <c r="B474" s="201" t="s">
        <v>9619</v>
      </c>
      <c r="C474" s="201" t="s">
        <v>8418</v>
      </c>
      <c r="D474" s="200" t="s">
        <v>8419</v>
      </c>
      <c r="E474" s="201" t="s">
        <v>227</v>
      </c>
    </row>
    <row r="475" ht="22.5" hidden="1" customHeight="1">
      <c r="A475" s="184">
        <v>33.0</v>
      </c>
      <c r="B475" s="184" t="s">
        <v>9620</v>
      </c>
      <c r="C475" s="184" t="s">
        <v>8420</v>
      </c>
      <c r="D475" s="185" t="s">
        <v>8421</v>
      </c>
      <c r="E475" s="184" t="s">
        <v>227</v>
      </c>
    </row>
    <row r="476" ht="22.5" hidden="1" customHeight="1">
      <c r="A476" s="184">
        <v>34.0</v>
      </c>
      <c r="B476" s="184" t="s">
        <v>9621</v>
      </c>
      <c r="C476" s="184" t="s">
        <v>8422</v>
      </c>
      <c r="D476" s="202" t="s">
        <v>8423</v>
      </c>
      <c r="E476" s="184" t="s">
        <v>220</v>
      </c>
    </row>
    <row r="477" ht="22.5" hidden="1" customHeight="1">
      <c r="A477" s="184">
        <v>35.0</v>
      </c>
      <c r="B477" s="184" t="s">
        <v>9622</v>
      </c>
      <c r="C477" s="184" t="s">
        <v>8424</v>
      </c>
      <c r="D477" s="202" t="s">
        <v>8425</v>
      </c>
      <c r="E477" s="184" t="s">
        <v>227</v>
      </c>
    </row>
    <row r="478" ht="22.5" hidden="1" customHeight="1">
      <c r="A478" s="184">
        <v>36.0</v>
      </c>
      <c r="B478" s="184" t="s">
        <v>9623</v>
      </c>
      <c r="C478" s="184" t="s">
        <v>8426</v>
      </c>
      <c r="D478" s="185" t="s">
        <v>8427</v>
      </c>
      <c r="E478" s="184" t="s">
        <v>227</v>
      </c>
    </row>
    <row r="479" ht="22.5" hidden="1" customHeight="1">
      <c r="A479" s="188"/>
      <c r="B479" s="189" t="s">
        <v>8789</v>
      </c>
      <c r="C479" s="188"/>
      <c r="D479" s="190">
        <f>COUNTIF(E443:E478,"L")</f>
        <v>12</v>
      </c>
      <c r="E479" s="188"/>
    </row>
    <row r="480" ht="22.5" hidden="1" customHeight="1">
      <c r="A480" s="188"/>
      <c r="B480" s="189" t="s">
        <v>8790</v>
      </c>
      <c r="C480" s="188"/>
      <c r="D480" s="190">
        <f>COUNTIF(E443:E478,"P")</f>
        <v>24</v>
      </c>
      <c r="E480" s="188"/>
    </row>
    <row r="481" ht="22.5" hidden="1" customHeight="1">
      <c r="A481" s="188"/>
      <c r="B481" s="189" t="s">
        <v>8792</v>
      </c>
      <c r="C481" s="188"/>
      <c r="D481" s="190">
        <f>SUM(D479:D480)</f>
        <v>36</v>
      </c>
      <c r="E481" s="188"/>
    </row>
    <row r="482" ht="22.5" hidden="1" customHeight="1">
      <c r="A482" s="188"/>
      <c r="B482" s="188"/>
      <c r="C482" s="188"/>
      <c r="D482" s="188"/>
      <c r="E482" s="188"/>
    </row>
    <row r="483" ht="22.5" hidden="1" customHeight="1">
      <c r="A483" s="191" t="s">
        <v>9359</v>
      </c>
      <c r="B483" s="192"/>
      <c r="C483" s="192"/>
      <c r="D483" s="192"/>
      <c r="E483" s="192"/>
    </row>
    <row r="484" ht="22.5" hidden="1" customHeight="1">
      <c r="A484" s="193" t="s">
        <v>9365</v>
      </c>
      <c r="B484" s="194"/>
      <c r="C484" s="194"/>
      <c r="D484" s="194"/>
      <c r="E484" s="194"/>
    </row>
    <row r="485" ht="22.5" hidden="1" customHeight="1">
      <c r="A485" s="176" t="s">
        <v>8745</v>
      </c>
      <c r="B485" s="177"/>
      <c r="C485" s="177"/>
      <c r="D485" s="177"/>
      <c r="E485" s="177"/>
    </row>
    <row r="486" ht="22.5" customHeight="1">
      <c r="A486" s="178" t="s">
        <v>9624</v>
      </c>
      <c r="B486" s="177"/>
      <c r="C486" s="177"/>
      <c r="D486" s="177"/>
      <c r="E486" s="177"/>
    </row>
    <row r="487" ht="22.5" hidden="1" customHeight="1">
      <c r="A487" s="179" t="s">
        <v>9329</v>
      </c>
      <c r="B487" s="180"/>
      <c r="C487" s="180"/>
      <c r="D487" s="180"/>
      <c r="E487" s="180"/>
    </row>
    <row r="488" ht="22.5" hidden="1" customHeight="1">
      <c r="A488" s="181" t="s">
        <v>8748</v>
      </c>
      <c r="B488" s="181" t="s">
        <v>5246</v>
      </c>
      <c r="C488" s="181" t="s">
        <v>9</v>
      </c>
      <c r="D488" s="181" t="s">
        <v>8680</v>
      </c>
      <c r="E488" s="181" t="s">
        <v>13</v>
      </c>
    </row>
    <row r="489" ht="22.5" hidden="1" customHeight="1">
      <c r="A489" s="182"/>
      <c r="B489" s="182"/>
      <c r="C489" s="182"/>
      <c r="D489" s="182"/>
      <c r="E489" s="182"/>
    </row>
    <row r="490" ht="22.5" hidden="1" customHeight="1">
      <c r="A490" s="203"/>
      <c r="B490" s="183"/>
      <c r="C490" s="183"/>
      <c r="D490" s="183"/>
      <c r="E490" s="183"/>
    </row>
    <row r="491" ht="22.5" hidden="1" customHeight="1">
      <c r="A491" s="204">
        <v>1.0</v>
      </c>
      <c r="B491" s="184" t="s">
        <v>9625</v>
      </c>
      <c r="C491" s="184" t="s">
        <v>8428</v>
      </c>
      <c r="D491" s="185" t="s">
        <v>8429</v>
      </c>
      <c r="E491" s="184" t="s">
        <v>220</v>
      </c>
    </row>
    <row r="492" ht="22.5" hidden="1" customHeight="1">
      <c r="A492" s="184">
        <v>2.0</v>
      </c>
      <c r="B492" s="184" t="s">
        <v>9626</v>
      </c>
      <c r="C492" s="184" t="s">
        <v>8432</v>
      </c>
      <c r="D492" s="185" t="s">
        <v>8433</v>
      </c>
      <c r="E492" s="184" t="s">
        <v>227</v>
      </c>
    </row>
    <row r="493" ht="22.5" hidden="1" customHeight="1">
      <c r="A493" s="204">
        <v>3.0</v>
      </c>
      <c r="B493" s="201">
        <v>2.42511439E8</v>
      </c>
      <c r="C493" s="199" t="s">
        <v>8434</v>
      </c>
      <c r="D493" s="200" t="s">
        <v>8435</v>
      </c>
      <c r="E493" s="201" t="s">
        <v>220</v>
      </c>
    </row>
    <row r="494" ht="22.5" hidden="1" customHeight="1">
      <c r="A494" s="184">
        <v>4.0</v>
      </c>
      <c r="B494" s="184" t="s">
        <v>9627</v>
      </c>
      <c r="C494" s="184" t="s">
        <v>8436</v>
      </c>
      <c r="D494" s="185" t="s">
        <v>8437</v>
      </c>
      <c r="E494" s="184" t="s">
        <v>220</v>
      </c>
    </row>
    <row r="495" ht="22.5" hidden="1" customHeight="1">
      <c r="A495" s="204">
        <v>5.0</v>
      </c>
      <c r="B495" s="184" t="s">
        <v>9628</v>
      </c>
      <c r="C495" s="184" t="s">
        <v>8438</v>
      </c>
      <c r="D495" s="185" t="s">
        <v>8439</v>
      </c>
      <c r="E495" s="184" t="s">
        <v>227</v>
      </c>
    </row>
    <row r="496" ht="22.5" hidden="1" customHeight="1">
      <c r="A496" s="184">
        <v>6.0</v>
      </c>
      <c r="B496" s="184" t="s">
        <v>9629</v>
      </c>
      <c r="C496" s="186" t="s">
        <v>8440</v>
      </c>
      <c r="D496" s="185" t="s">
        <v>8441</v>
      </c>
      <c r="E496" s="184" t="s">
        <v>227</v>
      </c>
    </row>
    <row r="497" ht="22.5" hidden="1" customHeight="1">
      <c r="A497" s="204">
        <v>7.0</v>
      </c>
      <c r="B497" s="184" t="s">
        <v>9630</v>
      </c>
      <c r="C497" s="186" t="s">
        <v>8442</v>
      </c>
      <c r="D497" s="185" t="s">
        <v>8443</v>
      </c>
      <c r="E497" s="184" t="s">
        <v>227</v>
      </c>
    </row>
    <row r="498" ht="22.5" hidden="1" customHeight="1">
      <c r="A498" s="184">
        <v>8.0</v>
      </c>
      <c r="B498" s="184" t="s">
        <v>9631</v>
      </c>
      <c r="C498" s="186" t="s">
        <v>8444</v>
      </c>
      <c r="D498" s="202" t="s">
        <v>8445</v>
      </c>
      <c r="E498" s="184" t="s">
        <v>227</v>
      </c>
    </row>
    <row r="499" ht="22.5" hidden="1" customHeight="1">
      <c r="A499" s="204">
        <v>9.0</v>
      </c>
      <c r="B499" s="184" t="s">
        <v>9632</v>
      </c>
      <c r="C499" s="186" t="s">
        <v>8446</v>
      </c>
      <c r="D499" s="185" t="s">
        <v>8447</v>
      </c>
      <c r="E499" s="184" t="s">
        <v>227</v>
      </c>
    </row>
    <row r="500" ht="22.5" hidden="1" customHeight="1">
      <c r="A500" s="184">
        <v>10.0</v>
      </c>
      <c r="B500" s="184" t="s">
        <v>9633</v>
      </c>
      <c r="C500" s="210" t="s">
        <v>8448</v>
      </c>
      <c r="D500" s="185" t="s">
        <v>8449</v>
      </c>
      <c r="E500" s="184" t="s">
        <v>227</v>
      </c>
    </row>
    <row r="501" ht="22.5" hidden="1" customHeight="1">
      <c r="A501" s="204">
        <v>11.0</v>
      </c>
      <c r="B501" s="184" t="s">
        <v>9634</v>
      </c>
      <c r="C501" s="184" t="s">
        <v>8306</v>
      </c>
      <c r="D501" s="185" t="s">
        <v>8450</v>
      </c>
      <c r="E501" s="184" t="s">
        <v>227</v>
      </c>
    </row>
    <row r="502" ht="22.5" hidden="1" customHeight="1">
      <c r="A502" s="184">
        <v>12.0</v>
      </c>
      <c r="B502" s="184" t="s">
        <v>9635</v>
      </c>
      <c r="C502" s="184" t="s">
        <v>8451</v>
      </c>
      <c r="D502" s="185" t="s">
        <v>8452</v>
      </c>
      <c r="E502" s="184" t="s">
        <v>227</v>
      </c>
    </row>
    <row r="503" ht="22.5" hidden="1" customHeight="1">
      <c r="A503" s="204">
        <v>13.0</v>
      </c>
      <c r="B503" s="184" t="s">
        <v>9636</v>
      </c>
      <c r="C503" s="184" t="s">
        <v>8453</v>
      </c>
      <c r="D503" s="185" t="s">
        <v>8454</v>
      </c>
      <c r="E503" s="184" t="s">
        <v>227</v>
      </c>
    </row>
    <row r="504" ht="22.5" hidden="1" customHeight="1">
      <c r="A504" s="184">
        <v>14.0</v>
      </c>
      <c r="B504" s="184" t="s">
        <v>9637</v>
      </c>
      <c r="C504" s="184" t="s">
        <v>8455</v>
      </c>
      <c r="D504" s="185" t="s">
        <v>8456</v>
      </c>
      <c r="E504" s="184" t="s">
        <v>220</v>
      </c>
    </row>
    <row r="505" ht="22.5" hidden="1" customHeight="1">
      <c r="A505" s="204">
        <v>15.0</v>
      </c>
      <c r="B505" s="201" t="s">
        <v>9638</v>
      </c>
      <c r="C505" s="201" t="s">
        <v>8457</v>
      </c>
      <c r="D505" s="200" t="s">
        <v>8458</v>
      </c>
      <c r="E505" s="201" t="s">
        <v>227</v>
      </c>
    </row>
    <row r="506" ht="22.5" hidden="1" customHeight="1">
      <c r="A506" s="184">
        <v>16.0</v>
      </c>
      <c r="B506" s="201" t="s">
        <v>9639</v>
      </c>
      <c r="C506" s="201" t="s">
        <v>8459</v>
      </c>
      <c r="D506" s="200" t="s">
        <v>8460</v>
      </c>
      <c r="E506" s="201" t="s">
        <v>220</v>
      </c>
    </row>
    <row r="507" ht="22.5" hidden="1" customHeight="1">
      <c r="A507" s="204">
        <v>17.0</v>
      </c>
      <c r="B507" s="184" t="s">
        <v>9640</v>
      </c>
      <c r="C507" s="184" t="s">
        <v>8461</v>
      </c>
      <c r="D507" s="185" t="s">
        <v>8462</v>
      </c>
      <c r="E507" s="184" t="s">
        <v>220</v>
      </c>
    </row>
    <row r="508" ht="22.5" hidden="1" customHeight="1">
      <c r="A508" s="184">
        <v>18.0</v>
      </c>
      <c r="B508" s="184" t="s">
        <v>9641</v>
      </c>
      <c r="C508" s="184" t="s">
        <v>8463</v>
      </c>
      <c r="D508" s="185" t="s">
        <v>8464</v>
      </c>
      <c r="E508" s="184" t="s">
        <v>220</v>
      </c>
    </row>
    <row r="509" ht="22.5" hidden="1" customHeight="1">
      <c r="A509" s="204">
        <v>19.0</v>
      </c>
      <c r="B509" s="184" t="s">
        <v>9642</v>
      </c>
      <c r="C509" s="184" t="s">
        <v>8465</v>
      </c>
      <c r="D509" s="185" t="s">
        <v>8466</v>
      </c>
      <c r="E509" s="184" t="s">
        <v>220</v>
      </c>
    </row>
    <row r="510" ht="22.5" hidden="1" customHeight="1">
      <c r="A510" s="184">
        <v>20.0</v>
      </c>
      <c r="B510" s="184" t="s">
        <v>9643</v>
      </c>
      <c r="C510" s="184" t="s">
        <v>8467</v>
      </c>
      <c r="D510" s="185" t="s">
        <v>8468</v>
      </c>
      <c r="E510" s="184" t="s">
        <v>227</v>
      </c>
    </row>
    <row r="511" ht="22.5" hidden="1" customHeight="1">
      <c r="A511" s="204">
        <v>21.0</v>
      </c>
      <c r="B511" s="184" t="s">
        <v>9644</v>
      </c>
      <c r="C511" s="184" t="s">
        <v>8469</v>
      </c>
      <c r="D511" s="185" t="s">
        <v>8470</v>
      </c>
      <c r="E511" s="184" t="s">
        <v>227</v>
      </c>
    </row>
    <row r="512" ht="22.5" hidden="1" customHeight="1">
      <c r="A512" s="184">
        <v>22.0</v>
      </c>
      <c r="B512" s="184" t="s">
        <v>9645</v>
      </c>
      <c r="C512" s="184" t="s">
        <v>8471</v>
      </c>
      <c r="D512" s="185" t="s">
        <v>8472</v>
      </c>
      <c r="E512" s="184" t="s">
        <v>227</v>
      </c>
    </row>
    <row r="513" ht="22.5" hidden="1" customHeight="1">
      <c r="A513" s="204">
        <v>23.0</v>
      </c>
      <c r="B513" s="184" t="s">
        <v>9646</v>
      </c>
      <c r="C513" s="184" t="s">
        <v>8473</v>
      </c>
      <c r="D513" s="185" t="s">
        <v>8474</v>
      </c>
      <c r="E513" s="184" t="s">
        <v>227</v>
      </c>
    </row>
    <row r="514" ht="22.5" hidden="1" customHeight="1">
      <c r="A514" s="184">
        <v>24.0</v>
      </c>
      <c r="B514" s="184" t="s">
        <v>9647</v>
      </c>
      <c r="C514" s="184" t="s">
        <v>8475</v>
      </c>
      <c r="D514" s="202" t="s">
        <v>8476</v>
      </c>
      <c r="E514" s="184" t="s">
        <v>227</v>
      </c>
    </row>
    <row r="515" ht="22.5" hidden="1" customHeight="1">
      <c r="A515" s="204">
        <v>25.0</v>
      </c>
      <c r="B515" s="184" t="s">
        <v>9648</v>
      </c>
      <c r="C515" s="184" t="s">
        <v>8477</v>
      </c>
      <c r="D515" s="185" t="s">
        <v>8478</v>
      </c>
      <c r="E515" s="184" t="s">
        <v>220</v>
      </c>
    </row>
    <row r="516" ht="22.5" hidden="1" customHeight="1">
      <c r="A516" s="184">
        <v>26.0</v>
      </c>
      <c r="B516" s="184" t="s">
        <v>9649</v>
      </c>
      <c r="C516" s="186" t="s">
        <v>8479</v>
      </c>
      <c r="D516" s="185" t="s">
        <v>8480</v>
      </c>
      <c r="E516" s="184" t="s">
        <v>220</v>
      </c>
    </row>
    <row r="517" ht="22.5" hidden="1" customHeight="1">
      <c r="A517" s="204">
        <v>27.0</v>
      </c>
      <c r="B517" s="184" t="s">
        <v>9650</v>
      </c>
      <c r="C517" s="184" t="s">
        <v>8481</v>
      </c>
      <c r="D517" s="185" t="s">
        <v>8482</v>
      </c>
      <c r="E517" s="184" t="s">
        <v>227</v>
      </c>
    </row>
    <row r="518" ht="22.5" hidden="1" customHeight="1">
      <c r="A518" s="184">
        <v>28.0</v>
      </c>
      <c r="B518" s="184">
        <v>2.32410363E8</v>
      </c>
      <c r="C518" s="186" t="s">
        <v>8483</v>
      </c>
      <c r="D518" s="185" t="s">
        <v>8484</v>
      </c>
      <c r="E518" s="184" t="s">
        <v>227</v>
      </c>
    </row>
    <row r="519" ht="22.5" hidden="1" customHeight="1">
      <c r="A519" s="204">
        <v>29.0</v>
      </c>
      <c r="B519" s="184" t="s">
        <v>9651</v>
      </c>
      <c r="C519" s="184" t="s">
        <v>8485</v>
      </c>
      <c r="D519" s="185" t="s">
        <v>8486</v>
      </c>
      <c r="E519" s="184" t="s">
        <v>227</v>
      </c>
    </row>
    <row r="520" ht="22.5" hidden="1" customHeight="1">
      <c r="A520" s="184">
        <v>30.0</v>
      </c>
      <c r="B520" s="184" t="s">
        <v>9652</v>
      </c>
      <c r="C520" s="184" t="s">
        <v>8487</v>
      </c>
      <c r="D520" s="185" t="s">
        <v>8488</v>
      </c>
      <c r="E520" s="184" t="s">
        <v>220</v>
      </c>
    </row>
    <row r="521" ht="22.5" hidden="1" customHeight="1">
      <c r="A521" s="204">
        <v>31.0</v>
      </c>
      <c r="B521" s="184" t="s">
        <v>9653</v>
      </c>
      <c r="C521" s="184" t="s">
        <v>8489</v>
      </c>
      <c r="D521" s="185" t="s">
        <v>8490</v>
      </c>
      <c r="E521" s="184" t="s">
        <v>227</v>
      </c>
    </row>
    <row r="522" ht="22.5" hidden="1" customHeight="1">
      <c r="A522" s="184">
        <v>32.0</v>
      </c>
      <c r="B522" s="184" t="s">
        <v>9654</v>
      </c>
      <c r="C522" s="184" t="s">
        <v>8491</v>
      </c>
      <c r="D522" s="185" t="s">
        <v>8492</v>
      </c>
      <c r="E522" s="184" t="s">
        <v>220</v>
      </c>
    </row>
    <row r="523" ht="22.5" hidden="1" customHeight="1">
      <c r="A523" s="204">
        <v>33.0</v>
      </c>
      <c r="B523" s="184" t="s">
        <v>9655</v>
      </c>
      <c r="C523" s="184" t="s">
        <v>8493</v>
      </c>
      <c r="D523" s="185" t="s">
        <v>8494</v>
      </c>
      <c r="E523" s="184" t="s">
        <v>227</v>
      </c>
    </row>
    <row r="524" ht="22.5" hidden="1" customHeight="1">
      <c r="A524" s="184">
        <v>34.0</v>
      </c>
      <c r="B524" s="184" t="s">
        <v>9656</v>
      </c>
      <c r="C524" s="184" t="s">
        <v>8495</v>
      </c>
      <c r="D524" s="185" t="s">
        <v>8496</v>
      </c>
      <c r="E524" s="184" t="s">
        <v>227</v>
      </c>
    </row>
    <row r="525" ht="22.5" hidden="1" customHeight="1">
      <c r="A525" s="204">
        <v>35.0</v>
      </c>
      <c r="B525" s="184" t="s">
        <v>9657</v>
      </c>
      <c r="C525" s="184" t="s">
        <v>8497</v>
      </c>
      <c r="D525" s="185" t="s">
        <v>8498</v>
      </c>
      <c r="E525" s="184" t="s">
        <v>227</v>
      </c>
    </row>
    <row r="526" ht="22.5" hidden="1" customHeight="1">
      <c r="A526" s="184">
        <v>36.0</v>
      </c>
      <c r="B526" s="184" t="s">
        <v>9658</v>
      </c>
      <c r="C526" s="184" t="s">
        <v>8499</v>
      </c>
      <c r="D526" s="185" t="s">
        <v>8500</v>
      </c>
      <c r="E526" s="184" t="s">
        <v>220</v>
      </c>
    </row>
    <row r="527" ht="22.5" hidden="1" customHeight="1">
      <c r="A527" s="204">
        <v>37.0</v>
      </c>
      <c r="B527" s="184" t="s">
        <v>9659</v>
      </c>
      <c r="C527" s="184" t="s">
        <v>8501</v>
      </c>
      <c r="D527" s="185" t="s">
        <v>8502</v>
      </c>
      <c r="E527" s="184" t="s">
        <v>227</v>
      </c>
    </row>
    <row r="528" ht="22.5" hidden="1" customHeight="1">
      <c r="A528" s="188"/>
      <c r="B528" s="189" t="s">
        <v>8789</v>
      </c>
      <c r="C528" s="188"/>
      <c r="D528" s="190">
        <f>COUNTIF(E491:E527,"L")</f>
        <v>13</v>
      </c>
      <c r="E528" s="188"/>
    </row>
    <row r="529" ht="22.5" hidden="1" customHeight="1">
      <c r="A529" s="188"/>
      <c r="B529" s="189" t="s">
        <v>8790</v>
      </c>
      <c r="C529" s="188"/>
      <c r="D529" s="190">
        <f>COUNTIF(E485:E527,"P")</f>
        <v>24</v>
      </c>
      <c r="E529" s="188"/>
    </row>
    <row r="530" ht="22.5" hidden="1" customHeight="1">
      <c r="A530" s="188"/>
      <c r="B530" s="189" t="s">
        <v>8792</v>
      </c>
      <c r="C530" s="188"/>
      <c r="D530" s="190">
        <f>SUM(D528:D529)</f>
        <v>37</v>
      </c>
      <c r="E530" s="188"/>
    </row>
    <row r="531" ht="22.5" hidden="1" customHeight="1">
      <c r="A531" s="188"/>
      <c r="B531" s="188"/>
      <c r="C531" s="188"/>
      <c r="D531" s="188"/>
      <c r="E531" s="188"/>
    </row>
    <row r="532" ht="22.5" hidden="1" customHeight="1">
      <c r="A532" s="191" t="s">
        <v>9359</v>
      </c>
      <c r="B532" s="192"/>
      <c r="C532" s="192"/>
      <c r="D532" s="192"/>
      <c r="E532" s="192"/>
    </row>
    <row r="533" ht="22.5" hidden="1" customHeight="1">
      <c r="A533" s="193" t="s">
        <v>9365</v>
      </c>
      <c r="B533" s="194"/>
      <c r="C533" s="194"/>
      <c r="D533" s="194"/>
      <c r="E533" s="194"/>
    </row>
    <row r="534" ht="22.5" hidden="1" customHeight="1">
      <c r="A534" s="176" t="s">
        <v>8745</v>
      </c>
      <c r="B534" s="177"/>
      <c r="C534" s="177"/>
      <c r="D534" s="177"/>
      <c r="E534" s="177"/>
    </row>
    <row r="535" ht="22.5" customHeight="1">
      <c r="A535" s="178" t="s">
        <v>9660</v>
      </c>
      <c r="B535" s="177"/>
      <c r="C535" s="177"/>
      <c r="D535" s="177"/>
      <c r="E535" s="177"/>
    </row>
    <row r="536" ht="22.5" hidden="1" customHeight="1">
      <c r="A536" s="179" t="s">
        <v>9661</v>
      </c>
      <c r="B536" s="180"/>
      <c r="C536" s="180"/>
      <c r="D536" s="180"/>
      <c r="E536" s="180"/>
    </row>
    <row r="537" ht="22.5" hidden="1" customHeight="1">
      <c r="A537" s="181" t="s">
        <v>8748</v>
      </c>
      <c r="B537" s="181" t="s">
        <v>5246</v>
      </c>
      <c r="C537" s="181" t="s">
        <v>9</v>
      </c>
      <c r="D537" s="181" t="s">
        <v>8680</v>
      </c>
      <c r="E537" s="181" t="s">
        <v>13</v>
      </c>
    </row>
    <row r="538" ht="22.5" hidden="1" customHeight="1">
      <c r="A538" s="182"/>
      <c r="B538" s="182"/>
      <c r="C538" s="182"/>
      <c r="D538" s="182"/>
      <c r="E538" s="182"/>
    </row>
    <row r="539" ht="22.5" hidden="1" customHeight="1">
      <c r="A539" s="183"/>
      <c r="B539" s="183"/>
      <c r="C539" s="183"/>
      <c r="D539" s="183"/>
      <c r="E539" s="183"/>
    </row>
    <row r="540" ht="22.5" hidden="1" customHeight="1">
      <c r="A540" s="184">
        <v>1.0</v>
      </c>
      <c r="B540" s="184" t="s">
        <v>9662</v>
      </c>
      <c r="C540" s="184" t="s">
        <v>8503</v>
      </c>
      <c r="D540" s="185" t="s">
        <v>8504</v>
      </c>
      <c r="E540" s="184" t="s">
        <v>227</v>
      </c>
    </row>
    <row r="541" ht="22.5" hidden="1" customHeight="1">
      <c r="A541" s="184">
        <v>2.0</v>
      </c>
      <c r="B541" s="184" t="s">
        <v>9663</v>
      </c>
      <c r="C541" s="186" t="s">
        <v>8507</v>
      </c>
      <c r="D541" s="185" t="s">
        <v>8508</v>
      </c>
      <c r="E541" s="184" t="s">
        <v>227</v>
      </c>
    </row>
    <row r="542" ht="22.5" hidden="1" customHeight="1">
      <c r="A542" s="184">
        <v>3.0</v>
      </c>
      <c r="B542" s="184" t="s">
        <v>9664</v>
      </c>
      <c r="C542" s="184" t="s">
        <v>8509</v>
      </c>
      <c r="D542" s="202" t="s">
        <v>8510</v>
      </c>
      <c r="E542" s="184" t="s">
        <v>227</v>
      </c>
    </row>
    <row r="543" ht="22.5" hidden="1" customHeight="1">
      <c r="A543" s="184">
        <v>4.0</v>
      </c>
      <c r="B543" s="184" t="s">
        <v>9665</v>
      </c>
      <c r="C543" s="184" t="s">
        <v>8511</v>
      </c>
      <c r="D543" s="202" t="s">
        <v>8512</v>
      </c>
      <c r="E543" s="184" t="s">
        <v>220</v>
      </c>
    </row>
    <row r="544" ht="22.5" hidden="1" customHeight="1">
      <c r="A544" s="184">
        <v>5.0</v>
      </c>
      <c r="B544" s="184" t="s">
        <v>9666</v>
      </c>
      <c r="C544" s="184" t="s">
        <v>8513</v>
      </c>
      <c r="D544" s="185" t="s">
        <v>8514</v>
      </c>
      <c r="E544" s="184" t="s">
        <v>227</v>
      </c>
    </row>
    <row r="545" ht="22.5" hidden="1" customHeight="1">
      <c r="A545" s="184">
        <v>6.0</v>
      </c>
      <c r="B545" s="184" t="s">
        <v>9667</v>
      </c>
      <c r="C545" s="186" t="s">
        <v>8515</v>
      </c>
      <c r="D545" s="185" t="s">
        <v>8516</v>
      </c>
      <c r="E545" s="184" t="s">
        <v>220</v>
      </c>
    </row>
    <row r="546" ht="22.5" hidden="1" customHeight="1">
      <c r="A546" s="184">
        <v>7.0</v>
      </c>
      <c r="B546" s="184" t="s">
        <v>9668</v>
      </c>
      <c r="C546" s="184" t="s">
        <v>8517</v>
      </c>
      <c r="D546" s="185" t="s">
        <v>8518</v>
      </c>
      <c r="E546" s="184" t="s">
        <v>227</v>
      </c>
    </row>
    <row r="547" ht="22.5" hidden="1" customHeight="1">
      <c r="A547" s="184">
        <v>8.0</v>
      </c>
      <c r="B547" s="184" t="s">
        <v>9669</v>
      </c>
      <c r="C547" s="184" t="s">
        <v>8231</v>
      </c>
      <c r="D547" s="185" t="s">
        <v>8519</v>
      </c>
      <c r="E547" s="184" t="s">
        <v>220</v>
      </c>
    </row>
    <row r="548" ht="22.5" hidden="1" customHeight="1">
      <c r="A548" s="184">
        <v>9.0</v>
      </c>
      <c r="B548" s="184" t="s">
        <v>9670</v>
      </c>
      <c r="C548" s="184" t="s">
        <v>7938</v>
      </c>
      <c r="D548" s="185" t="s">
        <v>8520</v>
      </c>
      <c r="E548" s="184" t="s">
        <v>220</v>
      </c>
    </row>
    <row r="549" ht="22.5" hidden="1" customHeight="1">
      <c r="A549" s="184">
        <v>10.0</v>
      </c>
      <c r="B549" s="184" t="s">
        <v>9671</v>
      </c>
      <c r="C549" s="184" t="s">
        <v>8521</v>
      </c>
      <c r="D549" s="200" t="s">
        <v>8522</v>
      </c>
      <c r="E549" s="184" t="s">
        <v>227</v>
      </c>
    </row>
    <row r="550" ht="22.5" hidden="1" customHeight="1">
      <c r="A550" s="184">
        <v>11.0</v>
      </c>
      <c r="B550" s="184" t="s">
        <v>9672</v>
      </c>
      <c r="C550" s="184" t="s">
        <v>8523</v>
      </c>
      <c r="D550" s="185" t="s">
        <v>8524</v>
      </c>
      <c r="E550" s="184" t="s">
        <v>227</v>
      </c>
    </row>
    <row r="551" ht="22.5" hidden="1" customHeight="1">
      <c r="A551" s="184">
        <v>12.0</v>
      </c>
      <c r="B551" s="184" t="s">
        <v>9673</v>
      </c>
      <c r="C551" s="184" t="s">
        <v>8525</v>
      </c>
      <c r="D551" s="185" t="s">
        <v>8526</v>
      </c>
      <c r="E551" s="184" t="s">
        <v>220</v>
      </c>
    </row>
    <row r="552" ht="22.5" hidden="1" customHeight="1">
      <c r="A552" s="184">
        <v>13.0</v>
      </c>
      <c r="B552" s="184" t="s">
        <v>9674</v>
      </c>
      <c r="C552" s="184" t="s">
        <v>8527</v>
      </c>
      <c r="D552" s="185" t="s">
        <v>8528</v>
      </c>
      <c r="E552" s="184" t="s">
        <v>227</v>
      </c>
    </row>
    <row r="553" ht="22.5" hidden="1" customHeight="1">
      <c r="A553" s="184">
        <v>14.0</v>
      </c>
      <c r="B553" s="184" t="s">
        <v>9675</v>
      </c>
      <c r="C553" s="184" t="s">
        <v>8529</v>
      </c>
      <c r="D553" s="185" t="s">
        <v>8530</v>
      </c>
      <c r="E553" s="184" t="s">
        <v>227</v>
      </c>
    </row>
    <row r="554" ht="22.5" hidden="1" customHeight="1">
      <c r="A554" s="184">
        <v>15.0</v>
      </c>
      <c r="B554" s="184" t="s">
        <v>9676</v>
      </c>
      <c r="C554" s="184" t="s">
        <v>8531</v>
      </c>
      <c r="D554" s="185" t="s">
        <v>8532</v>
      </c>
      <c r="E554" s="184" t="s">
        <v>227</v>
      </c>
    </row>
    <row r="555" ht="22.5" hidden="1" customHeight="1">
      <c r="A555" s="184">
        <v>16.0</v>
      </c>
      <c r="B555" s="184" t="s">
        <v>9677</v>
      </c>
      <c r="C555" s="184" t="s">
        <v>8533</v>
      </c>
      <c r="D555" s="185" t="s">
        <v>8534</v>
      </c>
      <c r="E555" s="184" t="s">
        <v>220</v>
      </c>
    </row>
    <row r="556" ht="22.5" hidden="1" customHeight="1">
      <c r="A556" s="184">
        <v>17.0</v>
      </c>
      <c r="B556" s="184" t="s">
        <v>9678</v>
      </c>
      <c r="C556" s="184" t="s">
        <v>8535</v>
      </c>
      <c r="D556" s="185" t="s">
        <v>8536</v>
      </c>
      <c r="E556" s="184" t="s">
        <v>227</v>
      </c>
    </row>
    <row r="557" ht="22.5" hidden="1" customHeight="1">
      <c r="A557" s="184">
        <v>18.0</v>
      </c>
      <c r="B557" s="184" t="s">
        <v>9679</v>
      </c>
      <c r="C557" s="184" t="s">
        <v>8537</v>
      </c>
      <c r="D557" s="185" t="s">
        <v>8538</v>
      </c>
      <c r="E557" s="184" t="s">
        <v>220</v>
      </c>
    </row>
    <row r="558" ht="22.5" hidden="1" customHeight="1">
      <c r="A558" s="184">
        <v>19.0</v>
      </c>
      <c r="B558" s="184" t="s">
        <v>9680</v>
      </c>
      <c r="C558" s="184" t="s">
        <v>8539</v>
      </c>
      <c r="D558" s="185" t="s">
        <v>8540</v>
      </c>
      <c r="E558" s="184" t="s">
        <v>220</v>
      </c>
    </row>
    <row r="559" ht="22.5" hidden="1" customHeight="1">
      <c r="A559" s="184">
        <v>20.0</v>
      </c>
      <c r="B559" s="184" t="s">
        <v>9681</v>
      </c>
      <c r="C559" s="184" t="s">
        <v>8541</v>
      </c>
      <c r="D559" s="185" t="s">
        <v>8542</v>
      </c>
      <c r="E559" s="184" t="s">
        <v>227</v>
      </c>
    </row>
    <row r="560" ht="22.5" hidden="1" customHeight="1">
      <c r="A560" s="184">
        <v>21.0</v>
      </c>
      <c r="B560" s="184" t="s">
        <v>9682</v>
      </c>
      <c r="C560" s="184" t="s">
        <v>8543</v>
      </c>
      <c r="D560" s="185" t="s">
        <v>8544</v>
      </c>
      <c r="E560" s="184" t="s">
        <v>227</v>
      </c>
    </row>
    <row r="561" ht="22.5" hidden="1" customHeight="1">
      <c r="A561" s="184">
        <v>22.0</v>
      </c>
      <c r="B561" s="184" t="s">
        <v>9683</v>
      </c>
      <c r="C561" s="184" t="s">
        <v>8545</v>
      </c>
      <c r="D561" s="202" t="s">
        <v>8546</v>
      </c>
      <c r="E561" s="184" t="s">
        <v>220</v>
      </c>
    </row>
    <row r="562" ht="22.5" hidden="1" customHeight="1">
      <c r="A562" s="184">
        <v>23.0</v>
      </c>
      <c r="B562" s="184" t="s">
        <v>9684</v>
      </c>
      <c r="C562" s="184" t="s">
        <v>8547</v>
      </c>
      <c r="D562" s="185" t="s">
        <v>8548</v>
      </c>
      <c r="E562" s="184" t="s">
        <v>227</v>
      </c>
    </row>
    <row r="563" ht="22.5" hidden="1" customHeight="1">
      <c r="A563" s="184">
        <v>24.0</v>
      </c>
      <c r="B563" s="184" t="s">
        <v>9685</v>
      </c>
      <c r="C563" s="184" t="s">
        <v>8549</v>
      </c>
      <c r="D563" s="185" t="s">
        <v>8550</v>
      </c>
      <c r="E563" s="184" t="s">
        <v>227</v>
      </c>
    </row>
    <row r="564" ht="22.5" hidden="1" customHeight="1">
      <c r="A564" s="184">
        <v>25.0</v>
      </c>
      <c r="B564" s="184" t="s">
        <v>9686</v>
      </c>
      <c r="C564" s="184" t="s">
        <v>8551</v>
      </c>
      <c r="D564" s="185" t="s">
        <v>8552</v>
      </c>
      <c r="E564" s="184" t="s">
        <v>227</v>
      </c>
    </row>
    <row r="565" ht="22.5" hidden="1" customHeight="1">
      <c r="A565" s="184">
        <v>26.0</v>
      </c>
      <c r="B565" s="213" t="s">
        <v>9687</v>
      </c>
      <c r="C565" s="184" t="s">
        <v>8553</v>
      </c>
      <c r="D565" s="202" t="s">
        <v>8554</v>
      </c>
      <c r="E565" s="184" t="s">
        <v>227</v>
      </c>
    </row>
    <row r="566" ht="22.5" hidden="1" customHeight="1">
      <c r="A566" s="214">
        <v>27.0</v>
      </c>
      <c r="B566" s="201" t="s">
        <v>9688</v>
      </c>
      <c r="C566" s="215" t="s">
        <v>8555</v>
      </c>
      <c r="D566" s="200" t="s">
        <v>8556</v>
      </c>
      <c r="E566" s="201" t="s">
        <v>220</v>
      </c>
    </row>
    <row r="567" ht="22.5" hidden="1" customHeight="1">
      <c r="A567" s="184">
        <v>28.0</v>
      </c>
      <c r="B567" s="204" t="s">
        <v>9689</v>
      </c>
      <c r="C567" s="184" t="s">
        <v>8557</v>
      </c>
      <c r="D567" s="185" t="s">
        <v>8558</v>
      </c>
      <c r="E567" s="184" t="s">
        <v>227</v>
      </c>
    </row>
    <row r="568" ht="22.5" hidden="1" customHeight="1">
      <c r="A568" s="184">
        <v>29.0</v>
      </c>
      <c r="B568" s="184" t="s">
        <v>9690</v>
      </c>
      <c r="C568" s="184" t="s">
        <v>8559</v>
      </c>
      <c r="D568" s="185" t="s">
        <v>8560</v>
      </c>
      <c r="E568" s="184" t="s">
        <v>227</v>
      </c>
    </row>
    <row r="569" ht="22.5" hidden="1" customHeight="1">
      <c r="A569" s="184">
        <v>30.0</v>
      </c>
      <c r="B569" s="184" t="s">
        <v>9691</v>
      </c>
      <c r="C569" s="186" t="s">
        <v>8561</v>
      </c>
      <c r="D569" s="185" t="s">
        <v>8562</v>
      </c>
      <c r="E569" s="184" t="s">
        <v>220</v>
      </c>
    </row>
    <row r="570" ht="22.5" hidden="1" customHeight="1">
      <c r="A570" s="184">
        <v>31.0</v>
      </c>
      <c r="B570" s="184" t="s">
        <v>9692</v>
      </c>
      <c r="C570" s="184" t="s">
        <v>8563</v>
      </c>
      <c r="D570" s="185" t="s">
        <v>8564</v>
      </c>
      <c r="E570" s="184" t="s">
        <v>227</v>
      </c>
    </row>
    <row r="571" ht="22.5" hidden="1" customHeight="1">
      <c r="A571" s="184">
        <v>32.0</v>
      </c>
      <c r="B571" s="184" t="s">
        <v>9693</v>
      </c>
      <c r="C571" s="184" t="s">
        <v>8565</v>
      </c>
      <c r="D571" s="185" t="s">
        <v>8566</v>
      </c>
      <c r="E571" s="184" t="s">
        <v>227</v>
      </c>
    </row>
    <row r="572" ht="22.5" hidden="1" customHeight="1">
      <c r="A572" s="184">
        <v>33.0</v>
      </c>
      <c r="B572" s="184" t="s">
        <v>9694</v>
      </c>
      <c r="C572" s="184" t="s">
        <v>8567</v>
      </c>
      <c r="D572" s="185" t="s">
        <v>8568</v>
      </c>
      <c r="E572" s="184" t="s">
        <v>227</v>
      </c>
    </row>
    <row r="573" ht="22.5" hidden="1" customHeight="1">
      <c r="A573" s="184">
        <v>34.0</v>
      </c>
      <c r="B573" s="184" t="s">
        <v>9695</v>
      </c>
      <c r="C573" s="184" t="s">
        <v>8569</v>
      </c>
      <c r="D573" s="185" t="s">
        <v>8570</v>
      </c>
      <c r="E573" s="184" t="s">
        <v>220</v>
      </c>
    </row>
    <row r="574" ht="22.5" hidden="1" customHeight="1">
      <c r="A574" s="184">
        <v>35.0</v>
      </c>
      <c r="B574" s="184" t="s">
        <v>9696</v>
      </c>
      <c r="C574" s="184" t="s">
        <v>8571</v>
      </c>
      <c r="D574" s="185" t="s">
        <v>8572</v>
      </c>
      <c r="E574" s="184" t="s">
        <v>220</v>
      </c>
    </row>
    <row r="575" ht="22.5" hidden="1" customHeight="1">
      <c r="A575" s="184">
        <v>36.0</v>
      </c>
      <c r="B575" s="184" t="s">
        <v>9697</v>
      </c>
      <c r="C575" s="184" t="s">
        <v>8573</v>
      </c>
      <c r="D575" s="197" t="s">
        <v>8574</v>
      </c>
      <c r="E575" s="184" t="s">
        <v>227</v>
      </c>
    </row>
    <row r="576" ht="22.5" hidden="1" customHeight="1">
      <c r="A576" s="184">
        <v>37.0</v>
      </c>
      <c r="B576" s="184" t="s">
        <v>9698</v>
      </c>
      <c r="C576" s="184" t="s">
        <v>8575</v>
      </c>
      <c r="D576" s="197" t="s">
        <v>8576</v>
      </c>
      <c r="E576" s="184" t="s">
        <v>227</v>
      </c>
    </row>
    <row r="577" ht="22.5" hidden="1" customHeight="1">
      <c r="A577" s="188"/>
      <c r="B577" s="189" t="s">
        <v>8789</v>
      </c>
      <c r="C577" s="188"/>
      <c r="D577" s="190">
        <f>COUNTIF(E540:E576,"L")</f>
        <v>13</v>
      </c>
      <c r="E577" s="188"/>
    </row>
    <row r="578" ht="22.5" hidden="1" customHeight="1">
      <c r="A578" s="188"/>
      <c r="B578" s="189" t="s">
        <v>8790</v>
      </c>
      <c r="C578" s="188"/>
      <c r="D578" s="190">
        <f>COUNTIF(E540:E576,"P")</f>
        <v>24</v>
      </c>
      <c r="E578" s="188"/>
    </row>
    <row r="579" ht="22.5" hidden="1" customHeight="1">
      <c r="A579" s="188"/>
      <c r="B579" s="189" t="s">
        <v>8792</v>
      </c>
      <c r="C579" s="188"/>
      <c r="D579" s="190">
        <f>SUM(D577:D578)</f>
        <v>37</v>
      </c>
      <c r="E579" s="188"/>
    </row>
    <row r="580" ht="22.5" hidden="1" customHeight="1">
      <c r="A580" s="188"/>
      <c r="B580" s="188"/>
      <c r="C580" s="188"/>
      <c r="D580" s="188"/>
      <c r="E580" s="188"/>
    </row>
    <row r="581" ht="22.5" hidden="1" customHeight="1">
      <c r="A581" s="188"/>
      <c r="B581" s="188"/>
      <c r="C581" s="188"/>
      <c r="D581" s="188"/>
      <c r="E581" s="188"/>
    </row>
    <row r="582" ht="22.5" hidden="1" customHeight="1">
      <c r="A582" s="188"/>
      <c r="B582" s="188"/>
      <c r="C582" s="188"/>
      <c r="D582" s="188"/>
      <c r="E582" s="188"/>
    </row>
    <row r="583" ht="22.5" hidden="1" customHeight="1">
      <c r="A583" s="188"/>
      <c r="B583" s="188"/>
      <c r="C583" s="188"/>
      <c r="D583" s="188"/>
      <c r="E583" s="188"/>
    </row>
    <row r="584" ht="22.5" hidden="1" customHeight="1">
      <c r="A584" s="188"/>
      <c r="B584" s="188"/>
      <c r="C584" s="188"/>
      <c r="D584" s="188"/>
      <c r="E584" s="188"/>
    </row>
    <row r="585" ht="22.5" hidden="1" customHeight="1">
      <c r="A585" s="188"/>
      <c r="B585" s="188"/>
      <c r="C585" s="188"/>
      <c r="D585" s="188"/>
      <c r="E585" s="188"/>
    </row>
    <row r="586" ht="22.5" hidden="1" customHeight="1">
      <c r="A586" s="188"/>
      <c r="B586" s="188"/>
      <c r="C586" s="188"/>
      <c r="D586" s="188"/>
      <c r="E586" s="188"/>
    </row>
    <row r="587" ht="22.5" hidden="1" customHeight="1">
      <c r="A587" s="188"/>
      <c r="B587" s="188"/>
      <c r="C587" s="188"/>
      <c r="D587" s="188"/>
      <c r="E587" s="188"/>
    </row>
    <row r="588" ht="22.5" hidden="1" customHeight="1">
      <c r="A588" s="188"/>
      <c r="B588" s="188"/>
      <c r="C588" s="188"/>
      <c r="D588" s="188"/>
      <c r="E588" s="188"/>
    </row>
    <row r="589" ht="22.5" hidden="1" customHeight="1">
      <c r="A589" s="188"/>
      <c r="B589" s="188"/>
      <c r="C589" s="188"/>
      <c r="D589" s="188"/>
      <c r="E589" s="188"/>
    </row>
    <row r="590" ht="22.5" hidden="1" customHeight="1">
      <c r="A590" s="188"/>
      <c r="B590" s="188"/>
      <c r="C590" s="188"/>
      <c r="D590" s="188"/>
      <c r="E590" s="188"/>
    </row>
    <row r="591" ht="22.5" hidden="1" customHeight="1">
      <c r="A591" s="188"/>
      <c r="B591" s="188"/>
      <c r="C591" s="188"/>
      <c r="D591" s="188"/>
      <c r="E591" s="188"/>
    </row>
    <row r="592" ht="22.5" hidden="1" customHeight="1">
      <c r="A592" s="188"/>
      <c r="B592" s="188"/>
      <c r="C592" s="188"/>
      <c r="D592" s="188"/>
      <c r="E592" s="188"/>
    </row>
    <row r="593" ht="22.5" hidden="1" customHeight="1">
      <c r="A593" s="188"/>
      <c r="B593" s="188"/>
      <c r="C593" s="188"/>
      <c r="D593" s="188"/>
      <c r="E593" s="188"/>
    </row>
    <row r="594" ht="22.5" hidden="1" customHeight="1">
      <c r="A594" s="188"/>
      <c r="B594" s="188"/>
      <c r="C594" s="188"/>
      <c r="D594" s="188"/>
      <c r="E594" s="188"/>
    </row>
    <row r="595" ht="22.5" hidden="1" customHeight="1">
      <c r="A595" s="188"/>
      <c r="B595" s="188"/>
      <c r="C595" s="188"/>
      <c r="D595" s="188"/>
      <c r="E595" s="188"/>
    </row>
    <row r="596" ht="22.5" hidden="1" customHeight="1">
      <c r="A596" s="188"/>
      <c r="B596" s="188"/>
      <c r="C596" s="188"/>
      <c r="D596" s="188"/>
      <c r="E596" s="188"/>
    </row>
    <row r="597" ht="22.5" hidden="1" customHeight="1">
      <c r="A597" s="188"/>
      <c r="B597" s="188"/>
      <c r="C597" s="188"/>
      <c r="D597" s="188"/>
      <c r="E597" s="188"/>
    </row>
    <row r="598" ht="22.5" hidden="1" customHeight="1">
      <c r="A598" s="188"/>
      <c r="B598" s="188"/>
      <c r="C598" s="188"/>
      <c r="D598" s="188"/>
      <c r="E598" s="188"/>
    </row>
    <row r="599" ht="22.5" hidden="1" customHeight="1">
      <c r="A599" s="188"/>
      <c r="B599" s="188"/>
      <c r="C599" s="188"/>
      <c r="D599" s="188"/>
      <c r="E599" s="188"/>
    </row>
    <row r="600" ht="22.5" hidden="1" customHeight="1">
      <c r="A600" s="188"/>
      <c r="B600" s="188"/>
      <c r="C600" s="188"/>
      <c r="D600" s="188"/>
      <c r="E600" s="188"/>
    </row>
    <row r="601" ht="22.5" hidden="1" customHeight="1">
      <c r="A601" s="188"/>
      <c r="B601" s="188"/>
      <c r="C601" s="188"/>
      <c r="D601" s="188"/>
      <c r="E601" s="188"/>
    </row>
    <row r="602" ht="22.5" hidden="1" customHeight="1">
      <c r="A602" s="188"/>
      <c r="B602" s="188"/>
      <c r="C602" s="188"/>
      <c r="D602" s="188"/>
      <c r="E602" s="188"/>
    </row>
    <row r="603" ht="22.5" hidden="1" customHeight="1">
      <c r="A603" s="188"/>
      <c r="B603" s="188"/>
      <c r="C603" s="188"/>
      <c r="D603" s="188"/>
      <c r="E603" s="188"/>
    </row>
    <row r="604" ht="22.5" hidden="1" customHeight="1">
      <c r="A604" s="188"/>
      <c r="B604" s="188"/>
      <c r="C604" s="188"/>
      <c r="D604" s="188"/>
      <c r="E604" s="188"/>
    </row>
    <row r="605" ht="22.5" hidden="1" customHeight="1">
      <c r="A605" s="188"/>
      <c r="B605" s="188"/>
      <c r="C605" s="188"/>
      <c r="D605" s="188"/>
      <c r="E605" s="188"/>
    </row>
    <row r="606" ht="22.5" hidden="1" customHeight="1">
      <c r="A606" s="188"/>
      <c r="B606" s="188"/>
      <c r="C606" s="188"/>
      <c r="D606" s="188"/>
      <c r="E606" s="188"/>
    </row>
    <row r="607" ht="22.5" hidden="1" customHeight="1">
      <c r="A607" s="188"/>
      <c r="B607" s="188"/>
      <c r="C607" s="188"/>
      <c r="D607" s="188"/>
      <c r="E607" s="188"/>
    </row>
    <row r="608" ht="22.5" hidden="1" customHeight="1">
      <c r="A608" s="188"/>
      <c r="B608" s="188"/>
      <c r="C608" s="188"/>
      <c r="D608" s="188"/>
      <c r="E608" s="188"/>
    </row>
    <row r="609" ht="22.5" hidden="1" customHeight="1">
      <c r="A609" s="188"/>
      <c r="B609" s="188"/>
      <c r="C609" s="188"/>
      <c r="D609" s="188"/>
      <c r="E609" s="188"/>
    </row>
    <row r="610" ht="22.5" hidden="1" customHeight="1">
      <c r="A610" s="188"/>
      <c r="B610" s="188"/>
      <c r="C610" s="188"/>
      <c r="D610" s="188"/>
      <c r="E610" s="188"/>
    </row>
    <row r="611" ht="22.5" hidden="1" customHeight="1">
      <c r="A611" s="188"/>
      <c r="B611" s="188"/>
      <c r="C611" s="188"/>
      <c r="D611" s="188"/>
      <c r="E611" s="188"/>
    </row>
    <row r="612" ht="22.5" hidden="1" customHeight="1">
      <c r="A612" s="188"/>
      <c r="B612" s="188"/>
      <c r="C612" s="188"/>
      <c r="D612" s="188"/>
      <c r="E612" s="188"/>
    </row>
    <row r="613" ht="22.5" hidden="1" customHeight="1">
      <c r="A613" s="188"/>
      <c r="B613" s="188"/>
      <c r="C613" s="188"/>
      <c r="D613" s="188"/>
      <c r="E613" s="188"/>
    </row>
    <row r="614" ht="22.5" hidden="1" customHeight="1">
      <c r="A614" s="188"/>
      <c r="B614" s="188"/>
      <c r="C614" s="188"/>
      <c r="D614" s="188"/>
      <c r="E614" s="188"/>
    </row>
    <row r="615" ht="22.5" hidden="1" customHeight="1">
      <c r="A615" s="188"/>
      <c r="B615" s="188"/>
      <c r="C615" s="188"/>
      <c r="D615" s="188"/>
      <c r="E615" s="188"/>
    </row>
    <row r="616" ht="22.5" hidden="1" customHeight="1">
      <c r="A616" s="188"/>
      <c r="B616" s="188"/>
      <c r="C616" s="188"/>
      <c r="D616" s="188"/>
      <c r="E616" s="188"/>
    </row>
    <row r="617" ht="22.5" hidden="1" customHeight="1">
      <c r="A617" s="188"/>
      <c r="B617" s="188"/>
      <c r="C617" s="188"/>
      <c r="D617" s="188"/>
      <c r="E617" s="188"/>
    </row>
    <row r="618" ht="22.5" hidden="1" customHeight="1">
      <c r="A618" s="188"/>
      <c r="B618" s="188"/>
      <c r="C618" s="188"/>
      <c r="D618" s="188"/>
      <c r="E618" s="188"/>
    </row>
    <row r="619" ht="22.5" hidden="1" customHeight="1">
      <c r="A619" s="188"/>
      <c r="B619" s="188"/>
      <c r="C619" s="188"/>
      <c r="D619" s="188"/>
      <c r="E619" s="188"/>
    </row>
    <row r="620" ht="22.5" hidden="1" customHeight="1">
      <c r="A620" s="188"/>
      <c r="B620" s="188"/>
      <c r="C620" s="188"/>
      <c r="D620" s="188"/>
      <c r="E620" s="188"/>
    </row>
    <row r="621" ht="22.5" hidden="1" customHeight="1">
      <c r="A621" s="188"/>
      <c r="B621" s="188"/>
      <c r="C621" s="188"/>
      <c r="D621" s="188"/>
      <c r="E621" s="188"/>
    </row>
    <row r="622" ht="22.5" hidden="1" customHeight="1">
      <c r="A622" s="188"/>
      <c r="B622" s="188"/>
      <c r="C622" s="188"/>
      <c r="D622" s="188"/>
      <c r="E622" s="188"/>
    </row>
    <row r="623" ht="22.5" hidden="1" customHeight="1">
      <c r="A623" s="188"/>
      <c r="B623" s="188"/>
      <c r="C623" s="188"/>
      <c r="D623" s="188"/>
      <c r="E623" s="188"/>
    </row>
    <row r="624" ht="22.5" hidden="1" customHeight="1">
      <c r="A624" s="188"/>
      <c r="B624" s="188"/>
      <c r="C624" s="188"/>
      <c r="D624" s="188"/>
      <c r="E624" s="188"/>
    </row>
    <row r="625" ht="22.5" hidden="1" customHeight="1">
      <c r="A625" s="188"/>
      <c r="B625" s="188"/>
      <c r="C625" s="188"/>
      <c r="D625" s="188"/>
      <c r="E625" s="188"/>
    </row>
    <row r="626" ht="22.5" hidden="1" customHeight="1">
      <c r="A626" s="188"/>
      <c r="B626" s="188"/>
      <c r="C626" s="188"/>
      <c r="D626" s="188"/>
      <c r="E626" s="188"/>
    </row>
    <row r="627" ht="22.5" hidden="1" customHeight="1">
      <c r="A627" s="188"/>
      <c r="B627" s="188"/>
      <c r="C627" s="188"/>
      <c r="D627" s="188"/>
      <c r="E627" s="188"/>
    </row>
    <row r="628" ht="22.5" hidden="1" customHeight="1">
      <c r="A628" s="188"/>
      <c r="B628" s="188"/>
      <c r="C628" s="188"/>
      <c r="D628" s="188"/>
      <c r="E628" s="188"/>
    </row>
    <row r="629" ht="22.5" hidden="1" customHeight="1">
      <c r="A629" s="188"/>
      <c r="B629" s="188"/>
      <c r="C629" s="188"/>
      <c r="D629" s="188"/>
      <c r="E629" s="188"/>
    </row>
    <row r="630" ht="22.5" hidden="1" customHeight="1">
      <c r="A630" s="188"/>
      <c r="B630" s="188"/>
      <c r="C630" s="188"/>
      <c r="D630" s="188"/>
      <c r="E630" s="188"/>
    </row>
    <row r="631" ht="22.5" hidden="1" customHeight="1">
      <c r="A631" s="188"/>
      <c r="B631" s="188"/>
      <c r="C631" s="188"/>
      <c r="D631" s="188"/>
      <c r="E631" s="188"/>
    </row>
    <row r="632" ht="22.5" hidden="1" customHeight="1">
      <c r="A632" s="188"/>
      <c r="B632" s="188"/>
      <c r="C632" s="188"/>
      <c r="D632" s="188"/>
      <c r="E632" s="188"/>
    </row>
    <row r="633" ht="22.5" hidden="1" customHeight="1">
      <c r="A633" s="188"/>
      <c r="B633" s="188"/>
      <c r="C633" s="188"/>
      <c r="D633" s="188"/>
      <c r="E633" s="188"/>
    </row>
    <row r="634" ht="22.5" hidden="1" customHeight="1">
      <c r="A634" s="188"/>
      <c r="B634" s="188"/>
      <c r="C634" s="188"/>
      <c r="D634" s="188"/>
      <c r="E634" s="188"/>
    </row>
    <row r="635" ht="22.5" hidden="1" customHeight="1">
      <c r="A635" s="188"/>
      <c r="B635" s="188"/>
      <c r="C635" s="188"/>
      <c r="D635" s="188"/>
      <c r="E635" s="188"/>
    </row>
    <row r="636" ht="22.5" hidden="1" customHeight="1">
      <c r="A636" s="188"/>
      <c r="B636" s="188"/>
      <c r="C636" s="188"/>
      <c r="D636" s="188"/>
      <c r="E636" s="188"/>
    </row>
    <row r="637" ht="22.5" hidden="1" customHeight="1">
      <c r="A637" s="188"/>
      <c r="B637" s="188"/>
      <c r="C637" s="188"/>
      <c r="D637" s="188"/>
      <c r="E637" s="188"/>
    </row>
    <row r="638" ht="22.5" hidden="1" customHeight="1">
      <c r="A638" s="188"/>
      <c r="B638" s="188"/>
      <c r="C638" s="188"/>
      <c r="D638" s="188"/>
      <c r="E638" s="188"/>
    </row>
    <row r="639" ht="22.5" hidden="1" customHeight="1">
      <c r="A639" s="188"/>
      <c r="B639" s="188"/>
      <c r="C639" s="188"/>
      <c r="D639" s="188"/>
      <c r="E639" s="188"/>
    </row>
    <row r="640" ht="22.5" hidden="1" customHeight="1">
      <c r="A640" s="188"/>
      <c r="B640" s="188"/>
      <c r="C640" s="188"/>
      <c r="D640" s="188"/>
      <c r="E640" s="188"/>
    </row>
    <row r="641" ht="22.5" hidden="1" customHeight="1">
      <c r="A641" s="188"/>
      <c r="B641" s="188"/>
      <c r="C641" s="188"/>
      <c r="D641" s="188"/>
      <c r="E641" s="188"/>
    </row>
    <row r="642" ht="22.5" hidden="1" customHeight="1">
      <c r="A642" s="188"/>
      <c r="B642" s="188"/>
      <c r="C642" s="188"/>
      <c r="D642" s="188"/>
      <c r="E642" s="188"/>
    </row>
    <row r="643" ht="22.5" hidden="1" customHeight="1">
      <c r="A643" s="188"/>
      <c r="B643" s="188"/>
      <c r="C643" s="188"/>
      <c r="D643" s="188"/>
      <c r="E643" s="188"/>
    </row>
    <row r="644" ht="22.5" hidden="1" customHeight="1">
      <c r="A644" s="188"/>
      <c r="B644" s="188"/>
      <c r="C644" s="188"/>
      <c r="D644" s="188"/>
      <c r="E644" s="188"/>
    </row>
    <row r="645" ht="22.5" hidden="1" customHeight="1">
      <c r="A645" s="188"/>
      <c r="B645" s="188"/>
      <c r="C645" s="188"/>
      <c r="D645" s="188"/>
      <c r="E645" s="188"/>
    </row>
    <row r="646" ht="22.5" hidden="1" customHeight="1">
      <c r="A646" s="188"/>
      <c r="B646" s="188"/>
      <c r="C646" s="188"/>
      <c r="D646" s="188"/>
      <c r="E646" s="188"/>
    </row>
    <row r="647" ht="22.5" hidden="1" customHeight="1">
      <c r="A647" s="188"/>
      <c r="B647" s="188"/>
      <c r="C647" s="188"/>
      <c r="D647" s="188"/>
      <c r="E647" s="188"/>
    </row>
    <row r="648" ht="22.5" hidden="1" customHeight="1">
      <c r="A648" s="188"/>
      <c r="B648" s="188"/>
      <c r="C648" s="188"/>
      <c r="D648" s="188"/>
      <c r="E648" s="188"/>
    </row>
    <row r="649" ht="22.5" hidden="1" customHeight="1">
      <c r="A649" s="188"/>
      <c r="B649" s="188"/>
      <c r="C649" s="188"/>
      <c r="D649" s="188"/>
      <c r="E649" s="188"/>
    </row>
    <row r="650" ht="22.5" hidden="1" customHeight="1">
      <c r="A650" s="188"/>
      <c r="B650" s="188"/>
      <c r="C650" s="188"/>
      <c r="D650" s="188"/>
      <c r="E650" s="188"/>
    </row>
    <row r="651" ht="22.5" hidden="1" customHeight="1">
      <c r="A651" s="188"/>
      <c r="B651" s="188"/>
      <c r="C651" s="188"/>
      <c r="D651" s="188"/>
      <c r="E651" s="188"/>
    </row>
    <row r="652" ht="22.5" hidden="1" customHeight="1">
      <c r="A652" s="188"/>
      <c r="B652" s="188"/>
      <c r="C652" s="188"/>
      <c r="D652" s="188"/>
      <c r="E652" s="188"/>
    </row>
    <row r="653" ht="22.5" hidden="1" customHeight="1">
      <c r="A653" s="188"/>
      <c r="B653" s="188"/>
      <c r="C653" s="188"/>
      <c r="D653" s="188"/>
      <c r="E653" s="188"/>
    </row>
    <row r="654" ht="22.5" hidden="1" customHeight="1">
      <c r="A654" s="188"/>
      <c r="B654" s="188"/>
      <c r="C654" s="188"/>
      <c r="D654" s="188"/>
      <c r="E654" s="188"/>
    </row>
    <row r="655" ht="22.5" hidden="1" customHeight="1">
      <c r="A655" s="188"/>
      <c r="B655" s="188"/>
      <c r="C655" s="188"/>
      <c r="D655" s="188"/>
      <c r="E655" s="188"/>
    </row>
    <row r="656" ht="22.5" hidden="1" customHeight="1">
      <c r="A656" s="188"/>
      <c r="B656" s="188"/>
      <c r="C656" s="188"/>
      <c r="D656" s="188"/>
      <c r="E656" s="188"/>
    </row>
    <row r="657" ht="22.5" hidden="1" customHeight="1">
      <c r="A657" s="188"/>
      <c r="B657" s="188"/>
      <c r="C657" s="188"/>
      <c r="D657" s="188"/>
      <c r="E657" s="188"/>
    </row>
    <row r="658" ht="22.5" hidden="1" customHeight="1">
      <c r="A658" s="188"/>
      <c r="B658" s="188"/>
      <c r="C658" s="188"/>
      <c r="D658" s="188"/>
      <c r="E658" s="188"/>
    </row>
    <row r="659" ht="22.5" hidden="1" customHeight="1">
      <c r="A659" s="188"/>
      <c r="B659" s="188"/>
      <c r="C659" s="188"/>
      <c r="D659" s="188"/>
      <c r="E659" s="188"/>
    </row>
    <row r="660" ht="22.5" hidden="1" customHeight="1">
      <c r="A660" s="188"/>
      <c r="B660" s="188"/>
      <c r="C660" s="188"/>
      <c r="D660" s="188"/>
      <c r="E660" s="188"/>
    </row>
    <row r="661" ht="22.5" hidden="1" customHeight="1">
      <c r="A661" s="188"/>
      <c r="B661" s="188"/>
      <c r="C661" s="188"/>
      <c r="D661" s="188"/>
      <c r="E661" s="188"/>
    </row>
    <row r="662" ht="22.5" hidden="1" customHeight="1">
      <c r="A662" s="188"/>
      <c r="B662" s="188"/>
      <c r="C662" s="188"/>
      <c r="D662" s="188"/>
      <c r="E662" s="188"/>
    </row>
    <row r="663" ht="22.5" hidden="1" customHeight="1">
      <c r="A663" s="188"/>
      <c r="B663" s="188"/>
      <c r="C663" s="188"/>
      <c r="D663" s="188"/>
      <c r="E663" s="188"/>
    </row>
    <row r="664" ht="22.5" hidden="1" customHeight="1">
      <c r="A664" s="188"/>
      <c r="B664" s="188"/>
      <c r="C664" s="188"/>
      <c r="D664" s="188"/>
      <c r="E664" s="188"/>
    </row>
    <row r="665" ht="22.5" hidden="1" customHeight="1">
      <c r="A665" s="188"/>
      <c r="B665" s="188"/>
      <c r="C665" s="188"/>
      <c r="D665" s="188"/>
      <c r="E665" s="188"/>
    </row>
    <row r="666" ht="22.5" hidden="1" customHeight="1">
      <c r="A666" s="188"/>
      <c r="B666" s="188"/>
      <c r="C666" s="188"/>
      <c r="D666" s="188"/>
      <c r="E666" s="188"/>
    </row>
    <row r="667" ht="22.5" hidden="1" customHeight="1">
      <c r="A667" s="188"/>
      <c r="B667" s="188"/>
      <c r="C667" s="188"/>
      <c r="D667" s="188"/>
      <c r="E667" s="188"/>
    </row>
    <row r="668" ht="22.5" hidden="1" customHeight="1">
      <c r="A668" s="188"/>
      <c r="B668" s="188"/>
      <c r="C668" s="188"/>
      <c r="D668" s="188"/>
      <c r="E668" s="188"/>
    </row>
    <row r="669" ht="22.5" hidden="1" customHeight="1">
      <c r="A669" s="188"/>
      <c r="B669" s="188"/>
      <c r="C669" s="188"/>
      <c r="D669" s="188"/>
      <c r="E669" s="188"/>
    </row>
    <row r="670" ht="22.5" hidden="1" customHeight="1">
      <c r="A670" s="188"/>
      <c r="B670" s="188"/>
      <c r="C670" s="188"/>
      <c r="D670" s="188"/>
      <c r="E670" s="188"/>
    </row>
    <row r="671" ht="22.5" hidden="1" customHeight="1">
      <c r="A671" s="188"/>
      <c r="B671" s="188"/>
      <c r="C671" s="188"/>
      <c r="D671" s="188"/>
      <c r="E671" s="188"/>
    </row>
    <row r="672" ht="22.5" hidden="1" customHeight="1">
      <c r="A672" s="188"/>
      <c r="B672" s="188"/>
      <c r="C672" s="188"/>
      <c r="D672" s="188"/>
      <c r="E672" s="188"/>
    </row>
    <row r="673" ht="22.5" hidden="1" customHeight="1">
      <c r="A673" s="188"/>
      <c r="B673" s="188"/>
      <c r="C673" s="188"/>
      <c r="D673" s="188"/>
      <c r="E673" s="188"/>
    </row>
    <row r="674" ht="22.5" hidden="1" customHeight="1">
      <c r="A674" s="188"/>
      <c r="B674" s="188"/>
      <c r="C674" s="188"/>
      <c r="D674" s="188"/>
      <c r="E674" s="188"/>
    </row>
    <row r="675" ht="22.5" hidden="1" customHeight="1">
      <c r="A675" s="188"/>
      <c r="B675" s="188"/>
      <c r="C675" s="188"/>
      <c r="D675" s="188"/>
      <c r="E675" s="188"/>
    </row>
    <row r="676" ht="22.5" hidden="1" customHeight="1">
      <c r="A676" s="188"/>
      <c r="B676" s="188"/>
      <c r="C676" s="188"/>
      <c r="D676" s="188"/>
      <c r="E676" s="188"/>
    </row>
    <row r="677" ht="22.5" hidden="1" customHeight="1">
      <c r="A677" s="188"/>
      <c r="B677" s="188"/>
      <c r="C677" s="188"/>
      <c r="D677" s="188"/>
      <c r="E677" s="188"/>
    </row>
    <row r="678" ht="22.5" hidden="1" customHeight="1">
      <c r="A678" s="188"/>
      <c r="B678" s="188"/>
      <c r="C678" s="188"/>
      <c r="D678" s="188"/>
      <c r="E678" s="188"/>
    </row>
    <row r="679" ht="22.5" hidden="1" customHeight="1">
      <c r="A679" s="188"/>
      <c r="B679" s="188"/>
      <c r="C679" s="188"/>
      <c r="D679" s="188"/>
      <c r="E679" s="188"/>
    </row>
    <row r="680" ht="22.5" hidden="1" customHeight="1">
      <c r="A680" s="188"/>
      <c r="B680" s="188"/>
      <c r="C680" s="188"/>
      <c r="D680" s="188"/>
      <c r="E680" s="188"/>
    </row>
    <row r="681" ht="22.5" hidden="1" customHeight="1">
      <c r="A681" s="188"/>
      <c r="B681" s="188"/>
      <c r="C681" s="188"/>
      <c r="D681" s="188"/>
      <c r="E681" s="188"/>
    </row>
    <row r="682" ht="22.5" hidden="1" customHeight="1">
      <c r="A682" s="188"/>
      <c r="B682" s="188"/>
      <c r="C682" s="188"/>
      <c r="D682" s="188"/>
      <c r="E682" s="188"/>
    </row>
    <row r="683" ht="22.5" hidden="1" customHeight="1">
      <c r="A683" s="188"/>
      <c r="B683" s="188"/>
      <c r="C683" s="188"/>
      <c r="D683" s="188"/>
      <c r="E683" s="188"/>
    </row>
    <row r="684" ht="22.5" hidden="1" customHeight="1">
      <c r="A684" s="188"/>
      <c r="B684" s="188"/>
      <c r="C684" s="188"/>
      <c r="D684" s="188"/>
      <c r="E684" s="188"/>
    </row>
    <row r="685" ht="22.5" hidden="1" customHeight="1">
      <c r="A685" s="188"/>
      <c r="B685" s="188"/>
      <c r="C685" s="188"/>
      <c r="D685" s="188"/>
      <c r="E685" s="188"/>
    </row>
    <row r="686" ht="22.5" hidden="1" customHeight="1">
      <c r="A686" s="188"/>
      <c r="B686" s="188"/>
      <c r="C686" s="188"/>
      <c r="D686" s="188"/>
      <c r="E686" s="188"/>
    </row>
    <row r="687" ht="22.5" hidden="1" customHeight="1">
      <c r="A687" s="188"/>
      <c r="B687" s="188"/>
      <c r="C687" s="188"/>
      <c r="D687" s="188"/>
      <c r="E687" s="188"/>
    </row>
    <row r="688" ht="22.5" hidden="1" customHeight="1">
      <c r="A688" s="188"/>
      <c r="B688" s="188"/>
      <c r="C688" s="188"/>
      <c r="D688" s="188"/>
      <c r="E688" s="188"/>
    </row>
    <row r="689" ht="22.5" hidden="1" customHeight="1">
      <c r="A689" s="188"/>
      <c r="B689" s="188"/>
      <c r="C689" s="188"/>
      <c r="D689" s="188"/>
      <c r="E689" s="188"/>
    </row>
    <row r="690" ht="22.5" hidden="1" customHeight="1">
      <c r="A690" s="188"/>
      <c r="B690" s="188"/>
      <c r="C690" s="188"/>
      <c r="D690" s="188"/>
      <c r="E690" s="188"/>
    </row>
    <row r="691" ht="22.5" hidden="1" customHeight="1">
      <c r="A691" s="188"/>
      <c r="B691" s="188"/>
      <c r="C691" s="188"/>
      <c r="D691" s="188"/>
      <c r="E691" s="188"/>
    </row>
    <row r="692" ht="22.5" hidden="1" customHeight="1">
      <c r="A692" s="188"/>
      <c r="B692" s="188"/>
      <c r="C692" s="188"/>
      <c r="D692" s="188"/>
      <c r="E692" s="188"/>
    </row>
    <row r="693" ht="22.5" hidden="1" customHeight="1">
      <c r="A693" s="188"/>
      <c r="B693" s="188"/>
      <c r="C693" s="188"/>
      <c r="D693" s="188"/>
      <c r="E693" s="188"/>
    </row>
    <row r="694" ht="22.5" hidden="1" customHeight="1">
      <c r="A694" s="188"/>
      <c r="B694" s="188"/>
      <c r="C694" s="188"/>
      <c r="D694" s="188"/>
      <c r="E694" s="188"/>
    </row>
    <row r="695" ht="22.5" hidden="1" customHeight="1">
      <c r="A695" s="188"/>
      <c r="B695" s="188"/>
      <c r="C695" s="188"/>
      <c r="D695" s="188"/>
      <c r="E695" s="188"/>
    </row>
    <row r="696" ht="22.5" hidden="1" customHeight="1">
      <c r="A696" s="188"/>
      <c r="B696" s="188"/>
      <c r="C696" s="188"/>
      <c r="D696" s="188"/>
      <c r="E696" s="188"/>
    </row>
    <row r="697" ht="22.5" hidden="1" customHeight="1">
      <c r="A697" s="188"/>
      <c r="B697" s="188"/>
      <c r="C697" s="188"/>
      <c r="D697" s="188"/>
      <c r="E697" s="188"/>
    </row>
    <row r="698" ht="22.5" hidden="1" customHeight="1">
      <c r="A698" s="188"/>
      <c r="B698" s="188"/>
      <c r="C698" s="188"/>
      <c r="D698" s="188"/>
      <c r="E698" s="188"/>
    </row>
    <row r="699" ht="22.5" hidden="1" customHeight="1">
      <c r="A699" s="188"/>
      <c r="B699" s="188"/>
      <c r="C699" s="188"/>
      <c r="D699" s="188"/>
      <c r="E699" s="188"/>
    </row>
    <row r="700" ht="22.5" hidden="1" customHeight="1">
      <c r="A700" s="188"/>
      <c r="B700" s="188"/>
      <c r="C700" s="188"/>
      <c r="D700" s="188"/>
      <c r="E700" s="188"/>
    </row>
    <row r="701" ht="22.5" hidden="1" customHeight="1">
      <c r="A701" s="188"/>
      <c r="B701" s="188"/>
      <c r="C701" s="188"/>
      <c r="D701" s="188"/>
      <c r="E701" s="188"/>
    </row>
    <row r="702" ht="22.5" hidden="1" customHeight="1">
      <c r="A702" s="188"/>
      <c r="B702" s="188"/>
      <c r="C702" s="188"/>
      <c r="D702" s="188"/>
      <c r="E702" s="188"/>
    </row>
    <row r="703" ht="22.5" hidden="1" customHeight="1">
      <c r="A703" s="188"/>
      <c r="B703" s="188"/>
      <c r="C703" s="188"/>
      <c r="D703" s="188"/>
      <c r="E703" s="188"/>
    </row>
    <row r="704" ht="22.5" hidden="1" customHeight="1">
      <c r="A704" s="188"/>
      <c r="B704" s="188"/>
      <c r="C704" s="188"/>
      <c r="D704" s="188"/>
      <c r="E704" s="188"/>
    </row>
    <row r="705" ht="22.5" hidden="1" customHeight="1">
      <c r="A705" s="188"/>
      <c r="B705" s="188"/>
      <c r="C705" s="188"/>
      <c r="D705" s="188"/>
      <c r="E705" s="188"/>
    </row>
    <row r="706" ht="22.5" hidden="1" customHeight="1">
      <c r="A706" s="188"/>
      <c r="B706" s="188"/>
      <c r="C706" s="188"/>
      <c r="D706" s="188"/>
      <c r="E706" s="188"/>
    </row>
    <row r="707" ht="22.5" hidden="1" customHeight="1">
      <c r="A707" s="188"/>
      <c r="B707" s="188"/>
      <c r="C707" s="188"/>
      <c r="D707" s="188"/>
      <c r="E707" s="188"/>
    </row>
    <row r="708" ht="22.5" hidden="1" customHeight="1">
      <c r="A708" s="188"/>
      <c r="B708" s="188"/>
      <c r="C708" s="188"/>
      <c r="D708" s="188"/>
      <c r="E708" s="188"/>
    </row>
    <row r="709" ht="22.5" hidden="1" customHeight="1">
      <c r="A709" s="188"/>
      <c r="B709" s="188"/>
      <c r="C709" s="188"/>
      <c r="D709" s="188"/>
      <c r="E709" s="188"/>
    </row>
    <row r="710" ht="22.5" hidden="1" customHeight="1">
      <c r="A710" s="188"/>
      <c r="B710" s="188"/>
      <c r="C710" s="188"/>
      <c r="D710" s="188"/>
      <c r="E710" s="188"/>
    </row>
    <row r="711" ht="22.5" hidden="1" customHeight="1">
      <c r="A711" s="188"/>
      <c r="B711" s="188"/>
      <c r="C711" s="188"/>
      <c r="D711" s="188"/>
      <c r="E711" s="188"/>
    </row>
    <row r="712" ht="22.5" hidden="1" customHeight="1">
      <c r="A712" s="188"/>
      <c r="B712" s="188"/>
      <c r="C712" s="188"/>
      <c r="D712" s="188"/>
      <c r="E712" s="188"/>
    </row>
    <row r="713" ht="22.5" hidden="1" customHeight="1">
      <c r="A713" s="188"/>
      <c r="B713" s="188"/>
      <c r="C713" s="188"/>
      <c r="D713" s="188"/>
      <c r="E713" s="188"/>
    </row>
    <row r="714" ht="22.5" hidden="1" customHeight="1">
      <c r="A714" s="188"/>
      <c r="B714" s="188"/>
      <c r="C714" s="188"/>
      <c r="D714" s="188"/>
      <c r="E714" s="188"/>
    </row>
    <row r="715" ht="22.5" hidden="1" customHeight="1">
      <c r="A715" s="188"/>
      <c r="B715" s="188"/>
      <c r="C715" s="188"/>
      <c r="D715" s="188"/>
      <c r="E715" s="188"/>
    </row>
    <row r="716" ht="22.5" hidden="1" customHeight="1">
      <c r="A716" s="188"/>
      <c r="B716" s="188"/>
      <c r="C716" s="188"/>
      <c r="D716" s="188"/>
      <c r="E716" s="188"/>
    </row>
    <row r="717" ht="22.5" hidden="1" customHeight="1">
      <c r="A717" s="188"/>
      <c r="B717" s="188"/>
      <c r="C717" s="188"/>
      <c r="D717" s="188"/>
      <c r="E717" s="188"/>
    </row>
    <row r="718" ht="22.5" hidden="1" customHeight="1">
      <c r="A718" s="188"/>
      <c r="B718" s="188"/>
      <c r="C718" s="188"/>
      <c r="D718" s="188"/>
      <c r="E718" s="188"/>
    </row>
    <row r="719" ht="22.5" hidden="1" customHeight="1">
      <c r="A719" s="188"/>
      <c r="B719" s="188"/>
      <c r="C719" s="188"/>
      <c r="D719" s="188"/>
      <c r="E719" s="188"/>
    </row>
    <row r="720" ht="22.5" hidden="1" customHeight="1">
      <c r="A720" s="188"/>
      <c r="B720" s="188"/>
      <c r="C720" s="188"/>
      <c r="D720" s="188"/>
      <c r="E720" s="188"/>
    </row>
    <row r="721" ht="22.5" hidden="1" customHeight="1">
      <c r="A721" s="188"/>
      <c r="B721" s="188"/>
      <c r="C721" s="188"/>
      <c r="D721" s="188"/>
      <c r="E721" s="188"/>
    </row>
    <row r="722" ht="22.5" hidden="1" customHeight="1">
      <c r="A722" s="188"/>
      <c r="B722" s="188"/>
      <c r="C722" s="188"/>
      <c r="D722" s="188"/>
      <c r="E722" s="188"/>
    </row>
    <row r="723" ht="22.5" hidden="1" customHeight="1">
      <c r="A723" s="188"/>
      <c r="B723" s="188"/>
      <c r="C723" s="188"/>
      <c r="D723" s="188"/>
      <c r="E723" s="188"/>
    </row>
    <row r="724" ht="22.5" hidden="1" customHeight="1">
      <c r="A724" s="188"/>
      <c r="B724" s="188"/>
      <c r="C724" s="188"/>
      <c r="D724" s="188"/>
      <c r="E724" s="188"/>
    </row>
    <row r="725" ht="22.5" hidden="1" customHeight="1">
      <c r="A725" s="188"/>
      <c r="B725" s="188"/>
      <c r="C725" s="188"/>
      <c r="D725" s="188"/>
      <c r="E725" s="188"/>
    </row>
    <row r="726" ht="22.5" hidden="1" customHeight="1">
      <c r="A726" s="188"/>
      <c r="B726" s="188"/>
      <c r="C726" s="188"/>
      <c r="D726" s="188"/>
      <c r="E726" s="188"/>
    </row>
    <row r="727" ht="22.5" hidden="1" customHeight="1">
      <c r="A727" s="188"/>
      <c r="B727" s="188"/>
      <c r="C727" s="188"/>
      <c r="D727" s="188"/>
      <c r="E727" s="188"/>
    </row>
    <row r="728" ht="22.5" hidden="1" customHeight="1">
      <c r="A728" s="188"/>
      <c r="B728" s="188"/>
      <c r="C728" s="188"/>
      <c r="D728" s="188"/>
      <c r="E728" s="188"/>
    </row>
    <row r="729" ht="22.5" hidden="1" customHeight="1">
      <c r="A729" s="188"/>
      <c r="B729" s="188"/>
      <c r="C729" s="188"/>
      <c r="D729" s="188"/>
      <c r="E729" s="188"/>
    </row>
    <row r="730" ht="22.5" hidden="1" customHeight="1">
      <c r="A730" s="188"/>
      <c r="B730" s="188"/>
      <c r="C730" s="188"/>
      <c r="D730" s="188"/>
      <c r="E730" s="188"/>
    </row>
    <row r="731" ht="22.5" hidden="1" customHeight="1">
      <c r="A731" s="188"/>
      <c r="B731" s="188"/>
      <c r="C731" s="188"/>
      <c r="D731" s="188"/>
      <c r="E731" s="188"/>
    </row>
    <row r="732" ht="22.5" hidden="1" customHeight="1">
      <c r="A732" s="188"/>
      <c r="B732" s="188"/>
      <c r="C732" s="188"/>
      <c r="D732" s="188"/>
      <c r="E732" s="188"/>
    </row>
    <row r="733" ht="22.5" hidden="1" customHeight="1">
      <c r="A733" s="188"/>
      <c r="B733" s="188"/>
      <c r="C733" s="188"/>
      <c r="D733" s="188"/>
      <c r="E733" s="188"/>
    </row>
    <row r="734" ht="22.5" hidden="1" customHeight="1">
      <c r="A734" s="188"/>
      <c r="B734" s="188"/>
      <c r="C734" s="188"/>
      <c r="D734" s="188"/>
      <c r="E734" s="188"/>
    </row>
    <row r="735" ht="22.5" hidden="1" customHeight="1">
      <c r="A735" s="188"/>
      <c r="B735" s="188"/>
      <c r="C735" s="188"/>
      <c r="D735" s="188"/>
      <c r="E735" s="188"/>
    </row>
    <row r="736" ht="22.5" hidden="1" customHeight="1">
      <c r="A736" s="188"/>
      <c r="B736" s="188"/>
      <c r="C736" s="188"/>
      <c r="D736" s="188"/>
      <c r="E736" s="188"/>
    </row>
    <row r="737" ht="22.5" hidden="1" customHeight="1">
      <c r="A737" s="188"/>
      <c r="B737" s="188"/>
      <c r="C737" s="188"/>
      <c r="D737" s="188"/>
      <c r="E737" s="188"/>
    </row>
    <row r="738" ht="22.5" hidden="1" customHeight="1">
      <c r="A738" s="188"/>
      <c r="B738" s="188"/>
      <c r="C738" s="188"/>
      <c r="D738" s="188"/>
      <c r="E738" s="188"/>
    </row>
    <row r="739" ht="22.5" hidden="1" customHeight="1">
      <c r="A739" s="188"/>
      <c r="B739" s="188"/>
      <c r="C739" s="188"/>
      <c r="D739" s="188"/>
      <c r="E739" s="188"/>
    </row>
    <row r="740" ht="22.5" hidden="1" customHeight="1">
      <c r="A740" s="188"/>
      <c r="B740" s="188"/>
      <c r="C740" s="188"/>
      <c r="D740" s="188"/>
      <c r="E740" s="188"/>
    </row>
    <row r="741" ht="22.5" hidden="1" customHeight="1">
      <c r="A741" s="188"/>
      <c r="B741" s="188"/>
      <c r="C741" s="188"/>
      <c r="D741" s="188"/>
      <c r="E741" s="188"/>
    </row>
    <row r="742" ht="22.5" hidden="1" customHeight="1">
      <c r="A742" s="188"/>
      <c r="B742" s="188"/>
      <c r="C742" s="188"/>
      <c r="D742" s="188"/>
      <c r="E742" s="188"/>
    </row>
    <row r="743" ht="22.5" hidden="1" customHeight="1">
      <c r="A743" s="188"/>
      <c r="B743" s="188"/>
      <c r="C743" s="188"/>
      <c r="D743" s="188"/>
      <c r="E743" s="188"/>
    </row>
    <row r="744" ht="22.5" hidden="1" customHeight="1">
      <c r="A744" s="188"/>
      <c r="B744" s="188"/>
      <c r="C744" s="188"/>
      <c r="D744" s="188"/>
      <c r="E744" s="188"/>
    </row>
    <row r="745" ht="22.5" hidden="1" customHeight="1">
      <c r="A745" s="188"/>
      <c r="B745" s="188"/>
      <c r="C745" s="188"/>
      <c r="D745" s="188"/>
      <c r="E745" s="188"/>
    </row>
    <row r="746" ht="22.5" hidden="1" customHeight="1">
      <c r="A746" s="188"/>
      <c r="B746" s="188"/>
      <c r="C746" s="188"/>
      <c r="D746" s="188"/>
      <c r="E746" s="188"/>
    </row>
    <row r="747" ht="22.5" hidden="1" customHeight="1">
      <c r="A747" s="188"/>
      <c r="B747" s="188"/>
      <c r="C747" s="188"/>
      <c r="D747" s="188"/>
      <c r="E747" s="188"/>
    </row>
    <row r="748" ht="22.5" hidden="1" customHeight="1">
      <c r="A748" s="188"/>
      <c r="B748" s="188"/>
      <c r="C748" s="188"/>
      <c r="D748" s="188"/>
      <c r="E748" s="188"/>
    </row>
    <row r="749" ht="22.5" hidden="1" customHeight="1">
      <c r="A749" s="188"/>
      <c r="B749" s="188"/>
      <c r="C749" s="188"/>
      <c r="D749" s="188"/>
      <c r="E749" s="188"/>
    </row>
    <row r="750" ht="22.5" hidden="1" customHeight="1">
      <c r="A750" s="188"/>
      <c r="B750" s="188"/>
      <c r="C750" s="188"/>
      <c r="D750" s="188"/>
      <c r="E750" s="188"/>
    </row>
    <row r="751" ht="22.5" hidden="1" customHeight="1">
      <c r="A751" s="188"/>
      <c r="B751" s="188"/>
      <c r="C751" s="188"/>
      <c r="D751" s="188"/>
      <c r="E751" s="188"/>
    </row>
    <row r="752" ht="22.5" hidden="1" customHeight="1">
      <c r="A752" s="188"/>
      <c r="B752" s="188"/>
      <c r="C752" s="188"/>
      <c r="D752" s="188"/>
      <c r="E752" s="188"/>
    </row>
    <row r="753" ht="22.5" hidden="1" customHeight="1">
      <c r="A753" s="188"/>
      <c r="B753" s="188"/>
      <c r="C753" s="188"/>
      <c r="D753" s="188"/>
      <c r="E753" s="188"/>
    </row>
    <row r="754" ht="22.5" hidden="1" customHeight="1">
      <c r="A754" s="188"/>
      <c r="B754" s="188"/>
      <c r="C754" s="188"/>
      <c r="D754" s="188"/>
      <c r="E754" s="188"/>
    </row>
    <row r="755" ht="22.5" hidden="1" customHeight="1">
      <c r="A755" s="188"/>
      <c r="B755" s="188"/>
      <c r="C755" s="188"/>
      <c r="D755" s="188"/>
      <c r="E755" s="188"/>
    </row>
    <row r="756" ht="22.5" hidden="1" customHeight="1">
      <c r="A756" s="188"/>
      <c r="B756" s="188"/>
      <c r="C756" s="188"/>
      <c r="D756" s="188"/>
      <c r="E756" s="188"/>
    </row>
    <row r="757" ht="22.5" hidden="1" customHeight="1">
      <c r="A757" s="188"/>
      <c r="B757" s="188"/>
      <c r="C757" s="188"/>
      <c r="D757" s="188"/>
      <c r="E757" s="188"/>
    </row>
    <row r="758" ht="22.5" hidden="1" customHeight="1">
      <c r="A758" s="188"/>
      <c r="B758" s="188"/>
      <c r="C758" s="188"/>
      <c r="D758" s="188"/>
      <c r="E758" s="188"/>
    </row>
    <row r="759" ht="22.5" hidden="1" customHeight="1">
      <c r="A759" s="188"/>
      <c r="B759" s="188"/>
      <c r="C759" s="188"/>
      <c r="D759" s="188"/>
      <c r="E759" s="188"/>
    </row>
    <row r="760" ht="22.5" hidden="1" customHeight="1">
      <c r="A760" s="188"/>
      <c r="B760" s="188"/>
      <c r="C760" s="188"/>
      <c r="D760" s="188"/>
      <c r="E760" s="188"/>
    </row>
    <row r="761" ht="22.5" hidden="1" customHeight="1">
      <c r="A761" s="188"/>
      <c r="B761" s="188"/>
      <c r="C761" s="188"/>
      <c r="D761" s="188"/>
      <c r="E761" s="188"/>
    </row>
    <row r="762" ht="22.5" hidden="1" customHeight="1">
      <c r="A762" s="188"/>
      <c r="B762" s="188"/>
      <c r="C762" s="188"/>
      <c r="D762" s="188"/>
      <c r="E762" s="188"/>
    </row>
    <row r="763" ht="22.5" hidden="1" customHeight="1">
      <c r="A763" s="188"/>
      <c r="B763" s="188"/>
      <c r="C763" s="188"/>
      <c r="D763" s="188"/>
      <c r="E763" s="188"/>
    </row>
    <row r="764" ht="22.5" hidden="1" customHeight="1">
      <c r="A764" s="188"/>
      <c r="B764" s="188"/>
      <c r="C764" s="188"/>
      <c r="D764" s="188"/>
      <c r="E764" s="188"/>
    </row>
    <row r="765" ht="22.5" hidden="1" customHeight="1">
      <c r="A765" s="188"/>
      <c r="B765" s="188"/>
      <c r="C765" s="188"/>
      <c r="D765" s="188"/>
      <c r="E765" s="188"/>
    </row>
    <row r="766" ht="22.5" hidden="1" customHeight="1">
      <c r="A766" s="188"/>
      <c r="B766" s="188"/>
      <c r="C766" s="188"/>
      <c r="D766" s="188"/>
      <c r="E766" s="188"/>
    </row>
    <row r="767" ht="22.5" hidden="1" customHeight="1">
      <c r="A767" s="188"/>
      <c r="B767" s="188"/>
      <c r="C767" s="188"/>
      <c r="D767" s="188"/>
      <c r="E767" s="188"/>
    </row>
    <row r="768" ht="22.5" hidden="1" customHeight="1">
      <c r="A768" s="188"/>
      <c r="B768" s="188"/>
      <c r="C768" s="188"/>
      <c r="D768" s="188"/>
      <c r="E768" s="188"/>
    </row>
    <row r="769" ht="22.5" hidden="1" customHeight="1">
      <c r="A769" s="188"/>
      <c r="B769" s="188"/>
      <c r="C769" s="188"/>
      <c r="D769" s="188"/>
      <c r="E769" s="188"/>
    </row>
    <row r="770" ht="22.5" hidden="1" customHeight="1">
      <c r="A770" s="188"/>
      <c r="B770" s="188"/>
      <c r="C770" s="188"/>
      <c r="D770" s="188"/>
      <c r="E770" s="188"/>
    </row>
    <row r="771" ht="22.5" hidden="1" customHeight="1">
      <c r="A771" s="188"/>
      <c r="B771" s="188"/>
      <c r="C771" s="188"/>
      <c r="D771" s="188"/>
      <c r="E771" s="188"/>
    </row>
    <row r="772" ht="22.5" hidden="1" customHeight="1">
      <c r="A772" s="188"/>
      <c r="B772" s="188"/>
      <c r="C772" s="188"/>
      <c r="D772" s="188"/>
      <c r="E772" s="188"/>
    </row>
    <row r="773" ht="22.5" hidden="1" customHeight="1">
      <c r="A773" s="188"/>
      <c r="B773" s="188"/>
      <c r="C773" s="188"/>
      <c r="D773" s="188"/>
      <c r="E773" s="188"/>
    </row>
    <row r="774" ht="22.5" hidden="1" customHeight="1">
      <c r="A774" s="188"/>
      <c r="B774" s="188"/>
      <c r="C774" s="188"/>
      <c r="D774" s="188"/>
      <c r="E774" s="188"/>
    </row>
    <row r="775" ht="22.5" hidden="1" customHeight="1">
      <c r="A775" s="188"/>
      <c r="B775" s="188"/>
      <c r="C775" s="188"/>
      <c r="D775" s="188"/>
      <c r="E775" s="188"/>
    </row>
    <row r="776" ht="22.5" hidden="1" customHeight="1">
      <c r="A776" s="188"/>
      <c r="B776" s="188"/>
      <c r="C776" s="188"/>
      <c r="D776" s="188"/>
      <c r="E776" s="188"/>
    </row>
    <row r="777" ht="22.5" hidden="1" customHeight="1">
      <c r="A777" s="188"/>
      <c r="B777" s="188"/>
      <c r="C777" s="188"/>
      <c r="D777" s="188"/>
      <c r="E777" s="188"/>
    </row>
    <row r="778" ht="22.5" hidden="1" customHeight="1">
      <c r="A778" s="188"/>
      <c r="B778" s="188"/>
      <c r="C778" s="188"/>
      <c r="D778" s="188"/>
      <c r="E778" s="188"/>
    </row>
    <row r="779" ht="22.5" hidden="1" customHeight="1">
      <c r="A779" s="188"/>
      <c r="B779" s="188"/>
      <c r="C779" s="188"/>
      <c r="D779" s="188"/>
      <c r="E779" s="188"/>
    </row>
    <row r="780" ht="22.5" hidden="1" customHeight="1">
      <c r="A780" s="188"/>
      <c r="B780" s="188"/>
      <c r="C780" s="188"/>
      <c r="D780" s="188"/>
      <c r="E780" s="188"/>
    </row>
    <row r="781" ht="22.5" hidden="1" customHeight="1">
      <c r="A781" s="188"/>
      <c r="B781" s="188"/>
      <c r="C781" s="188"/>
      <c r="D781" s="188"/>
      <c r="E781" s="188"/>
    </row>
    <row r="782" ht="22.5" hidden="1" customHeight="1">
      <c r="A782" s="188"/>
      <c r="B782" s="188"/>
      <c r="C782" s="188"/>
      <c r="D782" s="188"/>
      <c r="E782" s="188"/>
    </row>
    <row r="783" ht="22.5" hidden="1" customHeight="1">
      <c r="A783" s="188"/>
      <c r="B783" s="188"/>
      <c r="C783" s="188"/>
      <c r="D783" s="188"/>
      <c r="E783" s="188"/>
    </row>
    <row r="784" ht="22.5" hidden="1" customHeight="1">
      <c r="A784" s="188"/>
      <c r="B784" s="188"/>
      <c r="C784" s="188"/>
      <c r="D784" s="188"/>
      <c r="E784" s="188"/>
    </row>
    <row r="785" ht="22.5" hidden="1" customHeight="1">
      <c r="A785" s="188"/>
      <c r="B785" s="188"/>
      <c r="C785" s="188"/>
      <c r="D785" s="188"/>
      <c r="E785" s="188"/>
    </row>
    <row r="786" ht="22.5" hidden="1" customHeight="1">
      <c r="A786" s="188"/>
      <c r="B786" s="188"/>
      <c r="C786" s="188"/>
      <c r="D786" s="188"/>
      <c r="E786" s="188"/>
    </row>
    <row r="787" ht="22.5" hidden="1" customHeight="1">
      <c r="A787" s="188"/>
      <c r="B787" s="188"/>
      <c r="C787" s="188"/>
      <c r="D787" s="188"/>
      <c r="E787" s="188"/>
    </row>
    <row r="788" ht="22.5" hidden="1" customHeight="1">
      <c r="A788" s="188"/>
      <c r="B788" s="188"/>
      <c r="C788" s="188"/>
      <c r="D788" s="188"/>
      <c r="E788" s="188"/>
    </row>
    <row r="789" ht="22.5" hidden="1" customHeight="1">
      <c r="A789" s="188"/>
      <c r="B789" s="188"/>
      <c r="C789" s="188"/>
      <c r="D789" s="188"/>
      <c r="E789" s="188"/>
    </row>
    <row r="790" ht="22.5" hidden="1" customHeight="1">
      <c r="A790" s="188"/>
      <c r="B790" s="188"/>
      <c r="C790" s="188"/>
      <c r="D790" s="188"/>
      <c r="E790" s="188"/>
    </row>
    <row r="791" ht="22.5" hidden="1" customHeight="1">
      <c r="A791" s="188"/>
      <c r="B791" s="188"/>
      <c r="C791" s="188"/>
      <c r="D791" s="188"/>
      <c r="E791" s="188"/>
    </row>
    <row r="792" ht="22.5" hidden="1" customHeight="1">
      <c r="A792" s="188"/>
      <c r="B792" s="188"/>
      <c r="C792" s="188"/>
      <c r="D792" s="188"/>
      <c r="E792" s="188"/>
    </row>
    <row r="793" ht="22.5" hidden="1" customHeight="1">
      <c r="A793" s="188"/>
      <c r="B793" s="188"/>
      <c r="C793" s="188"/>
      <c r="D793" s="188"/>
      <c r="E793" s="188"/>
    </row>
    <row r="794" ht="22.5" hidden="1" customHeight="1">
      <c r="A794" s="188"/>
      <c r="B794" s="188"/>
      <c r="C794" s="188"/>
      <c r="D794" s="188"/>
      <c r="E794" s="188"/>
    </row>
    <row r="795" ht="22.5" hidden="1" customHeight="1">
      <c r="A795" s="188"/>
      <c r="B795" s="188"/>
      <c r="C795" s="188"/>
      <c r="D795" s="188"/>
      <c r="E795" s="188"/>
    </row>
    <row r="796" ht="22.5" hidden="1" customHeight="1">
      <c r="A796" s="188"/>
      <c r="B796" s="188"/>
      <c r="C796" s="188"/>
      <c r="D796" s="188"/>
      <c r="E796" s="188"/>
    </row>
    <row r="797" ht="22.5" hidden="1" customHeight="1">
      <c r="A797" s="188"/>
      <c r="B797" s="188"/>
      <c r="C797" s="188"/>
      <c r="D797" s="188"/>
      <c r="E797" s="188"/>
    </row>
    <row r="798" ht="22.5" hidden="1" customHeight="1">
      <c r="A798" s="188"/>
      <c r="B798" s="188"/>
      <c r="C798" s="188"/>
      <c r="D798" s="188"/>
      <c r="E798" s="188"/>
    </row>
    <row r="799" ht="22.5" hidden="1" customHeight="1">
      <c r="A799" s="188"/>
      <c r="B799" s="188"/>
      <c r="C799" s="188"/>
      <c r="D799" s="188"/>
      <c r="E799" s="188"/>
    </row>
    <row r="800" ht="22.5" hidden="1" customHeight="1">
      <c r="A800" s="188"/>
      <c r="B800" s="188"/>
      <c r="C800" s="188"/>
      <c r="D800" s="188"/>
      <c r="E800" s="188"/>
    </row>
    <row r="801" ht="22.5" hidden="1" customHeight="1">
      <c r="A801" s="188"/>
      <c r="B801" s="188"/>
      <c r="C801" s="188"/>
      <c r="D801" s="188"/>
      <c r="E801" s="188"/>
    </row>
    <row r="802" ht="22.5" hidden="1" customHeight="1">
      <c r="A802" s="188"/>
      <c r="B802" s="188"/>
      <c r="C802" s="188"/>
      <c r="D802" s="188"/>
      <c r="E802" s="188"/>
    </row>
    <row r="803" ht="22.5" hidden="1" customHeight="1">
      <c r="A803" s="188"/>
      <c r="B803" s="188"/>
      <c r="C803" s="188"/>
      <c r="D803" s="188"/>
      <c r="E803" s="188"/>
    </row>
    <row r="804" ht="22.5" hidden="1" customHeight="1">
      <c r="A804" s="188"/>
      <c r="B804" s="188"/>
      <c r="C804" s="188"/>
      <c r="D804" s="188"/>
      <c r="E804" s="188"/>
    </row>
    <row r="805" ht="22.5" hidden="1" customHeight="1">
      <c r="A805" s="188"/>
      <c r="B805" s="188"/>
      <c r="C805" s="188"/>
      <c r="D805" s="188"/>
      <c r="E805" s="188"/>
    </row>
    <row r="806" ht="22.5" hidden="1" customHeight="1">
      <c r="A806" s="188"/>
      <c r="B806" s="188"/>
      <c r="C806" s="188"/>
      <c r="D806" s="188"/>
      <c r="E806" s="188"/>
    </row>
    <row r="807" ht="22.5" hidden="1" customHeight="1">
      <c r="A807" s="188"/>
      <c r="B807" s="188"/>
      <c r="C807" s="188"/>
      <c r="D807" s="188"/>
      <c r="E807" s="188"/>
    </row>
    <row r="808" ht="22.5" hidden="1" customHeight="1">
      <c r="A808" s="188"/>
      <c r="B808" s="188"/>
      <c r="C808" s="188"/>
      <c r="D808" s="188"/>
      <c r="E808" s="188"/>
    </row>
    <row r="809" ht="22.5" hidden="1" customHeight="1">
      <c r="A809" s="188"/>
      <c r="B809" s="188"/>
      <c r="C809" s="188"/>
      <c r="D809" s="188"/>
      <c r="E809" s="188"/>
    </row>
    <row r="810" ht="22.5" hidden="1" customHeight="1">
      <c r="A810" s="188"/>
      <c r="B810" s="188"/>
      <c r="C810" s="188"/>
      <c r="D810" s="188"/>
      <c r="E810" s="188"/>
    </row>
    <row r="811" ht="22.5" hidden="1" customHeight="1">
      <c r="A811" s="188"/>
      <c r="B811" s="188"/>
      <c r="C811" s="188"/>
      <c r="D811" s="188"/>
      <c r="E811" s="188"/>
    </row>
    <row r="812" ht="22.5" hidden="1" customHeight="1">
      <c r="A812" s="188"/>
      <c r="B812" s="188"/>
      <c r="C812" s="188"/>
      <c r="D812" s="188"/>
      <c r="E812" s="188"/>
    </row>
    <row r="813" ht="22.5" hidden="1" customHeight="1">
      <c r="A813" s="188"/>
      <c r="B813" s="188"/>
      <c r="C813" s="188"/>
      <c r="D813" s="188"/>
      <c r="E813" s="188"/>
    </row>
    <row r="814" ht="22.5" hidden="1" customHeight="1">
      <c r="A814" s="188"/>
      <c r="B814" s="188"/>
      <c r="C814" s="188"/>
      <c r="D814" s="188"/>
      <c r="E814" s="188"/>
    </row>
    <row r="815" ht="22.5" hidden="1" customHeight="1">
      <c r="A815" s="188"/>
      <c r="B815" s="188"/>
      <c r="C815" s="188"/>
      <c r="D815" s="188"/>
      <c r="E815" s="188"/>
    </row>
    <row r="816" ht="22.5" hidden="1" customHeight="1">
      <c r="A816" s="188"/>
      <c r="B816" s="188"/>
      <c r="C816" s="188"/>
      <c r="D816" s="188"/>
      <c r="E816" s="188"/>
    </row>
    <row r="817" ht="22.5" hidden="1" customHeight="1">
      <c r="A817" s="188"/>
      <c r="B817" s="188"/>
      <c r="C817" s="188"/>
      <c r="D817" s="188"/>
      <c r="E817" s="188"/>
    </row>
    <row r="818" ht="22.5" hidden="1" customHeight="1">
      <c r="A818" s="188"/>
      <c r="B818" s="188"/>
      <c r="C818" s="188"/>
      <c r="D818" s="188"/>
      <c r="E818" s="188"/>
    </row>
    <row r="819" ht="22.5" hidden="1" customHeight="1">
      <c r="A819" s="188"/>
      <c r="B819" s="188"/>
      <c r="C819" s="188"/>
      <c r="D819" s="188"/>
      <c r="E819" s="188"/>
    </row>
    <row r="820" ht="22.5" hidden="1" customHeight="1">
      <c r="A820" s="188"/>
      <c r="B820" s="188"/>
      <c r="C820" s="188"/>
      <c r="D820" s="188"/>
      <c r="E820" s="188"/>
    </row>
    <row r="821" ht="22.5" hidden="1" customHeight="1">
      <c r="A821" s="188"/>
      <c r="B821" s="188"/>
      <c r="C821" s="188"/>
      <c r="D821" s="188"/>
      <c r="E821" s="188"/>
    </row>
    <row r="822" ht="22.5" hidden="1" customHeight="1">
      <c r="A822" s="188"/>
      <c r="B822" s="188"/>
      <c r="C822" s="188"/>
      <c r="D822" s="188"/>
      <c r="E822" s="188"/>
    </row>
    <row r="823" ht="22.5" hidden="1" customHeight="1">
      <c r="A823" s="188"/>
      <c r="B823" s="188"/>
      <c r="C823" s="188"/>
      <c r="D823" s="188"/>
      <c r="E823" s="188"/>
    </row>
    <row r="824" ht="22.5" hidden="1" customHeight="1">
      <c r="A824" s="188"/>
      <c r="B824" s="188"/>
      <c r="C824" s="188"/>
      <c r="D824" s="188"/>
      <c r="E824" s="188"/>
    </row>
    <row r="825" ht="22.5" hidden="1" customHeight="1">
      <c r="A825" s="188"/>
      <c r="B825" s="188"/>
      <c r="C825" s="188"/>
      <c r="D825" s="188"/>
      <c r="E825" s="188"/>
    </row>
    <row r="826" ht="22.5" hidden="1" customHeight="1">
      <c r="A826" s="188"/>
      <c r="B826" s="188"/>
      <c r="C826" s="188"/>
      <c r="D826" s="188"/>
      <c r="E826" s="188"/>
    </row>
    <row r="827" ht="22.5" hidden="1" customHeight="1">
      <c r="A827" s="188"/>
      <c r="B827" s="188"/>
      <c r="C827" s="188"/>
      <c r="D827" s="188"/>
      <c r="E827" s="188"/>
    </row>
    <row r="828" ht="22.5" hidden="1" customHeight="1">
      <c r="A828" s="188"/>
      <c r="B828" s="188"/>
      <c r="C828" s="188"/>
      <c r="D828" s="188"/>
      <c r="E828" s="188"/>
    </row>
    <row r="829" ht="22.5" hidden="1" customHeight="1">
      <c r="A829" s="188"/>
      <c r="B829" s="188"/>
      <c r="C829" s="188"/>
      <c r="D829" s="188"/>
      <c r="E829" s="188"/>
    </row>
    <row r="830" ht="22.5" hidden="1" customHeight="1">
      <c r="A830" s="188"/>
      <c r="B830" s="188"/>
      <c r="C830" s="188"/>
      <c r="D830" s="188"/>
      <c r="E830" s="188"/>
    </row>
    <row r="831" ht="22.5" hidden="1" customHeight="1">
      <c r="A831" s="188"/>
      <c r="B831" s="188"/>
      <c r="C831" s="188"/>
      <c r="D831" s="188"/>
      <c r="E831" s="188"/>
    </row>
    <row r="832" ht="22.5" hidden="1" customHeight="1">
      <c r="A832" s="188"/>
      <c r="B832" s="188"/>
      <c r="C832" s="188"/>
      <c r="D832" s="188"/>
      <c r="E832" s="188"/>
    </row>
    <row r="833" ht="22.5" hidden="1" customHeight="1">
      <c r="A833" s="188"/>
      <c r="B833" s="188"/>
      <c r="C833" s="188"/>
      <c r="D833" s="188"/>
      <c r="E833" s="188"/>
    </row>
    <row r="834" ht="22.5" hidden="1" customHeight="1">
      <c r="A834" s="188"/>
      <c r="B834" s="188"/>
      <c r="C834" s="188"/>
      <c r="D834" s="188"/>
      <c r="E834" s="188"/>
    </row>
    <row r="835" ht="22.5" hidden="1" customHeight="1">
      <c r="A835" s="188"/>
      <c r="B835" s="188"/>
      <c r="C835" s="188"/>
      <c r="D835" s="188"/>
      <c r="E835" s="188"/>
    </row>
    <row r="836" ht="22.5" hidden="1" customHeight="1">
      <c r="A836" s="188"/>
      <c r="B836" s="188"/>
      <c r="C836" s="188"/>
      <c r="D836" s="188"/>
      <c r="E836" s="188"/>
    </row>
    <row r="837" ht="22.5" hidden="1" customHeight="1">
      <c r="A837" s="188"/>
      <c r="B837" s="188"/>
      <c r="C837" s="188"/>
      <c r="D837" s="188"/>
      <c r="E837" s="188"/>
    </row>
    <row r="838" ht="22.5" hidden="1" customHeight="1">
      <c r="A838" s="188"/>
      <c r="B838" s="188"/>
      <c r="C838" s="188"/>
      <c r="D838" s="188"/>
      <c r="E838" s="188"/>
    </row>
    <row r="839" ht="22.5" hidden="1" customHeight="1">
      <c r="A839" s="188"/>
      <c r="B839" s="188"/>
      <c r="C839" s="188"/>
      <c r="D839" s="188"/>
      <c r="E839" s="188"/>
    </row>
    <row r="840" ht="22.5" hidden="1" customHeight="1">
      <c r="A840" s="188"/>
      <c r="B840" s="188"/>
      <c r="C840" s="188"/>
      <c r="D840" s="188"/>
      <c r="E840" s="188"/>
    </row>
    <row r="841" ht="22.5" hidden="1" customHeight="1">
      <c r="A841" s="188"/>
      <c r="B841" s="188"/>
      <c r="C841" s="188"/>
      <c r="D841" s="188"/>
      <c r="E841" s="188"/>
    </row>
    <row r="842" ht="22.5" hidden="1" customHeight="1">
      <c r="A842" s="188"/>
      <c r="B842" s="188"/>
      <c r="C842" s="188"/>
      <c r="D842" s="188"/>
      <c r="E842" s="188"/>
    </row>
    <row r="843" ht="22.5" hidden="1" customHeight="1">
      <c r="A843" s="188"/>
      <c r="B843" s="188"/>
      <c r="C843" s="188"/>
      <c r="D843" s="188"/>
      <c r="E843" s="188"/>
    </row>
    <row r="844" ht="22.5" hidden="1" customHeight="1">
      <c r="A844" s="188"/>
      <c r="B844" s="188"/>
      <c r="C844" s="188"/>
      <c r="D844" s="188"/>
      <c r="E844" s="188"/>
    </row>
    <row r="845" ht="22.5" hidden="1" customHeight="1">
      <c r="A845" s="188"/>
      <c r="B845" s="188"/>
      <c r="C845" s="188"/>
      <c r="D845" s="188"/>
      <c r="E845" s="188"/>
    </row>
    <row r="846" ht="22.5" hidden="1" customHeight="1">
      <c r="A846" s="188"/>
      <c r="B846" s="188"/>
      <c r="C846" s="188"/>
      <c r="D846" s="188"/>
      <c r="E846" s="188"/>
    </row>
    <row r="847" ht="22.5" hidden="1" customHeight="1">
      <c r="A847" s="188"/>
      <c r="B847" s="188"/>
      <c r="C847" s="188"/>
      <c r="D847" s="188"/>
      <c r="E847" s="188"/>
    </row>
    <row r="848" ht="22.5" hidden="1" customHeight="1">
      <c r="A848" s="188"/>
      <c r="B848" s="188"/>
      <c r="C848" s="188"/>
      <c r="D848" s="188"/>
      <c r="E848" s="188"/>
    </row>
    <row r="849" ht="22.5" hidden="1" customHeight="1">
      <c r="A849" s="188"/>
      <c r="B849" s="188"/>
      <c r="C849" s="188"/>
      <c r="D849" s="188"/>
      <c r="E849" s="188"/>
    </row>
    <row r="850" ht="22.5" hidden="1" customHeight="1">
      <c r="A850" s="188"/>
      <c r="B850" s="188"/>
      <c r="C850" s="188"/>
      <c r="D850" s="188"/>
      <c r="E850" s="188"/>
    </row>
    <row r="851" ht="22.5" hidden="1" customHeight="1">
      <c r="A851" s="188"/>
      <c r="B851" s="188"/>
      <c r="C851" s="188"/>
      <c r="D851" s="188"/>
      <c r="E851" s="188"/>
    </row>
    <row r="852" ht="22.5" hidden="1" customHeight="1">
      <c r="A852" s="188"/>
      <c r="B852" s="188"/>
      <c r="C852" s="188"/>
      <c r="D852" s="188"/>
      <c r="E852" s="188"/>
    </row>
    <row r="853" ht="22.5" hidden="1" customHeight="1">
      <c r="A853" s="188"/>
      <c r="B853" s="188"/>
      <c r="C853" s="188"/>
      <c r="D853" s="188"/>
      <c r="E853" s="188"/>
    </row>
    <row r="854" ht="22.5" hidden="1" customHeight="1">
      <c r="A854" s="188"/>
      <c r="B854" s="188"/>
      <c r="C854" s="188"/>
      <c r="D854" s="188"/>
      <c r="E854" s="188"/>
    </row>
    <row r="855" ht="22.5" hidden="1" customHeight="1">
      <c r="A855" s="188"/>
      <c r="B855" s="188"/>
      <c r="C855" s="188"/>
      <c r="D855" s="188"/>
      <c r="E855" s="188"/>
    </row>
    <row r="856" ht="22.5" hidden="1" customHeight="1">
      <c r="A856" s="188"/>
      <c r="B856" s="188"/>
      <c r="C856" s="188"/>
      <c r="D856" s="188"/>
      <c r="E856" s="188"/>
    </row>
    <row r="857" ht="22.5" hidden="1" customHeight="1">
      <c r="A857" s="188"/>
      <c r="B857" s="188"/>
      <c r="C857" s="188"/>
      <c r="D857" s="188"/>
      <c r="E857" s="188"/>
    </row>
    <row r="858" ht="22.5" hidden="1" customHeight="1">
      <c r="A858" s="188"/>
      <c r="B858" s="188"/>
      <c r="C858" s="188"/>
      <c r="D858" s="188"/>
      <c r="E858" s="188"/>
    </row>
    <row r="859" ht="22.5" hidden="1" customHeight="1">
      <c r="A859" s="188"/>
      <c r="B859" s="188"/>
      <c r="C859" s="188"/>
      <c r="D859" s="188"/>
      <c r="E859" s="188"/>
    </row>
    <row r="860" ht="22.5" hidden="1" customHeight="1">
      <c r="A860" s="188"/>
      <c r="B860" s="188"/>
      <c r="C860" s="188"/>
      <c r="D860" s="188"/>
      <c r="E860" s="188"/>
    </row>
    <row r="861" ht="22.5" hidden="1" customHeight="1">
      <c r="A861" s="188"/>
      <c r="B861" s="188"/>
      <c r="C861" s="188"/>
      <c r="D861" s="188"/>
      <c r="E861" s="188"/>
    </row>
    <row r="862" ht="22.5" hidden="1" customHeight="1">
      <c r="A862" s="188"/>
      <c r="B862" s="188"/>
      <c r="C862" s="188"/>
      <c r="D862" s="188"/>
      <c r="E862" s="188"/>
    </row>
    <row r="863" ht="22.5" hidden="1" customHeight="1">
      <c r="A863" s="188"/>
      <c r="B863" s="188"/>
      <c r="C863" s="188"/>
      <c r="D863" s="188"/>
      <c r="E863" s="188"/>
    </row>
    <row r="864" ht="22.5" hidden="1" customHeight="1">
      <c r="A864" s="188"/>
      <c r="B864" s="188"/>
      <c r="C864" s="188"/>
      <c r="D864" s="188"/>
      <c r="E864" s="188"/>
    </row>
    <row r="865" ht="22.5" hidden="1" customHeight="1">
      <c r="A865" s="188"/>
      <c r="B865" s="188"/>
      <c r="C865" s="188"/>
      <c r="D865" s="188"/>
      <c r="E865" s="188"/>
    </row>
    <row r="866" ht="22.5" hidden="1" customHeight="1">
      <c r="A866" s="188"/>
      <c r="B866" s="188"/>
      <c r="C866" s="188"/>
      <c r="D866" s="188"/>
      <c r="E866" s="188"/>
    </row>
    <row r="867" ht="22.5" hidden="1" customHeight="1">
      <c r="A867" s="188"/>
      <c r="B867" s="188"/>
      <c r="C867" s="188"/>
      <c r="D867" s="188"/>
      <c r="E867" s="188"/>
    </row>
    <row r="868" ht="22.5" hidden="1" customHeight="1">
      <c r="A868" s="188"/>
      <c r="B868" s="188"/>
      <c r="C868" s="188"/>
      <c r="D868" s="188"/>
      <c r="E868" s="188"/>
    </row>
    <row r="869" ht="22.5" hidden="1" customHeight="1">
      <c r="A869" s="188"/>
      <c r="B869" s="188"/>
      <c r="C869" s="188"/>
      <c r="D869" s="188"/>
      <c r="E869" s="188"/>
    </row>
    <row r="870" ht="22.5" hidden="1" customHeight="1">
      <c r="A870" s="188"/>
      <c r="B870" s="188"/>
      <c r="C870" s="188"/>
      <c r="D870" s="188"/>
      <c r="E870" s="188"/>
    </row>
    <row r="871" ht="22.5" hidden="1" customHeight="1">
      <c r="A871" s="188"/>
      <c r="B871" s="188"/>
      <c r="C871" s="188"/>
      <c r="D871" s="188"/>
      <c r="E871" s="188"/>
    </row>
    <row r="872" ht="22.5" hidden="1" customHeight="1">
      <c r="A872" s="188"/>
      <c r="B872" s="188"/>
      <c r="C872" s="188"/>
      <c r="D872" s="188"/>
      <c r="E872" s="188"/>
    </row>
    <row r="873" ht="22.5" hidden="1" customHeight="1">
      <c r="A873" s="188"/>
      <c r="B873" s="188"/>
      <c r="C873" s="188"/>
      <c r="D873" s="188"/>
      <c r="E873" s="188"/>
    </row>
    <row r="874" ht="22.5" hidden="1" customHeight="1">
      <c r="A874" s="188"/>
      <c r="B874" s="188"/>
      <c r="C874" s="188"/>
      <c r="D874" s="188"/>
      <c r="E874" s="188"/>
    </row>
    <row r="875" ht="22.5" hidden="1" customHeight="1">
      <c r="A875" s="188"/>
      <c r="B875" s="188"/>
      <c r="C875" s="188"/>
      <c r="D875" s="188"/>
      <c r="E875" s="188"/>
    </row>
    <row r="876" ht="22.5" hidden="1" customHeight="1">
      <c r="A876" s="188"/>
      <c r="B876" s="188"/>
      <c r="C876" s="188"/>
      <c r="D876" s="188"/>
      <c r="E876" s="188"/>
    </row>
    <row r="877" ht="22.5" hidden="1" customHeight="1">
      <c r="A877" s="188"/>
      <c r="B877" s="188"/>
      <c r="C877" s="188"/>
      <c r="D877" s="188"/>
      <c r="E877" s="188"/>
    </row>
    <row r="878" ht="22.5" hidden="1" customHeight="1">
      <c r="A878" s="188"/>
      <c r="B878" s="188"/>
      <c r="C878" s="188"/>
      <c r="D878" s="188"/>
      <c r="E878" s="188"/>
    </row>
    <row r="879" ht="22.5" hidden="1" customHeight="1">
      <c r="A879" s="188"/>
      <c r="B879" s="188"/>
      <c r="C879" s="188"/>
      <c r="D879" s="188"/>
      <c r="E879" s="188"/>
    </row>
    <row r="880" ht="22.5" hidden="1" customHeight="1">
      <c r="A880" s="188"/>
      <c r="B880" s="188"/>
      <c r="C880" s="188"/>
      <c r="D880" s="188"/>
      <c r="E880" s="188"/>
    </row>
    <row r="881" ht="22.5" hidden="1" customHeight="1">
      <c r="A881" s="188"/>
      <c r="B881" s="188"/>
      <c r="C881" s="188"/>
      <c r="D881" s="188"/>
      <c r="E881" s="188"/>
    </row>
    <row r="882" ht="22.5" hidden="1" customHeight="1">
      <c r="A882" s="188"/>
      <c r="B882" s="188"/>
      <c r="C882" s="188"/>
      <c r="D882" s="188"/>
      <c r="E882" s="188"/>
    </row>
    <row r="883" ht="22.5" hidden="1" customHeight="1">
      <c r="A883" s="188"/>
      <c r="B883" s="188"/>
      <c r="C883" s="188"/>
      <c r="D883" s="188"/>
      <c r="E883" s="188"/>
    </row>
    <row r="884" ht="22.5" hidden="1" customHeight="1">
      <c r="A884" s="188"/>
      <c r="B884" s="188"/>
      <c r="C884" s="188"/>
      <c r="D884" s="188"/>
      <c r="E884" s="188"/>
    </row>
    <row r="885" ht="22.5" hidden="1" customHeight="1">
      <c r="A885" s="188"/>
      <c r="B885" s="188"/>
      <c r="C885" s="188"/>
      <c r="D885" s="188"/>
      <c r="E885" s="188"/>
    </row>
    <row r="886" ht="22.5" hidden="1" customHeight="1">
      <c r="A886" s="188"/>
      <c r="B886" s="188"/>
      <c r="C886" s="188"/>
      <c r="D886" s="188"/>
      <c r="E886" s="188"/>
    </row>
    <row r="887" ht="22.5" hidden="1" customHeight="1">
      <c r="A887" s="188"/>
      <c r="B887" s="188"/>
      <c r="C887" s="188"/>
      <c r="D887" s="188"/>
      <c r="E887" s="188"/>
    </row>
    <row r="888" ht="22.5" hidden="1" customHeight="1">
      <c r="A888" s="188"/>
      <c r="B888" s="188"/>
      <c r="C888" s="188"/>
      <c r="D888" s="188"/>
      <c r="E888" s="188"/>
    </row>
    <row r="889" ht="22.5" hidden="1" customHeight="1">
      <c r="A889" s="188"/>
      <c r="B889" s="188"/>
      <c r="C889" s="188"/>
      <c r="D889" s="188"/>
      <c r="E889" s="188"/>
    </row>
    <row r="890" ht="22.5" hidden="1" customHeight="1">
      <c r="A890" s="188"/>
      <c r="B890" s="188"/>
      <c r="C890" s="188"/>
      <c r="D890" s="188"/>
      <c r="E890" s="188"/>
    </row>
    <row r="891" ht="22.5" hidden="1" customHeight="1">
      <c r="A891" s="188"/>
      <c r="B891" s="188"/>
      <c r="C891" s="188"/>
      <c r="D891" s="188"/>
      <c r="E891" s="188"/>
    </row>
    <row r="892" ht="22.5" hidden="1" customHeight="1">
      <c r="A892" s="188"/>
      <c r="B892" s="188"/>
      <c r="C892" s="188"/>
      <c r="D892" s="188"/>
      <c r="E892" s="188"/>
    </row>
    <row r="893" ht="22.5" hidden="1" customHeight="1">
      <c r="A893" s="188"/>
      <c r="B893" s="188"/>
      <c r="C893" s="188"/>
      <c r="D893" s="188"/>
      <c r="E893" s="188"/>
    </row>
    <row r="894" ht="22.5" hidden="1" customHeight="1">
      <c r="A894" s="188"/>
      <c r="B894" s="188"/>
      <c r="C894" s="188"/>
      <c r="D894" s="188"/>
      <c r="E894" s="188"/>
    </row>
    <row r="895" ht="22.5" hidden="1" customHeight="1">
      <c r="A895" s="188"/>
      <c r="B895" s="188"/>
      <c r="C895" s="188"/>
      <c r="D895" s="188"/>
      <c r="E895" s="188"/>
    </row>
    <row r="896" ht="22.5" hidden="1" customHeight="1">
      <c r="A896" s="188"/>
      <c r="B896" s="188"/>
      <c r="C896" s="188"/>
      <c r="D896" s="188"/>
      <c r="E896" s="188"/>
    </row>
    <row r="897" ht="22.5" hidden="1" customHeight="1">
      <c r="A897" s="188"/>
      <c r="B897" s="188"/>
      <c r="C897" s="188"/>
      <c r="D897" s="188"/>
      <c r="E897" s="188"/>
    </row>
    <row r="898" ht="22.5" hidden="1" customHeight="1">
      <c r="A898" s="188"/>
      <c r="B898" s="188"/>
      <c r="C898" s="188"/>
      <c r="D898" s="188"/>
      <c r="E898" s="188"/>
    </row>
    <row r="899" ht="22.5" hidden="1" customHeight="1">
      <c r="A899" s="188"/>
      <c r="B899" s="188"/>
      <c r="C899" s="188"/>
      <c r="D899" s="188"/>
      <c r="E899" s="188"/>
    </row>
    <row r="900" ht="22.5" hidden="1" customHeight="1">
      <c r="A900" s="188"/>
      <c r="B900" s="188"/>
      <c r="C900" s="188"/>
      <c r="D900" s="188"/>
      <c r="E900" s="188"/>
    </row>
    <row r="901" ht="22.5" hidden="1" customHeight="1">
      <c r="A901" s="188"/>
      <c r="B901" s="188"/>
      <c r="C901" s="188"/>
      <c r="D901" s="188"/>
      <c r="E901" s="188"/>
    </row>
    <row r="902" ht="22.5" hidden="1" customHeight="1">
      <c r="A902" s="188"/>
      <c r="B902" s="188"/>
      <c r="C902" s="188"/>
      <c r="D902" s="188"/>
      <c r="E902" s="188"/>
    </row>
    <row r="903" ht="22.5" hidden="1" customHeight="1">
      <c r="A903" s="188"/>
      <c r="B903" s="188"/>
      <c r="C903" s="188"/>
      <c r="D903" s="188"/>
      <c r="E903" s="188"/>
    </row>
    <row r="904" ht="22.5" hidden="1" customHeight="1">
      <c r="A904" s="188"/>
      <c r="B904" s="188"/>
      <c r="C904" s="188"/>
      <c r="D904" s="188"/>
      <c r="E904" s="188"/>
    </row>
    <row r="905" ht="22.5" hidden="1" customHeight="1">
      <c r="A905" s="188"/>
      <c r="B905" s="188"/>
      <c r="C905" s="188"/>
      <c r="D905" s="188"/>
      <c r="E905" s="188"/>
    </row>
    <row r="906" ht="22.5" hidden="1" customHeight="1">
      <c r="A906" s="188"/>
      <c r="B906" s="188"/>
      <c r="C906" s="188"/>
      <c r="D906" s="188"/>
      <c r="E906" s="188"/>
    </row>
    <row r="907" ht="22.5" hidden="1" customHeight="1">
      <c r="A907" s="188"/>
      <c r="B907" s="188"/>
      <c r="C907" s="188"/>
      <c r="D907" s="188"/>
      <c r="E907" s="188"/>
    </row>
    <row r="908" ht="22.5" hidden="1" customHeight="1">
      <c r="A908" s="188"/>
      <c r="B908" s="188"/>
      <c r="C908" s="188"/>
      <c r="D908" s="188"/>
      <c r="E908" s="188"/>
    </row>
    <row r="909" ht="22.5" hidden="1" customHeight="1">
      <c r="A909" s="188"/>
      <c r="B909" s="188"/>
      <c r="C909" s="188"/>
      <c r="D909" s="188"/>
      <c r="E909" s="188"/>
    </row>
    <row r="910" ht="22.5" hidden="1" customHeight="1">
      <c r="A910" s="188"/>
      <c r="B910" s="188"/>
      <c r="C910" s="188"/>
      <c r="D910" s="188"/>
      <c r="E910" s="188"/>
    </row>
    <row r="911" ht="22.5" hidden="1" customHeight="1">
      <c r="A911" s="188"/>
      <c r="B911" s="188"/>
      <c r="C911" s="188"/>
      <c r="D911" s="188"/>
      <c r="E911" s="188"/>
    </row>
    <row r="912" ht="22.5" hidden="1" customHeight="1">
      <c r="A912" s="188"/>
      <c r="B912" s="188"/>
      <c r="C912" s="188"/>
      <c r="D912" s="188"/>
      <c r="E912" s="188"/>
    </row>
    <row r="913" ht="22.5" hidden="1" customHeight="1">
      <c r="A913" s="188"/>
      <c r="B913" s="188"/>
      <c r="C913" s="188"/>
      <c r="D913" s="188"/>
      <c r="E913" s="188"/>
    </row>
    <row r="914" ht="22.5" hidden="1" customHeight="1">
      <c r="A914" s="188"/>
      <c r="B914" s="188"/>
      <c r="C914" s="188"/>
      <c r="D914" s="188"/>
      <c r="E914" s="188"/>
    </row>
    <row r="915" ht="22.5" hidden="1" customHeight="1">
      <c r="A915" s="188"/>
      <c r="B915" s="188"/>
      <c r="C915" s="188"/>
      <c r="D915" s="188"/>
      <c r="E915" s="188"/>
    </row>
    <row r="916" ht="22.5" hidden="1" customHeight="1">
      <c r="A916" s="188"/>
      <c r="B916" s="188"/>
      <c r="C916" s="188"/>
      <c r="D916" s="188"/>
      <c r="E916" s="188"/>
    </row>
    <row r="917" ht="22.5" hidden="1" customHeight="1">
      <c r="A917" s="188"/>
      <c r="B917" s="188"/>
      <c r="C917" s="188"/>
      <c r="D917" s="188"/>
      <c r="E917" s="188"/>
    </row>
    <row r="918" ht="22.5" hidden="1" customHeight="1">
      <c r="A918" s="188"/>
      <c r="B918" s="188"/>
      <c r="C918" s="188"/>
      <c r="D918" s="188"/>
      <c r="E918" s="188"/>
    </row>
    <row r="919" ht="22.5" hidden="1" customHeight="1">
      <c r="A919" s="188"/>
      <c r="B919" s="188"/>
      <c r="C919" s="188"/>
      <c r="D919" s="188"/>
      <c r="E919" s="188"/>
    </row>
    <row r="920" ht="22.5" hidden="1" customHeight="1">
      <c r="A920" s="188"/>
      <c r="B920" s="188"/>
      <c r="C920" s="188"/>
      <c r="D920" s="188"/>
      <c r="E920" s="188"/>
    </row>
    <row r="921" ht="22.5" hidden="1" customHeight="1">
      <c r="A921" s="188"/>
      <c r="B921" s="188"/>
      <c r="C921" s="188"/>
      <c r="D921" s="188"/>
      <c r="E921" s="188"/>
    </row>
    <row r="922" ht="22.5" hidden="1" customHeight="1">
      <c r="A922" s="188"/>
      <c r="B922" s="188"/>
      <c r="C922" s="188"/>
      <c r="D922" s="188"/>
      <c r="E922" s="188"/>
    </row>
    <row r="923" ht="22.5" hidden="1" customHeight="1">
      <c r="A923" s="188"/>
      <c r="B923" s="188"/>
      <c r="C923" s="188"/>
      <c r="D923" s="188"/>
      <c r="E923" s="188"/>
    </row>
    <row r="924" ht="22.5" hidden="1" customHeight="1">
      <c r="A924" s="188"/>
      <c r="B924" s="188"/>
      <c r="C924" s="188"/>
      <c r="D924" s="188"/>
      <c r="E924" s="188"/>
    </row>
    <row r="925" ht="22.5" hidden="1" customHeight="1">
      <c r="A925" s="188"/>
      <c r="B925" s="188"/>
      <c r="C925" s="188"/>
      <c r="D925" s="188"/>
      <c r="E925" s="188"/>
    </row>
    <row r="926" ht="22.5" hidden="1" customHeight="1">
      <c r="A926" s="188"/>
      <c r="B926" s="188"/>
      <c r="C926" s="188"/>
      <c r="D926" s="188"/>
      <c r="E926" s="188"/>
    </row>
    <row r="927" ht="22.5" hidden="1" customHeight="1">
      <c r="A927" s="188"/>
      <c r="B927" s="188"/>
      <c r="C927" s="188"/>
      <c r="D927" s="188"/>
      <c r="E927" s="188"/>
    </row>
    <row r="928" ht="22.5" hidden="1" customHeight="1">
      <c r="A928" s="188"/>
      <c r="B928" s="188"/>
      <c r="C928" s="188"/>
      <c r="D928" s="188"/>
      <c r="E928" s="188"/>
    </row>
    <row r="929" ht="22.5" hidden="1" customHeight="1">
      <c r="A929" s="188"/>
      <c r="B929" s="188"/>
      <c r="C929" s="188"/>
      <c r="D929" s="188"/>
      <c r="E929" s="188"/>
    </row>
    <row r="930" ht="22.5" hidden="1" customHeight="1">
      <c r="A930" s="188"/>
      <c r="B930" s="188"/>
      <c r="C930" s="188"/>
      <c r="D930" s="188"/>
      <c r="E930" s="188"/>
    </row>
    <row r="931" ht="22.5" hidden="1" customHeight="1">
      <c r="A931" s="188"/>
      <c r="B931" s="188"/>
      <c r="C931" s="188"/>
      <c r="D931" s="188"/>
      <c r="E931" s="188"/>
    </row>
    <row r="932" ht="22.5" hidden="1" customHeight="1">
      <c r="A932" s="188"/>
      <c r="B932" s="188"/>
      <c r="C932" s="188"/>
      <c r="D932" s="188"/>
      <c r="E932" s="188"/>
    </row>
    <row r="933" ht="22.5" hidden="1" customHeight="1">
      <c r="A933" s="188"/>
      <c r="B933" s="188"/>
      <c r="C933" s="188"/>
      <c r="D933" s="188"/>
      <c r="E933" s="188"/>
    </row>
    <row r="934" ht="22.5" hidden="1" customHeight="1">
      <c r="A934" s="188"/>
      <c r="B934" s="188"/>
      <c r="C934" s="188"/>
      <c r="D934" s="188"/>
      <c r="E934" s="188"/>
    </row>
    <row r="935" ht="22.5" hidden="1" customHeight="1">
      <c r="A935" s="188"/>
      <c r="B935" s="188"/>
      <c r="C935" s="188"/>
      <c r="D935" s="188"/>
      <c r="E935" s="188"/>
    </row>
    <row r="936" ht="22.5" hidden="1" customHeight="1">
      <c r="A936" s="188"/>
      <c r="B936" s="188"/>
      <c r="C936" s="188"/>
      <c r="D936" s="188"/>
      <c r="E936" s="188"/>
    </row>
    <row r="937" ht="22.5" hidden="1" customHeight="1">
      <c r="A937" s="188"/>
      <c r="B937" s="188"/>
      <c r="C937" s="188"/>
      <c r="D937" s="188"/>
      <c r="E937" s="188"/>
    </row>
    <row r="938" ht="22.5" hidden="1" customHeight="1">
      <c r="A938" s="188"/>
      <c r="B938" s="188"/>
      <c r="C938" s="188"/>
      <c r="D938" s="188"/>
      <c r="E938" s="188"/>
    </row>
    <row r="939" ht="22.5" hidden="1" customHeight="1">
      <c r="A939" s="188"/>
      <c r="B939" s="188"/>
      <c r="C939" s="188"/>
      <c r="D939" s="188"/>
      <c r="E939" s="188"/>
    </row>
    <row r="940" ht="22.5" hidden="1" customHeight="1">
      <c r="A940" s="188"/>
      <c r="B940" s="188"/>
      <c r="C940" s="188"/>
      <c r="D940" s="188"/>
      <c r="E940" s="188"/>
    </row>
    <row r="941" ht="22.5" hidden="1" customHeight="1">
      <c r="A941" s="188"/>
      <c r="B941" s="188"/>
      <c r="C941" s="188"/>
      <c r="D941" s="188"/>
      <c r="E941" s="188"/>
    </row>
    <row r="942" ht="22.5" hidden="1" customHeight="1">
      <c r="A942" s="188"/>
      <c r="B942" s="188"/>
      <c r="C942" s="188"/>
      <c r="D942" s="188"/>
      <c r="E942" s="188"/>
    </row>
    <row r="943" ht="22.5" hidden="1" customHeight="1">
      <c r="A943" s="188"/>
      <c r="B943" s="188"/>
      <c r="C943" s="188"/>
      <c r="D943" s="188"/>
      <c r="E943" s="188"/>
    </row>
    <row r="944" ht="22.5" hidden="1" customHeight="1">
      <c r="A944" s="188"/>
      <c r="B944" s="188"/>
      <c r="C944" s="188"/>
      <c r="D944" s="188"/>
      <c r="E944" s="188"/>
    </row>
    <row r="945" ht="22.5" hidden="1" customHeight="1">
      <c r="A945" s="188"/>
      <c r="B945" s="188"/>
      <c r="C945" s="188"/>
      <c r="D945" s="188"/>
      <c r="E945" s="188"/>
    </row>
    <row r="946" ht="22.5" hidden="1" customHeight="1">
      <c r="A946" s="188"/>
      <c r="B946" s="188"/>
      <c r="C946" s="188"/>
      <c r="D946" s="188"/>
      <c r="E946" s="188"/>
    </row>
    <row r="947" ht="22.5" hidden="1" customHeight="1">
      <c r="A947" s="188"/>
      <c r="B947" s="188"/>
      <c r="C947" s="188"/>
      <c r="D947" s="188"/>
      <c r="E947" s="188"/>
    </row>
    <row r="948" ht="22.5" hidden="1" customHeight="1">
      <c r="A948" s="188"/>
      <c r="B948" s="188"/>
      <c r="C948" s="188"/>
      <c r="D948" s="188"/>
      <c r="E948" s="188"/>
    </row>
    <row r="949" ht="22.5" hidden="1" customHeight="1">
      <c r="A949" s="188"/>
      <c r="B949" s="188"/>
      <c r="C949" s="188"/>
      <c r="D949" s="188"/>
      <c r="E949" s="188"/>
    </row>
    <row r="950" ht="22.5" hidden="1" customHeight="1">
      <c r="A950" s="188"/>
      <c r="B950" s="188"/>
      <c r="C950" s="188"/>
      <c r="D950" s="188"/>
      <c r="E950" s="188"/>
    </row>
    <row r="951" ht="22.5" hidden="1" customHeight="1">
      <c r="A951" s="188"/>
      <c r="B951" s="188"/>
      <c r="C951" s="188"/>
      <c r="D951" s="188"/>
      <c r="E951" s="188"/>
    </row>
    <row r="952" ht="22.5" hidden="1" customHeight="1">
      <c r="A952" s="188"/>
      <c r="B952" s="188"/>
      <c r="C952" s="188"/>
      <c r="D952" s="188"/>
      <c r="E952" s="188"/>
    </row>
    <row r="953" ht="22.5" hidden="1" customHeight="1">
      <c r="A953" s="188"/>
      <c r="B953" s="188"/>
      <c r="C953" s="188"/>
      <c r="D953" s="188"/>
      <c r="E953" s="188"/>
    </row>
    <row r="954" ht="22.5" hidden="1" customHeight="1">
      <c r="A954" s="188"/>
      <c r="B954" s="188"/>
      <c r="C954" s="188"/>
      <c r="D954" s="188"/>
      <c r="E954" s="188"/>
    </row>
    <row r="955" ht="22.5" hidden="1" customHeight="1">
      <c r="A955" s="188"/>
      <c r="B955" s="188"/>
      <c r="C955" s="188"/>
      <c r="D955" s="188"/>
      <c r="E955" s="188"/>
    </row>
    <row r="956" ht="22.5" hidden="1" customHeight="1">
      <c r="A956" s="188"/>
      <c r="B956" s="188"/>
      <c r="C956" s="188"/>
      <c r="D956" s="188"/>
      <c r="E956" s="188"/>
    </row>
    <row r="957" ht="22.5" hidden="1" customHeight="1">
      <c r="A957" s="188"/>
      <c r="B957" s="188"/>
      <c r="C957" s="188"/>
      <c r="D957" s="188"/>
      <c r="E957" s="188"/>
    </row>
    <row r="958" ht="22.5" hidden="1" customHeight="1">
      <c r="A958" s="188"/>
      <c r="B958" s="188"/>
      <c r="C958" s="188"/>
      <c r="D958" s="188"/>
      <c r="E958" s="188"/>
    </row>
    <row r="959" ht="22.5" hidden="1" customHeight="1">
      <c r="A959" s="188"/>
      <c r="B959" s="188"/>
      <c r="C959" s="188"/>
      <c r="D959" s="188"/>
      <c r="E959" s="188"/>
    </row>
    <row r="960" ht="22.5" hidden="1" customHeight="1">
      <c r="A960" s="188"/>
      <c r="B960" s="188"/>
      <c r="C960" s="188"/>
      <c r="D960" s="188"/>
      <c r="E960" s="188"/>
    </row>
    <row r="961" ht="22.5" hidden="1" customHeight="1">
      <c r="A961" s="188"/>
      <c r="B961" s="188"/>
      <c r="C961" s="188"/>
      <c r="D961" s="188"/>
      <c r="E961" s="188"/>
    </row>
    <row r="962" ht="22.5" hidden="1" customHeight="1">
      <c r="A962" s="188"/>
      <c r="B962" s="188"/>
      <c r="C962" s="188"/>
      <c r="D962" s="188"/>
      <c r="E962" s="188"/>
    </row>
    <row r="963" ht="22.5" hidden="1" customHeight="1">
      <c r="A963" s="188"/>
      <c r="B963" s="188"/>
      <c r="C963" s="188"/>
      <c r="D963" s="188"/>
      <c r="E963" s="188"/>
    </row>
    <row r="964" ht="22.5" hidden="1" customHeight="1">
      <c r="A964" s="188"/>
      <c r="B964" s="188"/>
      <c r="C964" s="188"/>
      <c r="D964" s="188"/>
      <c r="E964" s="188"/>
    </row>
    <row r="965" ht="22.5" hidden="1" customHeight="1">
      <c r="A965" s="188"/>
      <c r="B965" s="188"/>
      <c r="C965" s="188"/>
      <c r="D965" s="188"/>
      <c r="E965" s="188"/>
    </row>
    <row r="966" ht="22.5" hidden="1" customHeight="1">
      <c r="A966" s="188"/>
      <c r="B966" s="188"/>
      <c r="C966" s="188"/>
      <c r="D966" s="188"/>
      <c r="E966" s="188"/>
    </row>
    <row r="967" ht="22.5" hidden="1" customHeight="1">
      <c r="A967" s="188"/>
      <c r="B967" s="188"/>
      <c r="C967" s="188"/>
      <c r="D967" s="188"/>
      <c r="E967" s="188"/>
    </row>
    <row r="968" ht="22.5" hidden="1" customHeight="1">
      <c r="A968" s="188"/>
      <c r="B968" s="188"/>
      <c r="C968" s="188"/>
      <c r="D968" s="188"/>
      <c r="E968" s="188"/>
    </row>
    <row r="969" ht="22.5" hidden="1" customHeight="1">
      <c r="A969" s="188"/>
      <c r="B969" s="188"/>
      <c r="C969" s="188"/>
      <c r="D969" s="188"/>
      <c r="E969" s="188"/>
    </row>
    <row r="970" ht="22.5" hidden="1" customHeight="1">
      <c r="A970" s="188"/>
      <c r="B970" s="188"/>
      <c r="C970" s="188"/>
      <c r="D970" s="188"/>
      <c r="E970" s="188"/>
    </row>
    <row r="971" ht="22.5" hidden="1" customHeight="1">
      <c r="A971" s="188"/>
      <c r="B971" s="188"/>
      <c r="C971" s="188"/>
      <c r="D971" s="188"/>
      <c r="E971" s="188"/>
    </row>
    <row r="972" ht="22.5" hidden="1" customHeight="1">
      <c r="A972" s="188"/>
      <c r="B972" s="188"/>
      <c r="C972" s="188"/>
      <c r="D972" s="188"/>
      <c r="E972" s="188"/>
    </row>
    <row r="973" ht="22.5" hidden="1" customHeight="1">
      <c r="A973" s="188"/>
      <c r="B973" s="188"/>
      <c r="C973" s="188"/>
      <c r="D973" s="188"/>
      <c r="E973" s="188"/>
    </row>
    <row r="974" ht="22.5" hidden="1" customHeight="1">
      <c r="A974" s="188"/>
      <c r="B974" s="188"/>
      <c r="C974" s="188"/>
      <c r="D974" s="188"/>
      <c r="E974" s="188"/>
    </row>
    <row r="975" ht="22.5" hidden="1" customHeight="1">
      <c r="A975" s="188"/>
      <c r="B975" s="188"/>
      <c r="C975" s="188"/>
      <c r="D975" s="188"/>
      <c r="E975" s="188"/>
    </row>
    <row r="976" ht="22.5" hidden="1" customHeight="1">
      <c r="A976" s="188"/>
      <c r="B976" s="188"/>
      <c r="C976" s="188"/>
      <c r="D976" s="188"/>
      <c r="E976" s="188"/>
    </row>
    <row r="977" ht="22.5" hidden="1" customHeight="1">
      <c r="A977" s="188"/>
      <c r="B977" s="188"/>
      <c r="C977" s="188"/>
      <c r="D977" s="188"/>
      <c r="E977" s="188"/>
    </row>
    <row r="978" ht="22.5" hidden="1" customHeight="1">
      <c r="A978" s="188"/>
      <c r="B978" s="188"/>
      <c r="C978" s="188"/>
      <c r="D978" s="188"/>
      <c r="E978" s="188"/>
    </row>
    <row r="979" ht="22.5" hidden="1" customHeight="1">
      <c r="A979" s="188"/>
      <c r="B979" s="188"/>
      <c r="C979" s="188"/>
      <c r="D979" s="188"/>
      <c r="E979" s="188"/>
    </row>
    <row r="980" ht="22.5" hidden="1" customHeight="1">
      <c r="A980" s="188"/>
      <c r="B980" s="188"/>
      <c r="C980" s="188"/>
      <c r="D980" s="188"/>
      <c r="E980" s="188"/>
    </row>
    <row r="981" ht="22.5" hidden="1" customHeight="1">
      <c r="A981" s="188"/>
      <c r="B981" s="188"/>
      <c r="C981" s="188"/>
      <c r="D981" s="188"/>
      <c r="E981" s="188"/>
    </row>
    <row r="982" ht="22.5" hidden="1" customHeight="1">
      <c r="A982" s="188"/>
      <c r="B982" s="188"/>
      <c r="C982" s="188"/>
      <c r="D982" s="188"/>
      <c r="E982" s="188"/>
    </row>
    <row r="983" ht="22.5" hidden="1" customHeight="1">
      <c r="A983" s="188"/>
      <c r="B983" s="188"/>
      <c r="C983" s="188"/>
      <c r="D983" s="188"/>
      <c r="E983" s="188"/>
    </row>
    <row r="984" ht="22.5" hidden="1" customHeight="1">
      <c r="A984" s="188"/>
      <c r="B984" s="188"/>
      <c r="C984" s="188"/>
      <c r="D984" s="188"/>
      <c r="E984" s="188"/>
    </row>
    <row r="985" ht="22.5" hidden="1" customHeight="1">
      <c r="A985" s="188"/>
      <c r="B985" s="188"/>
      <c r="C985" s="188"/>
      <c r="D985" s="188"/>
      <c r="E985" s="188"/>
    </row>
    <row r="986" ht="22.5" hidden="1" customHeight="1">
      <c r="A986" s="188"/>
      <c r="B986" s="188"/>
      <c r="C986" s="188"/>
      <c r="D986" s="188"/>
      <c r="E986" s="188"/>
    </row>
    <row r="987" ht="22.5" hidden="1" customHeight="1">
      <c r="A987" s="188"/>
      <c r="B987" s="188"/>
      <c r="C987" s="188"/>
      <c r="D987" s="188"/>
      <c r="E987" s="188"/>
    </row>
    <row r="988" ht="22.5" hidden="1" customHeight="1">
      <c r="A988" s="188"/>
      <c r="B988" s="188"/>
      <c r="C988" s="188"/>
      <c r="D988" s="188"/>
      <c r="E988" s="188"/>
    </row>
    <row r="989" ht="22.5" hidden="1" customHeight="1">
      <c r="A989" s="188"/>
      <c r="B989" s="188"/>
      <c r="C989" s="188"/>
      <c r="D989" s="188"/>
      <c r="E989" s="188"/>
    </row>
    <row r="990" ht="22.5" hidden="1" customHeight="1">
      <c r="A990" s="188"/>
      <c r="B990" s="188"/>
      <c r="C990" s="188"/>
      <c r="D990" s="188"/>
      <c r="E990" s="188"/>
    </row>
    <row r="991" ht="22.5" hidden="1" customHeight="1">
      <c r="A991" s="188"/>
      <c r="B991" s="188"/>
      <c r="C991" s="188"/>
      <c r="D991" s="188"/>
      <c r="E991" s="188"/>
    </row>
    <row r="992" ht="22.5" hidden="1" customHeight="1">
      <c r="A992" s="188"/>
      <c r="B992" s="188"/>
      <c r="C992" s="188"/>
      <c r="D992" s="188"/>
      <c r="E992" s="188"/>
    </row>
    <row r="993" ht="22.5" hidden="1" customHeight="1">
      <c r="A993" s="188"/>
      <c r="B993" s="188"/>
      <c r="C993" s="188"/>
      <c r="D993" s="188"/>
      <c r="E993" s="188"/>
    </row>
    <row r="994" ht="22.5" hidden="1" customHeight="1">
      <c r="A994" s="188"/>
      <c r="B994" s="188"/>
      <c r="C994" s="188"/>
      <c r="D994" s="188"/>
      <c r="E994" s="188"/>
    </row>
    <row r="995" ht="22.5" hidden="1" customHeight="1">
      <c r="A995" s="188"/>
      <c r="B995" s="188"/>
      <c r="C995" s="188"/>
      <c r="D995" s="188"/>
      <c r="E995" s="188"/>
    </row>
    <row r="996" ht="22.5" hidden="1" customHeight="1">
      <c r="A996" s="188"/>
      <c r="B996" s="188"/>
      <c r="C996" s="188"/>
      <c r="D996" s="188"/>
      <c r="E996" s="188"/>
    </row>
    <row r="997" ht="22.5" hidden="1" customHeight="1">
      <c r="A997" s="188"/>
      <c r="B997" s="188"/>
      <c r="C997" s="188"/>
      <c r="D997" s="188"/>
      <c r="E997" s="188"/>
    </row>
    <row r="998" ht="22.5" hidden="1" customHeight="1">
      <c r="A998" s="188"/>
      <c r="B998" s="188"/>
      <c r="C998" s="188"/>
      <c r="D998" s="188"/>
      <c r="E998" s="188"/>
    </row>
    <row r="999" ht="22.5" hidden="1" customHeight="1">
      <c r="A999" s="188"/>
      <c r="B999" s="188"/>
      <c r="C999" s="188"/>
      <c r="D999" s="188"/>
      <c r="E999" s="188"/>
    </row>
    <row r="1000" ht="22.5" hidden="1" customHeight="1">
      <c r="A1000" s="188"/>
      <c r="B1000" s="188"/>
      <c r="C1000" s="188"/>
      <c r="D1000" s="188"/>
      <c r="E1000" s="188"/>
    </row>
  </sheetData>
  <drawing r:id="rId1"/>
  <tableParts count="1">
    <tablePart r:id="rId3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30.13"/>
    <col customWidth="1" min="3" max="3" width="11.25"/>
    <col customWidth="1" min="4" max="4" width="10.75"/>
    <col customWidth="1" min="5" max="5" width="33.38"/>
    <col customWidth="1" min="6" max="6" width="3.25"/>
    <col customWidth="1" min="7" max="7" width="27.75"/>
    <col customWidth="1" min="8" max="15" width="3.13"/>
    <col customWidth="1" min="16" max="16" width="3.88"/>
    <col customWidth="1" min="17" max="17" width="3.75"/>
    <col customWidth="1" min="18" max="18" width="3.88"/>
    <col customWidth="1" min="19" max="19" width="5.13"/>
    <col customWidth="1" min="20" max="20" width="2.63"/>
    <col customWidth="1" min="21" max="21" width="2.25"/>
    <col customWidth="1" min="22" max="27" width="15.25"/>
  </cols>
  <sheetData>
    <row r="1" ht="75.75" customHeight="1">
      <c r="A1" s="216" t="s">
        <v>9699</v>
      </c>
      <c r="B1" s="216" t="s">
        <v>8743</v>
      </c>
      <c r="C1" s="216" t="s">
        <v>9360</v>
      </c>
      <c r="D1" s="216" t="s">
        <v>9361</v>
      </c>
      <c r="E1" s="216" t="s">
        <v>9362</v>
      </c>
      <c r="F1" s="216" t="s">
        <v>9363</v>
      </c>
      <c r="G1" s="216" t="s">
        <v>9364</v>
      </c>
      <c r="H1" s="216" t="s">
        <v>9700</v>
      </c>
      <c r="I1" s="216" t="s">
        <v>9701</v>
      </c>
      <c r="J1" s="216" t="s">
        <v>9702</v>
      </c>
      <c r="K1" s="216" t="s">
        <v>9703</v>
      </c>
      <c r="L1" s="216" t="s">
        <v>5245</v>
      </c>
      <c r="M1" s="216" t="s">
        <v>9704</v>
      </c>
      <c r="N1" s="216" t="s">
        <v>9705</v>
      </c>
      <c r="O1" s="216" t="s">
        <v>9706</v>
      </c>
      <c r="P1" s="216" t="s">
        <v>9707</v>
      </c>
      <c r="Q1" s="216" t="s">
        <v>9708</v>
      </c>
      <c r="R1" s="216" t="s">
        <v>9709</v>
      </c>
      <c r="S1" s="216" t="s">
        <v>9710</v>
      </c>
      <c r="T1" s="216" t="s">
        <v>9711</v>
      </c>
      <c r="U1" s="216" t="s">
        <v>9712</v>
      </c>
      <c r="V1" s="217"/>
      <c r="W1" s="217"/>
      <c r="X1" s="217"/>
      <c r="Y1" s="217"/>
      <c r="Z1" s="217"/>
      <c r="AA1" s="217"/>
    </row>
    <row r="2" ht="16.5" hidden="1" customHeight="1">
      <c r="A2" s="218">
        <v>1.0</v>
      </c>
      <c r="B2" s="219"/>
      <c r="C2" s="220"/>
      <c r="D2" s="220"/>
      <c r="E2" s="220"/>
      <c r="F2" s="220"/>
      <c r="G2" s="220"/>
      <c r="H2" s="220"/>
      <c r="I2" s="220"/>
      <c r="J2" s="220"/>
      <c r="K2" s="220"/>
      <c r="L2" s="220"/>
      <c r="M2" s="220"/>
      <c r="N2" s="220"/>
      <c r="O2" s="220"/>
      <c r="P2" s="220"/>
      <c r="Q2" s="220"/>
      <c r="R2" s="220"/>
      <c r="S2" s="220"/>
      <c r="T2" s="220"/>
      <c r="U2" s="221"/>
      <c r="V2" s="217"/>
      <c r="W2" s="217"/>
      <c r="X2" s="217"/>
      <c r="Y2" s="217"/>
      <c r="Z2" s="217"/>
      <c r="AA2" s="217"/>
    </row>
    <row r="3" ht="16.5" hidden="1" customHeight="1">
      <c r="A3" s="218">
        <v>2.0</v>
      </c>
      <c r="B3" s="222"/>
      <c r="C3" s="223"/>
      <c r="D3" s="223"/>
      <c r="E3" s="223"/>
      <c r="F3" s="223"/>
      <c r="G3" s="223"/>
      <c r="H3" s="223"/>
      <c r="I3" s="223"/>
      <c r="J3" s="223"/>
      <c r="K3" s="223"/>
      <c r="L3" s="223"/>
      <c r="M3" s="223"/>
      <c r="N3" s="223"/>
      <c r="O3" s="223"/>
      <c r="P3" s="223"/>
      <c r="Q3" s="223"/>
      <c r="R3" s="223"/>
      <c r="S3" s="223"/>
      <c r="T3" s="223"/>
      <c r="U3" s="224"/>
      <c r="V3" s="217"/>
      <c r="W3" s="217"/>
      <c r="X3" s="217"/>
      <c r="Y3" s="217"/>
      <c r="Z3" s="217"/>
      <c r="AA3" s="217"/>
    </row>
    <row r="4" ht="14.25" hidden="1" customHeight="1">
      <c r="A4" s="218">
        <v>3.0</v>
      </c>
      <c r="B4" s="225"/>
      <c r="C4" s="226"/>
      <c r="D4" s="226"/>
      <c r="E4" s="226"/>
      <c r="F4" s="226"/>
      <c r="G4" s="226"/>
      <c r="H4" s="226"/>
      <c r="I4" s="226"/>
      <c r="J4" s="226"/>
      <c r="K4" s="226"/>
      <c r="L4" s="226"/>
      <c r="M4" s="226"/>
      <c r="N4" s="226"/>
      <c r="O4" s="226"/>
      <c r="P4" s="226"/>
      <c r="Q4" s="226"/>
      <c r="R4" s="226"/>
      <c r="S4" s="226"/>
      <c r="T4" s="226"/>
      <c r="U4" s="227"/>
      <c r="V4" s="217"/>
      <c r="W4" s="217"/>
      <c r="X4" s="217"/>
      <c r="Y4" s="217"/>
      <c r="Z4" s="217"/>
      <c r="AA4" s="217"/>
    </row>
    <row r="5" ht="14.25" hidden="1" customHeight="1">
      <c r="A5" s="218">
        <v>4.0</v>
      </c>
      <c r="B5" s="228"/>
      <c r="C5" s="229"/>
      <c r="D5" s="229"/>
      <c r="E5" s="229"/>
      <c r="F5" s="229"/>
      <c r="G5" s="230"/>
      <c r="H5" s="230"/>
      <c r="I5" s="230"/>
      <c r="J5" s="230"/>
      <c r="K5" s="230"/>
      <c r="L5" s="230"/>
      <c r="M5" s="230"/>
      <c r="N5" s="230"/>
      <c r="O5" s="230"/>
      <c r="P5" s="230"/>
      <c r="Q5" s="230"/>
      <c r="R5" s="230"/>
      <c r="S5" s="230"/>
      <c r="T5" s="230"/>
      <c r="U5" s="230"/>
      <c r="V5" s="217"/>
      <c r="W5" s="217"/>
      <c r="X5" s="217"/>
      <c r="Y5" s="217"/>
      <c r="Z5" s="217"/>
      <c r="AA5" s="217"/>
    </row>
    <row r="6" ht="13.5" hidden="1" customHeight="1">
      <c r="A6" s="218">
        <v>5.0</v>
      </c>
      <c r="B6" s="231"/>
      <c r="C6" s="231"/>
      <c r="D6" s="231"/>
      <c r="E6" s="231"/>
      <c r="F6" s="232"/>
      <c r="G6" s="233"/>
      <c r="H6" s="234"/>
      <c r="I6" s="234"/>
      <c r="J6" s="234"/>
      <c r="K6" s="234"/>
      <c r="L6" s="234"/>
      <c r="M6" s="234"/>
      <c r="N6" s="234"/>
      <c r="O6" s="234"/>
      <c r="P6" s="234"/>
      <c r="Q6" s="234"/>
      <c r="R6" s="234"/>
      <c r="S6" s="234"/>
      <c r="T6" s="234"/>
      <c r="U6" s="235"/>
      <c r="V6" s="217"/>
      <c r="W6" s="217"/>
      <c r="X6" s="217"/>
      <c r="Y6" s="217"/>
      <c r="Z6" s="217"/>
      <c r="AA6" s="217"/>
    </row>
    <row r="7" ht="13.5" hidden="1" customHeight="1">
      <c r="A7" s="218">
        <v>6.0</v>
      </c>
      <c r="B7" s="236"/>
      <c r="C7" s="236"/>
      <c r="D7" s="236"/>
      <c r="E7" s="236"/>
      <c r="F7" s="237"/>
      <c r="G7" s="238"/>
      <c r="H7" s="239"/>
      <c r="I7" s="239"/>
      <c r="J7" s="239"/>
      <c r="K7" s="239"/>
      <c r="L7" s="239"/>
      <c r="M7" s="239"/>
      <c r="N7" s="239"/>
      <c r="O7" s="239"/>
      <c r="P7" s="239"/>
      <c r="Q7" s="239"/>
      <c r="R7" s="240"/>
      <c r="S7" s="233" t="s">
        <v>9713</v>
      </c>
      <c r="T7" s="234"/>
      <c r="U7" s="235"/>
      <c r="V7" s="217"/>
      <c r="W7" s="217"/>
      <c r="X7" s="217"/>
      <c r="Y7" s="217"/>
      <c r="Z7" s="217"/>
      <c r="AA7" s="217"/>
    </row>
    <row r="8" ht="13.5" hidden="1" customHeight="1">
      <c r="A8" s="218">
        <v>7.0</v>
      </c>
      <c r="B8" s="241"/>
      <c r="C8" s="241"/>
      <c r="D8" s="241"/>
      <c r="E8" s="241"/>
      <c r="F8" s="242"/>
      <c r="G8" s="243"/>
      <c r="H8" s="243">
        <v>2.0</v>
      </c>
      <c r="I8" s="243">
        <v>3.0</v>
      </c>
      <c r="J8" s="243">
        <v>4.0</v>
      </c>
      <c r="K8" s="243">
        <v>5.0</v>
      </c>
      <c r="L8" s="243">
        <v>6.0</v>
      </c>
      <c r="M8" s="243">
        <v>7.0</v>
      </c>
      <c r="N8" s="243">
        <v>8.0</v>
      </c>
      <c r="O8" s="243">
        <v>9.0</v>
      </c>
      <c r="P8" s="243">
        <v>10.0</v>
      </c>
      <c r="Q8" s="243">
        <v>11.0</v>
      </c>
      <c r="R8" s="243">
        <v>12.0</v>
      </c>
      <c r="S8" s="243" t="s">
        <v>9714</v>
      </c>
      <c r="T8" s="243" t="s">
        <v>9715</v>
      </c>
      <c r="U8" s="244" t="s">
        <v>9716</v>
      </c>
      <c r="V8" s="217"/>
      <c r="W8" s="217"/>
      <c r="X8" s="217"/>
      <c r="Y8" s="217"/>
      <c r="Z8" s="217"/>
      <c r="AA8" s="217"/>
    </row>
    <row r="9" ht="18.75" customHeight="1">
      <c r="A9" s="218">
        <v>8.0</v>
      </c>
      <c r="B9" s="245">
        <v>1.0</v>
      </c>
      <c r="C9" s="246" t="s">
        <v>6819</v>
      </c>
      <c r="D9" s="245">
        <v>2.42510008E8</v>
      </c>
      <c r="E9" s="247" t="s">
        <v>2994</v>
      </c>
      <c r="F9" s="248" t="s">
        <v>9717</v>
      </c>
      <c r="G9" s="249"/>
      <c r="H9" s="249"/>
      <c r="I9" s="249"/>
      <c r="J9" s="249"/>
      <c r="K9" s="249"/>
      <c r="L9" s="249"/>
      <c r="M9" s="249"/>
      <c r="N9" s="249"/>
      <c r="O9" s="249"/>
      <c r="P9" s="249"/>
      <c r="Q9" s="249"/>
      <c r="R9" s="249"/>
      <c r="S9" s="249"/>
      <c r="T9" s="249"/>
      <c r="U9" s="249"/>
      <c r="W9" s="217"/>
      <c r="X9" s="217"/>
      <c r="Y9" s="217"/>
      <c r="Z9" s="217"/>
      <c r="AA9" s="217"/>
    </row>
    <row r="10" ht="18.75" customHeight="1">
      <c r="A10" s="218">
        <v>9.0</v>
      </c>
      <c r="B10" s="245">
        <v>2.0</v>
      </c>
      <c r="C10" s="246" t="s">
        <v>6823</v>
      </c>
      <c r="D10" s="245">
        <v>2.42510011E8</v>
      </c>
      <c r="E10" s="247" t="s">
        <v>3001</v>
      </c>
      <c r="F10" s="248" t="s">
        <v>9718</v>
      </c>
      <c r="G10" s="249"/>
      <c r="H10" s="249"/>
      <c r="I10" s="249"/>
      <c r="J10" s="249"/>
      <c r="K10" s="249"/>
      <c r="L10" s="249"/>
      <c r="M10" s="249"/>
      <c r="N10" s="249"/>
      <c r="O10" s="249"/>
      <c r="P10" s="249"/>
      <c r="Q10" s="249"/>
      <c r="R10" s="249"/>
      <c r="S10" s="249"/>
      <c r="T10" s="249"/>
      <c r="U10" s="249"/>
      <c r="W10" s="217"/>
      <c r="X10" s="217"/>
      <c r="Y10" s="217"/>
      <c r="Z10" s="217"/>
      <c r="AA10" s="217"/>
    </row>
    <row r="11" ht="18.75" customHeight="1">
      <c r="A11" s="218">
        <v>10.0</v>
      </c>
      <c r="B11" s="245">
        <v>3.0</v>
      </c>
      <c r="C11" s="246" t="s">
        <v>6825</v>
      </c>
      <c r="D11" s="250">
        <v>2.42510025E8</v>
      </c>
      <c r="E11" s="247" t="s">
        <v>3006</v>
      </c>
      <c r="F11" s="248" t="s">
        <v>9719</v>
      </c>
      <c r="G11" s="249"/>
      <c r="H11" s="249"/>
      <c r="I11" s="249"/>
      <c r="J11" s="249"/>
      <c r="K11" s="249"/>
      <c r="L11" s="249"/>
      <c r="M11" s="249"/>
      <c r="N11" s="249"/>
      <c r="O11" s="249"/>
      <c r="P11" s="249"/>
      <c r="Q11" s="249"/>
      <c r="R11" s="249"/>
      <c r="S11" s="249"/>
      <c r="T11" s="249"/>
      <c r="U11" s="249"/>
      <c r="W11" s="217"/>
      <c r="X11" s="217"/>
      <c r="Y11" s="217"/>
      <c r="Z11" s="217"/>
      <c r="AA11" s="217"/>
    </row>
    <row r="12" ht="18.75" customHeight="1">
      <c r="A12" s="218">
        <v>11.0</v>
      </c>
      <c r="B12" s="245">
        <v>4.0</v>
      </c>
      <c r="C12" s="246" t="s">
        <v>6828</v>
      </c>
      <c r="D12" s="245">
        <v>2.42510031E8</v>
      </c>
      <c r="E12" s="247" t="s">
        <v>3011</v>
      </c>
      <c r="F12" s="248" t="s">
        <v>9720</v>
      </c>
      <c r="G12" s="249"/>
      <c r="H12" s="249"/>
      <c r="I12" s="249"/>
      <c r="J12" s="249"/>
      <c r="K12" s="249"/>
      <c r="L12" s="249"/>
      <c r="M12" s="249"/>
      <c r="N12" s="249"/>
      <c r="O12" s="249"/>
      <c r="P12" s="249"/>
      <c r="Q12" s="249"/>
      <c r="R12" s="249"/>
      <c r="S12" s="249"/>
      <c r="T12" s="249"/>
      <c r="U12" s="249"/>
      <c r="W12" s="217"/>
      <c r="X12" s="217"/>
      <c r="Y12" s="217"/>
      <c r="Z12" s="217"/>
      <c r="AA12" s="217"/>
    </row>
    <row r="13" ht="18.75" customHeight="1">
      <c r="A13" s="218">
        <v>12.0</v>
      </c>
      <c r="B13" s="245">
        <v>5.0</v>
      </c>
      <c r="C13" s="246" t="s">
        <v>6831</v>
      </c>
      <c r="D13" s="245">
        <v>2.42510069E8</v>
      </c>
      <c r="E13" s="247" t="s">
        <v>3016</v>
      </c>
      <c r="F13" s="248" t="s">
        <v>9721</v>
      </c>
      <c r="G13" s="249"/>
      <c r="H13" s="249"/>
      <c r="I13" s="249"/>
      <c r="J13" s="249"/>
      <c r="K13" s="249"/>
      <c r="L13" s="249"/>
      <c r="M13" s="249"/>
      <c r="N13" s="249"/>
      <c r="O13" s="249"/>
      <c r="P13" s="249"/>
      <c r="Q13" s="249"/>
      <c r="R13" s="249"/>
      <c r="S13" s="249"/>
      <c r="T13" s="249"/>
      <c r="U13" s="249"/>
      <c r="W13" s="217"/>
      <c r="X13" s="217"/>
      <c r="Y13" s="217"/>
      <c r="Z13" s="217"/>
      <c r="AA13" s="217"/>
    </row>
    <row r="14" ht="18.75" customHeight="1">
      <c r="A14" s="218">
        <v>13.0</v>
      </c>
      <c r="B14" s="245">
        <v>6.0</v>
      </c>
      <c r="C14" s="251">
        <v>3.086190678E9</v>
      </c>
      <c r="D14" s="245">
        <v>2.42510079E8</v>
      </c>
      <c r="E14" s="247" t="s">
        <v>3021</v>
      </c>
      <c r="F14" s="248" t="s">
        <v>9722</v>
      </c>
      <c r="G14" s="249"/>
      <c r="H14" s="249"/>
      <c r="I14" s="249"/>
      <c r="J14" s="249"/>
      <c r="K14" s="249"/>
      <c r="L14" s="249"/>
      <c r="M14" s="249"/>
      <c r="N14" s="249"/>
      <c r="O14" s="249"/>
      <c r="P14" s="249"/>
      <c r="Q14" s="249"/>
      <c r="R14" s="249"/>
      <c r="S14" s="249"/>
      <c r="T14" s="249"/>
      <c r="U14" s="249"/>
      <c r="W14" s="217"/>
      <c r="X14" s="217"/>
      <c r="Y14" s="217"/>
      <c r="Z14" s="217"/>
      <c r="AA14" s="217"/>
    </row>
    <row r="15" ht="18.75" customHeight="1">
      <c r="A15" s="218">
        <v>14.0</v>
      </c>
      <c r="B15" s="245">
        <v>7.0</v>
      </c>
      <c r="C15" s="246" t="s">
        <v>6834</v>
      </c>
      <c r="D15" s="245">
        <v>2.42510095E8</v>
      </c>
      <c r="E15" s="247" t="s">
        <v>3027</v>
      </c>
      <c r="F15" s="248" t="s">
        <v>9723</v>
      </c>
      <c r="G15" s="249"/>
      <c r="H15" s="249"/>
      <c r="I15" s="249"/>
      <c r="J15" s="249"/>
      <c r="K15" s="249"/>
      <c r="L15" s="249"/>
      <c r="M15" s="249"/>
      <c r="N15" s="249"/>
      <c r="O15" s="249"/>
      <c r="P15" s="249"/>
      <c r="Q15" s="249"/>
      <c r="R15" s="249"/>
      <c r="S15" s="249"/>
      <c r="T15" s="249"/>
      <c r="U15" s="249"/>
      <c r="W15" s="217"/>
      <c r="X15" s="217"/>
      <c r="Y15" s="217"/>
      <c r="Z15" s="217"/>
      <c r="AA15" s="217"/>
    </row>
    <row r="16" ht="18.75" customHeight="1">
      <c r="A16" s="218">
        <v>15.0</v>
      </c>
      <c r="B16" s="245">
        <v>8.0</v>
      </c>
      <c r="C16" s="251">
        <v>3.092678408E9</v>
      </c>
      <c r="D16" s="245">
        <v>2.42510108E8</v>
      </c>
      <c r="E16" s="247" t="s">
        <v>3032</v>
      </c>
      <c r="F16" s="248" t="s">
        <v>9724</v>
      </c>
      <c r="G16" s="249"/>
      <c r="H16" s="249"/>
      <c r="I16" s="249"/>
      <c r="J16" s="249"/>
      <c r="K16" s="249"/>
      <c r="L16" s="249"/>
      <c r="M16" s="249"/>
      <c r="N16" s="249"/>
      <c r="O16" s="249"/>
      <c r="P16" s="249"/>
      <c r="Q16" s="249"/>
      <c r="R16" s="249"/>
      <c r="S16" s="249"/>
      <c r="T16" s="249"/>
      <c r="U16" s="249"/>
      <c r="W16" s="217"/>
      <c r="X16" s="217"/>
      <c r="Y16" s="217"/>
      <c r="Z16" s="217"/>
      <c r="AA16" s="217"/>
    </row>
    <row r="17" ht="18.75" customHeight="1">
      <c r="A17" s="218">
        <v>16.0</v>
      </c>
      <c r="B17" s="245">
        <v>9.0</v>
      </c>
      <c r="C17" s="246" t="s">
        <v>6837</v>
      </c>
      <c r="D17" s="245">
        <v>2.42510111E8</v>
      </c>
      <c r="E17" s="247" t="s">
        <v>3037</v>
      </c>
      <c r="F17" s="248" t="s">
        <v>9725</v>
      </c>
      <c r="G17" s="249"/>
      <c r="H17" s="249"/>
      <c r="I17" s="249"/>
      <c r="J17" s="249"/>
      <c r="K17" s="249"/>
      <c r="L17" s="249"/>
      <c r="M17" s="249"/>
      <c r="N17" s="249"/>
      <c r="O17" s="249"/>
      <c r="P17" s="249"/>
      <c r="Q17" s="249"/>
      <c r="R17" s="249"/>
      <c r="S17" s="249"/>
      <c r="T17" s="249"/>
      <c r="U17" s="249"/>
      <c r="W17" s="217"/>
      <c r="X17" s="217"/>
      <c r="Y17" s="217"/>
      <c r="Z17" s="217"/>
      <c r="AA17" s="217"/>
    </row>
    <row r="18" ht="18.75" customHeight="1">
      <c r="A18" s="218">
        <v>17.0</v>
      </c>
      <c r="B18" s="245">
        <v>10.0</v>
      </c>
      <c r="C18" s="251">
        <v>3.081717964E9</v>
      </c>
      <c r="D18" s="245">
        <v>2.42510114E8</v>
      </c>
      <c r="E18" s="247" t="s">
        <v>3042</v>
      </c>
      <c r="F18" s="248" t="s">
        <v>9726</v>
      </c>
      <c r="G18" s="249"/>
      <c r="H18" s="249"/>
      <c r="I18" s="249"/>
      <c r="J18" s="249"/>
      <c r="K18" s="249"/>
      <c r="L18" s="249"/>
      <c r="M18" s="249"/>
      <c r="N18" s="249"/>
      <c r="O18" s="249"/>
      <c r="P18" s="249"/>
      <c r="Q18" s="249"/>
      <c r="R18" s="249"/>
      <c r="S18" s="249"/>
      <c r="T18" s="249"/>
      <c r="U18" s="249"/>
      <c r="V18" s="217"/>
      <c r="W18" s="217"/>
      <c r="X18" s="217"/>
      <c r="Y18" s="217"/>
      <c r="Z18" s="217"/>
      <c r="AA18" s="217"/>
    </row>
    <row r="19" ht="18.75" customHeight="1">
      <c r="A19" s="218">
        <v>18.0</v>
      </c>
      <c r="B19" s="245">
        <v>11.0</v>
      </c>
      <c r="C19" s="246" t="s">
        <v>6841</v>
      </c>
      <c r="D19" s="245">
        <v>2.42510116E8</v>
      </c>
      <c r="E19" s="247" t="s">
        <v>3047</v>
      </c>
      <c r="F19" s="248" t="s">
        <v>9727</v>
      </c>
      <c r="G19" s="249"/>
      <c r="H19" s="249"/>
      <c r="I19" s="249"/>
      <c r="J19" s="249"/>
      <c r="K19" s="249"/>
      <c r="L19" s="249"/>
      <c r="M19" s="249"/>
      <c r="N19" s="249"/>
      <c r="O19" s="249"/>
      <c r="P19" s="249"/>
      <c r="Q19" s="249"/>
      <c r="R19" s="249"/>
      <c r="S19" s="249"/>
      <c r="T19" s="249"/>
      <c r="U19" s="249"/>
      <c r="V19" s="217"/>
      <c r="W19" s="217"/>
      <c r="X19" s="217"/>
      <c r="Y19" s="217"/>
      <c r="Z19" s="217"/>
      <c r="AA19" s="217"/>
    </row>
    <row r="20" ht="18.75" customHeight="1">
      <c r="A20" s="218">
        <v>19.0</v>
      </c>
      <c r="B20" s="245">
        <v>12.0</v>
      </c>
      <c r="C20" s="246" t="s">
        <v>6844</v>
      </c>
      <c r="D20" s="245">
        <v>2.42510126E8</v>
      </c>
      <c r="E20" s="247" t="s">
        <v>3052</v>
      </c>
      <c r="F20" s="248" t="s">
        <v>9728</v>
      </c>
      <c r="G20" s="249"/>
      <c r="H20" s="249"/>
      <c r="I20" s="249"/>
      <c r="J20" s="249"/>
      <c r="K20" s="249"/>
      <c r="L20" s="249"/>
      <c r="M20" s="249"/>
      <c r="N20" s="249"/>
      <c r="O20" s="249"/>
      <c r="P20" s="249"/>
      <c r="Q20" s="249"/>
      <c r="R20" s="249"/>
      <c r="S20" s="249"/>
      <c r="T20" s="249"/>
      <c r="U20" s="249"/>
      <c r="V20" s="217"/>
      <c r="W20" s="217"/>
      <c r="X20" s="217"/>
      <c r="Y20" s="217"/>
      <c r="Z20" s="217"/>
      <c r="AA20" s="217"/>
    </row>
    <row r="21" ht="18.75" customHeight="1">
      <c r="A21" s="218">
        <v>20.0</v>
      </c>
      <c r="B21" s="245">
        <v>13.0</v>
      </c>
      <c r="C21" s="251">
        <v>3.09082869E9</v>
      </c>
      <c r="D21" s="245">
        <v>2.42510159E8</v>
      </c>
      <c r="E21" s="247" t="s">
        <v>3057</v>
      </c>
      <c r="F21" s="248" t="s">
        <v>9729</v>
      </c>
      <c r="G21" s="249"/>
      <c r="H21" s="249"/>
      <c r="I21" s="249"/>
      <c r="J21" s="249"/>
      <c r="K21" s="249"/>
      <c r="L21" s="249"/>
      <c r="M21" s="249"/>
      <c r="N21" s="249"/>
      <c r="O21" s="249"/>
      <c r="P21" s="249"/>
      <c r="Q21" s="249"/>
      <c r="R21" s="249"/>
      <c r="S21" s="249"/>
      <c r="T21" s="249"/>
      <c r="U21" s="249"/>
      <c r="V21" s="217"/>
      <c r="W21" s="217"/>
      <c r="X21" s="217"/>
      <c r="Y21" s="217"/>
      <c r="Z21" s="217"/>
      <c r="AA21" s="217"/>
    </row>
    <row r="22" ht="18.75" customHeight="1">
      <c r="A22" s="218">
        <v>21.0</v>
      </c>
      <c r="B22" s="245">
        <v>14.0</v>
      </c>
      <c r="C22" s="246" t="s">
        <v>6848</v>
      </c>
      <c r="D22" s="245">
        <v>2.42510173E8</v>
      </c>
      <c r="E22" s="247" t="s">
        <v>3063</v>
      </c>
      <c r="F22" s="248" t="s">
        <v>9730</v>
      </c>
      <c r="G22" s="249"/>
      <c r="H22" s="249"/>
      <c r="I22" s="249"/>
      <c r="J22" s="249"/>
      <c r="K22" s="249"/>
      <c r="L22" s="249"/>
      <c r="M22" s="249"/>
      <c r="N22" s="249"/>
      <c r="O22" s="249"/>
      <c r="P22" s="249"/>
      <c r="Q22" s="249"/>
      <c r="R22" s="249"/>
      <c r="S22" s="249"/>
      <c r="T22" s="249"/>
      <c r="U22" s="249"/>
      <c r="V22" s="217"/>
      <c r="W22" s="217"/>
      <c r="X22" s="217"/>
      <c r="Y22" s="217"/>
      <c r="Z22" s="217"/>
      <c r="AA22" s="217"/>
    </row>
    <row r="23" ht="18.75" customHeight="1">
      <c r="A23" s="218">
        <v>22.0</v>
      </c>
      <c r="B23" s="245">
        <v>15.0</v>
      </c>
      <c r="C23" s="246" t="s">
        <v>6850</v>
      </c>
      <c r="D23" s="245">
        <v>2.42510183E8</v>
      </c>
      <c r="E23" s="247" t="s">
        <v>3068</v>
      </c>
      <c r="F23" s="248" t="s">
        <v>9731</v>
      </c>
      <c r="G23" s="249"/>
      <c r="H23" s="249"/>
      <c r="I23" s="249"/>
      <c r="J23" s="249"/>
      <c r="K23" s="249"/>
      <c r="L23" s="249"/>
      <c r="M23" s="249"/>
      <c r="N23" s="249"/>
      <c r="O23" s="249"/>
      <c r="P23" s="249"/>
      <c r="Q23" s="249"/>
      <c r="R23" s="249"/>
      <c r="S23" s="249"/>
      <c r="T23" s="249"/>
      <c r="U23" s="249"/>
      <c r="V23" s="217"/>
      <c r="W23" s="217"/>
      <c r="X23" s="217"/>
      <c r="Y23" s="217"/>
      <c r="Z23" s="217"/>
      <c r="AA23" s="217"/>
      <c r="AB23" s="217"/>
      <c r="AC23" s="217"/>
      <c r="AD23" s="217"/>
      <c r="AE23" s="217"/>
    </row>
    <row r="24" ht="18.75" customHeight="1">
      <c r="A24" s="218">
        <v>23.0</v>
      </c>
      <c r="B24" s="245">
        <v>16.0</v>
      </c>
      <c r="C24" s="246" t="s">
        <v>6852</v>
      </c>
      <c r="D24" s="245">
        <v>2.42510188E8</v>
      </c>
      <c r="E24" s="247" t="s">
        <v>3073</v>
      </c>
      <c r="F24" s="248" t="s">
        <v>9732</v>
      </c>
      <c r="G24" s="249"/>
      <c r="H24" s="249"/>
      <c r="I24" s="249"/>
      <c r="J24" s="249"/>
      <c r="K24" s="249"/>
      <c r="L24" s="249"/>
      <c r="M24" s="249"/>
      <c r="N24" s="249"/>
      <c r="O24" s="249"/>
      <c r="P24" s="249"/>
      <c r="Q24" s="249"/>
      <c r="R24" s="249"/>
      <c r="S24" s="249"/>
      <c r="T24" s="249"/>
      <c r="U24" s="249"/>
      <c r="V24" s="217"/>
      <c r="W24" s="217"/>
      <c r="X24" s="217"/>
      <c r="Y24" s="217"/>
      <c r="Z24" s="217"/>
      <c r="AA24" s="217"/>
    </row>
    <row r="25" ht="18.75" customHeight="1">
      <c r="A25" s="218">
        <v>24.0</v>
      </c>
      <c r="B25" s="245">
        <v>17.0</v>
      </c>
      <c r="C25" s="246" t="s">
        <v>6855</v>
      </c>
      <c r="D25" s="250">
        <v>2.42510189E8</v>
      </c>
      <c r="E25" s="247" t="s">
        <v>3078</v>
      </c>
      <c r="F25" s="248" t="s">
        <v>9733</v>
      </c>
      <c r="G25" s="249"/>
      <c r="H25" s="249"/>
      <c r="I25" s="249"/>
      <c r="J25" s="249"/>
      <c r="K25" s="249"/>
      <c r="L25" s="249"/>
      <c r="M25" s="249"/>
      <c r="N25" s="249"/>
      <c r="O25" s="249"/>
      <c r="P25" s="249"/>
      <c r="Q25" s="249"/>
      <c r="R25" s="249"/>
      <c r="S25" s="249"/>
      <c r="T25" s="249"/>
      <c r="U25" s="249"/>
      <c r="V25" s="217"/>
      <c r="W25" s="217"/>
      <c r="X25" s="217"/>
      <c r="Y25" s="217"/>
      <c r="Z25" s="217"/>
      <c r="AA25" s="217"/>
    </row>
    <row r="26" ht="18.75" customHeight="1">
      <c r="A26" s="218">
        <v>25.0</v>
      </c>
      <c r="B26" s="245">
        <v>18.0</v>
      </c>
      <c r="C26" s="246" t="s">
        <v>6857</v>
      </c>
      <c r="D26" s="250">
        <v>2.42510201E8</v>
      </c>
      <c r="E26" s="247" t="s">
        <v>3083</v>
      </c>
      <c r="F26" s="248" t="s">
        <v>9734</v>
      </c>
      <c r="G26" s="249"/>
      <c r="H26" s="249"/>
      <c r="I26" s="249"/>
      <c r="J26" s="249"/>
      <c r="K26" s="249"/>
      <c r="L26" s="249"/>
      <c r="M26" s="249"/>
      <c r="N26" s="249"/>
      <c r="O26" s="249"/>
      <c r="P26" s="249"/>
      <c r="Q26" s="249"/>
      <c r="R26" s="249"/>
      <c r="S26" s="249"/>
      <c r="T26" s="249"/>
      <c r="U26" s="249"/>
      <c r="V26" s="217"/>
      <c r="W26" s="217"/>
      <c r="X26" s="217"/>
      <c r="Y26" s="217"/>
      <c r="Z26" s="217"/>
      <c r="AA26" s="217"/>
    </row>
    <row r="27" ht="18.75" customHeight="1">
      <c r="A27" s="218">
        <v>26.0</v>
      </c>
      <c r="B27" s="245">
        <v>19.0</v>
      </c>
      <c r="C27" s="246" t="s">
        <v>6860</v>
      </c>
      <c r="D27" s="250">
        <v>2.42510206E8</v>
      </c>
      <c r="E27" s="247" t="s">
        <v>3088</v>
      </c>
      <c r="F27" s="248" t="s">
        <v>9735</v>
      </c>
      <c r="G27" s="249"/>
      <c r="H27" s="249"/>
      <c r="I27" s="249"/>
      <c r="J27" s="249"/>
      <c r="K27" s="249"/>
      <c r="L27" s="249"/>
      <c r="M27" s="249"/>
      <c r="N27" s="249"/>
      <c r="O27" s="249"/>
      <c r="P27" s="249"/>
      <c r="Q27" s="249"/>
      <c r="R27" s="249"/>
      <c r="S27" s="249"/>
      <c r="T27" s="249"/>
      <c r="U27" s="249"/>
      <c r="V27" s="217"/>
      <c r="W27" s="217"/>
      <c r="X27" s="217"/>
      <c r="Y27" s="217"/>
      <c r="Z27" s="217"/>
      <c r="AA27" s="217"/>
    </row>
    <row r="28" ht="18.75" customHeight="1">
      <c r="A28" s="218">
        <v>27.0</v>
      </c>
      <c r="B28" s="245">
        <v>20.0</v>
      </c>
      <c r="C28" s="246" t="s">
        <v>6862</v>
      </c>
      <c r="D28" s="250">
        <v>2.42510208E8</v>
      </c>
      <c r="E28" s="247" t="s">
        <v>3094</v>
      </c>
      <c r="F28" s="248" t="s">
        <v>9736</v>
      </c>
      <c r="G28" s="249"/>
      <c r="H28" s="249"/>
      <c r="I28" s="249"/>
      <c r="J28" s="249"/>
      <c r="K28" s="249"/>
      <c r="L28" s="249"/>
      <c r="M28" s="249"/>
      <c r="N28" s="249"/>
      <c r="O28" s="249"/>
      <c r="P28" s="249"/>
      <c r="Q28" s="249"/>
      <c r="R28" s="249"/>
      <c r="S28" s="249"/>
      <c r="T28" s="249"/>
      <c r="U28" s="249"/>
      <c r="V28" s="217"/>
      <c r="W28" s="217"/>
      <c r="X28" s="217"/>
      <c r="Y28" s="217"/>
      <c r="Z28" s="217"/>
      <c r="AA28" s="217"/>
    </row>
    <row r="29" ht="18.75" customHeight="1">
      <c r="A29" s="218">
        <v>28.0</v>
      </c>
      <c r="B29" s="245">
        <v>21.0</v>
      </c>
      <c r="C29" s="246" t="s">
        <v>6864</v>
      </c>
      <c r="D29" s="250">
        <v>2.42510209E8</v>
      </c>
      <c r="E29" s="247" t="s">
        <v>3099</v>
      </c>
      <c r="F29" s="248" t="s">
        <v>9737</v>
      </c>
      <c r="G29" s="249"/>
      <c r="H29" s="249"/>
      <c r="I29" s="249"/>
      <c r="J29" s="249"/>
      <c r="K29" s="249"/>
      <c r="L29" s="249"/>
      <c r="M29" s="249"/>
      <c r="N29" s="249"/>
      <c r="O29" s="249"/>
      <c r="P29" s="249"/>
      <c r="Q29" s="249"/>
      <c r="R29" s="249"/>
      <c r="S29" s="249"/>
      <c r="T29" s="249"/>
      <c r="U29" s="249"/>
      <c r="V29" s="217"/>
      <c r="W29" s="217"/>
      <c r="X29" s="217"/>
      <c r="Y29" s="217"/>
      <c r="Z29" s="217"/>
      <c r="AA29" s="217"/>
    </row>
    <row r="30" ht="18.75" customHeight="1">
      <c r="A30" s="218">
        <v>29.0</v>
      </c>
      <c r="B30" s="245">
        <v>22.0</v>
      </c>
      <c r="C30" s="251">
        <v>3.083447726E9</v>
      </c>
      <c r="D30" s="250">
        <v>2.42510257E8</v>
      </c>
      <c r="E30" s="247" t="s">
        <v>3104</v>
      </c>
      <c r="F30" s="248" t="s">
        <v>9738</v>
      </c>
      <c r="G30" s="249"/>
      <c r="H30" s="249"/>
      <c r="I30" s="249"/>
      <c r="J30" s="249"/>
      <c r="K30" s="249"/>
      <c r="L30" s="249"/>
      <c r="M30" s="249"/>
      <c r="N30" s="249"/>
      <c r="O30" s="249"/>
      <c r="P30" s="249"/>
      <c r="Q30" s="249"/>
      <c r="R30" s="249"/>
      <c r="S30" s="249"/>
      <c r="T30" s="249"/>
      <c r="U30" s="249"/>
      <c r="V30" s="217"/>
      <c r="W30" s="217"/>
      <c r="X30" s="217"/>
      <c r="Y30" s="217"/>
      <c r="Z30" s="217"/>
      <c r="AA30" s="217"/>
    </row>
    <row r="31" ht="18.75" customHeight="1">
      <c r="A31" s="218">
        <v>30.0</v>
      </c>
      <c r="B31" s="245">
        <v>23.0</v>
      </c>
      <c r="C31" s="246" t="s">
        <v>6868</v>
      </c>
      <c r="D31" s="250">
        <v>2.42510281E8</v>
      </c>
      <c r="E31" s="247" t="s">
        <v>3109</v>
      </c>
      <c r="F31" s="248" t="s">
        <v>9739</v>
      </c>
      <c r="G31" s="249"/>
      <c r="H31" s="249"/>
      <c r="I31" s="249"/>
      <c r="J31" s="249"/>
      <c r="K31" s="249"/>
      <c r="L31" s="249"/>
      <c r="M31" s="249"/>
      <c r="N31" s="249"/>
      <c r="O31" s="249"/>
      <c r="P31" s="249"/>
      <c r="Q31" s="249"/>
      <c r="R31" s="249"/>
      <c r="S31" s="249"/>
      <c r="T31" s="249"/>
      <c r="U31" s="249"/>
      <c r="V31" s="217"/>
      <c r="W31" s="217"/>
      <c r="X31" s="217"/>
      <c r="Y31" s="217"/>
      <c r="Z31" s="217"/>
      <c r="AA31" s="217"/>
    </row>
    <row r="32" ht="18.75" customHeight="1">
      <c r="A32" s="218">
        <v>31.0</v>
      </c>
      <c r="B32" s="245">
        <v>24.0</v>
      </c>
      <c r="C32" s="246" t="s">
        <v>6871</v>
      </c>
      <c r="D32" s="250">
        <v>2.42510291E8</v>
      </c>
      <c r="E32" s="247" t="s">
        <v>3114</v>
      </c>
      <c r="F32" s="248" t="s">
        <v>9740</v>
      </c>
      <c r="G32" s="249"/>
      <c r="H32" s="249"/>
      <c r="I32" s="249"/>
      <c r="J32" s="249"/>
      <c r="K32" s="249"/>
      <c r="L32" s="249"/>
      <c r="M32" s="249"/>
      <c r="N32" s="249"/>
      <c r="O32" s="249"/>
      <c r="P32" s="249"/>
      <c r="Q32" s="249"/>
      <c r="R32" s="249"/>
      <c r="S32" s="249"/>
      <c r="T32" s="249"/>
      <c r="U32" s="249"/>
      <c r="V32" s="217"/>
      <c r="W32" s="217"/>
      <c r="X32" s="217"/>
      <c r="Y32" s="217"/>
      <c r="Z32" s="217"/>
      <c r="AA32" s="217"/>
    </row>
    <row r="33" ht="18.75" customHeight="1">
      <c r="A33" s="218">
        <v>32.0</v>
      </c>
      <c r="B33" s="245">
        <v>25.0</v>
      </c>
      <c r="C33" s="246" t="s">
        <v>6874</v>
      </c>
      <c r="D33" s="250">
        <v>2.42510323E8</v>
      </c>
      <c r="E33" s="247" t="s">
        <v>3119</v>
      </c>
      <c r="F33" s="248" t="s">
        <v>9741</v>
      </c>
      <c r="G33" s="249"/>
      <c r="H33" s="249"/>
      <c r="I33" s="249"/>
      <c r="J33" s="249"/>
      <c r="K33" s="249"/>
      <c r="L33" s="249"/>
      <c r="M33" s="249"/>
      <c r="N33" s="249"/>
      <c r="O33" s="249"/>
      <c r="P33" s="249"/>
      <c r="Q33" s="249"/>
      <c r="R33" s="249"/>
      <c r="S33" s="249"/>
      <c r="T33" s="249"/>
      <c r="U33" s="249"/>
      <c r="V33" s="217"/>
      <c r="W33" s="217"/>
      <c r="X33" s="217"/>
      <c r="Y33" s="217"/>
      <c r="Z33" s="217"/>
      <c r="AA33" s="217"/>
    </row>
    <row r="34" ht="18.75" customHeight="1">
      <c r="A34" s="218">
        <v>33.0</v>
      </c>
      <c r="B34" s="245">
        <v>26.0</v>
      </c>
      <c r="C34" s="246" t="s">
        <v>6876</v>
      </c>
      <c r="D34" s="250">
        <v>2.42510325E8</v>
      </c>
      <c r="E34" s="247" t="s">
        <v>3125</v>
      </c>
      <c r="F34" s="248" t="s">
        <v>9742</v>
      </c>
      <c r="G34" s="249"/>
      <c r="H34" s="249"/>
      <c r="I34" s="249"/>
      <c r="J34" s="249"/>
      <c r="K34" s="249"/>
      <c r="L34" s="249"/>
      <c r="M34" s="249"/>
      <c r="N34" s="249"/>
      <c r="O34" s="249"/>
      <c r="P34" s="249"/>
      <c r="Q34" s="249"/>
      <c r="R34" s="249"/>
      <c r="S34" s="249"/>
      <c r="T34" s="249"/>
      <c r="U34" s="249"/>
      <c r="V34" s="217"/>
      <c r="W34" s="217"/>
      <c r="X34" s="217"/>
      <c r="Y34" s="217"/>
      <c r="Z34" s="217"/>
      <c r="AA34" s="217"/>
    </row>
    <row r="35" ht="18.75" customHeight="1">
      <c r="A35" s="218">
        <v>34.0</v>
      </c>
      <c r="B35" s="245">
        <v>27.0</v>
      </c>
      <c r="C35" s="246" t="s">
        <v>6878</v>
      </c>
      <c r="D35" s="250">
        <v>2.42510336E8</v>
      </c>
      <c r="E35" s="247" t="s">
        <v>3130</v>
      </c>
      <c r="F35" s="248" t="s">
        <v>9743</v>
      </c>
      <c r="G35" s="249"/>
      <c r="H35" s="249"/>
      <c r="I35" s="249"/>
      <c r="J35" s="249"/>
      <c r="K35" s="249"/>
      <c r="L35" s="249"/>
      <c r="M35" s="249"/>
      <c r="N35" s="249"/>
      <c r="O35" s="249"/>
      <c r="P35" s="249"/>
      <c r="Q35" s="249"/>
      <c r="R35" s="249"/>
      <c r="S35" s="249"/>
      <c r="T35" s="249"/>
      <c r="U35" s="249"/>
      <c r="V35" s="217"/>
      <c r="W35" s="217"/>
      <c r="X35" s="217"/>
      <c r="Y35" s="217"/>
      <c r="Z35" s="217"/>
      <c r="AA35" s="217"/>
    </row>
    <row r="36" ht="18.75" customHeight="1">
      <c r="A36" s="218">
        <v>35.0</v>
      </c>
      <c r="B36" s="245">
        <v>28.0</v>
      </c>
      <c r="C36" s="251">
        <v>3.098805753E9</v>
      </c>
      <c r="D36" s="250">
        <v>2.42510342E8</v>
      </c>
      <c r="E36" s="247" t="s">
        <v>3135</v>
      </c>
      <c r="F36" s="248" t="s">
        <v>9744</v>
      </c>
      <c r="G36" s="249"/>
      <c r="H36" s="249"/>
      <c r="I36" s="249"/>
      <c r="J36" s="249"/>
      <c r="K36" s="249"/>
      <c r="L36" s="249"/>
      <c r="M36" s="249"/>
      <c r="N36" s="249"/>
      <c r="O36" s="249"/>
      <c r="P36" s="249"/>
      <c r="Q36" s="249"/>
      <c r="R36" s="249"/>
      <c r="S36" s="249"/>
      <c r="T36" s="249"/>
      <c r="U36" s="249"/>
      <c r="V36" s="217"/>
      <c r="W36" s="217"/>
      <c r="X36" s="217"/>
      <c r="Y36" s="217"/>
      <c r="Z36" s="217"/>
      <c r="AA36" s="217"/>
    </row>
    <row r="37" ht="18.75" customHeight="1">
      <c r="A37" s="218">
        <v>36.0</v>
      </c>
      <c r="B37" s="245">
        <v>29.0</v>
      </c>
      <c r="C37" s="246" t="s">
        <v>6882</v>
      </c>
      <c r="D37" s="250">
        <v>2.42510388E8</v>
      </c>
      <c r="E37" s="247" t="s">
        <v>3140</v>
      </c>
      <c r="F37" s="248" t="s">
        <v>9745</v>
      </c>
      <c r="G37" s="249"/>
      <c r="H37" s="249"/>
      <c r="I37" s="249"/>
      <c r="J37" s="249"/>
      <c r="K37" s="249"/>
      <c r="L37" s="249"/>
      <c r="M37" s="249"/>
      <c r="N37" s="249"/>
      <c r="O37" s="249"/>
      <c r="P37" s="249"/>
      <c r="Q37" s="249"/>
      <c r="R37" s="249"/>
      <c r="S37" s="249"/>
      <c r="T37" s="249"/>
      <c r="U37" s="249"/>
      <c r="V37" s="217"/>
      <c r="W37" s="217"/>
      <c r="X37" s="217"/>
      <c r="Y37" s="217"/>
      <c r="Z37" s="217"/>
      <c r="AA37" s="217"/>
    </row>
    <row r="38" ht="18.75" customHeight="1">
      <c r="A38" s="218">
        <v>37.0</v>
      </c>
      <c r="B38" s="245">
        <v>30.0</v>
      </c>
      <c r="C38" s="246" t="s">
        <v>6885</v>
      </c>
      <c r="D38" s="250">
        <v>2.42510406E8</v>
      </c>
      <c r="E38" s="247" t="s">
        <v>3145</v>
      </c>
      <c r="F38" s="248" t="s">
        <v>9746</v>
      </c>
      <c r="G38" s="249"/>
      <c r="H38" s="249"/>
      <c r="I38" s="249"/>
      <c r="J38" s="249"/>
      <c r="K38" s="249"/>
      <c r="L38" s="249"/>
      <c r="M38" s="249"/>
      <c r="N38" s="249"/>
      <c r="O38" s="249"/>
      <c r="P38" s="249"/>
      <c r="Q38" s="249"/>
      <c r="R38" s="249"/>
      <c r="S38" s="249"/>
      <c r="T38" s="249"/>
      <c r="U38" s="249"/>
      <c r="V38" s="217"/>
      <c r="W38" s="217"/>
      <c r="X38" s="217"/>
      <c r="Y38" s="217"/>
      <c r="Z38" s="217"/>
      <c r="AA38" s="217"/>
    </row>
    <row r="39" ht="18.75" customHeight="1">
      <c r="A39" s="218">
        <v>38.0</v>
      </c>
      <c r="B39" s="245">
        <v>31.0</v>
      </c>
      <c r="C39" s="246" t="s">
        <v>6885</v>
      </c>
      <c r="D39" s="250">
        <v>2.42510406E8</v>
      </c>
      <c r="E39" s="247" t="s">
        <v>3150</v>
      </c>
      <c r="F39" s="248" t="s">
        <v>9747</v>
      </c>
      <c r="G39" s="249"/>
      <c r="H39" s="249"/>
      <c r="I39" s="249"/>
      <c r="J39" s="249"/>
      <c r="K39" s="249"/>
      <c r="L39" s="249"/>
      <c r="M39" s="249"/>
      <c r="N39" s="249"/>
      <c r="O39" s="249"/>
      <c r="P39" s="249"/>
      <c r="Q39" s="249"/>
      <c r="R39" s="249"/>
      <c r="S39" s="249"/>
      <c r="T39" s="249"/>
      <c r="U39" s="249"/>
      <c r="V39" s="217"/>
      <c r="W39" s="217"/>
      <c r="X39" s="217"/>
      <c r="Y39" s="217"/>
      <c r="Z39" s="217"/>
      <c r="AA39" s="217"/>
    </row>
    <row r="40" ht="18.75" customHeight="1">
      <c r="A40" s="218">
        <v>39.0</v>
      </c>
      <c r="B40" s="245">
        <v>32.0</v>
      </c>
      <c r="C40" s="246" t="s">
        <v>6887</v>
      </c>
      <c r="D40" s="245">
        <v>2.42510414E8</v>
      </c>
      <c r="E40" s="247" t="s">
        <v>3156</v>
      </c>
      <c r="F40" s="248" t="s">
        <v>9748</v>
      </c>
      <c r="G40" s="249"/>
      <c r="H40" s="249"/>
      <c r="I40" s="249"/>
      <c r="J40" s="249"/>
      <c r="K40" s="249"/>
      <c r="L40" s="249"/>
      <c r="M40" s="249"/>
      <c r="N40" s="249"/>
      <c r="O40" s="249"/>
      <c r="P40" s="249"/>
      <c r="Q40" s="249"/>
      <c r="R40" s="249"/>
      <c r="S40" s="249"/>
      <c r="T40" s="249"/>
      <c r="U40" s="249"/>
      <c r="V40" s="217"/>
      <c r="W40" s="217"/>
      <c r="X40" s="217"/>
      <c r="Y40" s="217"/>
      <c r="Z40" s="217"/>
      <c r="AA40" s="217"/>
    </row>
    <row r="41" ht="18.75" customHeight="1">
      <c r="A41" s="218">
        <v>40.0</v>
      </c>
      <c r="B41" s="245">
        <v>33.0</v>
      </c>
      <c r="C41" s="246" t="s">
        <v>6889</v>
      </c>
      <c r="D41" s="245">
        <v>2.42510416E8</v>
      </c>
      <c r="E41" s="247" t="s">
        <v>3161</v>
      </c>
      <c r="F41" s="248" t="s">
        <v>9749</v>
      </c>
      <c r="G41" s="249"/>
      <c r="H41" s="249"/>
      <c r="I41" s="249"/>
      <c r="J41" s="249"/>
      <c r="K41" s="249"/>
      <c r="L41" s="249"/>
      <c r="M41" s="249"/>
      <c r="N41" s="249"/>
      <c r="O41" s="249"/>
      <c r="P41" s="249"/>
      <c r="Q41" s="249"/>
      <c r="R41" s="249"/>
      <c r="S41" s="249"/>
      <c r="T41" s="249"/>
      <c r="U41" s="249"/>
      <c r="V41" s="217"/>
      <c r="W41" s="217"/>
      <c r="X41" s="217"/>
      <c r="Y41" s="217"/>
      <c r="Z41" s="217"/>
      <c r="AA41" s="217"/>
    </row>
    <row r="42" ht="18.75" customHeight="1">
      <c r="A42" s="218">
        <v>41.0</v>
      </c>
      <c r="B42" s="245">
        <v>34.0</v>
      </c>
      <c r="C42" s="246" t="s">
        <v>6891</v>
      </c>
      <c r="D42" s="250">
        <v>2.42510426E8</v>
      </c>
      <c r="E42" s="247" t="s">
        <v>3166</v>
      </c>
      <c r="F42" s="248" t="s">
        <v>9750</v>
      </c>
      <c r="G42" s="249"/>
      <c r="H42" s="249"/>
      <c r="I42" s="249"/>
      <c r="J42" s="249"/>
      <c r="K42" s="249"/>
      <c r="L42" s="249"/>
      <c r="M42" s="249"/>
      <c r="N42" s="249"/>
      <c r="O42" s="249"/>
      <c r="P42" s="249"/>
      <c r="Q42" s="249"/>
      <c r="R42" s="249"/>
      <c r="S42" s="249"/>
      <c r="T42" s="249"/>
      <c r="U42" s="249"/>
      <c r="V42" s="217"/>
      <c r="W42" s="217"/>
      <c r="X42" s="217"/>
      <c r="Y42" s="217"/>
      <c r="Z42" s="217"/>
      <c r="AA42" s="217"/>
    </row>
    <row r="43" ht="18.75" customHeight="1">
      <c r="A43" s="218">
        <v>42.0</v>
      </c>
      <c r="B43" s="245">
        <v>35.0</v>
      </c>
      <c r="C43" s="246" t="s">
        <v>6893</v>
      </c>
      <c r="D43" s="250">
        <v>2.4251043E8</v>
      </c>
      <c r="E43" s="247" t="s">
        <v>3172</v>
      </c>
      <c r="F43" s="248" t="s">
        <v>9751</v>
      </c>
      <c r="G43" s="249"/>
      <c r="H43" s="249"/>
      <c r="I43" s="249"/>
      <c r="J43" s="249"/>
      <c r="K43" s="249"/>
      <c r="L43" s="249"/>
      <c r="M43" s="249"/>
      <c r="N43" s="249"/>
      <c r="O43" s="249"/>
      <c r="P43" s="249"/>
      <c r="Q43" s="249"/>
      <c r="R43" s="249"/>
      <c r="S43" s="249"/>
      <c r="T43" s="249"/>
      <c r="U43" s="249"/>
      <c r="V43" s="217"/>
      <c r="W43" s="217"/>
      <c r="X43" s="217"/>
      <c r="Y43" s="217"/>
      <c r="Z43" s="217"/>
      <c r="AA43" s="217"/>
    </row>
    <row r="44" ht="18.75" customHeight="1">
      <c r="A44" s="218">
        <v>43.0</v>
      </c>
      <c r="B44" s="245">
        <v>36.0</v>
      </c>
      <c r="C44" s="246" t="s">
        <v>6895</v>
      </c>
      <c r="D44" s="250">
        <v>2.42510432E8</v>
      </c>
      <c r="E44" s="247" t="s">
        <v>3177</v>
      </c>
      <c r="F44" s="248" t="s">
        <v>9752</v>
      </c>
      <c r="G44" s="249"/>
      <c r="H44" s="249"/>
      <c r="I44" s="249"/>
      <c r="J44" s="249"/>
      <c r="K44" s="249"/>
      <c r="L44" s="249"/>
      <c r="M44" s="249"/>
      <c r="N44" s="249"/>
      <c r="O44" s="249"/>
      <c r="P44" s="249"/>
      <c r="Q44" s="249"/>
      <c r="R44" s="249"/>
      <c r="S44" s="249"/>
      <c r="T44" s="249"/>
      <c r="U44" s="249"/>
      <c r="V44" s="217"/>
      <c r="W44" s="217"/>
      <c r="X44" s="217"/>
      <c r="Y44" s="217"/>
      <c r="Z44" s="217"/>
      <c r="AA44" s="217"/>
    </row>
    <row r="45" ht="16.5" hidden="1" customHeight="1">
      <c r="A45" s="218">
        <v>44.0</v>
      </c>
      <c r="B45" s="252"/>
      <c r="C45" s="253"/>
      <c r="D45" s="253"/>
      <c r="E45" s="253"/>
      <c r="F45" s="253"/>
      <c r="G45" s="254"/>
      <c r="H45" s="254"/>
      <c r="I45" s="254"/>
      <c r="J45" s="254"/>
      <c r="K45" s="254"/>
      <c r="L45" s="254"/>
      <c r="M45" s="254"/>
      <c r="N45" s="254"/>
      <c r="O45" s="254"/>
      <c r="P45" s="254"/>
      <c r="Q45" s="254"/>
      <c r="R45" s="254"/>
      <c r="S45" s="254"/>
      <c r="T45" s="254"/>
      <c r="U45" s="254"/>
      <c r="V45" s="217"/>
      <c r="W45" s="217"/>
      <c r="X45" s="217"/>
      <c r="Y45" s="217"/>
      <c r="Z45" s="217"/>
      <c r="AA45" s="217"/>
    </row>
    <row r="46" ht="16.5" hidden="1" customHeight="1">
      <c r="A46" s="218">
        <v>45.0</v>
      </c>
      <c r="B46" s="252"/>
      <c r="C46" s="253"/>
      <c r="D46" s="253"/>
      <c r="E46" s="253"/>
      <c r="F46" s="253"/>
      <c r="G46" s="254"/>
      <c r="H46" s="254"/>
      <c r="I46" s="254"/>
      <c r="J46" s="254"/>
      <c r="K46" s="254"/>
      <c r="L46" s="255" t="s">
        <v>9753</v>
      </c>
      <c r="M46" s="256"/>
      <c r="N46" s="256"/>
      <c r="O46" s="256"/>
      <c r="P46" s="256"/>
      <c r="Q46" s="256"/>
      <c r="R46" s="256"/>
      <c r="S46" s="256"/>
      <c r="T46" s="256"/>
      <c r="U46" s="257"/>
      <c r="V46" s="217"/>
      <c r="W46" s="217"/>
      <c r="X46" s="217"/>
      <c r="Y46" s="217"/>
      <c r="Z46" s="217"/>
      <c r="AA46" s="217"/>
    </row>
    <row r="47" ht="16.5" hidden="1" customHeight="1">
      <c r="A47" s="218">
        <v>46.0</v>
      </c>
      <c r="B47" s="252"/>
      <c r="C47" s="253"/>
      <c r="D47" s="253"/>
      <c r="E47" s="253"/>
      <c r="F47" s="253"/>
      <c r="G47" s="254"/>
      <c r="H47" s="254"/>
      <c r="I47" s="254"/>
      <c r="J47" s="254"/>
      <c r="K47" s="254"/>
      <c r="L47" s="258" t="s">
        <v>8793</v>
      </c>
      <c r="M47" s="259"/>
      <c r="N47" s="259"/>
      <c r="O47" s="259"/>
      <c r="P47" s="259"/>
      <c r="Q47" s="259"/>
      <c r="R47" s="259"/>
      <c r="S47" s="259"/>
      <c r="T47" s="259"/>
      <c r="U47" s="260"/>
      <c r="V47" s="217"/>
      <c r="W47" s="217"/>
      <c r="X47" s="217"/>
      <c r="Y47" s="217"/>
      <c r="Z47" s="217"/>
      <c r="AA47" s="217"/>
    </row>
    <row r="48" ht="78.0" hidden="1" customHeight="1">
      <c r="A48" s="218">
        <v>47.0</v>
      </c>
      <c r="B48" s="261"/>
      <c r="C48" s="261"/>
      <c r="D48" s="261"/>
      <c r="E48" s="261"/>
      <c r="F48" s="261"/>
      <c r="G48" s="261"/>
      <c r="H48" s="261"/>
      <c r="I48" s="261"/>
      <c r="J48" s="261"/>
      <c r="K48" s="261"/>
      <c r="L48" s="261"/>
      <c r="M48" s="261"/>
      <c r="N48" s="261"/>
      <c r="O48" s="261"/>
      <c r="P48" s="261"/>
      <c r="Q48" s="261"/>
      <c r="R48" s="261"/>
      <c r="S48" s="261"/>
      <c r="T48" s="261"/>
      <c r="U48" s="261"/>
      <c r="V48" s="217"/>
      <c r="W48" s="217"/>
      <c r="X48" s="217"/>
      <c r="Y48" s="217"/>
      <c r="Z48" s="217"/>
      <c r="AA48" s="217"/>
    </row>
    <row r="49" ht="16.5" hidden="1" customHeight="1">
      <c r="A49" s="218">
        <v>48.0</v>
      </c>
      <c r="B49" s="262"/>
      <c r="C49" s="263"/>
      <c r="D49" s="263"/>
      <c r="E49" s="263"/>
      <c r="F49" s="263"/>
      <c r="G49" s="263"/>
      <c r="H49" s="263"/>
      <c r="I49" s="263"/>
      <c r="J49" s="263"/>
      <c r="K49" s="263"/>
      <c r="L49" s="263"/>
      <c r="M49" s="263"/>
      <c r="N49" s="263"/>
      <c r="O49" s="263"/>
      <c r="P49" s="263"/>
      <c r="Q49" s="263"/>
      <c r="R49" s="263"/>
      <c r="S49" s="263"/>
      <c r="T49" s="263"/>
      <c r="U49" s="264"/>
      <c r="V49" s="217"/>
      <c r="W49" s="217"/>
      <c r="X49" s="217"/>
      <c r="Y49" s="217"/>
      <c r="Z49" s="217"/>
      <c r="AA49" s="217"/>
    </row>
    <row r="50" ht="16.5" hidden="1" customHeight="1">
      <c r="A50" s="218">
        <v>49.0</v>
      </c>
      <c r="B50" s="222"/>
      <c r="C50" s="223"/>
      <c r="D50" s="223"/>
      <c r="E50" s="223"/>
      <c r="F50" s="223"/>
      <c r="G50" s="223"/>
      <c r="H50" s="223"/>
      <c r="I50" s="223"/>
      <c r="J50" s="223"/>
      <c r="K50" s="223"/>
      <c r="L50" s="223"/>
      <c r="M50" s="223"/>
      <c r="N50" s="223"/>
      <c r="O50" s="223"/>
      <c r="P50" s="223"/>
      <c r="Q50" s="223"/>
      <c r="R50" s="223"/>
      <c r="S50" s="223"/>
      <c r="T50" s="223"/>
      <c r="U50" s="224"/>
      <c r="V50" s="217"/>
      <c r="W50" s="217"/>
      <c r="X50" s="217"/>
      <c r="Y50" s="217"/>
      <c r="Z50" s="217"/>
      <c r="AA50" s="217"/>
    </row>
    <row r="51" ht="16.5" hidden="1" customHeight="1">
      <c r="A51" s="218">
        <v>50.0</v>
      </c>
      <c r="B51" s="225"/>
      <c r="C51" s="226"/>
      <c r="D51" s="226"/>
      <c r="E51" s="226"/>
      <c r="F51" s="226"/>
      <c r="G51" s="226"/>
      <c r="H51" s="226"/>
      <c r="I51" s="226"/>
      <c r="J51" s="226"/>
      <c r="K51" s="226"/>
      <c r="L51" s="226"/>
      <c r="M51" s="226"/>
      <c r="N51" s="226"/>
      <c r="O51" s="226"/>
      <c r="P51" s="226"/>
      <c r="Q51" s="226"/>
      <c r="R51" s="226"/>
      <c r="S51" s="226"/>
      <c r="T51" s="226"/>
      <c r="U51" s="227"/>
      <c r="V51" s="217"/>
      <c r="W51" s="217"/>
      <c r="X51" s="217"/>
      <c r="Y51" s="217"/>
      <c r="Z51" s="217"/>
      <c r="AA51" s="217"/>
    </row>
    <row r="52" ht="16.5" hidden="1" customHeight="1">
      <c r="A52" s="218">
        <v>51.0</v>
      </c>
      <c r="B52" s="228"/>
      <c r="C52" s="229"/>
      <c r="D52" s="229"/>
      <c r="E52" s="229"/>
      <c r="F52" s="229"/>
      <c r="G52" s="230"/>
      <c r="H52" s="230"/>
      <c r="I52" s="230"/>
      <c r="J52" s="230"/>
      <c r="K52" s="230"/>
      <c r="L52" s="230"/>
      <c r="M52" s="230"/>
      <c r="N52" s="230"/>
      <c r="O52" s="230"/>
      <c r="P52" s="230"/>
      <c r="Q52" s="230"/>
      <c r="R52" s="230"/>
      <c r="S52" s="230"/>
      <c r="T52" s="230"/>
      <c r="U52" s="230"/>
      <c r="V52" s="217"/>
      <c r="W52" s="217"/>
      <c r="X52" s="217"/>
      <c r="Y52" s="217"/>
      <c r="Z52" s="217"/>
      <c r="AA52" s="217"/>
    </row>
    <row r="53" ht="14.25" hidden="1" customHeight="1">
      <c r="A53" s="218">
        <v>52.0</v>
      </c>
      <c r="B53" s="231"/>
      <c r="C53" s="231"/>
      <c r="D53" s="231"/>
      <c r="E53" s="231"/>
      <c r="F53" s="232"/>
      <c r="G53" s="233"/>
      <c r="H53" s="234"/>
      <c r="I53" s="234"/>
      <c r="J53" s="234"/>
      <c r="K53" s="234"/>
      <c r="L53" s="234"/>
      <c r="M53" s="234"/>
      <c r="N53" s="234"/>
      <c r="O53" s="234"/>
      <c r="P53" s="234"/>
      <c r="Q53" s="234"/>
      <c r="R53" s="234"/>
      <c r="S53" s="234"/>
      <c r="T53" s="234"/>
      <c r="U53" s="235"/>
      <c r="V53" s="217"/>
      <c r="W53" s="217"/>
      <c r="X53" s="217"/>
      <c r="Y53" s="217"/>
      <c r="Z53" s="217"/>
      <c r="AA53" s="217"/>
    </row>
    <row r="54" ht="14.25" hidden="1" customHeight="1">
      <c r="A54" s="218">
        <v>53.0</v>
      </c>
      <c r="B54" s="236"/>
      <c r="C54" s="236"/>
      <c r="D54" s="236"/>
      <c r="E54" s="236"/>
      <c r="F54" s="237"/>
      <c r="G54" s="238"/>
      <c r="H54" s="239"/>
      <c r="I54" s="239"/>
      <c r="J54" s="239"/>
      <c r="K54" s="239"/>
      <c r="L54" s="239"/>
      <c r="M54" s="239"/>
      <c r="N54" s="239"/>
      <c r="O54" s="239"/>
      <c r="P54" s="239"/>
      <c r="Q54" s="239"/>
      <c r="R54" s="240"/>
      <c r="S54" s="233" t="s">
        <v>9713</v>
      </c>
      <c r="T54" s="234"/>
      <c r="U54" s="235"/>
      <c r="V54" s="217"/>
      <c r="W54" s="217"/>
      <c r="X54" s="217"/>
      <c r="Y54" s="217"/>
      <c r="Z54" s="217"/>
      <c r="AA54" s="217"/>
    </row>
    <row r="55" ht="14.25" hidden="1" customHeight="1">
      <c r="A55" s="218">
        <v>54.0</v>
      </c>
      <c r="B55" s="241"/>
      <c r="C55" s="241"/>
      <c r="D55" s="241"/>
      <c r="E55" s="241"/>
      <c r="F55" s="242"/>
      <c r="G55" s="243"/>
      <c r="H55" s="243">
        <v>2.0</v>
      </c>
      <c r="I55" s="243">
        <v>3.0</v>
      </c>
      <c r="J55" s="243">
        <v>4.0</v>
      </c>
      <c r="K55" s="243">
        <v>5.0</v>
      </c>
      <c r="L55" s="243">
        <v>6.0</v>
      </c>
      <c r="M55" s="243">
        <v>7.0</v>
      </c>
      <c r="N55" s="243">
        <v>8.0</v>
      </c>
      <c r="O55" s="243">
        <v>9.0</v>
      </c>
      <c r="P55" s="243">
        <v>10.0</v>
      </c>
      <c r="Q55" s="243">
        <v>11.0</v>
      </c>
      <c r="R55" s="243">
        <v>12.0</v>
      </c>
      <c r="S55" s="243" t="s">
        <v>9714</v>
      </c>
      <c r="T55" s="243" t="s">
        <v>9715</v>
      </c>
      <c r="U55" s="244" t="s">
        <v>9716</v>
      </c>
      <c r="V55" s="217"/>
      <c r="W55" s="217"/>
      <c r="X55" s="217"/>
      <c r="Y55" s="217"/>
      <c r="Z55" s="217"/>
      <c r="AA55" s="217"/>
    </row>
    <row r="56" ht="18.75" customHeight="1">
      <c r="A56" s="218">
        <v>55.0</v>
      </c>
      <c r="B56" s="245">
        <v>1.0</v>
      </c>
      <c r="C56" s="265" t="s">
        <v>6897</v>
      </c>
      <c r="D56" s="245">
        <v>2.42510005E8</v>
      </c>
      <c r="E56" s="266" t="s">
        <v>3182</v>
      </c>
      <c r="F56" s="267" t="s">
        <v>227</v>
      </c>
      <c r="G56" s="268"/>
      <c r="H56" s="269"/>
      <c r="I56" s="269"/>
      <c r="J56" s="269"/>
      <c r="K56" s="269"/>
      <c r="L56" s="269"/>
      <c r="M56" s="269"/>
      <c r="N56" s="269"/>
      <c r="O56" s="269"/>
      <c r="P56" s="269"/>
      <c r="Q56" s="269"/>
      <c r="R56" s="269"/>
      <c r="S56" s="269"/>
      <c r="T56" s="269"/>
      <c r="U56" s="269"/>
      <c r="V56" s="217"/>
      <c r="W56" s="217"/>
      <c r="X56" s="217"/>
      <c r="Y56" s="217"/>
      <c r="Z56" s="217"/>
      <c r="AA56" s="217"/>
    </row>
    <row r="57" ht="18.75" customHeight="1">
      <c r="A57" s="218">
        <v>56.0</v>
      </c>
      <c r="B57" s="245">
        <v>2.0</v>
      </c>
      <c r="C57" s="265" t="s">
        <v>6900</v>
      </c>
      <c r="D57" s="250">
        <v>2.42510007E8</v>
      </c>
      <c r="E57" s="266" t="s">
        <v>3188</v>
      </c>
      <c r="F57" s="267" t="s">
        <v>220</v>
      </c>
      <c r="G57" s="268"/>
      <c r="H57" s="269"/>
      <c r="I57" s="269"/>
      <c r="J57" s="269"/>
      <c r="K57" s="269"/>
      <c r="L57" s="269"/>
      <c r="M57" s="269"/>
      <c r="N57" s="269"/>
      <c r="O57" s="269"/>
      <c r="P57" s="269"/>
      <c r="Q57" s="269"/>
      <c r="R57" s="269"/>
      <c r="S57" s="269"/>
      <c r="T57" s="269"/>
      <c r="U57" s="269"/>
      <c r="V57" s="217"/>
      <c r="W57" s="217"/>
      <c r="X57" s="217"/>
      <c r="Y57" s="217"/>
      <c r="Z57" s="217"/>
      <c r="AA57" s="217"/>
    </row>
    <row r="58" ht="18.75" customHeight="1">
      <c r="A58" s="218">
        <v>57.0</v>
      </c>
      <c r="B58" s="245">
        <v>3.0</v>
      </c>
      <c r="C58" s="265" t="s">
        <v>6902</v>
      </c>
      <c r="D58" s="245">
        <v>2.42510018E8</v>
      </c>
      <c r="E58" s="266" t="s">
        <v>3193</v>
      </c>
      <c r="F58" s="267" t="s">
        <v>227</v>
      </c>
      <c r="G58" s="268"/>
      <c r="H58" s="269"/>
      <c r="I58" s="269"/>
      <c r="J58" s="269"/>
      <c r="K58" s="269"/>
      <c r="L58" s="269"/>
      <c r="M58" s="269"/>
      <c r="N58" s="269"/>
      <c r="O58" s="269"/>
      <c r="P58" s="269"/>
      <c r="Q58" s="269"/>
      <c r="R58" s="269"/>
      <c r="S58" s="269"/>
      <c r="T58" s="269"/>
      <c r="U58" s="269"/>
      <c r="V58" s="217"/>
      <c r="W58" s="217"/>
      <c r="X58" s="217"/>
      <c r="Y58" s="217"/>
      <c r="Z58" s="217"/>
      <c r="AA58" s="217"/>
    </row>
    <row r="59" ht="18.75" customHeight="1">
      <c r="A59" s="218">
        <v>58.0</v>
      </c>
      <c r="B59" s="245">
        <v>4.0</v>
      </c>
      <c r="C59" s="265" t="s">
        <v>6904</v>
      </c>
      <c r="D59" s="245">
        <v>2.42510028E8</v>
      </c>
      <c r="E59" s="266" t="s">
        <v>3199</v>
      </c>
      <c r="F59" s="267" t="s">
        <v>227</v>
      </c>
      <c r="G59" s="268"/>
      <c r="H59" s="269"/>
      <c r="I59" s="269"/>
      <c r="J59" s="269"/>
      <c r="K59" s="269"/>
      <c r="L59" s="269"/>
      <c r="M59" s="269"/>
      <c r="N59" s="269"/>
      <c r="O59" s="269"/>
      <c r="P59" s="269"/>
      <c r="Q59" s="269"/>
      <c r="R59" s="269"/>
      <c r="S59" s="269"/>
      <c r="T59" s="269"/>
      <c r="U59" s="269"/>
      <c r="V59" s="217"/>
      <c r="W59" s="217"/>
      <c r="X59" s="217"/>
      <c r="Y59" s="217"/>
      <c r="Z59" s="217"/>
      <c r="AA59" s="217"/>
    </row>
    <row r="60" ht="18.75" customHeight="1">
      <c r="A60" s="218">
        <v>59.0</v>
      </c>
      <c r="B60" s="245">
        <v>5.0</v>
      </c>
      <c r="C60" s="265" t="s">
        <v>6906</v>
      </c>
      <c r="D60" s="245">
        <v>2.42510037E8</v>
      </c>
      <c r="E60" s="266" t="s">
        <v>3204</v>
      </c>
      <c r="F60" s="267" t="s">
        <v>227</v>
      </c>
      <c r="G60" s="268"/>
      <c r="H60" s="269"/>
      <c r="I60" s="269"/>
      <c r="J60" s="269"/>
      <c r="K60" s="269"/>
      <c r="L60" s="269"/>
      <c r="M60" s="269"/>
      <c r="N60" s="269"/>
      <c r="O60" s="269"/>
      <c r="P60" s="269"/>
      <c r="Q60" s="269"/>
      <c r="R60" s="269"/>
      <c r="S60" s="269"/>
      <c r="T60" s="269"/>
      <c r="U60" s="269"/>
      <c r="V60" s="217"/>
      <c r="W60" s="217"/>
      <c r="X60" s="217"/>
      <c r="Y60" s="217"/>
      <c r="Z60" s="217"/>
      <c r="AA60" s="217"/>
    </row>
    <row r="61" ht="18.75" customHeight="1">
      <c r="A61" s="218">
        <v>60.0</v>
      </c>
      <c r="B61" s="245">
        <v>6.0</v>
      </c>
      <c r="C61" s="265" t="s">
        <v>6908</v>
      </c>
      <c r="D61" s="245">
        <v>2.42510046E8</v>
      </c>
      <c r="E61" s="266" t="s">
        <v>3209</v>
      </c>
      <c r="F61" s="267" t="s">
        <v>227</v>
      </c>
      <c r="G61" s="268"/>
      <c r="H61" s="269"/>
      <c r="I61" s="269"/>
      <c r="J61" s="269"/>
      <c r="K61" s="269"/>
      <c r="L61" s="269"/>
      <c r="M61" s="269"/>
      <c r="N61" s="269"/>
      <c r="O61" s="269"/>
      <c r="P61" s="269"/>
      <c r="Q61" s="269"/>
      <c r="R61" s="269"/>
      <c r="S61" s="269"/>
      <c r="T61" s="269"/>
      <c r="U61" s="269"/>
      <c r="V61" s="217"/>
      <c r="W61" s="217"/>
      <c r="X61" s="217"/>
      <c r="Y61" s="217"/>
      <c r="Z61" s="217"/>
      <c r="AA61" s="217"/>
    </row>
    <row r="62" ht="18.75" customHeight="1">
      <c r="A62" s="218">
        <v>61.0</v>
      </c>
      <c r="B62" s="245">
        <v>7.0</v>
      </c>
      <c r="C62" s="265" t="s">
        <v>6910</v>
      </c>
      <c r="D62" s="245">
        <v>2.42510052E8</v>
      </c>
      <c r="E62" s="266" t="s">
        <v>3213</v>
      </c>
      <c r="F62" s="267" t="s">
        <v>227</v>
      </c>
      <c r="G62" s="268"/>
      <c r="H62" s="269"/>
      <c r="I62" s="269"/>
      <c r="J62" s="269"/>
      <c r="K62" s="269"/>
      <c r="L62" s="269"/>
      <c r="M62" s="269"/>
      <c r="N62" s="269"/>
      <c r="O62" s="269"/>
      <c r="P62" s="269"/>
      <c r="Q62" s="269"/>
      <c r="R62" s="269"/>
      <c r="S62" s="269"/>
      <c r="T62" s="269"/>
      <c r="U62" s="269"/>
      <c r="V62" s="217"/>
      <c r="W62" s="217"/>
      <c r="X62" s="217"/>
      <c r="Y62" s="217"/>
      <c r="Z62" s="217"/>
      <c r="AA62" s="217"/>
    </row>
    <row r="63" ht="18.75" customHeight="1">
      <c r="A63" s="218">
        <v>62.0</v>
      </c>
      <c r="B63" s="245">
        <v>8.0</v>
      </c>
      <c r="C63" s="265" t="s">
        <v>6912</v>
      </c>
      <c r="D63" s="250">
        <v>2.42510064E8</v>
      </c>
      <c r="E63" s="266" t="s">
        <v>3218</v>
      </c>
      <c r="F63" s="267" t="s">
        <v>227</v>
      </c>
      <c r="G63" s="268"/>
      <c r="H63" s="269"/>
      <c r="I63" s="269"/>
      <c r="J63" s="269"/>
      <c r="K63" s="269"/>
      <c r="L63" s="269"/>
      <c r="M63" s="269"/>
      <c r="N63" s="269"/>
      <c r="O63" s="269"/>
      <c r="P63" s="269"/>
      <c r="Q63" s="269"/>
      <c r="R63" s="269"/>
      <c r="S63" s="269"/>
      <c r="T63" s="269"/>
      <c r="U63" s="269"/>
      <c r="V63" s="217"/>
      <c r="W63" s="217"/>
      <c r="X63" s="217"/>
      <c r="Y63" s="217"/>
      <c r="Z63" s="217"/>
      <c r="AA63" s="217"/>
    </row>
    <row r="64" ht="18.75" customHeight="1">
      <c r="A64" s="218">
        <v>63.0</v>
      </c>
      <c r="B64" s="245">
        <v>9.0</v>
      </c>
      <c r="C64" s="265" t="s">
        <v>6914</v>
      </c>
      <c r="D64" s="245">
        <v>2.42510104E8</v>
      </c>
      <c r="E64" s="266" t="s">
        <v>3223</v>
      </c>
      <c r="F64" s="267" t="s">
        <v>220</v>
      </c>
      <c r="G64" s="268"/>
      <c r="H64" s="269"/>
      <c r="I64" s="269"/>
      <c r="J64" s="269"/>
      <c r="K64" s="269"/>
      <c r="L64" s="269"/>
      <c r="M64" s="269"/>
      <c r="N64" s="269"/>
      <c r="O64" s="269"/>
      <c r="P64" s="269"/>
      <c r="Q64" s="269"/>
      <c r="R64" s="269"/>
      <c r="S64" s="269"/>
      <c r="T64" s="269"/>
      <c r="U64" s="269"/>
      <c r="V64" s="217"/>
      <c r="W64" s="217"/>
      <c r="X64" s="217"/>
      <c r="Y64" s="217"/>
      <c r="Z64" s="217"/>
      <c r="AA64" s="217"/>
    </row>
    <row r="65" ht="18.75" customHeight="1">
      <c r="A65" s="218">
        <v>64.0</v>
      </c>
      <c r="B65" s="245">
        <v>10.0</v>
      </c>
      <c r="C65" s="265" t="s">
        <v>6916</v>
      </c>
      <c r="D65" s="250">
        <v>2.42510117E8</v>
      </c>
      <c r="E65" s="266" t="s">
        <v>3229</v>
      </c>
      <c r="F65" s="267" t="s">
        <v>227</v>
      </c>
      <c r="G65" s="268"/>
      <c r="H65" s="269"/>
      <c r="I65" s="269"/>
      <c r="J65" s="269"/>
      <c r="K65" s="269"/>
      <c r="L65" s="269"/>
      <c r="M65" s="269"/>
      <c r="N65" s="269"/>
      <c r="O65" s="269"/>
      <c r="P65" s="269"/>
      <c r="Q65" s="269"/>
      <c r="R65" s="269"/>
      <c r="S65" s="269"/>
      <c r="T65" s="269"/>
      <c r="U65" s="269"/>
      <c r="V65" s="217"/>
      <c r="W65" s="217"/>
      <c r="X65" s="217"/>
      <c r="Y65" s="217"/>
      <c r="Z65" s="217"/>
      <c r="AA65" s="217"/>
    </row>
    <row r="66" ht="18.75" customHeight="1">
      <c r="A66" s="218">
        <v>65.0</v>
      </c>
      <c r="B66" s="245">
        <v>11.0</v>
      </c>
      <c r="C66" s="265" t="s">
        <v>6918</v>
      </c>
      <c r="D66" s="245">
        <v>2.42510129E8</v>
      </c>
      <c r="E66" s="270" t="s">
        <v>3234</v>
      </c>
      <c r="F66" s="271" t="s">
        <v>227</v>
      </c>
      <c r="G66" s="268"/>
      <c r="H66" s="269"/>
      <c r="I66" s="269"/>
      <c r="J66" s="269"/>
      <c r="K66" s="269"/>
      <c r="L66" s="269"/>
      <c r="M66" s="269"/>
      <c r="N66" s="269"/>
      <c r="O66" s="269"/>
      <c r="P66" s="269"/>
      <c r="Q66" s="269"/>
      <c r="R66" s="269"/>
      <c r="S66" s="269"/>
      <c r="T66" s="269"/>
      <c r="U66" s="269"/>
      <c r="V66" s="217"/>
      <c r="W66" s="217"/>
      <c r="X66" s="217"/>
      <c r="Y66" s="217"/>
      <c r="Z66" s="217"/>
      <c r="AA66" s="217"/>
    </row>
    <row r="67" ht="18.75" customHeight="1">
      <c r="A67" s="218">
        <v>66.0</v>
      </c>
      <c r="B67" s="245">
        <v>12.0</v>
      </c>
      <c r="C67" s="265" t="s">
        <v>6920</v>
      </c>
      <c r="D67" s="245">
        <v>2.42510141E8</v>
      </c>
      <c r="E67" s="266" t="s">
        <v>3239</v>
      </c>
      <c r="F67" s="267" t="s">
        <v>227</v>
      </c>
      <c r="G67" s="268"/>
      <c r="H67" s="269"/>
      <c r="I67" s="269"/>
      <c r="J67" s="269"/>
      <c r="K67" s="269"/>
      <c r="L67" s="269"/>
      <c r="M67" s="269"/>
      <c r="N67" s="269"/>
      <c r="O67" s="269"/>
      <c r="P67" s="269"/>
      <c r="Q67" s="269"/>
      <c r="R67" s="269"/>
      <c r="S67" s="269"/>
      <c r="T67" s="269"/>
      <c r="U67" s="269"/>
      <c r="V67" s="217"/>
      <c r="W67" s="217"/>
      <c r="X67" s="217"/>
      <c r="Y67" s="217"/>
      <c r="Z67" s="217"/>
      <c r="AA67" s="217"/>
    </row>
    <row r="68" ht="18.75" customHeight="1">
      <c r="A68" s="218">
        <v>67.0</v>
      </c>
      <c r="B68" s="245">
        <v>13.0</v>
      </c>
      <c r="C68" s="265" t="s">
        <v>6923</v>
      </c>
      <c r="D68" s="272">
        <v>2.42510144E8</v>
      </c>
      <c r="E68" s="266" t="s">
        <v>3244</v>
      </c>
      <c r="F68" s="267" t="s">
        <v>227</v>
      </c>
      <c r="G68" s="268"/>
      <c r="H68" s="269"/>
      <c r="I68" s="269"/>
      <c r="J68" s="269"/>
      <c r="K68" s="269"/>
      <c r="L68" s="269"/>
      <c r="M68" s="269"/>
      <c r="N68" s="269"/>
      <c r="O68" s="269"/>
      <c r="P68" s="269"/>
      <c r="Q68" s="269"/>
      <c r="R68" s="269"/>
      <c r="S68" s="269"/>
      <c r="T68" s="269"/>
      <c r="U68" s="269"/>
      <c r="V68" s="217"/>
      <c r="W68" s="217"/>
      <c r="X68" s="217"/>
      <c r="Y68" s="217"/>
      <c r="Z68" s="217"/>
      <c r="AA68" s="217"/>
    </row>
    <row r="69" ht="18.75" customHeight="1">
      <c r="A69" s="218">
        <v>68.0</v>
      </c>
      <c r="B69" s="245">
        <v>14.0</v>
      </c>
      <c r="C69" s="265" t="s">
        <v>6926</v>
      </c>
      <c r="D69" s="245">
        <v>2.42510153E8</v>
      </c>
      <c r="E69" s="266" t="s">
        <v>3249</v>
      </c>
      <c r="F69" s="267" t="s">
        <v>220</v>
      </c>
      <c r="G69" s="268"/>
      <c r="H69" s="269"/>
      <c r="I69" s="269"/>
      <c r="J69" s="269"/>
      <c r="K69" s="269"/>
      <c r="L69" s="269"/>
      <c r="M69" s="269"/>
      <c r="N69" s="269"/>
      <c r="O69" s="269"/>
      <c r="P69" s="269"/>
      <c r="Q69" s="269"/>
      <c r="R69" s="269"/>
      <c r="S69" s="269"/>
      <c r="T69" s="269"/>
      <c r="U69" s="269"/>
      <c r="V69" s="217"/>
      <c r="W69" s="217"/>
      <c r="X69" s="217"/>
      <c r="Y69" s="217"/>
      <c r="Z69" s="217"/>
      <c r="AA69" s="217"/>
    </row>
    <row r="70" ht="18.75" customHeight="1">
      <c r="A70" s="218">
        <v>69.0</v>
      </c>
      <c r="B70" s="245">
        <v>15.0</v>
      </c>
      <c r="C70" s="265" t="s">
        <v>6928</v>
      </c>
      <c r="D70" s="245">
        <v>2.4251016E8</v>
      </c>
      <c r="E70" s="266" t="s">
        <v>3255</v>
      </c>
      <c r="F70" s="267" t="s">
        <v>220</v>
      </c>
      <c r="G70" s="268"/>
      <c r="H70" s="269"/>
      <c r="I70" s="269"/>
      <c r="J70" s="269"/>
      <c r="K70" s="269"/>
      <c r="L70" s="269"/>
      <c r="M70" s="269"/>
      <c r="N70" s="269"/>
      <c r="O70" s="269"/>
      <c r="P70" s="269"/>
      <c r="Q70" s="269"/>
      <c r="R70" s="269"/>
      <c r="S70" s="269"/>
      <c r="T70" s="269"/>
      <c r="U70" s="269"/>
      <c r="V70" s="217"/>
      <c r="W70" s="217"/>
      <c r="X70" s="217"/>
      <c r="Y70" s="217"/>
      <c r="Z70" s="217"/>
      <c r="AA70" s="217"/>
    </row>
    <row r="71" ht="18.75" customHeight="1">
      <c r="A71" s="218">
        <v>70.0</v>
      </c>
      <c r="B71" s="245">
        <v>16.0</v>
      </c>
      <c r="C71" s="265" t="s">
        <v>6930</v>
      </c>
      <c r="D71" s="245">
        <v>2.42510162E8</v>
      </c>
      <c r="E71" s="266" t="s">
        <v>3260</v>
      </c>
      <c r="F71" s="267" t="s">
        <v>220</v>
      </c>
      <c r="G71" s="268"/>
      <c r="H71" s="269"/>
      <c r="I71" s="269"/>
      <c r="J71" s="269"/>
      <c r="K71" s="269"/>
      <c r="L71" s="269"/>
      <c r="M71" s="269"/>
      <c r="N71" s="269"/>
      <c r="O71" s="269"/>
      <c r="P71" s="269"/>
      <c r="Q71" s="269"/>
      <c r="R71" s="269"/>
      <c r="S71" s="269"/>
      <c r="T71" s="269"/>
      <c r="U71" s="269"/>
      <c r="V71" s="217"/>
      <c r="W71" s="217"/>
      <c r="X71" s="217"/>
      <c r="Y71" s="217"/>
      <c r="Z71" s="217"/>
      <c r="AA71" s="217"/>
    </row>
    <row r="72" ht="18.75" customHeight="1">
      <c r="A72" s="218">
        <v>71.0</v>
      </c>
      <c r="B72" s="245">
        <v>17.0</v>
      </c>
      <c r="C72" s="265" t="s">
        <v>6932</v>
      </c>
      <c r="D72" s="245">
        <v>2.42510227E8</v>
      </c>
      <c r="E72" s="266" t="s">
        <v>3265</v>
      </c>
      <c r="F72" s="267" t="s">
        <v>227</v>
      </c>
      <c r="G72" s="268"/>
      <c r="H72" s="245"/>
      <c r="I72" s="273"/>
      <c r="J72" s="274"/>
      <c r="K72" s="275"/>
      <c r="L72" s="269"/>
      <c r="M72" s="269"/>
      <c r="N72" s="269"/>
      <c r="O72" s="269"/>
      <c r="P72" s="269"/>
      <c r="Q72" s="269"/>
      <c r="R72" s="269"/>
      <c r="S72" s="269"/>
      <c r="T72" s="269"/>
      <c r="U72" s="269"/>
      <c r="V72" s="217"/>
      <c r="W72" s="217"/>
      <c r="X72" s="217"/>
      <c r="Y72" s="217"/>
      <c r="Z72" s="217"/>
      <c r="AA72" s="217"/>
    </row>
    <row r="73" ht="18.75" customHeight="1">
      <c r="A73" s="218">
        <v>72.0</v>
      </c>
      <c r="B73" s="245">
        <v>18.0</v>
      </c>
      <c r="C73" s="265" t="s">
        <v>6934</v>
      </c>
      <c r="D73" s="245">
        <v>2.42510238E8</v>
      </c>
      <c r="E73" s="266" t="s">
        <v>3270</v>
      </c>
      <c r="F73" s="267" t="s">
        <v>220</v>
      </c>
      <c r="G73" s="268"/>
      <c r="H73" s="269"/>
      <c r="I73" s="269"/>
      <c r="J73" s="269"/>
      <c r="K73" s="269"/>
      <c r="L73" s="269"/>
      <c r="M73" s="269"/>
      <c r="N73" s="269"/>
      <c r="O73" s="269"/>
      <c r="P73" s="269"/>
      <c r="Q73" s="269"/>
      <c r="R73" s="269"/>
      <c r="S73" s="269"/>
      <c r="T73" s="269"/>
      <c r="U73" s="269"/>
      <c r="V73" s="217"/>
      <c r="W73" s="217"/>
      <c r="X73" s="217"/>
      <c r="Y73" s="217"/>
      <c r="Z73" s="217"/>
      <c r="AA73" s="217"/>
    </row>
    <row r="74" ht="18.75" customHeight="1">
      <c r="A74" s="218">
        <v>73.0</v>
      </c>
      <c r="B74" s="245">
        <v>19.0</v>
      </c>
      <c r="C74" s="265" t="s">
        <v>6936</v>
      </c>
      <c r="D74" s="245">
        <v>2.42510261E8</v>
      </c>
      <c r="E74" s="266" t="s">
        <v>3275</v>
      </c>
      <c r="F74" s="267" t="s">
        <v>220</v>
      </c>
      <c r="G74" s="268"/>
      <c r="H74" s="269"/>
      <c r="I74" s="269"/>
      <c r="J74" s="269"/>
      <c r="K74" s="269"/>
      <c r="L74" s="269"/>
      <c r="M74" s="269"/>
      <c r="N74" s="269"/>
      <c r="O74" s="269"/>
      <c r="P74" s="269"/>
      <c r="Q74" s="269"/>
      <c r="R74" s="269"/>
      <c r="S74" s="269"/>
      <c r="T74" s="269"/>
      <c r="U74" s="269"/>
      <c r="V74" s="217"/>
      <c r="W74" s="217"/>
      <c r="X74" s="217"/>
      <c r="Y74" s="217"/>
      <c r="Z74" s="217"/>
      <c r="AA74" s="217"/>
    </row>
    <row r="75" ht="18.75" customHeight="1">
      <c r="A75" s="218">
        <v>74.0</v>
      </c>
      <c r="B75" s="245">
        <v>20.0</v>
      </c>
      <c r="C75" s="265" t="s">
        <v>6938</v>
      </c>
      <c r="D75" s="245">
        <v>2.42510274E8</v>
      </c>
      <c r="E75" s="266" t="s">
        <v>3280</v>
      </c>
      <c r="F75" s="267" t="s">
        <v>220</v>
      </c>
      <c r="G75" s="268"/>
      <c r="H75" s="269"/>
      <c r="I75" s="269"/>
      <c r="J75" s="269"/>
      <c r="K75" s="269"/>
      <c r="L75" s="269"/>
      <c r="M75" s="269"/>
      <c r="N75" s="269"/>
      <c r="O75" s="269"/>
      <c r="P75" s="269"/>
      <c r="Q75" s="269"/>
      <c r="R75" s="269"/>
      <c r="S75" s="269"/>
      <c r="T75" s="269"/>
      <c r="U75" s="269"/>
      <c r="V75" s="217"/>
      <c r="W75" s="217"/>
      <c r="X75" s="217"/>
      <c r="Y75" s="217"/>
      <c r="Z75" s="217"/>
      <c r="AA75" s="217"/>
    </row>
    <row r="76" ht="18.75" customHeight="1">
      <c r="A76" s="218">
        <v>75.0</v>
      </c>
      <c r="B76" s="245">
        <v>21.0</v>
      </c>
      <c r="C76" s="265" t="s">
        <v>6940</v>
      </c>
      <c r="D76" s="245">
        <v>2.42510283E8</v>
      </c>
      <c r="E76" s="266" t="s">
        <v>3286</v>
      </c>
      <c r="F76" s="267" t="s">
        <v>227</v>
      </c>
      <c r="G76" s="268"/>
      <c r="H76" s="269"/>
      <c r="I76" s="269"/>
      <c r="J76" s="269"/>
      <c r="K76" s="269"/>
      <c r="L76" s="269"/>
      <c r="M76" s="269"/>
      <c r="N76" s="269"/>
      <c r="O76" s="269"/>
      <c r="P76" s="269"/>
      <c r="Q76" s="269"/>
      <c r="R76" s="269"/>
      <c r="S76" s="269"/>
      <c r="T76" s="269"/>
      <c r="U76" s="269"/>
      <c r="V76" s="217"/>
      <c r="W76" s="217"/>
      <c r="X76" s="217"/>
      <c r="Y76" s="217"/>
      <c r="Z76" s="217"/>
      <c r="AA76" s="217"/>
    </row>
    <row r="77" ht="22.5" customHeight="1">
      <c r="A77" s="218">
        <v>76.0</v>
      </c>
      <c r="B77" s="245">
        <v>22.0</v>
      </c>
      <c r="C77" s="265" t="s">
        <v>6942</v>
      </c>
      <c r="D77" s="245">
        <v>2.42510304E8</v>
      </c>
      <c r="E77" s="266" t="s">
        <v>3291</v>
      </c>
      <c r="F77" s="267" t="s">
        <v>227</v>
      </c>
      <c r="G77" s="268"/>
      <c r="H77" s="269"/>
      <c r="I77" s="269"/>
      <c r="J77" s="269"/>
      <c r="K77" s="269"/>
      <c r="L77" s="269"/>
      <c r="M77" s="269"/>
      <c r="N77" s="269"/>
      <c r="O77" s="269"/>
      <c r="P77" s="269"/>
      <c r="Q77" s="269"/>
      <c r="R77" s="269"/>
      <c r="S77" s="269"/>
      <c r="T77" s="269"/>
      <c r="U77" s="269"/>
      <c r="V77" s="217"/>
      <c r="W77" s="217"/>
      <c r="X77" s="217"/>
      <c r="Y77" s="217"/>
      <c r="Z77" s="217"/>
      <c r="AA77" s="217"/>
    </row>
    <row r="78" ht="18.75" customHeight="1">
      <c r="A78" s="218">
        <v>77.0</v>
      </c>
      <c r="B78" s="245">
        <v>23.0</v>
      </c>
      <c r="C78" s="265" t="s">
        <v>6944</v>
      </c>
      <c r="D78" s="245">
        <v>2.42510306E8</v>
      </c>
      <c r="E78" s="270" t="s">
        <v>3296</v>
      </c>
      <c r="F78" s="271" t="s">
        <v>227</v>
      </c>
      <c r="G78" s="268"/>
      <c r="H78" s="269"/>
      <c r="I78" s="269"/>
      <c r="J78" s="269"/>
      <c r="K78" s="269"/>
      <c r="L78" s="269"/>
      <c r="M78" s="269"/>
      <c r="N78" s="269"/>
      <c r="O78" s="269"/>
      <c r="P78" s="269"/>
      <c r="Q78" s="269"/>
      <c r="R78" s="269"/>
      <c r="S78" s="269"/>
      <c r="T78" s="269"/>
      <c r="U78" s="269"/>
      <c r="V78" s="217"/>
      <c r="W78" s="217"/>
      <c r="X78" s="217"/>
      <c r="Y78" s="217"/>
      <c r="Z78" s="217"/>
      <c r="AA78" s="217"/>
    </row>
    <row r="79" ht="18.75" customHeight="1">
      <c r="A79" s="218">
        <v>78.0</v>
      </c>
      <c r="B79" s="245">
        <v>24.0</v>
      </c>
      <c r="C79" s="265" t="s">
        <v>6946</v>
      </c>
      <c r="D79" s="245">
        <v>2.42510308E8</v>
      </c>
      <c r="E79" s="266" t="s">
        <v>3301</v>
      </c>
      <c r="F79" s="267" t="s">
        <v>227</v>
      </c>
      <c r="G79" s="268"/>
      <c r="H79" s="269"/>
      <c r="I79" s="269"/>
      <c r="J79" s="269"/>
      <c r="K79" s="269"/>
      <c r="L79" s="269"/>
      <c r="M79" s="269"/>
      <c r="N79" s="269"/>
      <c r="O79" s="269"/>
      <c r="P79" s="269"/>
      <c r="Q79" s="269"/>
      <c r="R79" s="269"/>
      <c r="S79" s="269"/>
      <c r="T79" s="269"/>
      <c r="U79" s="269"/>
      <c r="V79" s="217"/>
      <c r="W79" s="217"/>
      <c r="X79" s="217"/>
      <c r="Y79" s="217"/>
      <c r="Z79" s="217"/>
      <c r="AA79" s="217"/>
    </row>
    <row r="80" ht="18.75" customHeight="1">
      <c r="A80" s="218">
        <v>79.0</v>
      </c>
      <c r="B80" s="245">
        <v>25.0</v>
      </c>
      <c r="C80" s="265" t="s">
        <v>6948</v>
      </c>
      <c r="D80" s="245">
        <v>2.4251031E8</v>
      </c>
      <c r="E80" s="266" t="s">
        <v>3306</v>
      </c>
      <c r="F80" s="267" t="s">
        <v>227</v>
      </c>
      <c r="G80" s="268"/>
      <c r="H80" s="269"/>
      <c r="I80" s="269"/>
      <c r="J80" s="269"/>
      <c r="K80" s="269"/>
      <c r="L80" s="269"/>
      <c r="M80" s="269"/>
      <c r="N80" s="269"/>
      <c r="O80" s="269"/>
      <c r="P80" s="269"/>
      <c r="Q80" s="269"/>
      <c r="R80" s="269"/>
      <c r="S80" s="269"/>
      <c r="T80" s="269"/>
      <c r="U80" s="269"/>
      <c r="V80" s="217"/>
      <c r="W80" s="217"/>
      <c r="X80" s="217"/>
      <c r="Y80" s="217"/>
      <c r="Z80" s="217"/>
      <c r="AA80" s="217"/>
    </row>
    <row r="81" ht="18.75" customHeight="1">
      <c r="A81" s="218">
        <v>80.0</v>
      </c>
      <c r="B81" s="245">
        <v>26.0</v>
      </c>
      <c r="C81" s="265" t="s">
        <v>6950</v>
      </c>
      <c r="D81" s="245">
        <v>2.42510329E8</v>
      </c>
      <c r="E81" s="266" t="s">
        <v>3311</v>
      </c>
      <c r="F81" s="267" t="s">
        <v>220</v>
      </c>
      <c r="G81" s="268"/>
      <c r="H81" s="269"/>
      <c r="I81" s="269"/>
      <c r="J81" s="269"/>
      <c r="K81" s="269"/>
      <c r="L81" s="269"/>
      <c r="M81" s="269"/>
      <c r="N81" s="269"/>
      <c r="O81" s="269"/>
      <c r="P81" s="269"/>
      <c r="Q81" s="269"/>
      <c r="R81" s="269"/>
      <c r="S81" s="269"/>
      <c r="T81" s="269"/>
      <c r="U81" s="269"/>
      <c r="V81" s="217"/>
      <c r="W81" s="217"/>
      <c r="X81" s="217"/>
      <c r="Y81" s="217"/>
      <c r="Z81" s="217"/>
      <c r="AA81" s="217"/>
    </row>
    <row r="82" ht="18.75" customHeight="1">
      <c r="A82" s="218">
        <v>81.0</v>
      </c>
      <c r="B82" s="245">
        <v>27.0</v>
      </c>
      <c r="C82" s="265" t="s">
        <v>6953</v>
      </c>
      <c r="D82" s="245">
        <v>2.42510338E8</v>
      </c>
      <c r="E82" s="270" t="s">
        <v>3316</v>
      </c>
      <c r="F82" s="271" t="s">
        <v>227</v>
      </c>
      <c r="G82" s="268"/>
      <c r="H82" s="269"/>
      <c r="I82" s="269"/>
      <c r="J82" s="269"/>
      <c r="K82" s="269"/>
      <c r="L82" s="269"/>
      <c r="M82" s="269"/>
      <c r="N82" s="269"/>
      <c r="O82" s="269"/>
      <c r="P82" s="269"/>
      <c r="Q82" s="269"/>
      <c r="R82" s="269"/>
      <c r="S82" s="269"/>
      <c r="T82" s="269"/>
      <c r="U82" s="269"/>
      <c r="V82" s="217"/>
      <c r="W82" s="217"/>
      <c r="X82" s="217"/>
      <c r="Y82" s="217"/>
      <c r="Z82" s="217"/>
      <c r="AA82" s="217"/>
    </row>
    <row r="83" ht="18.75" customHeight="1">
      <c r="A83" s="218">
        <v>82.0</v>
      </c>
      <c r="B83" s="245">
        <v>28.0</v>
      </c>
      <c r="C83" s="265" t="s">
        <v>6955</v>
      </c>
      <c r="D83" s="245">
        <v>2.42510354E8</v>
      </c>
      <c r="E83" s="266" t="s">
        <v>3321</v>
      </c>
      <c r="F83" s="267" t="s">
        <v>220</v>
      </c>
      <c r="G83" s="268"/>
      <c r="H83" s="269"/>
      <c r="I83" s="269"/>
      <c r="J83" s="269"/>
      <c r="K83" s="269"/>
      <c r="L83" s="269"/>
      <c r="M83" s="269"/>
      <c r="N83" s="269"/>
      <c r="O83" s="269"/>
      <c r="P83" s="269"/>
      <c r="Q83" s="269"/>
      <c r="R83" s="269"/>
      <c r="S83" s="269"/>
      <c r="T83" s="269"/>
      <c r="U83" s="269"/>
      <c r="W83" s="217"/>
      <c r="X83" s="217"/>
      <c r="Y83" s="217"/>
      <c r="Z83" s="217"/>
      <c r="AA83" s="217"/>
    </row>
    <row r="84" ht="18.75" customHeight="1">
      <c r="A84" s="218">
        <v>83.0</v>
      </c>
      <c r="B84" s="245">
        <v>29.0</v>
      </c>
      <c r="C84" s="265" t="s">
        <v>6957</v>
      </c>
      <c r="D84" s="245">
        <v>2.42510355E8</v>
      </c>
      <c r="E84" s="266" t="s">
        <v>3326</v>
      </c>
      <c r="F84" s="267" t="s">
        <v>227</v>
      </c>
      <c r="G84" s="268"/>
      <c r="H84" s="269"/>
      <c r="I84" s="269"/>
      <c r="J84" s="269"/>
      <c r="K84" s="269"/>
      <c r="L84" s="269"/>
      <c r="M84" s="269"/>
      <c r="N84" s="269"/>
      <c r="O84" s="269"/>
      <c r="P84" s="269"/>
      <c r="Q84" s="269"/>
      <c r="R84" s="269"/>
      <c r="S84" s="269"/>
      <c r="T84" s="269"/>
      <c r="U84" s="269"/>
      <c r="V84" s="217"/>
      <c r="W84" s="217"/>
      <c r="X84" s="217"/>
      <c r="Y84" s="217"/>
      <c r="Z84" s="217"/>
      <c r="AA84" s="217"/>
    </row>
    <row r="85" ht="18.75" customHeight="1">
      <c r="A85" s="218">
        <v>84.0</v>
      </c>
      <c r="B85" s="245">
        <v>30.0</v>
      </c>
      <c r="C85" s="265" t="s">
        <v>6959</v>
      </c>
      <c r="D85" s="245">
        <v>2.42510366E8</v>
      </c>
      <c r="E85" s="266" t="s">
        <v>3332</v>
      </c>
      <c r="F85" s="267" t="s">
        <v>227</v>
      </c>
      <c r="G85" s="268"/>
      <c r="H85" s="269"/>
      <c r="I85" s="269"/>
      <c r="J85" s="269"/>
      <c r="K85" s="269"/>
      <c r="L85" s="269"/>
      <c r="M85" s="269"/>
      <c r="N85" s="269"/>
      <c r="O85" s="269"/>
      <c r="P85" s="269"/>
      <c r="Q85" s="269"/>
      <c r="R85" s="269"/>
      <c r="S85" s="269"/>
      <c r="T85" s="269"/>
      <c r="U85" s="269"/>
      <c r="V85" s="217"/>
      <c r="W85" s="217"/>
      <c r="X85" s="217"/>
      <c r="Y85" s="217"/>
      <c r="Z85" s="217"/>
      <c r="AA85" s="217"/>
    </row>
    <row r="86" ht="18.75" customHeight="1">
      <c r="A86" s="218">
        <v>85.0</v>
      </c>
      <c r="B86" s="245">
        <v>31.0</v>
      </c>
      <c r="C86" s="265" t="s">
        <v>6961</v>
      </c>
      <c r="D86" s="245">
        <v>2.42510374E8</v>
      </c>
      <c r="E86" s="276" t="s">
        <v>3337</v>
      </c>
      <c r="F86" s="277" t="s">
        <v>227</v>
      </c>
      <c r="G86" s="268"/>
      <c r="H86" s="269"/>
      <c r="I86" s="269"/>
      <c r="J86" s="269"/>
      <c r="K86" s="269"/>
      <c r="L86" s="269"/>
      <c r="M86" s="269"/>
      <c r="N86" s="269"/>
      <c r="O86" s="269"/>
      <c r="P86" s="269"/>
      <c r="Q86" s="269"/>
      <c r="R86" s="269"/>
      <c r="S86" s="269"/>
      <c r="T86" s="269"/>
      <c r="U86" s="269"/>
      <c r="V86" s="217"/>
      <c r="W86" s="217"/>
      <c r="X86" s="217"/>
      <c r="Y86" s="217"/>
      <c r="Z86" s="217"/>
      <c r="AA86" s="217"/>
    </row>
    <row r="87" ht="18.75" customHeight="1">
      <c r="A87" s="218">
        <v>86.0</v>
      </c>
      <c r="B87" s="245">
        <v>32.0</v>
      </c>
      <c r="C87" s="265" t="s">
        <v>6963</v>
      </c>
      <c r="D87" s="245">
        <v>2.42510377E8</v>
      </c>
      <c r="E87" s="266" t="s">
        <v>3342</v>
      </c>
      <c r="F87" s="267" t="s">
        <v>227</v>
      </c>
      <c r="G87" s="268"/>
      <c r="H87" s="269"/>
      <c r="I87" s="269"/>
      <c r="J87" s="269"/>
      <c r="K87" s="269"/>
      <c r="L87" s="269"/>
      <c r="M87" s="269"/>
      <c r="N87" s="269"/>
      <c r="O87" s="269"/>
      <c r="P87" s="269"/>
      <c r="Q87" s="269"/>
      <c r="R87" s="269"/>
      <c r="S87" s="269"/>
      <c r="T87" s="269"/>
      <c r="U87" s="269"/>
      <c r="V87" s="217"/>
      <c r="W87" s="217"/>
      <c r="X87" s="217"/>
      <c r="Y87" s="217"/>
      <c r="Z87" s="217"/>
      <c r="AA87" s="217"/>
    </row>
    <row r="88" ht="18.75" customHeight="1">
      <c r="A88" s="218">
        <v>87.0</v>
      </c>
      <c r="B88" s="245">
        <v>33.0</v>
      </c>
      <c r="C88" s="265" t="s">
        <v>6965</v>
      </c>
      <c r="D88" s="245">
        <v>2.42510387E8</v>
      </c>
      <c r="E88" s="266" t="s">
        <v>3347</v>
      </c>
      <c r="F88" s="267" t="s">
        <v>227</v>
      </c>
      <c r="G88" s="268"/>
      <c r="H88" s="269"/>
      <c r="I88" s="269"/>
      <c r="J88" s="269"/>
      <c r="K88" s="269"/>
      <c r="L88" s="269"/>
      <c r="M88" s="269"/>
      <c r="N88" s="269"/>
      <c r="O88" s="269"/>
      <c r="P88" s="269"/>
      <c r="Q88" s="269"/>
      <c r="R88" s="269"/>
      <c r="S88" s="269"/>
      <c r="T88" s="269"/>
      <c r="U88" s="269"/>
      <c r="V88" s="217"/>
      <c r="W88" s="217"/>
      <c r="X88" s="217"/>
      <c r="Y88" s="217"/>
      <c r="Z88" s="217"/>
      <c r="AA88" s="217"/>
    </row>
    <row r="89" ht="18.75" customHeight="1">
      <c r="A89" s="218">
        <v>88.0</v>
      </c>
      <c r="B89" s="245">
        <v>34.0</v>
      </c>
      <c r="C89" s="265" t="s">
        <v>6967</v>
      </c>
      <c r="D89" s="245">
        <v>2.4251039E8</v>
      </c>
      <c r="E89" s="266" t="s">
        <v>3352</v>
      </c>
      <c r="F89" s="267" t="s">
        <v>227</v>
      </c>
      <c r="G89" s="268"/>
      <c r="H89" s="269"/>
      <c r="I89" s="269"/>
      <c r="J89" s="269"/>
      <c r="K89" s="269"/>
      <c r="L89" s="269"/>
      <c r="M89" s="269"/>
      <c r="N89" s="269"/>
      <c r="O89" s="269"/>
      <c r="P89" s="269"/>
      <c r="Q89" s="269"/>
      <c r="R89" s="269"/>
      <c r="S89" s="269"/>
      <c r="T89" s="269"/>
      <c r="U89" s="269"/>
      <c r="V89" s="217"/>
      <c r="W89" s="217"/>
      <c r="X89" s="217"/>
      <c r="Y89" s="217"/>
      <c r="Z89" s="217"/>
      <c r="AA89" s="217"/>
    </row>
    <row r="90" ht="18.75" customHeight="1">
      <c r="A90" s="218">
        <v>89.0</v>
      </c>
      <c r="B90" s="245">
        <v>35.0</v>
      </c>
      <c r="C90" s="265" t="s">
        <v>6969</v>
      </c>
      <c r="D90" s="245">
        <v>2.42510404E8</v>
      </c>
      <c r="E90" s="266" t="s">
        <v>3357</v>
      </c>
      <c r="F90" s="267" t="s">
        <v>220</v>
      </c>
      <c r="G90" s="268"/>
      <c r="H90" s="269"/>
      <c r="I90" s="269"/>
      <c r="J90" s="269"/>
      <c r="K90" s="269"/>
      <c r="L90" s="269"/>
      <c r="M90" s="269"/>
      <c r="N90" s="269"/>
      <c r="O90" s="269"/>
      <c r="P90" s="269"/>
      <c r="Q90" s="269"/>
      <c r="R90" s="269"/>
      <c r="S90" s="269"/>
      <c r="T90" s="269"/>
      <c r="U90" s="269"/>
      <c r="V90" s="217"/>
      <c r="W90" s="217"/>
      <c r="X90" s="217"/>
      <c r="Y90" s="217"/>
      <c r="Z90" s="217"/>
      <c r="AA90" s="217"/>
    </row>
    <row r="91" ht="14.25" customHeight="1">
      <c r="A91" s="218">
        <v>90.0</v>
      </c>
      <c r="B91" s="245">
        <v>36.0</v>
      </c>
      <c r="C91" s="265" t="s">
        <v>6971</v>
      </c>
      <c r="D91" s="245">
        <v>2.42510412E8</v>
      </c>
      <c r="E91" s="266" t="s">
        <v>3363</v>
      </c>
      <c r="F91" s="267" t="s">
        <v>227</v>
      </c>
      <c r="G91" s="268"/>
      <c r="H91" s="269"/>
      <c r="I91" s="269"/>
      <c r="J91" s="269"/>
      <c r="K91" s="269"/>
      <c r="L91" s="269"/>
      <c r="M91" s="269"/>
      <c r="N91" s="269"/>
      <c r="O91" s="269"/>
      <c r="P91" s="269"/>
      <c r="Q91" s="269"/>
      <c r="R91" s="269"/>
      <c r="S91" s="269"/>
      <c r="T91" s="269"/>
      <c r="U91" s="269"/>
      <c r="V91" s="217"/>
      <c r="W91" s="217"/>
      <c r="X91" s="217"/>
      <c r="Y91" s="217"/>
      <c r="Z91" s="217"/>
      <c r="AA91" s="217"/>
    </row>
    <row r="92" ht="16.5" hidden="1" customHeight="1">
      <c r="A92" s="218">
        <v>91.0</v>
      </c>
      <c r="B92" s="252"/>
      <c r="C92" s="253"/>
      <c r="D92" s="252"/>
      <c r="E92" s="253"/>
      <c r="F92" s="278"/>
      <c r="G92" s="254"/>
      <c r="H92" s="254"/>
      <c r="I92" s="254"/>
      <c r="J92" s="254"/>
      <c r="K92" s="254"/>
      <c r="L92" s="254"/>
      <c r="M92" s="254"/>
      <c r="N92" s="254"/>
      <c r="O92" s="254"/>
      <c r="P92" s="254"/>
      <c r="Q92" s="254"/>
      <c r="R92" s="254"/>
      <c r="S92" s="254"/>
      <c r="T92" s="254"/>
      <c r="U92" s="254"/>
      <c r="V92" s="217"/>
      <c r="W92" s="217"/>
      <c r="X92" s="217"/>
      <c r="Y92" s="217"/>
      <c r="Z92" s="217"/>
      <c r="AA92" s="217"/>
    </row>
    <row r="93" ht="16.5" hidden="1" customHeight="1">
      <c r="A93" s="218">
        <v>92.0</v>
      </c>
      <c r="B93" s="252"/>
      <c r="C93" s="253"/>
      <c r="D93" s="252"/>
      <c r="E93" s="253"/>
      <c r="F93" s="253"/>
      <c r="G93" s="254"/>
      <c r="H93" s="254"/>
      <c r="I93" s="254"/>
      <c r="J93" s="254"/>
      <c r="K93" s="254"/>
      <c r="L93" s="255" t="s">
        <v>9753</v>
      </c>
      <c r="M93" s="256"/>
      <c r="N93" s="256"/>
      <c r="O93" s="256"/>
      <c r="P93" s="256"/>
      <c r="Q93" s="256"/>
      <c r="R93" s="256"/>
      <c r="S93" s="256"/>
      <c r="T93" s="256"/>
      <c r="U93" s="257"/>
      <c r="V93" s="217"/>
      <c r="W93" s="217"/>
      <c r="X93" s="217"/>
      <c r="Y93" s="217"/>
      <c r="Z93" s="217"/>
      <c r="AA93" s="217"/>
    </row>
    <row r="94" ht="16.5" hidden="1" customHeight="1">
      <c r="A94" s="218">
        <v>93.0</v>
      </c>
      <c r="B94" s="252"/>
      <c r="C94" s="253"/>
      <c r="D94" s="252"/>
      <c r="E94" s="253"/>
      <c r="F94" s="253"/>
      <c r="G94" s="254"/>
      <c r="H94" s="254"/>
      <c r="I94" s="254"/>
      <c r="J94" s="254"/>
      <c r="K94" s="254"/>
      <c r="L94" s="258" t="s">
        <v>8793</v>
      </c>
      <c r="M94" s="259"/>
      <c r="N94" s="259"/>
      <c r="O94" s="259"/>
      <c r="P94" s="259"/>
      <c r="Q94" s="259"/>
      <c r="R94" s="259"/>
      <c r="S94" s="259"/>
      <c r="T94" s="259"/>
      <c r="U94" s="260"/>
      <c r="V94" s="217"/>
      <c r="W94" s="217"/>
      <c r="X94" s="217"/>
      <c r="Y94" s="217"/>
      <c r="Z94" s="217"/>
      <c r="AA94" s="217"/>
    </row>
    <row r="95" ht="81.0" hidden="1" customHeight="1">
      <c r="A95" s="218">
        <v>94.0</v>
      </c>
      <c r="B95" s="261"/>
      <c r="C95" s="261"/>
      <c r="D95" s="261"/>
      <c r="E95" s="261"/>
      <c r="F95" s="261"/>
      <c r="G95" s="261"/>
      <c r="H95" s="261"/>
      <c r="I95" s="261"/>
      <c r="J95" s="261"/>
      <c r="K95" s="261"/>
      <c r="L95" s="261"/>
      <c r="M95" s="261"/>
      <c r="N95" s="261"/>
      <c r="O95" s="261"/>
      <c r="P95" s="261"/>
      <c r="Q95" s="261"/>
      <c r="R95" s="261"/>
      <c r="S95" s="261"/>
      <c r="T95" s="261"/>
      <c r="U95" s="261"/>
      <c r="V95" s="217"/>
      <c r="W95" s="217"/>
      <c r="X95" s="217"/>
      <c r="Y95" s="217"/>
      <c r="Z95" s="217"/>
      <c r="AA95" s="217"/>
    </row>
    <row r="96" ht="16.5" hidden="1" customHeight="1">
      <c r="A96" s="218">
        <v>95.0</v>
      </c>
      <c r="B96" s="262"/>
      <c r="C96" s="263"/>
      <c r="D96" s="263"/>
      <c r="E96" s="263"/>
      <c r="F96" s="263"/>
      <c r="G96" s="263"/>
      <c r="H96" s="263"/>
      <c r="I96" s="263"/>
      <c r="J96" s="263"/>
      <c r="K96" s="263"/>
      <c r="L96" s="263"/>
      <c r="M96" s="263"/>
      <c r="N96" s="263"/>
      <c r="O96" s="263"/>
      <c r="P96" s="263"/>
      <c r="Q96" s="263"/>
      <c r="R96" s="263"/>
      <c r="S96" s="263"/>
      <c r="T96" s="263"/>
      <c r="U96" s="264"/>
      <c r="V96" s="217"/>
      <c r="W96" s="217"/>
      <c r="X96" s="217"/>
      <c r="Y96" s="217"/>
      <c r="Z96" s="217"/>
      <c r="AA96" s="217"/>
    </row>
    <row r="97" ht="16.5" hidden="1" customHeight="1">
      <c r="A97" s="218">
        <v>96.0</v>
      </c>
      <c r="B97" s="222"/>
      <c r="C97" s="223"/>
      <c r="D97" s="223"/>
      <c r="E97" s="223"/>
      <c r="F97" s="223"/>
      <c r="G97" s="223"/>
      <c r="H97" s="223"/>
      <c r="I97" s="223"/>
      <c r="J97" s="223"/>
      <c r="K97" s="223"/>
      <c r="L97" s="223"/>
      <c r="M97" s="223"/>
      <c r="N97" s="223"/>
      <c r="O97" s="223"/>
      <c r="P97" s="223"/>
      <c r="Q97" s="223"/>
      <c r="R97" s="223"/>
      <c r="S97" s="223"/>
      <c r="T97" s="223"/>
      <c r="U97" s="224"/>
      <c r="V97" s="217"/>
      <c r="W97" s="217"/>
      <c r="X97" s="217"/>
      <c r="Y97" s="217"/>
      <c r="Z97" s="217"/>
      <c r="AA97" s="217"/>
    </row>
    <row r="98" ht="16.5" hidden="1" customHeight="1">
      <c r="A98" s="218">
        <v>97.0</v>
      </c>
      <c r="B98" s="225"/>
      <c r="C98" s="226"/>
      <c r="D98" s="226"/>
      <c r="E98" s="226"/>
      <c r="F98" s="226"/>
      <c r="G98" s="226"/>
      <c r="H98" s="226"/>
      <c r="I98" s="226"/>
      <c r="J98" s="226"/>
      <c r="K98" s="226"/>
      <c r="L98" s="226"/>
      <c r="M98" s="226"/>
      <c r="N98" s="226"/>
      <c r="O98" s="226"/>
      <c r="P98" s="226"/>
      <c r="Q98" s="226"/>
      <c r="R98" s="226"/>
      <c r="S98" s="226"/>
      <c r="T98" s="226"/>
      <c r="U98" s="227"/>
      <c r="V98" s="217"/>
      <c r="W98" s="217"/>
      <c r="X98" s="217"/>
      <c r="Y98" s="217"/>
      <c r="Z98" s="217"/>
      <c r="AA98" s="217"/>
    </row>
    <row r="99" ht="16.5" hidden="1" customHeight="1">
      <c r="A99" s="218">
        <v>98.0</v>
      </c>
      <c r="B99" s="228"/>
      <c r="C99" s="229"/>
      <c r="D99" s="229"/>
      <c r="E99" s="229"/>
      <c r="F99" s="229"/>
      <c r="G99" s="230"/>
      <c r="H99" s="230"/>
      <c r="I99" s="230"/>
      <c r="J99" s="230"/>
      <c r="K99" s="230"/>
      <c r="L99" s="230"/>
      <c r="M99" s="230"/>
      <c r="N99" s="230"/>
      <c r="O99" s="230"/>
      <c r="P99" s="230"/>
      <c r="Q99" s="230"/>
      <c r="R99" s="230"/>
      <c r="S99" s="230"/>
      <c r="T99" s="230"/>
      <c r="U99" s="230"/>
      <c r="V99" s="217"/>
      <c r="W99" s="217"/>
      <c r="X99" s="217"/>
      <c r="Y99" s="217"/>
      <c r="Z99" s="217"/>
      <c r="AA99" s="217"/>
    </row>
    <row r="100" ht="14.25" hidden="1" customHeight="1">
      <c r="A100" s="218">
        <v>99.0</v>
      </c>
      <c r="B100" s="231"/>
      <c r="C100" s="231"/>
      <c r="D100" s="231"/>
      <c r="E100" s="231"/>
      <c r="F100" s="232"/>
      <c r="G100" s="233"/>
      <c r="H100" s="234"/>
      <c r="I100" s="234"/>
      <c r="J100" s="234"/>
      <c r="K100" s="234"/>
      <c r="L100" s="234"/>
      <c r="M100" s="234"/>
      <c r="N100" s="234"/>
      <c r="O100" s="234"/>
      <c r="P100" s="234"/>
      <c r="Q100" s="234"/>
      <c r="R100" s="234"/>
      <c r="S100" s="234"/>
      <c r="T100" s="234"/>
      <c r="U100" s="235"/>
      <c r="V100" s="217"/>
      <c r="W100" s="217"/>
      <c r="X100" s="217"/>
      <c r="Y100" s="217"/>
      <c r="Z100" s="217"/>
      <c r="AA100" s="217"/>
    </row>
    <row r="101" ht="14.25" hidden="1" customHeight="1">
      <c r="A101" s="218">
        <v>100.0</v>
      </c>
      <c r="B101" s="236"/>
      <c r="C101" s="236"/>
      <c r="D101" s="236"/>
      <c r="E101" s="236"/>
      <c r="F101" s="237"/>
      <c r="G101" s="238"/>
      <c r="H101" s="239"/>
      <c r="I101" s="239"/>
      <c r="J101" s="239"/>
      <c r="K101" s="239"/>
      <c r="L101" s="239"/>
      <c r="M101" s="239"/>
      <c r="N101" s="239"/>
      <c r="O101" s="239"/>
      <c r="P101" s="239"/>
      <c r="Q101" s="239"/>
      <c r="R101" s="240"/>
      <c r="S101" s="233" t="s">
        <v>9713</v>
      </c>
      <c r="T101" s="234"/>
      <c r="U101" s="235"/>
      <c r="V101" s="217"/>
      <c r="W101" s="217"/>
      <c r="X101" s="217"/>
      <c r="Y101" s="217"/>
      <c r="Z101" s="217"/>
      <c r="AA101" s="217"/>
    </row>
    <row r="102" ht="14.25" hidden="1" customHeight="1">
      <c r="A102" s="218">
        <v>101.0</v>
      </c>
      <c r="B102" s="241"/>
      <c r="C102" s="241"/>
      <c r="D102" s="241"/>
      <c r="E102" s="241"/>
      <c r="F102" s="242"/>
      <c r="G102" s="243"/>
      <c r="H102" s="243">
        <v>2.0</v>
      </c>
      <c r="I102" s="243">
        <v>3.0</v>
      </c>
      <c r="J102" s="243">
        <v>4.0</v>
      </c>
      <c r="K102" s="243">
        <v>5.0</v>
      </c>
      <c r="L102" s="243">
        <v>6.0</v>
      </c>
      <c r="M102" s="243">
        <v>7.0</v>
      </c>
      <c r="N102" s="243">
        <v>8.0</v>
      </c>
      <c r="O102" s="243">
        <v>9.0</v>
      </c>
      <c r="P102" s="243">
        <v>10.0</v>
      </c>
      <c r="Q102" s="243">
        <v>11.0</v>
      </c>
      <c r="R102" s="243">
        <v>12.0</v>
      </c>
      <c r="S102" s="243" t="s">
        <v>9714</v>
      </c>
      <c r="T102" s="243" t="s">
        <v>9715</v>
      </c>
      <c r="U102" s="244" t="s">
        <v>9716</v>
      </c>
      <c r="V102" s="217"/>
      <c r="W102" s="217"/>
      <c r="X102" s="217"/>
      <c r="Y102" s="217"/>
      <c r="Z102" s="217"/>
      <c r="AA102" s="217"/>
    </row>
    <row r="103" ht="17.25" customHeight="1">
      <c r="A103" s="218">
        <v>102.0</v>
      </c>
      <c r="B103" s="245">
        <v>1.0</v>
      </c>
      <c r="C103" s="279" t="s">
        <v>6973</v>
      </c>
      <c r="D103" s="245">
        <v>2.4251001E8</v>
      </c>
      <c r="E103" s="266" t="s">
        <v>3368</v>
      </c>
      <c r="F103" s="267" t="s">
        <v>220</v>
      </c>
      <c r="G103" s="269"/>
      <c r="H103" s="269"/>
      <c r="I103" s="269"/>
      <c r="J103" s="269"/>
      <c r="K103" s="269"/>
      <c r="L103" s="269"/>
      <c r="M103" s="269"/>
      <c r="N103" s="269"/>
      <c r="O103" s="269"/>
      <c r="P103" s="269"/>
      <c r="Q103" s="269"/>
      <c r="R103" s="269"/>
      <c r="S103" s="269"/>
      <c r="T103" s="269"/>
      <c r="U103" s="269"/>
      <c r="V103" s="217"/>
      <c r="W103" s="217"/>
      <c r="X103" s="217"/>
      <c r="Y103" s="217"/>
      <c r="Z103" s="217"/>
      <c r="AA103" s="217"/>
    </row>
    <row r="104" ht="17.25" customHeight="1">
      <c r="A104" s="218">
        <v>103.0</v>
      </c>
      <c r="B104" s="245">
        <v>2.0</v>
      </c>
      <c r="C104" s="279" t="s">
        <v>6976</v>
      </c>
      <c r="D104" s="245">
        <v>2.42510027E8</v>
      </c>
      <c r="E104" s="266" t="s">
        <v>3374</v>
      </c>
      <c r="F104" s="267" t="s">
        <v>227</v>
      </c>
      <c r="G104" s="269"/>
      <c r="H104" s="269"/>
      <c r="I104" s="269"/>
      <c r="J104" s="269"/>
      <c r="K104" s="269"/>
      <c r="L104" s="269"/>
      <c r="M104" s="269"/>
      <c r="N104" s="269"/>
      <c r="O104" s="269"/>
      <c r="P104" s="269"/>
      <c r="Q104" s="269"/>
      <c r="R104" s="269"/>
      <c r="S104" s="269"/>
      <c r="T104" s="269"/>
      <c r="U104" s="269"/>
      <c r="V104" s="217"/>
      <c r="W104" s="217"/>
      <c r="X104" s="217"/>
      <c r="Y104" s="217"/>
      <c r="Z104" s="217"/>
      <c r="AA104" s="217"/>
    </row>
    <row r="105" ht="17.25" customHeight="1">
      <c r="A105" s="218">
        <v>104.0</v>
      </c>
      <c r="B105" s="245">
        <v>3.0</v>
      </c>
      <c r="C105" s="279" t="s">
        <v>6978</v>
      </c>
      <c r="D105" s="245">
        <v>2.42510041E8</v>
      </c>
      <c r="E105" s="266" t="s">
        <v>3379</v>
      </c>
      <c r="F105" s="267" t="s">
        <v>220</v>
      </c>
      <c r="G105" s="269"/>
      <c r="H105" s="269"/>
      <c r="I105" s="269"/>
      <c r="J105" s="269"/>
      <c r="K105" s="269"/>
      <c r="L105" s="269"/>
      <c r="M105" s="269"/>
      <c r="N105" s="269"/>
      <c r="O105" s="269"/>
      <c r="P105" s="269"/>
      <c r="Q105" s="269"/>
      <c r="R105" s="269"/>
      <c r="S105" s="269"/>
      <c r="T105" s="269"/>
      <c r="U105" s="269"/>
      <c r="V105" s="217"/>
      <c r="W105" s="217"/>
      <c r="X105" s="217"/>
      <c r="Y105" s="217"/>
      <c r="Z105" s="217"/>
      <c r="AA105" s="217"/>
    </row>
    <row r="106" ht="17.25" customHeight="1">
      <c r="A106" s="218">
        <v>105.0</v>
      </c>
      <c r="B106" s="245">
        <v>4.0</v>
      </c>
      <c r="C106" s="279" t="s">
        <v>6980</v>
      </c>
      <c r="D106" s="250">
        <v>2.4251007E8</v>
      </c>
      <c r="E106" s="266" t="s">
        <v>3384</v>
      </c>
      <c r="F106" s="267" t="s">
        <v>227</v>
      </c>
      <c r="G106" s="269"/>
      <c r="H106" s="269"/>
      <c r="I106" s="269"/>
      <c r="J106" s="269"/>
      <c r="K106" s="269"/>
      <c r="L106" s="269"/>
      <c r="M106" s="269"/>
      <c r="N106" s="269"/>
      <c r="O106" s="269"/>
      <c r="P106" s="269"/>
      <c r="Q106" s="269"/>
      <c r="R106" s="269"/>
      <c r="S106" s="269"/>
      <c r="T106" s="269"/>
      <c r="U106" s="269"/>
      <c r="V106" s="217"/>
      <c r="W106" s="217"/>
      <c r="X106" s="217"/>
      <c r="Y106" s="217"/>
      <c r="Z106" s="217"/>
      <c r="AA106" s="217"/>
    </row>
    <row r="107" ht="17.25" customHeight="1">
      <c r="A107" s="218">
        <v>106.0</v>
      </c>
      <c r="B107" s="245">
        <v>5.0</v>
      </c>
      <c r="C107" s="279" t="s">
        <v>6982</v>
      </c>
      <c r="D107" s="245">
        <v>2.42510113E8</v>
      </c>
      <c r="E107" s="266" t="s">
        <v>3389</v>
      </c>
      <c r="F107" s="267" t="s">
        <v>227</v>
      </c>
      <c r="G107" s="269"/>
      <c r="H107" s="269"/>
      <c r="I107" s="269"/>
      <c r="J107" s="269"/>
      <c r="K107" s="269"/>
      <c r="L107" s="269"/>
      <c r="M107" s="269"/>
      <c r="N107" s="269"/>
      <c r="O107" s="269"/>
      <c r="P107" s="269"/>
      <c r="Q107" s="269"/>
      <c r="R107" s="269"/>
      <c r="S107" s="269"/>
      <c r="T107" s="269"/>
      <c r="U107" s="269"/>
      <c r="V107" s="217"/>
      <c r="W107" s="217"/>
      <c r="X107" s="217"/>
      <c r="Y107" s="217"/>
      <c r="Z107" s="217"/>
      <c r="AA107" s="217"/>
    </row>
    <row r="108" ht="17.25" customHeight="1">
      <c r="A108" s="218">
        <v>107.0</v>
      </c>
      <c r="B108" s="245">
        <v>6.0</v>
      </c>
      <c r="C108" s="279" t="s">
        <v>6984</v>
      </c>
      <c r="D108" s="245">
        <v>2.4251012E8</v>
      </c>
      <c r="E108" s="266" t="s">
        <v>3395</v>
      </c>
      <c r="F108" s="267" t="s">
        <v>227</v>
      </c>
      <c r="G108" s="269"/>
      <c r="H108" s="269"/>
      <c r="I108" s="269"/>
      <c r="J108" s="269"/>
      <c r="K108" s="269"/>
      <c r="L108" s="269"/>
      <c r="M108" s="269"/>
      <c r="N108" s="269"/>
      <c r="O108" s="269"/>
      <c r="P108" s="269"/>
      <c r="Q108" s="269"/>
      <c r="R108" s="269"/>
      <c r="S108" s="269"/>
      <c r="T108" s="269"/>
      <c r="U108" s="269"/>
      <c r="V108" s="217"/>
      <c r="W108" s="217"/>
      <c r="X108" s="217"/>
      <c r="Y108" s="217"/>
      <c r="Z108" s="217"/>
      <c r="AA108" s="217"/>
    </row>
    <row r="109" ht="17.25" customHeight="1">
      <c r="A109" s="218">
        <v>108.0</v>
      </c>
      <c r="B109" s="245">
        <v>7.0</v>
      </c>
      <c r="C109" s="279" t="s">
        <v>6986</v>
      </c>
      <c r="D109" s="250">
        <v>2.42510136E8</v>
      </c>
      <c r="E109" s="280" t="s">
        <v>3400</v>
      </c>
      <c r="F109" s="281" t="s">
        <v>227</v>
      </c>
      <c r="G109" s="269"/>
      <c r="H109" s="269"/>
      <c r="I109" s="269"/>
      <c r="J109" s="269"/>
      <c r="K109" s="269"/>
      <c r="L109" s="269"/>
      <c r="M109" s="269"/>
      <c r="N109" s="269"/>
      <c r="O109" s="269"/>
      <c r="P109" s="269"/>
      <c r="Q109" s="269"/>
      <c r="R109" s="269"/>
      <c r="S109" s="269"/>
      <c r="T109" s="269"/>
      <c r="U109" s="269"/>
      <c r="W109" s="217"/>
      <c r="X109" s="217"/>
      <c r="Y109" s="217"/>
      <c r="Z109" s="217"/>
      <c r="AA109" s="217"/>
    </row>
    <row r="110" ht="17.25" customHeight="1">
      <c r="A110" s="218">
        <v>109.0</v>
      </c>
      <c r="B110" s="245">
        <v>8.0</v>
      </c>
      <c r="C110" s="279" t="s">
        <v>6988</v>
      </c>
      <c r="D110" s="245">
        <v>2.4251018E8</v>
      </c>
      <c r="E110" s="266" t="s">
        <v>3405</v>
      </c>
      <c r="F110" s="267" t="s">
        <v>220</v>
      </c>
      <c r="G110" s="269"/>
      <c r="H110" s="269"/>
      <c r="I110" s="269"/>
      <c r="J110" s="269"/>
      <c r="K110" s="269"/>
      <c r="L110" s="269"/>
      <c r="M110" s="269"/>
      <c r="N110" s="269"/>
      <c r="O110" s="269"/>
      <c r="P110" s="269"/>
      <c r="Q110" s="269"/>
      <c r="R110" s="269"/>
      <c r="S110" s="269"/>
      <c r="T110" s="269"/>
      <c r="U110" s="269"/>
      <c r="V110" s="217"/>
      <c r="W110" s="217"/>
      <c r="X110" s="217"/>
      <c r="Y110" s="217"/>
      <c r="Z110" s="217"/>
      <c r="AA110" s="217"/>
    </row>
    <row r="111" ht="17.25" customHeight="1">
      <c r="A111" s="218">
        <v>110.0</v>
      </c>
      <c r="B111" s="245">
        <v>9.0</v>
      </c>
      <c r="C111" s="279" t="s">
        <v>6990</v>
      </c>
      <c r="D111" s="245">
        <v>2.42510184E8</v>
      </c>
      <c r="E111" s="266" t="s">
        <v>3410</v>
      </c>
      <c r="F111" s="267" t="s">
        <v>227</v>
      </c>
      <c r="G111" s="269"/>
      <c r="H111" s="269"/>
      <c r="I111" s="269"/>
      <c r="J111" s="269"/>
      <c r="K111" s="269"/>
      <c r="L111" s="269"/>
      <c r="M111" s="269"/>
      <c r="N111" s="269"/>
      <c r="O111" s="269"/>
      <c r="P111" s="269"/>
      <c r="Q111" s="269"/>
      <c r="R111" s="269"/>
      <c r="S111" s="269"/>
      <c r="T111" s="269"/>
      <c r="U111" s="269"/>
      <c r="V111" s="217"/>
      <c r="W111" s="217"/>
      <c r="X111" s="217"/>
      <c r="Y111" s="217"/>
      <c r="Z111" s="217"/>
      <c r="AA111" s="217"/>
    </row>
    <row r="112" ht="17.25" customHeight="1">
      <c r="A112" s="218">
        <v>111.0</v>
      </c>
      <c r="B112" s="245">
        <v>10.0</v>
      </c>
      <c r="C112" s="279" t="s">
        <v>6992</v>
      </c>
      <c r="D112" s="245">
        <v>2.42510187E8</v>
      </c>
      <c r="E112" s="266" t="s">
        <v>3415</v>
      </c>
      <c r="F112" s="267" t="s">
        <v>227</v>
      </c>
      <c r="G112" s="269"/>
      <c r="H112" s="269"/>
      <c r="I112" s="269"/>
      <c r="J112" s="269"/>
      <c r="K112" s="269"/>
      <c r="L112" s="269"/>
      <c r="M112" s="269"/>
      <c r="N112" s="269"/>
      <c r="O112" s="269"/>
      <c r="P112" s="269"/>
      <c r="Q112" s="269"/>
      <c r="R112" s="269"/>
      <c r="S112" s="269"/>
      <c r="T112" s="269"/>
      <c r="U112" s="269"/>
      <c r="V112" s="217"/>
      <c r="W112" s="217"/>
      <c r="X112" s="217"/>
      <c r="Y112" s="217"/>
      <c r="Z112" s="217"/>
      <c r="AA112" s="217"/>
    </row>
    <row r="113" ht="17.25" customHeight="1">
      <c r="A113" s="218">
        <v>112.0</v>
      </c>
      <c r="B113" s="245">
        <v>11.0</v>
      </c>
      <c r="C113" s="279" t="s">
        <v>6994</v>
      </c>
      <c r="D113" s="250">
        <v>2.42510193E8</v>
      </c>
      <c r="E113" s="266" t="s">
        <v>3421</v>
      </c>
      <c r="F113" s="267" t="s">
        <v>227</v>
      </c>
      <c r="G113" s="269"/>
      <c r="H113" s="269"/>
      <c r="I113" s="269"/>
      <c r="J113" s="269"/>
      <c r="K113" s="269"/>
      <c r="L113" s="269"/>
      <c r="M113" s="269"/>
      <c r="N113" s="269"/>
      <c r="O113" s="269"/>
      <c r="P113" s="269"/>
      <c r="Q113" s="269"/>
      <c r="R113" s="269"/>
      <c r="S113" s="269"/>
      <c r="T113" s="269"/>
      <c r="U113" s="269"/>
      <c r="V113" s="217"/>
      <c r="W113" s="217"/>
      <c r="X113" s="217"/>
      <c r="Y113" s="217"/>
      <c r="Z113" s="217"/>
      <c r="AA113" s="217"/>
    </row>
    <row r="114" ht="17.25" customHeight="1">
      <c r="A114" s="218">
        <v>113.0</v>
      </c>
      <c r="B114" s="245">
        <v>12.0</v>
      </c>
      <c r="C114" s="279" t="s">
        <v>6996</v>
      </c>
      <c r="D114" s="245">
        <v>2.42510197E8</v>
      </c>
      <c r="E114" s="266" t="s">
        <v>3426</v>
      </c>
      <c r="F114" s="267" t="s">
        <v>227</v>
      </c>
      <c r="G114" s="269"/>
      <c r="H114" s="282"/>
      <c r="I114" s="269"/>
      <c r="J114" s="269"/>
      <c r="K114" s="269"/>
      <c r="L114" s="269"/>
      <c r="M114" s="269"/>
      <c r="N114" s="269"/>
      <c r="O114" s="269"/>
      <c r="P114" s="269"/>
      <c r="Q114" s="269"/>
      <c r="R114" s="269"/>
      <c r="S114" s="269"/>
      <c r="T114" s="269"/>
      <c r="U114" s="269"/>
      <c r="V114" s="217"/>
      <c r="W114" s="217"/>
      <c r="X114" s="217"/>
      <c r="Y114" s="217"/>
      <c r="Z114" s="217"/>
      <c r="AA114" s="217"/>
    </row>
    <row r="115" ht="17.25" customHeight="1">
      <c r="A115" s="218">
        <v>114.0</v>
      </c>
      <c r="B115" s="245">
        <v>13.0</v>
      </c>
      <c r="C115" s="279" t="s">
        <v>6998</v>
      </c>
      <c r="D115" s="245">
        <v>2.42510213E8</v>
      </c>
      <c r="E115" s="266" t="s">
        <v>3431</v>
      </c>
      <c r="F115" s="267" t="s">
        <v>227</v>
      </c>
      <c r="G115" s="283"/>
      <c r="H115" s="282"/>
      <c r="I115" s="269"/>
      <c r="J115" s="269"/>
      <c r="K115" s="269"/>
      <c r="L115" s="269"/>
      <c r="M115" s="269"/>
      <c r="N115" s="269"/>
      <c r="O115" s="269"/>
      <c r="P115" s="269"/>
      <c r="Q115" s="269"/>
      <c r="R115" s="269"/>
      <c r="S115" s="269"/>
      <c r="T115" s="269"/>
      <c r="U115" s="269"/>
      <c r="V115" s="217"/>
      <c r="W115" s="217"/>
      <c r="X115" s="217"/>
      <c r="Y115" s="217"/>
      <c r="Z115" s="217"/>
      <c r="AA115" s="217"/>
    </row>
    <row r="116" ht="17.25" customHeight="1">
      <c r="A116" s="218">
        <v>115.0</v>
      </c>
      <c r="B116" s="245">
        <v>14.0</v>
      </c>
      <c r="C116" s="279" t="s">
        <v>7000</v>
      </c>
      <c r="D116" s="245">
        <v>2.42510216E8</v>
      </c>
      <c r="E116" s="266" t="s">
        <v>3436</v>
      </c>
      <c r="F116" s="267" t="s">
        <v>227</v>
      </c>
      <c r="G116" s="283"/>
      <c r="H116" s="282"/>
      <c r="I116" s="269"/>
      <c r="J116" s="269"/>
      <c r="K116" s="269"/>
      <c r="L116" s="269"/>
      <c r="M116" s="269"/>
      <c r="N116" s="269"/>
      <c r="O116" s="269"/>
      <c r="P116" s="269"/>
      <c r="Q116" s="269"/>
      <c r="R116" s="269"/>
      <c r="S116" s="269"/>
      <c r="T116" s="269"/>
      <c r="U116" s="269"/>
      <c r="V116" s="217"/>
      <c r="W116" s="217"/>
      <c r="X116" s="217"/>
      <c r="Y116" s="217"/>
      <c r="Z116" s="217"/>
      <c r="AA116" s="217"/>
    </row>
    <row r="117" ht="17.25" customHeight="1">
      <c r="A117" s="218">
        <v>116.0</v>
      </c>
      <c r="B117" s="245">
        <v>15.0</v>
      </c>
      <c r="C117" s="279" t="s">
        <v>7002</v>
      </c>
      <c r="D117" s="250">
        <v>2.42510222E8</v>
      </c>
      <c r="E117" s="266" t="s">
        <v>3441</v>
      </c>
      <c r="F117" s="267" t="s">
        <v>227</v>
      </c>
      <c r="G117" s="283"/>
      <c r="H117" s="282"/>
      <c r="I117" s="269"/>
      <c r="J117" s="269"/>
      <c r="K117" s="269"/>
      <c r="L117" s="269"/>
      <c r="M117" s="269"/>
      <c r="N117" s="269"/>
      <c r="O117" s="269"/>
      <c r="P117" s="269"/>
      <c r="Q117" s="269"/>
      <c r="R117" s="269"/>
      <c r="S117" s="269"/>
      <c r="T117" s="269"/>
      <c r="U117" s="269"/>
      <c r="V117" s="217"/>
      <c r="W117" s="217"/>
      <c r="X117" s="217"/>
      <c r="Y117" s="217"/>
      <c r="Z117" s="217"/>
      <c r="AA117" s="217"/>
    </row>
    <row r="118" ht="17.25" customHeight="1">
      <c r="A118" s="218">
        <v>117.0</v>
      </c>
      <c r="B118" s="245">
        <v>16.0</v>
      </c>
      <c r="C118" s="279" t="s">
        <v>7004</v>
      </c>
      <c r="D118" s="245">
        <v>2.4251023E8</v>
      </c>
      <c r="E118" s="266" t="s">
        <v>3447</v>
      </c>
      <c r="F118" s="267" t="s">
        <v>227</v>
      </c>
      <c r="G118" s="283"/>
      <c r="H118" s="282"/>
      <c r="I118" s="269"/>
      <c r="J118" s="269"/>
      <c r="K118" s="269"/>
      <c r="L118" s="269"/>
      <c r="M118" s="269"/>
      <c r="N118" s="269"/>
      <c r="O118" s="269"/>
      <c r="P118" s="269"/>
      <c r="Q118" s="269"/>
      <c r="R118" s="269"/>
      <c r="S118" s="269"/>
      <c r="T118" s="269"/>
      <c r="U118" s="269"/>
      <c r="V118" s="217"/>
      <c r="W118" s="217"/>
      <c r="X118" s="217"/>
      <c r="Y118" s="217"/>
      <c r="Z118" s="217"/>
      <c r="AA118" s="217"/>
    </row>
    <row r="119" ht="17.25" customHeight="1">
      <c r="A119" s="218">
        <v>118.0</v>
      </c>
      <c r="B119" s="245">
        <v>17.0</v>
      </c>
      <c r="C119" s="279" t="s">
        <v>7006</v>
      </c>
      <c r="D119" s="284">
        <v>2.42510231E8</v>
      </c>
      <c r="E119" s="276" t="s">
        <v>3452</v>
      </c>
      <c r="F119" s="277" t="s">
        <v>227</v>
      </c>
      <c r="G119" s="285"/>
      <c r="H119" s="286"/>
      <c r="I119" s="287"/>
      <c r="J119" s="287"/>
      <c r="K119" s="287"/>
      <c r="L119" s="287"/>
      <c r="M119" s="287"/>
      <c r="N119" s="287"/>
      <c r="O119" s="287"/>
      <c r="P119" s="287"/>
      <c r="Q119" s="287"/>
      <c r="R119" s="287"/>
      <c r="S119" s="287"/>
      <c r="T119" s="287"/>
      <c r="U119" s="287"/>
      <c r="V119" s="217"/>
      <c r="W119" s="217"/>
      <c r="X119" s="217"/>
      <c r="Y119" s="217"/>
      <c r="Z119" s="217"/>
      <c r="AA119" s="217"/>
    </row>
    <row r="120" ht="17.25" customHeight="1">
      <c r="A120" s="218">
        <v>119.0</v>
      </c>
      <c r="B120" s="245">
        <v>18.0</v>
      </c>
      <c r="C120" s="279" t="s">
        <v>7008</v>
      </c>
      <c r="D120" s="245">
        <v>2.42510232E8</v>
      </c>
      <c r="E120" s="266" t="s">
        <v>3457</v>
      </c>
      <c r="F120" s="267" t="s">
        <v>227</v>
      </c>
      <c r="G120" s="283"/>
      <c r="H120" s="282"/>
      <c r="I120" s="269"/>
      <c r="J120" s="269"/>
      <c r="K120" s="269"/>
      <c r="L120" s="269"/>
      <c r="M120" s="269"/>
      <c r="N120" s="269"/>
      <c r="O120" s="269"/>
      <c r="P120" s="269"/>
      <c r="Q120" s="269"/>
      <c r="R120" s="269"/>
      <c r="S120" s="269"/>
      <c r="T120" s="269"/>
      <c r="U120" s="269"/>
      <c r="V120" s="217"/>
      <c r="W120" s="217"/>
      <c r="X120" s="217"/>
      <c r="Y120" s="217"/>
      <c r="Z120" s="217"/>
      <c r="AA120" s="217"/>
    </row>
    <row r="121" ht="17.25" customHeight="1">
      <c r="A121" s="218">
        <v>120.0</v>
      </c>
      <c r="B121" s="245">
        <v>19.0</v>
      </c>
      <c r="C121" s="279" t="s">
        <v>7010</v>
      </c>
      <c r="D121" s="250">
        <v>2.42510233E8</v>
      </c>
      <c r="E121" s="266" t="s">
        <v>3462</v>
      </c>
      <c r="F121" s="267" t="s">
        <v>227</v>
      </c>
      <c r="G121" s="269"/>
      <c r="H121" s="269"/>
      <c r="I121" s="269"/>
      <c r="J121" s="269"/>
      <c r="K121" s="269"/>
      <c r="L121" s="269"/>
      <c r="M121" s="269"/>
      <c r="N121" s="269"/>
      <c r="O121" s="269"/>
      <c r="P121" s="269"/>
      <c r="Q121" s="269"/>
      <c r="R121" s="269"/>
      <c r="S121" s="269"/>
      <c r="T121" s="269"/>
      <c r="U121" s="269"/>
      <c r="V121" s="217"/>
      <c r="W121" s="217"/>
      <c r="X121" s="217"/>
      <c r="Y121" s="217"/>
      <c r="Z121" s="217"/>
      <c r="AA121" s="217"/>
    </row>
    <row r="122" ht="17.25" customHeight="1">
      <c r="A122" s="218">
        <v>121.0</v>
      </c>
      <c r="B122" s="245">
        <v>20.0</v>
      </c>
      <c r="C122" s="279" t="s">
        <v>7012</v>
      </c>
      <c r="D122" s="288">
        <v>2.42510244E8</v>
      </c>
      <c r="E122" s="266" t="s">
        <v>3468</v>
      </c>
      <c r="F122" s="267" t="s">
        <v>220</v>
      </c>
      <c r="G122" s="269"/>
      <c r="H122" s="269"/>
      <c r="I122" s="269"/>
      <c r="J122" s="269"/>
      <c r="K122" s="269"/>
      <c r="L122" s="269"/>
      <c r="M122" s="269"/>
      <c r="N122" s="269"/>
      <c r="O122" s="269"/>
      <c r="P122" s="269"/>
      <c r="Q122" s="269"/>
      <c r="R122" s="269"/>
      <c r="S122" s="269"/>
      <c r="T122" s="269"/>
      <c r="U122" s="269"/>
      <c r="V122" s="217"/>
      <c r="W122" s="217"/>
      <c r="X122" s="217"/>
      <c r="Y122" s="217"/>
      <c r="Z122" s="217"/>
      <c r="AA122" s="217"/>
    </row>
    <row r="123" ht="17.25" customHeight="1">
      <c r="A123" s="218">
        <v>122.0</v>
      </c>
      <c r="B123" s="245">
        <v>21.0</v>
      </c>
      <c r="C123" s="279" t="s">
        <v>7014</v>
      </c>
      <c r="D123" s="250">
        <v>2.42510278E8</v>
      </c>
      <c r="E123" s="266" t="s">
        <v>3473</v>
      </c>
      <c r="F123" s="267" t="s">
        <v>220</v>
      </c>
      <c r="G123" s="269"/>
      <c r="H123" s="269"/>
      <c r="I123" s="269"/>
      <c r="J123" s="269"/>
      <c r="K123" s="269"/>
      <c r="L123" s="269"/>
      <c r="M123" s="269"/>
      <c r="N123" s="269"/>
      <c r="O123" s="269"/>
      <c r="P123" s="269"/>
      <c r="Q123" s="269"/>
      <c r="R123" s="269"/>
      <c r="S123" s="269"/>
      <c r="T123" s="269"/>
      <c r="U123" s="269"/>
      <c r="W123" s="217"/>
      <c r="X123" s="217"/>
      <c r="Y123" s="217"/>
      <c r="Z123" s="217"/>
      <c r="AA123" s="217"/>
    </row>
    <row r="124" ht="17.25" customHeight="1">
      <c r="A124" s="218">
        <v>123.0</v>
      </c>
      <c r="B124" s="245">
        <v>22.0</v>
      </c>
      <c r="C124" s="279" t="s">
        <v>7016</v>
      </c>
      <c r="D124" s="245">
        <v>2.42510286E8</v>
      </c>
      <c r="E124" s="266" t="s">
        <v>3478</v>
      </c>
      <c r="F124" s="267" t="s">
        <v>227</v>
      </c>
      <c r="G124" s="269"/>
      <c r="H124" s="269"/>
      <c r="I124" s="269"/>
      <c r="J124" s="269"/>
      <c r="K124" s="269"/>
      <c r="L124" s="269"/>
      <c r="M124" s="269"/>
      <c r="N124" s="269"/>
      <c r="O124" s="269"/>
      <c r="P124" s="269"/>
      <c r="Q124" s="269"/>
      <c r="R124" s="269"/>
      <c r="S124" s="269"/>
      <c r="T124" s="269"/>
      <c r="U124" s="269"/>
      <c r="V124" s="217"/>
      <c r="W124" s="217"/>
      <c r="X124" s="217"/>
      <c r="Y124" s="217"/>
      <c r="Z124" s="217"/>
      <c r="AA124" s="217"/>
    </row>
    <row r="125" ht="17.25" customHeight="1">
      <c r="A125" s="218">
        <v>124.0</v>
      </c>
      <c r="B125" s="245">
        <v>23.0</v>
      </c>
      <c r="C125" s="279" t="s">
        <v>7018</v>
      </c>
      <c r="D125" s="245">
        <v>2.42510297E8</v>
      </c>
      <c r="E125" s="266" t="s">
        <v>3483</v>
      </c>
      <c r="F125" s="267" t="s">
        <v>227</v>
      </c>
      <c r="G125" s="269"/>
      <c r="H125" s="269"/>
      <c r="I125" s="269"/>
      <c r="J125" s="269"/>
      <c r="K125" s="269"/>
      <c r="L125" s="269"/>
      <c r="M125" s="269"/>
      <c r="N125" s="269"/>
      <c r="O125" s="269"/>
      <c r="P125" s="269"/>
      <c r="Q125" s="269"/>
      <c r="R125" s="269"/>
      <c r="S125" s="269"/>
      <c r="T125" s="269"/>
      <c r="U125" s="269"/>
      <c r="V125" s="217"/>
      <c r="W125" s="217"/>
      <c r="X125" s="217"/>
      <c r="Y125" s="217"/>
      <c r="Z125" s="217"/>
      <c r="AA125" s="217"/>
    </row>
    <row r="126" ht="17.25" customHeight="1">
      <c r="A126" s="218">
        <v>125.0</v>
      </c>
      <c r="B126" s="245">
        <v>24.0</v>
      </c>
      <c r="C126" s="279" t="s">
        <v>7020</v>
      </c>
      <c r="D126" s="250">
        <v>2.42510298E8</v>
      </c>
      <c r="E126" s="266" t="s">
        <v>3489</v>
      </c>
      <c r="F126" s="267" t="s">
        <v>227</v>
      </c>
      <c r="G126" s="269"/>
      <c r="H126" s="269"/>
      <c r="I126" s="269"/>
      <c r="J126" s="269"/>
      <c r="K126" s="269"/>
      <c r="L126" s="269"/>
      <c r="M126" s="269"/>
      <c r="N126" s="269"/>
      <c r="O126" s="269"/>
      <c r="P126" s="269"/>
      <c r="Q126" s="269"/>
      <c r="R126" s="269"/>
      <c r="S126" s="269"/>
      <c r="T126" s="269"/>
      <c r="U126" s="269"/>
      <c r="V126" s="217"/>
      <c r="W126" s="217"/>
      <c r="X126" s="217"/>
      <c r="Y126" s="217"/>
      <c r="Z126" s="217"/>
      <c r="AA126" s="217"/>
    </row>
    <row r="127" ht="17.25" customHeight="1">
      <c r="A127" s="218">
        <v>126.0</v>
      </c>
      <c r="B127" s="245">
        <v>25.0</v>
      </c>
      <c r="C127" s="279" t="s">
        <v>7022</v>
      </c>
      <c r="D127" s="245">
        <v>2.42510313E8</v>
      </c>
      <c r="E127" s="266" t="s">
        <v>3494</v>
      </c>
      <c r="F127" s="267" t="s">
        <v>227</v>
      </c>
      <c r="G127" s="269"/>
      <c r="H127" s="269"/>
      <c r="I127" s="269"/>
      <c r="J127" s="269"/>
      <c r="K127" s="269"/>
      <c r="L127" s="269"/>
      <c r="M127" s="269"/>
      <c r="N127" s="269"/>
      <c r="O127" s="269"/>
      <c r="P127" s="269"/>
      <c r="Q127" s="269"/>
      <c r="R127" s="269"/>
      <c r="S127" s="269"/>
      <c r="T127" s="269"/>
      <c r="U127" s="269"/>
      <c r="V127" s="217"/>
      <c r="W127" s="217"/>
      <c r="X127" s="217"/>
      <c r="Y127" s="217"/>
      <c r="Z127" s="217"/>
      <c r="AA127" s="217"/>
    </row>
    <row r="128" ht="17.25" customHeight="1">
      <c r="A128" s="218">
        <v>127.0</v>
      </c>
      <c r="B128" s="245">
        <v>26.0</v>
      </c>
      <c r="C128" s="279" t="s">
        <v>7024</v>
      </c>
      <c r="D128" s="245">
        <v>2.42510328E8</v>
      </c>
      <c r="E128" s="266" t="s">
        <v>3499</v>
      </c>
      <c r="F128" s="267" t="s">
        <v>227</v>
      </c>
      <c r="G128" s="269"/>
      <c r="H128" s="269"/>
      <c r="I128" s="269"/>
      <c r="J128" s="269"/>
      <c r="K128" s="269"/>
      <c r="L128" s="269"/>
      <c r="M128" s="269"/>
      <c r="N128" s="269"/>
      <c r="O128" s="269"/>
      <c r="P128" s="269"/>
      <c r="Q128" s="269"/>
      <c r="R128" s="269"/>
      <c r="S128" s="269"/>
      <c r="T128" s="269"/>
      <c r="U128" s="269"/>
      <c r="V128" s="217"/>
      <c r="W128" s="217"/>
      <c r="X128" s="217"/>
      <c r="Y128" s="217"/>
      <c r="Z128" s="217"/>
      <c r="AA128" s="217"/>
    </row>
    <row r="129" ht="17.25" customHeight="1">
      <c r="A129" s="218">
        <v>128.0</v>
      </c>
      <c r="B129" s="245">
        <v>27.0</v>
      </c>
      <c r="C129" s="279" t="s">
        <v>7026</v>
      </c>
      <c r="D129" s="245">
        <v>2.42510343E8</v>
      </c>
      <c r="E129" s="266" t="s">
        <v>3504</v>
      </c>
      <c r="F129" s="267" t="s">
        <v>227</v>
      </c>
      <c r="G129" s="269"/>
      <c r="H129" s="269"/>
      <c r="I129" s="269"/>
      <c r="J129" s="269"/>
      <c r="K129" s="269"/>
      <c r="L129" s="269"/>
      <c r="M129" s="269"/>
      <c r="N129" s="269"/>
      <c r="O129" s="269"/>
      <c r="P129" s="269"/>
      <c r="Q129" s="269"/>
      <c r="R129" s="269"/>
      <c r="S129" s="269"/>
      <c r="T129" s="269"/>
      <c r="U129" s="269"/>
      <c r="V129" s="217"/>
      <c r="W129" s="217"/>
      <c r="X129" s="217"/>
      <c r="Y129" s="217"/>
      <c r="Z129" s="217"/>
      <c r="AA129" s="217"/>
    </row>
    <row r="130" ht="17.25" customHeight="1">
      <c r="A130" s="218">
        <v>129.0</v>
      </c>
      <c r="B130" s="245">
        <v>28.0</v>
      </c>
      <c r="C130" s="279" t="s">
        <v>7028</v>
      </c>
      <c r="D130" s="245">
        <v>2.4251035E8</v>
      </c>
      <c r="E130" s="266" t="s">
        <v>3509</v>
      </c>
      <c r="F130" s="267" t="s">
        <v>220</v>
      </c>
      <c r="G130" s="269"/>
      <c r="H130" s="269"/>
      <c r="I130" s="269"/>
      <c r="J130" s="269"/>
      <c r="K130" s="269"/>
      <c r="L130" s="269"/>
      <c r="M130" s="269"/>
      <c r="N130" s="269"/>
      <c r="O130" s="269"/>
      <c r="P130" s="269"/>
      <c r="Q130" s="269"/>
      <c r="R130" s="269"/>
      <c r="S130" s="269"/>
      <c r="T130" s="269"/>
      <c r="U130" s="269"/>
      <c r="V130" s="217"/>
      <c r="W130" s="217"/>
      <c r="X130" s="217"/>
      <c r="Y130" s="217"/>
      <c r="Z130" s="217"/>
      <c r="AA130" s="217"/>
    </row>
    <row r="131" ht="17.25" customHeight="1">
      <c r="A131" s="218">
        <v>130.0</v>
      </c>
      <c r="B131" s="245">
        <v>29.0</v>
      </c>
      <c r="C131" s="279" t="s">
        <v>7030</v>
      </c>
      <c r="D131" s="245">
        <v>2.42510371E8</v>
      </c>
      <c r="E131" s="266" t="s">
        <v>3515</v>
      </c>
      <c r="F131" s="267" t="s">
        <v>220</v>
      </c>
      <c r="G131" s="269"/>
      <c r="H131" s="269"/>
      <c r="I131" s="269"/>
      <c r="J131" s="269"/>
      <c r="K131" s="269"/>
      <c r="L131" s="269"/>
      <c r="M131" s="269"/>
      <c r="N131" s="269"/>
      <c r="O131" s="269"/>
      <c r="P131" s="269"/>
      <c r="Q131" s="269"/>
      <c r="R131" s="269"/>
      <c r="S131" s="269"/>
      <c r="T131" s="269"/>
      <c r="U131" s="269"/>
      <c r="V131" s="217"/>
      <c r="W131" s="217"/>
      <c r="X131" s="217"/>
      <c r="Y131" s="217"/>
      <c r="Z131" s="217"/>
      <c r="AA131" s="217"/>
    </row>
    <row r="132" ht="17.25" customHeight="1">
      <c r="A132" s="218">
        <v>131.0</v>
      </c>
      <c r="B132" s="245">
        <v>30.0</v>
      </c>
      <c r="C132" s="279" t="s">
        <v>7032</v>
      </c>
      <c r="D132" s="250">
        <v>2.42510373E8</v>
      </c>
      <c r="E132" s="266" t="s">
        <v>3520</v>
      </c>
      <c r="F132" s="267" t="s">
        <v>227</v>
      </c>
      <c r="G132" s="269"/>
      <c r="H132" s="269"/>
      <c r="I132" s="269"/>
      <c r="J132" s="269"/>
      <c r="K132" s="269"/>
      <c r="L132" s="269"/>
      <c r="M132" s="269"/>
      <c r="N132" s="269"/>
      <c r="O132" s="269"/>
      <c r="P132" s="269"/>
      <c r="Q132" s="269"/>
      <c r="R132" s="269"/>
      <c r="S132" s="269"/>
      <c r="T132" s="269"/>
      <c r="U132" s="269"/>
      <c r="W132" s="217"/>
      <c r="X132" s="217"/>
      <c r="Y132" s="217"/>
      <c r="Z132" s="217"/>
      <c r="AA132" s="217"/>
    </row>
    <row r="133" ht="17.25" customHeight="1">
      <c r="A133" s="218">
        <v>132.0</v>
      </c>
      <c r="B133" s="245">
        <v>31.0</v>
      </c>
      <c r="C133" s="279" t="s">
        <v>7034</v>
      </c>
      <c r="D133" s="289" t="s">
        <v>9754</v>
      </c>
      <c r="E133" s="266" t="s">
        <v>3525</v>
      </c>
      <c r="F133" s="267" t="s">
        <v>227</v>
      </c>
      <c r="G133" s="269"/>
      <c r="H133" s="269"/>
      <c r="I133" s="269"/>
      <c r="J133" s="269"/>
      <c r="K133" s="269"/>
      <c r="L133" s="269"/>
      <c r="M133" s="269"/>
      <c r="N133" s="269"/>
      <c r="O133" s="269"/>
      <c r="P133" s="269"/>
      <c r="Q133" s="269"/>
      <c r="R133" s="269"/>
      <c r="S133" s="269"/>
      <c r="T133" s="269"/>
      <c r="U133" s="269"/>
      <c r="V133" s="217"/>
      <c r="W133" s="217"/>
      <c r="X133" s="217"/>
      <c r="Y133" s="217"/>
      <c r="Z133" s="217"/>
      <c r="AA133" s="217"/>
    </row>
    <row r="134" ht="17.25" customHeight="1">
      <c r="A134" s="218">
        <v>133.0</v>
      </c>
      <c r="B134" s="245">
        <v>32.0</v>
      </c>
      <c r="C134" s="279" t="s">
        <v>7036</v>
      </c>
      <c r="D134" s="250">
        <v>2.42510405E8</v>
      </c>
      <c r="E134" s="266" t="s">
        <v>3530</v>
      </c>
      <c r="F134" s="267" t="s">
        <v>220</v>
      </c>
      <c r="G134" s="269"/>
      <c r="H134" s="269"/>
      <c r="I134" s="269"/>
      <c r="J134" s="269"/>
      <c r="K134" s="269"/>
      <c r="L134" s="269"/>
      <c r="M134" s="269"/>
      <c r="N134" s="269"/>
      <c r="O134" s="269"/>
      <c r="P134" s="269"/>
      <c r="Q134" s="269"/>
      <c r="R134" s="269"/>
      <c r="S134" s="269"/>
      <c r="T134" s="269"/>
      <c r="U134" s="269"/>
      <c r="V134" s="217"/>
      <c r="W134" s="217"/>
      <c r="X134" s="217"/>
      <c r="Y134" s="217"/>
      <c r="Z134" s="217"/>
      <c r="AA134" s="217"/>
    </row>
    <row r="135" ht="17.25" customHeight="1">
      <c r="A135" s="218">
        <v>134.0</v>
      </c>
      <c r="B135" s="245">
        <v>33.0</v>
      </c>
      <c r="C135" s="279" t="s">
        <v>7038</v>
      </c>
      <c r="D135" s="250">
        <v>2.42510408E8</v>
      </c>
      <c r="E135" s="266" t="s">
        <v>3535</v>
      </c>
      <c r="F135" s="267" t="s">
        <v>227</v>
      </c>
      <c r="G135" s="269"/>
      <c r="H135" s="269"/>
      <c r="I135" s="269"/>
      <c r="J135" s="269"/>
      <c r="K135" s="269"/>
      <c r="L135" s="269"/>
      <c r="M135" s="269"/>
      <c r="N135" s="269"/>
      <c r="O135" s="269"/>
      <c r="P135" s="269"/>
      <c r="Q135" s="269"/>
      <c r="R135" s="269"/>
      <c r="S135" s="269"/>
      <c r="T135" s="269"/>
      <c r="U135" s="269"/>
      <c r="V135" s="217"/>
      <c r="W135" s="217"/>
      <c r="X135" s="217"/>
      <c r="Y135" s="217"/>
      <c r="Z135" s="217"/>
      <c r="AA135" s="217"/>
    </row>
    <row r="136" ht="17.25" customHeight="1">
      <c r="A136" s="218">
        <v>135.0</v>
      </c>
      <c r="B136" s="245">
        <v>34.0</v>
      </c>
      <c r="C136" s="279" t="s">
        <v>7040</v>
      </c>
      <c r="D136" s="245">
        <v>2.42510409E8</v>
      </c>
      <c r="E136" s="266" t="s">
        <v>3541</v>
      </c>
      <c r="F136" s="267" t="s">
        <v>227</v>
      </c>
      <c r="G136" s="269"/>
      <c r="H136" s="269"/>
      <c r="I136" s="269"/>
      <c r="J136" s="269"/>
      <c r="K136" s="269"/>
      <c r="L136" s="269"/>
      <c r="M136" s="269"/>
      <c r="N136" s="269"/>
      <c r="O136" s="269"/>
      <c r="P136" s="269"/>
      <c r="Q136" s="269"/>
      <c r="R136" s="269"/>
      <c r="S136" s="269"/>
      <c r="T136" s="269"/>
      <c r="U136" s="269"/>
      <c r="V136" s="217"/>
      <c r="W136" s="217"/>
      <c r="X136" s="217"/>
      <c r="Y136" s="217"/>
      <c r="Z136" s="217"/>
      <c r="AA136" s="217"/>
    </row>
    <row r="137" ht="17.25" customHeight="1">
      <c r="A137" s="218">
        <v>136.0</v>
      </c>
      <c r="B137" s="245">
        <v>35.0</v>
      </c>
      <c r="C137" s="279" t="s">
        <v>7042</v>
      </c>
      <c r="D137" s="245">
        <v>2.42510417E8</v>
      </c>
      <c r="E137" s="266" t="s">
        <v>3546</v>
      </c>
      <c r="F137" s="267" t="s">
        <v>227</v>
      </c>
      <c r="G137" s="269"/>
      <c r="H137" s="269"/>
      <c r="I137" s="269"/>
      <c r="J137" s="269"/>
      <c r="K137" s="269"/>
      <c r="L137" s="269"/>
      <c r="M137" s="269"/>
      <c r="N137" s="269"/>
      <c r="O137" s="269"/>
      <c r="P137" s="269"/>
      <c r="Q137" s="269"/>
      <c r="R137" s="269"/>
      <c r="S137" s="269"/>
      <c r="T137" s="269"/>
      <c r="U137" s="269"/>
      <c r="V137" s="217"/>
      <c r="W137" s="217"/>
      <c r="X137" s="217"/>
      <c r="Y137" s="217"/>
      <c r="Z137" s="217"/>
      <c r="AA137" s="217"/>
    </row>
    <row r="138" ht="17.25" customHeight="1">
      <c r="A138" s="218">
        <v>137.0</v>
      </c>
      <c r="B138" s="245">
        <v>36.0</v>
      </c>
      <c r="C138" s="279" t="s">
        <v>7044</v>
      </c>
      <c r="D138" s="289" t="s">
        <v>9755</v>
      </c>
      <c r="E138" s="266" t="s">
        <v>3551</v>
      </c>
      <c r="F138" s="267" t="s">
        <v>227</v>
      </c>
      <c r="G138" s="269"/>
      <c r="H138" s="269"/>
      <c r="I138" s="269"/>
      <c r="J138" s="269"/>
      <c r="K138" s="269"/>
      <c r="L138" s="269"/>
      <c r="M138" s="269"/>
      <c r="N138" s="269"/>
      <c r="O138" s="269"/>
      <c r="P138" s="269"/>
      <c r="Q138" s="269"/>
      <c r="R138" s="269"/>
      <c r="S138" s="269"/>
      <c r="T138" s="269"/>
      <c r="U138" s="269"/>
      <c r="V138" s="217"/>
      <c r="W138" s="217"/>
      <c r="X138" s="217"/>
      <c r="Y138" s="217"/>
      <c r="Z138" s="217"/>
      <c r="AA138" s="217"/>
    </row>
    <row r="139" ht="16.5" hidden="1" customHeight="1">
      <c r="A139" s="218">
        <v>138.0</v>
      </c>
      <c r="B139" s="252"/>
      <c r="C139" s="253"/>
      <c r="D139" s="252"/>
      <c r="E139" s="253"/>
      <c r="F139" s="253"/>
      <c r="G139" s="254"/>
      <c r="H139" s="254"/>
      <c r="I139" s="254"/>
      <c r="J139" s="254"/>
      <c r="K139" s="254"/>
      <c r="V139" s="217"/>
      <c r="W139" s="217"/>
      <c r="X139" s="217"/>
      <c r="Y139" s="217"/>
      <c r="Z139" s="217"/>
      <c r="AA139" s="217"/>
    </row>
    <row r="140" ht="16.5" hidden="1" customHeight="1">
      <c r="A140" s="218">
        <v>139.0</v>
      </c>
      <c r="B140" s="252"/>
      <c r="C140" s="253"/>
      <c r="D140" s="252"/>
      <c r="E140" s="253"/>
      <c r="F140" s="253"/>
      <c r="G140" s="254"/>
      <c r="H140" s="254"/>
      <c r="I140" s="254"/>
      <c r="J140" s="254"/>
      <c r="K140" s="254"/>
      <c r="L140" s="290" t="s">
        <v>9753</v>
      </c>
      <c r="M140" s="291"/>
      <c r="N140" s="291"/>
      <c r="O140" s="291"/>
      <c r="P140" s="291"/>
      <c r="Q140" s="291"/>
      <c r="R140" s="291"/>
      <c r="S140" s="292"/>
      <c r="T140" s="293"/>
      <c r="U140" s="293"/>
      <c r="V140" s="217"/>
      <c r="W140" s="217"/>
      <c r="X140" s="217"/>
      <c r="Y140" s="217"/>
      <c r="Z140" s="217"/>
      <c r="AA140" s="217"/>
    </row>
    <row r="141" ht="16.5" hidden="1" customHeight="1">
      <c r="A141" s="218">
        <v>140.0</v>
      </c>
      <c r="B141" s="252"/>
      <c r="C141" s="253"/>
      <c r="D141" s="253"/>
      <c r="E141" s="253"/>
      <c r="F141" s="253"/>
      <c r="G141" s="254"/>
      <c r="H141" s="254"/>
      <c r="I141" s="254"/>
      <c r="J141" s="254"/>
      <c r="K141" s="254"/>
      <c r="L141" s="294" t="s">
        <v>8793</v>
      </c>
      <c r="M141" s="293"/>
      <c r="N141" s="293"/>
      <c r="O141" s="293"/>
      <c r="P141" s="293"/>
      <c r="Q141" s="293"/>
      <c r="R141" s="293"/>
      <c r="S141" s="293"/>
      <c r="T141" s="293"/>
      <c r="U141" s="293"/>
      <c r="V141" s="217"/>
      <c r="W141" s="217"/>
      <c r="X141" s="217"/>
      <c r="Y141" s="217"/>
      <c r="Z141" s="217"/>
      <c r="AA141" s="217"/>
    </row>
    <row r="142" ht="74.25" hidden="1" customHeight="1">
      <c r="A142" s="218">
        <v>141.0</v>
      </c>
      <c r="B142" s="261"/>
      <c r="C142" s="261"/>
      <c r="D142" s="261"/>
      <c r="E142" s="261"/>
      <c r="F142" s="261"/>
      <c r="G142" s="261"/>
      <c r="H142" s="261"/>
      <c r="I142" s="261"/>
      <c r="J142" s="261"/>
      <c r="K142" s="261"/>
      <c r="L142" s="261"/>
      <c r="M142" s="261"/>
      <c r="N142" s="261"/>
      <c r="O142" s="261"/>
      <c r="P142" s="261"/>
      <c r="Q142" s="261"/>
      <c r="R142" s="261"/>
      <c r="S142" s="261"/>
      <c r="T142" s="261"/>
      <c r="U142" s="261"/>
      <c r="V142" s="217"/>
      <c r="W142" s="217"/>
      <c r="X142" s="217"/>
      <c r="Y142" s="217"/>
      <c r="Z142" s="217"/>
      <c r="AA142" s="217"/>
    </row>
    <row r="143" ht="16.5" hidden="1" customHeight="1">
      <c r="A143" s="218">
        <v>142.0</v>
      </c>
      <c r="B143" s="262"/>
      <c r="C143" s="263"/>
      <c r="D143" s="263"/>
      <c r="E143" s="263"/>
      <c r="F143" s="263"/>
      <c r="G143" s="263"/>
      <c r="H143" s="263"/>
      <c r="I143" s="263"/>
      <c r="J143" s="263"/>
      <c r="K143" s="263"/>
      <c r="L143" s="263"/>
      <c r="M143" s="263"/>
      <c r="N143" s="263"/>
      <c r="O143" s="263"/>
      <c r="P143" s="263"/>
      <c r="Q143" s="263"/>
      <c r="R143" s="263"/>
      <c r="S143" s="263"/>
      <c r="T143" s="263"/>
      <c r="U143" s="264"/>
      <c r="V143" s="217"/>
      <c r="W143" s="217"/>
      <c r="X143" s="217"/>
      <c r="Y143" s="217"/>
      <c r="Z143" s="217"/>
      <c r="AA143" s="217"/>
    </row>
    <row r="144" ht="16.5" hidden="1" customHeight="1">
      <c r="A144" s="218">
        <v>143.0</v>
      </c>
      <c r="B144" s="222"/>
      <c r="C144" s="223"/>
      <c r="D144" s="223"/>
      <c r="E144" s="223"/>
      <c r="F144" s="223"/>
      <c r="G144" s="223"/>
      <c r="H144" s="223"/>
      <c r="I144" s="223"/>
      <c r="J144" s="223"/>
      <c r="K144" s="223"/>
      <c r="L144" s="223"/>
      <c r="M144" s="223"/>
      <c r="N144" s="223"/>
      <c r="O144" s="223"/>
      <c r="P144" s="223"/>
      <c r="Q144" s="223"/>
      <c r="R144" s="223"/>
      <c r="S144" s="223"/>
      <c r="T144" s="223"/>
      <c r="U144" s="224"/>
      <c r="V144" s="217"/>
      <c r="W144" s="217"/>
      <c r="X144" s="217"/>
      <c r="Y144" s="217"/>
      <c r="Z144" s="217"/>
      <c r="AA144" s="217"/>
    </row>
    <row r="145" ht="16.5" hidden="1" customHeight="1">
      <c r="A145" s="218">
        <v>144.0</v>
      </c>
      <c r="B145" s="225"/>
      <c r="C145" s="226"/>
      <c r="D145" s="226"/>
      <c r="E145" s="226"/>
      <c r="F145" s="226"/>
      <c r="G145" s="226"/>
      <c r="H145" s="226"/>
      <c r="I145" s="226"/>
      <c r="J145" s="226"/>
      <c r="K145" s="226"/>
      <c r="L145" s="226"/>
      <c r="M145" s="226"/>
      <c r="N145" s="226"/>
      <c r="O145" s="226"/>
      <c r="P145" s="226"/>
      <c r="Q145" s="226"/>
      <c r="R145" s="226"/>
      <c r="S145" s="226"/>
      <c r="T145" s="226"/>
      <c r="U145" s="227"/>
      <c r="V145" s="217"/>
      <c r="W145" s="217"/>
      <c r="X145" s="217"/>
      <c r="Y145" s="217"/>
      <c r="Z145" s="217"/>
      <c r="AA145" s="217"/>
    </row>
    <row r="146" ht="16.5" hidden="1" customHeight="1">
      <c r="A146" s="218">
        <v>145.0</v>
      </c>
      <c r="B146" s="228"/>
      <c r="C146" s="229"/>
      <c r="D146" s="229"/>
      <c r="E146" s="229"/>
      <c r="F146" s="229"/>
      <c r="G146" s="230"/>
      <c r="H146" s="230"/>
      <c r="I146" s="230"/>
      <c r="J146" s="230"/>
      <c r="K146" s="230"/>
      <c r="L146" s="230"/>
      <c r="M146" s="230"/>
      <c r="N146" s="230"/>
      <c r="O146" s="230"/>
      <c r="P146" s="230"/>
      <c r="Q146" s="230"/>
      <c r="R146" s="230"/>
      <c r="S146" s="230"/>
      <c r="T146" s="230"/>
      <c r="U146" s="230"/>
      <c r="V146" s="217"/>
      <c r="W146" s="217"/>
      <c r="X146" s="217"/>
      <c r="Y146" s="217"/>
      <c r="Z146" s="217"/>
      <c r="AA146" s="217"/>
    </row>
    <row r="147" ht="14.25" hidden="1" customHeight="1">
      <c r="A147" s="218">
        <v>146.0</v>
      </c>
      <c r="B147" s="231"/>
      <c r="C147" s="231"/>
      <c r="D147" s="231"/>
      <c r="E147" s="231"/>
      <c r="F147" s="232"/>
      <c r="G147" s="233"/>
      <c r="H147" s="234"/>
      <c r="I147" s="234"/>
      <c r="J147" s="234"/>
      <c r="K147" s="234"/>
      <c r="L147" s="234"/>
      <c r="M147" s="234"/>
      <c r="N147" s="234"/>
      <c r="O147" s="234"/>
      <c r="P147" s="234"/>
      <c r="Q147" s="234"/>
      <c r="R147" s="234"/>
      <c r="S147" s="234"/>
      <c r="T147" s="234"/>
      <c r="U147" s="235"/>
      <c r="V147" s="217"/>
      <c r="W147" s="217"/>
      <c r="X147" s="217"/>
      <c r="Y147" s="217"/>
      <c r="Z147" s="217"/>
      <c r="AA147" s="217"/>
    </row>
    <row r="148" ht="14.25" hidden="1" customHeight="1">
      <c r="A148" s="218">
        <v>147.0</v>
      </c>
      <c r="B148" s="236"/>
      <c r="C148" s="236"/>
      <c r="D148" s="236"/>
      <c r="E148" s="236"/>
      <c r="F148" s="237"/>
      <c r="G148" s="238"/>
      <c r="H148" s="239"/>
      <c r="I148" s="239"/>
      <c r="J148" s="239"/>
      <c r="K148" s="239"/>
      <c r="L148" s="239"/>
      <c r="M148" s="239"/>
      <c r="N148" s="239"/>
      <c r="O148" s="239"/>
      <c r="P148" s="239"/>
      <c r="Q148" s="239"/>
      <c r="R148" s="240"/>
      <c r="S148" s="233" t="s">
        <v>9713</v>
      </c>
      <c r="T148" s="234"/>
      <c r="U148" s="235"/>
      <c r="V148" s="217"/>
      <c r="W148" s="217"/>
      <c r="X148" s="217"/>
      <c r="Y148" s="217"/>
      <c r="Z148" s="217"/>
      <c r="AA148" s="217"/>
    </row>
    <row r="149" ht="14.25" hidden="1" customHeight="1">
      <c r="A149" s="218">
        <v>148.0</v>
      </c>
      <c r="B149" s="295"/>
      <c r="C149" s="241"/>
      <c r="D149" s="241"/>
      <c r="E149" s="241"/>
      <c r="F149" s="242"/>
      <c r="G149" s="243"/>
      <c r="H149" s="243">
        <v>2.0</v>
      </c>
      <c r="I149" s="243">
        <v>3.0</v>
      </c>
      <c r="J149" s="243">
        <v>4.0</v>
      </c>
      <c r="K149" s="243">
        <v>5.0</v>
      </c>
      <c r="L149" s="243">
        <v>6.0</v>
      </c>
      <c r="M149" s="243">
        <v>7.0</v>
      </c>
      <c r="N149" s="243">
        <v>8.0</v>
      </c>
      <c r="O149" s="243">
        <v>9.0</v>
      </c>
      <c r="P149" s="243">
        <v>10.0</v>
      </c>
      <c r="Q149" s="243">
        <v>11.0</v>
      </c>
      <c r="R149" s="243">
        <v>12.0</v>
      </c>
      <c r="S149" s="243" t="s">
        <v>9714</v>
      </c>
      <c r="T149" s="243" t="s">
        <v>9715</v>
      </c>
      <c r="U149" s="244" t="s">
        <v>9716</v>
      </c>
      <c r="V149" s="217"/>
      <c r="W149" s="217"/>
      <c r="X149" s="217"/>
      <c r="Y149" s="217"/>
      <c r="Z149" s="217"/>
      <c r="AA149" s="217"/>
    </row>
    <row r="150" ht="18.75" customHeight="1">
      <c r="A150" s="218">
        <v>149.0</v>
      </c>
      <c r="B150" s="296">
        <v>1.0</v>
      </c>
      <c r="C150" s="297" t="s">
        <v>3555</v>
      </c>
      <c r="D150" s="298"/>
      <c r="E150" s="266" t="s">
        <v>3556</v>
      </c>
      <c r="F150" s="267" t="s">
        <v>227</v>
      </c>
      <c r="G150" s="269"/>
      <c r="H150" s="269"/>
      <c r="I150" s="269"/>
      <c r="J150" s="269"/>
      <c r="K150" s="269"/>
      <c r="L150" s="269"/>
      <c r="M150" s="269"/>
      <c r="N150" s="269"/>
      <c r="O150" s="269"/>
      <c r="P150" s="269"/>
      <c r="Q150" s="269"/>
      <c r="R150" s="269"/>
      <c r="S150" s="269"/>
      <c r="T150" s="269"/>
      <c r="U150" s="269"/>
      <c r="V150" s="217"/>
      <c r="W150" s="217"/>
      <c r="X150" s="217"/>
      <c r="Y150" s="217"/>
      <c r="Z150" s="217"/>
      <c r="AA150" s="217"/>
    </row>
    <row r="151" ht="18.75" customHeight="1">
      <c r="A151" s="218">
        <v>150.0</v>
      </c>
      <c r="B151" s="245">
        <v>2.0</v>
      </c>
      <c r="C151" s="299" t="s">
        <v>3561</v>
      </c>
      <c r="D151" s="300"/>
      <c r="E151" s="301" t="s">
        <v>3562</v>
      </c>
      <c r="F151" s="267" t="s">
        <v>227</v>
      </c>
      <c r="G151" s="269"/>
      <c r="H151" s="269"/>
      <c r="I151" s="269"/>
      <c r="J151" s="269"/>
      <c r="K151" s="269"/>
      <c r="L151" s="269"/>
      <c r="M151" s="269"/>
      <c r="N151" s="269"/>
      <c r="O151" s="269"/>
      <c r="P151" s="269"/>
      <c r="Q151" s="269"/>
      <c r="R151" s="269"/>
      <c r="S151" s="269"/>
      <c r="T151" s="269"/>
      <c r="U151" s="269"/>
      <c r="V151" s="217"/>
      <c r="W151" s="217"/>
      <c r="X151" s="217"/>
      <c r="Y151" s="217"/>
      <c r="Z151" s="217"/>
      <c r="AA151" s="217"/>
    </row>
    <row r="152" ht="18.75" customHeight="1">
      <c r="A152" s="218">
        <v>151.0</v>
      </c>
      <c r="B152" s="296">
        <v>3.0</v>
      </c>
      <c r="C152" s="297" t="s">
        <v>3567</v>
      </c>
      <c r="D152" s="298"/>
      <c r="E152" s="266" t="s">
        <v>3568</v>
      </c>
      <c r="F152" s="267" t="s">
        <v>227</v>
      </c>
      <c r="G152" s="269"/>
      <c r="H152" s="269"/>
      <c r="I152" s="269"/>
      <c r="J152" s="269"/>
      <c r="K152" s="269"/>
      <c r="L152" s="269"/>
      <c r="M152" s="269"/>
      <c r="N152" s="269"/>
      <c r="O152" s="269"/>
      <c r="P152" s="269"/>
      <c r="Q152" s="269"/>
      <c r="R152" s="269"/>
      <c r="S152" s="269"/>
      <c r="T152" s="269"/>
      <c r="U152" s="269"/>
      <c r="V152" s="217"/>
      <c r="W152" s="217"/>
      <c r="X152" s="217"/>
      <c r="Y152" s="217"/>
      <c r="Z152" s="217"/>
      <c r="AA152" s="217"/>
    </row>
    <row r="153" ht="18.75" customHeight="1">
      <c r="A153" s="218">
        <v>152.0</v>
      </c>
      <c r="B153" s="245">
        <v>4.0</v>
      </c>
      <c r="C153" s="297" t="s">
        <v>3572</v>
      </c>
      <c r="D153" s="298"/>
      <c r="E153" s="266" t="s">
        <v>3573</v>
      </c>
      <c r="F153" s="267" t="s">
        <v>220</v>
      </c>
      <c r="G153" s="269"/>
      <c r="H153" s="269"/>
      <c r="I153" s="269"/>
      <c r="J153" s="269"/>
      <c r="K153" s="269"/>
      <c r="L153" s="269"/>
      <c r="M153" s="269"/>
      <c r="N153" s="269"/>
      <c r="O153" s="269"/>
      <c r="P153" s="269"/>
      <c r="Q153" s="269"/>
      <c r="R153" s="269"/>
      <c r="S153" s="269"/>
      <c r="T153" s="269"/>
      <c r="U153" s="269"/>
      <c r="V153" s="217"/>
      <c r="W153" s="217"/>
      <c r="X153" s="217"/>
      <c r="Y153" s="217"/>
      <c r="Z153" s="217"/>
      <c r="AA153" s="217"/>
    </row>
    <row r="154" ht="18.75" customHeight="1">
      <c r="A154" s="218">
        <v>153.0</v>
      </c>
      <c r="B154" s="296">
        <v>5.0</v>
      </c>
      <c r="C154" s="297" t="s">
        <v>3577</v>
      </c>
      <c r="D154" s="298"/>
      <c r="E154" s="266" t="s">
        <v>3578</v>
      </c>
      <c r="F154" s="267" t="s">
        <v>227</v>
      </c>
      <c r="G154" s="269"/>
      <c r="H154" s="269"/>
      <c r="I154" s="269"/>
      <c r="J154" s="269"/>
      <c r="K154" s="269"/>
      <c r="L154" s="269"/>
      <c r="M154" s="269"/>
      <c r="N154" s="269"/>
      <c r="O154" s="269"/>
      <c r="P154" s="269"/>
      <c r="Q154" s="269"/>
      <c r="R154" s="269"/>
      <c r="S154" s="269"/>
      <c r="T154" s="269"/>
      <c r="U154" s="269"/>
      <c r="V154" s="217"/>
      <c r="W154" s="217"/>
      <c r="X154" s="217"/>
      <c r="Y154" s="217"/>
      <c r="Z154" s="217"/>
      <c r="AA154" s="217"/>
    </row>
    <row r="155" ht="18.75" customHeight="1">
      <c r="A155" s="218">
        <v>154.0</v>
      </c>
      <c r="B155" s="245">
        <v>6.0</v>
      </c>
      <c r="C155" s="297" t="s">
        <v>3582</v>
      </c>
      <c r="D155" s="298"/>
      <c r="E155" s="266" t="s">
        <v>3583</v>
      </c>
      <c r="F155" s="267" t="s">
        <v>227</v>
      </c>
      <c r="G155" s="269"/>
      <c r="H155" s="269"/>
      <c r="I155" s="269"/>
      <c r="J155" s="269"/>
      <c r="K155" s="269"/>
      <c r="L155" s="269"/>
      <c r="M155" s="269"/>
      <c r="N155" s="269"/>
      <c r="O155" s="269"/>
      <c r="P155" s="269"/>
      <c r="Q155" s="269"/>
      <c r="R155" s="269"/>
      <c r="S155" s="269"/>
      <c r="T155" s="269"/>
      <c r="U155" s="269"/>
      <c r="V155" s="217"/>
      <c r="W155" s="217"/>
      <c r="X155" s="217"/>
      <c r="Y155" s="217"/>
      <c r="Z155" s="217"/>
      <c r="AA155" s="217"/>
    </row>
    <row r="156" ht="18.75" customHeight="1">
      <c r="A156" s="218">
        <v>155.0</v>
      </c>
      <c r="B156" s="296">
        <v>7.0</v>
      </c>
      <c r="C156" s="297" t="s">
        <v>3587</v>
      </c>
      <c r="D156" s="298"/>
      <c r="E156" s="266" t="s">
        <v>3588</v>
      </c>
      <c r="F156" s="267" t="s">
        <v>227</v>
      </c>
      <c r="G156" s="269"/>
      <c r="H156" s="269"/>
      <c r="I156" s="269"/>
      <c r="J156" s="269"/>
      <c r="K156" s="269"/>
      <c r="L156" s="269"/>
      <c r="M156" s="269"/>
      <c r="N156" s="269"/>
      <c r="O156" s="269"/>
      <c r="P156" s="269"/>
      <c r="Q156" s="269"/>
      <c r="R156" s="269"/>
      <c r="S156" s="269"/>
      <c r="T156" s="269"/>
      <c r="U156" s="269"/>
      <c r="V156" s="217"/>
      <c r="W156" s="217"/>
      <c r="X156" s="217"/>
      <c r="Y156" s="217"/>
      <c r="Z156" s="217"/>
      <c r="AA156" s="217"/>
    </row>
    <row r="157" ht="18.75" customHeight="1">
      <c r="A157" s="218">
        <v>156.0</v>
      </c>
      <c r="B157" s="245">
        <v>8.0</v>
      </c>
      <c r="C157" s="297" t="s">
        <v>3593</v>
      </c>
      <c r="D157" s="298"/>
      <c r="E157" s="266" t="s">
        <v>3594</v>
      </c>
      <c r="F157" s="267" t="s">
        <v>227</v>
      </c>
      <c r="G157" s="269"/>
      <c r="H157" s="269"/>
      <c r="I157" s="269"/>
      <c r="J157" s="269"/>
      <c r="K157" s="269"/>
      <c r="L157" s="269"/>
      <c r="M157" s="269"/>
      <c r="N157" s="269"/>
      <c r="O157" s="269"/>
      <c r="P157" s="269"/>
      <c r="Q157" s="269"/>
      <c r="R157" s="269"/>
      <c r="S157" s="269"/>
      <c r="T157" s="269"/>
      <c r="U157" s="269"/>
      <c r="V157" s="217"/>
      <c r="W157" s="217"/>
      <c r="X157" s="217"/>
      <c r="Y157" s="217"/>
      <c r="Z157" s="217"/>
      <c r="AA157" s="217"/>
    </row>
    <row r="158" ht="18.75" customHeight="1">
      <c r="A158" s="218">
        <v>157.0</v>
      </c>
      <c r="B158" s="296">
        <v>9.0</v>
      </c>
      <c r="C158" s="297" t="s">
        <v>3598</v>
      </c>
      <c r="D158" s="298"/>
      <c r="E158" s="266" t="s">
        <v>3599</v>
      </c>
      <c r="F158" s="267" t="s">
        <v>227</v>
      </c>
      <c r="G158" s="269"/>
      <c r="H158" s="269"/>
      <c r="I158" s="269"/>
      <c r="J158" s="269"/>
      <c r="K158" s="269"/>
      <c r="L158" s="269"/>
      <c r="M158" s="269"/>
      <c r="N158" s="269"/>
      <c r="O158" s="269"/>
      <c r="P158" s="269"/>
      <c r="Q158" s="269"/>
      <c r="R158" s="269"/>
      <c r="S158" s="269"/>
      <c r="T158" s="269"/>
      <c r="U158" s="269"/>
      <c r="V158" s="217"/>
      <c r="W158" s="217"/>
      <c r="X158" s="217"/>
      <c r="Y158" s="217"/>
      <c r="Z158" s="217"/>
      <c r="AA158" s="217"/>
    </row>
    <row r="159" ht="18.75" customHeight="1">
      <c r="A159" s="218">
        <v>158.0</v>
      </c>
      <c r="B159" s="245">
        <v>10.0</v>
      </c>
      <c r="C159" s="297" t="s">
        <v>3604</v>
      </c>
      <c r="D159" s="298"/>
      <c r="E159" s="266" t="s">
        <v>3605</v>
      </c>
      <c r="F159" s="267" t="s">
        <v>227</v>
      </c>
      <c r="G159" s="269"/>
      <c r="H159" s="269"/>
      <c r="I159" s="269"/>
      <c r="J159" s="269"/>
      <c r="K159" s="269"/>
      <c r="L159" s="269"/>
      <c r="M159" s="269"/>
      <c r="N159" s="269"/>
      <c r="O159" s="269"/>
      <c r="P159" s="269"/>
      <c r="Q159" s="269"/>
      <c r="R159" s="269"/>
      <c r="S159" s="269"/>
      <c r="T159" s="269"/>
      <c r="U159" s="269"/>
      <c r="V159" s="217"/>
      <c r="W159" s="217"/>
      <c r="X159" s="217"/>
      <c r="Y159" s="217"/>
      <c r="Z159" s="217"/>
      <c r="AA159" s="217"/>
    </row>
    <row r="160" ht="18.75" customHeight="1">
      <c r="A160" s="218">
        <v>159.0</v>
      </c>
      <c r="B160" s="296">
        <v>11.0</v>
      </c>
      <c r="C160" s="297" t="s">
        <v>3609</v>
      </c>
      <c r="D160" s="298"/>
      <c r="E160" s="266" t="s">
        <v>3610</v>
      </c>
      <c r="F160" s="267" t="s">
        <v>227</v>
      </c>
      <c r="G160" s="269"/>
      <c r="H160" s="269"/>
      <c r="I160" s="269"/>
      <c r="J160" s="269"/>
      <c r="K160" s="269"/>
      <c r="L160" s="269"/>
      <c r="M160" s="269"/>
      <c r="N160" s="269"/>
      <c r="O160" s="269"/>
      <c r="P160" s="269"/>
      <c r="Q160" s="269"/>
      <c r="R160" s="269"/>
      <c r="S160" s="269"/>
      <c r="T160" s="269"/>
      <c r="U160" s="269"/>
      <c r="V160" s="217"/>
      <c r="W160" s="217"/>
      <c r="X160" s="217"/>
      <c r="Y160" s="217"/>
      <c r="Z160" s="217"/>
      <c r="AA160" s="217"/>
    </row>
    <row r="161" ht="18.75" customHeight="1">
      <c r="A161" s="218">
        <v>160.0</v>
      </c>
      <c r="B161" s="245">
        <v>12.0</v>
      </c>
      <c r="C161" s="297" t="s">
        <v>3614</v>
      </c>
      <c r="D161" s="298"/>
      <c r="E161" s="266" t="s">
        <v>3615</v>
      </c>
      <c r="F161" s="267" t="s">
        <v>227</v>
      </c>
      <c r="G161" s="269"/>
      <c r="H161" s="269"/>
      <c r="I161" s="269"/>
      <c r="J161" s="269"/>
      <c r="K161" s="269"/>
      <c r="L161" s="269"/>
      <c r="M161" s="269"/>
      <c r="N161" s="269"/>
      <c r="O161" s="269"/>
      <c r="P161" s="269"/>
      <c r="Q161" s="269"/>
      <c r="R161" s="269"/>
      <c r="S161" s="269"/>
      <c r="T161" s="269"/>
      <c r="U161" s="269"/>
      <c r="V161" s="217"/>
      <c r="W161" s="217"/>
      <c r="X161" s="217"/>
      <c r="Y161" s="217"/>
      <c r="Z161" s="217"/>
      <c r="AA161" s="217"/>
    </row>
    <row r="162" ht="18.75" customHeight="1">
      <c r="A162" s="218">
        <v>161.0</v>
      </c>
      <c r="B162" s="296">
        <v>13.0</v>
      </c>
      <c r="C162" s="297" t="s">
        <v>3619</v>
      </c>
      <c r="D162" s="298"/>
      <c r="E162" s="266" t="s">
        <v>3620</v>
      </c>
      <c r="F162" s="267" t="s">
        <v>227</v>
      </c>
      <c r="G162" s="269"/>
      <c r="H162" s="269"/>
      <c r="I162" s="269"/>
      <c r="J162" s="269"/>
      <c r="K162" s="269"/>
      <c r="L162" s="269"/>
      <c r="M162" s="269"/>
      <c r="N162" s="269"/>
      <c r="O162" s="269"/>
      <c r="P162" s="269"/>
      <c r="Q162" s="269"/>
      <c r="R162" s="269"/>
      <c r="S162" s="269"/>
      <c r="T162" s="269"/>
      <c r="U162" s="269"/>
      <c r="V162" s="217"/>
      <c r="W162" s="217"/>
      <c r="X162" s="217"/>
      <c r="Y162" s="217"/>
      <c r="Z162" s="217"/>
      <c r="AA162" s="217"/>
    </row>
    <row r="163" ht="18.75" customHeight="1">
      <c r="A163" s="218">
        <v>162.0</v>
      </c>
      <c r="B163" s="245">
        <v>14.0</v>
      </c>
      <c r="C163" s="297" t="s">
        <v>3624</v>
      </c>
      <c r="D163" s="298"/>
      <c r="E163" s="266" t="s">
        <v>3625</v>
      </c>
      <c r="F163" s="267" t="s">
        <v>227</v>
      </c>
      <c r="G163" s="269"/>
      <c r="H163" s="269"/>
      <c r="I163" s="269"/>
      <c r="J163" s="269"/>
      <c r="K163" s="269"/>
      <c r="L163" s="269"/>
      <c r="M163" s="269"/>
      <c r="N163" s="269"/>
      <c r="O163" s="269"/>
      <c r="P163" s="269"/>
      <c r="Q163" s="269"/>
      <c r="R163" s="269"/>
      <c r="S163" s="269"/>
      <c r="T163" s="269"/>
      <c r="U163" s="269"/>
      <c r="V163" s="217"/>
      <c r="W163" s="217"/>
      <c r="X163" s="217"/>
      <c r="Y163" s="217"/>
      <c r="Z163" s="217"/>
      <c r="AA163" s="217"/>
    </row>
    <row r="164" ht="18.75" customHeight="1">
      <c r="A164" s="218">
        <v>163.0</v>
      </c>
      <c r="B164" s="296">
        <v>15.0</v>
      </c>
      <c r="C164" s="297" t="s">
        <v>3630</v>
      </c>
      <c r="D164" s="298"/>
      <c r="E164" s="266" t="s">
        <v>3631</v>
      </c>
      <c r="F164" s="267" t="s">
        <v>220</v>
      </c>
      <c r="G164" s="269"/>
      <c r="H164" s="269"/>
      <c r="I164" s="269"/>
      <c r="J164" s="269"/>
      <c r="K164" s="269"/>
      <c r="L164" s="269"/>
      <c r="M164" s="269"/>
      <c r="N164" s="269"/>
      <c r="O164" s="269"/>
      <c r="P164" s="269"/>
      <c r="Q164" s="269"/>
      <c r="R164" s="269"/>
      <c r="S164" s="269"/>
      <c r="T164" s="269"/>
      <c r="U164" s="269"/>
      <c r="V164" s="217"/>
      <c r="W164" s="217"/>
      <c r="X164" s="217"/>
      <c r="Y164" s="217"/>
      <c r="Z164" s="217"/>
      <c r="AA164" s="217"/>
    </row>
    <row r="165" ht="18.75" customHeight="1">
      <c r="A165" s="218">
        <v>164.0</v>
      </c>
      <c r="B165" s="245">
        <v>16.0</v>
      </c>
      <c r="C165" s="302" t="s">
        <v>3635</v>
      </c>
      <c r="D165" s="303"/>
      <c r="E165" s="266" t="s">
        <v>3636</v>
      </c>
      <c r="F165" s="267" t="s">
        <v>227</v>
      </c>
      <c r="G165" s="269"/>
      <c r="H165" s="269"/>
      <c r="I165" s="269"/>
      <c r="J165" s="269"/>
      <c r="K165" s="269"/>
      <c r="L165" s="269"/>
      <c r="M165" s="269"/>
      <c r="N165" s="269"/>
      <c r="O165" s="269"/>
      <c r="P165" s="269"/>
      <c r="Q165" s="269"/>
      <c r="R165" s="269"/>
      <c r="S165" s="269"/>
      <c r="T165" s="269"/>
      <c r="U165" s="269"/>
      <c r="V165" s="217"/>
      <c r="W165" s="217"/>
      <c r="X165" s="217"/>
      <c r="Y165" s="217"/>
      <c r="Z165" s="217"/>
      <c r="AA165" s="217"/>
    </row>
    <row r="166" ht="18.75" customHeight="1">
      <c r="A166" s="218">
        <v>165.0</v>
      </c>
      <c r="B166" s="296">
        <v>17.0</v>
      </c>
      <c r="C166" s="304" t="s">
        <v>3640</v>
      </c>
      <c r="D166" s="305"/>
      <c r="E166" s="266" t="s">
        <v>3641</v>
      </c>
      <c r="F166" s="267" t="s">
        <v>227</v>
      </c>
      <c r="G166" s="269"/>
      <c r="H166" s="269"/>
      <c r="I166" s="269"/>
      <c r="J166" s="269"/>
      <c r="K166" s="269"/>
      <c r="L166" s="269"/>
      <c r="M166" s="269"/>
      <c r="N166" s="269"/>
      <c r="O166" s="269"/>
      <c r="P166" s="269"/>
      <c r="Q166" s="269"/>
      <c r="R166" s="269"/>
      <c r="S166" s="269"/>
      <c r="T166" s="269"/>
      <c r="U166" s="269"/>
      <c r="V166" s="217"/>
      <c r="W166" s="217"/>
      <c r="X166" s="217"/>
      <c r="Y166" s="217"/>
      <c r="Z166" s="217"/>
      <c r="AA166" s="217"/>
    </row>
    <row r="167" ht="18.75" customHeight="1">
      <c r="A167" s="218">
        <v>166.0</v>
      </c>
      <c r="B167" s="245">
        <v>18.0</v>
      </c>
      <c r="C167" s="297" t="s">
        <v>3645</v>
      </c>
      <c r="D167" s="298"/>
      <c r="E167" s="266" t="s">
        <v>3646</v>
      </c>
      <c r="F167" s="267" t="s">
        <v>227</v>
      </c>
      <c r="G167" s="269"/>
      <c r="H167" s="269"/>
      <c r="I167" s="269"/>
      <c r="J167" s="269"/>
      <c r="K167" s="269"/>
      <c r="L167" s="269"/>
      <c r="M167" s="269"/>
      <c r="N167" s="269"/>
      <c r="O167" s="269"/>
      <c r="P167" s="269"/>
      <c r="Q167" s="269"/>
      <c r="R167" s="269"/>
      <c r="S167" s="269"/>
      <c r="T167" s="269"/>
      <c r="U167" s="269"/>
      <c r="V167" s="217"/>
      <c r="W167" s="217"/>
      <c r="X167" s="217"/>
      <c r="Y167" s="217"/>
      <c r="Z167" s="217"/>
      <c r="AA167" s="217"/>
    </row>
    <row r="168" ht="18.75" customHeight="1">
      <c r="A168" s="218">
        <v>167.0</v>
      </c>
      <c r="B168" s="296">
        <v>19.0</v>
      </c>
      <c r="C168" s="297" t="s">
        <v>3650</v>
      </c>
      <c r="D168" s="298"/>
      <c r="E168" s="266" t="s">
        <v>3651</v>
      </c>
      <c r="F168" s="267" t="s">
        <v>227</v>
      </c>
      <c r="G168" s="269"/>
      <c r="H168" s="269"/>
      <c r="I168" s="269"/>
      <c r="J168" s="269"/>
      <c r="K168" s="269"/>
      <c r="L168" s="269"/>
      <c r="M168" s="269"/>
      <c r="N168" s="269"/>
      <c r="O168" s="269"/>
      <c r="P168" s="269"/>
      <c r="Q168" s="269"/>
      <c r="R168" s="269"/>
      <c r="S168" s="269"/>
      <c r="T168" s="269"/>
      <c r="U168" s="269"/>
      <c r="V168" s="217"/>
      <c r="W168" s="217"/>
      <c r="X168" s="217"/>
      <c r="Y168" s="217"/>
      <c r="Z168" s="217"/>
      <c r="AA168" s="217"/>
    </row>
    <row r="169" ht="18.75" customHeight="1">
      <c r="A169" s="218">
        <v>168.0</v>
      </c>
      <c r="B169" s="245">
        <v>20.0</v>
      </c>
      <c r="C169" s="297" t="s">
        <v>3656</v>
      </c>
      <c r="D169" s="298"/>
      <c r="E169" s="266" t="s">
        <v>3657</v>
      </c>
      <c r="F169" s="267" t="s">
        <v>220</v>
      </c>
      <c r="G169" s="269"/>
      <c r="H169" s="269"/>
      <c r="I169" s="269"/>
      <c r="J169" s="269"/>
      <c r="K169" s="269"/>
      <c r="L169" s="269"/>
      <c r="M169" s="269"/>
      <c r="N169" s="269"/>
      <c r="O169" s="269"/>
      <c r="P169" s="269"/>
      <c r="Q169" s="269"/>
      <c r="R169" s="269"/>
      <c r="S169" s="269"/>
      <c r="T169" s="269"/>
      <c r="U169" s="269"/>
      <c r="V169" s="217"/>
      <c r="W169" s="217"/>
      <c r="X169" s="217"/>
      <c r="Y169" s="217"/>
      <c r="Z169" s="217"/>
      <c r="AA169" s="217"/>
    </row>
    <row r="170" ht="18.75" customHeight="1">
      <c r="A170" s="218">
        <v>169.0</v>
      </c>
      <c r="B170" s="296">
        <v>21.0</v>
      </c>
      <c r="C170" s="297" t="s">
        <v>3661</v>
      </c>
      <c r="D170" s="298"/>
      <c r="E170" s="266" t="s">
        <v>3662</v>
      </c>
      <c r="F170" s="267" t="s">
        <v>220</v>
      </c>
      <c r="G170" s="269"/>
      <c r="H170" s="269"/>
      <c r="I170" s="269"/>
      <c r="J170" s="269"/>
      <c r="K170" s="269"/>
      <c r="L170" s="269"/>
      <c r="M170" s="269"/>
      <c r="N170" s="269"/>
      <c r="O170" s="269"/>
      <c r="P170" s="269"/>
      <c r="Q170" s="269"/>
      <c r="R170" s="269"/>
      <c r="S170" s="269"/>
      <c r="T170" s="269"/>
      <c r="U170" s="269"/>
      <c r="V170" s="217"/>
      <c r="W170" s="217"/>
      <c r="X170" s="217"/>
      <c r="Y170" s="217"/>
      <c r="Z170" s="217"/>
      <c r="AA170" s="217"/>
    </row>
    <row r="171" ht="18.75" customHeight="1">
      <c r="A171" s="218">
        <v>170.0</v>
      </c>
      <c r="B171" s="245">
        <v>22.0</v>
      </c>
      <c r="C171" s="297" t="s">
        <v>3666</v>
      </c>
      <c r="D171" s="298"/>
      <c r="E171" s="266" t="s">
        <v>3667</v>
      </c>
      <c r="F171" s="267" t="s">
        <v>220</v>
      </c>
      <c r="G171" s="269"/>
      <c r="H171" s="269"/>
      <c r="I171" s="269"/>
      <c r="J171" s="269"/>
      <c r="K171" s="269"/>
      <c r="L171" s="269"/>
      <c r="M171" s="269"/>
      <c r="N171" s="269"/>
      <c r="O171" s="269"/>
      <c r="P171" s="269"/>
      <c r="Q171" s="269"/>
      <c r="R171" s="269"/>
      <c r="S171" s="269"/>
      <c r="T171" s="269"/>
      <c r="U171" s="269"/>
      <c r="V171" s="217"/>
      <c r="W171" s="217"/>
      <c r="X171" s="217"/>
      <c r="Y171" s="217"/>
      <c r="Z171" s="217"/>
      <c r="AA171" s="217"/>
    </row>
    <row r="172" ht="18.75" customHeight="1">
      <c r="A172" s="218">
        <v>171.0</v>
      </c>
      <c r="B172" s="296">
        <v>23.0</v>
      </c>
      <c r="C172" s="297" t="s">
        <v>3671</v>
      </c>
      <c r="D172" s="298"/>
      <c r="E172" s="266" t="s">
        <v>3672</v>
      </c>
      <c r="F172" s="267" t="s">
        <v>220</v>
      </c>
      <c r="G172" s="269"/>
      <c r="H172" s="269"/>
      <c r="I172" s="269"/>
      <c r="J172" s="269"/>
      <c r="K172" s="269"/>
      <c r="L172" s="269"/>
      <c r="M172" s="269"/>
      <c r="N172" s="269"/>
      <c r="O172" s="269"/>
      <c r="P172" s="269"/>
      <c r="Q172" s="269"/>
      <c r="R172" s="269"/>
      <c r="S172" s="269"/>
      <c r="T172" s="269"/>
      <c r="U172" s="269"/>
      <c r="V172" s="217"/>
      <c r="W172" s="217"/>
      <c r="X172" s="217"/>
      <c r="Y172" s="217"/>
      <c r="Z172" s="217"/>
      <c r="AA172" s="217"/>
    </row>
    <row r="173" ht="18.75" customHeight="1">
      <c r="A173" s="218">
        <v>172.0</v>
      </c>
      <c r="B173" s="245">
        <v>24.0</v>
      </c>
      <c r="C173" s="297" t="s">
        <v>3676</v>
      </c>
      <c r="D173" s="298"/>
      <c r="E173" s="266" t="s">
        <v>3677</v>
      </c>
      <c r="F173" s="267" t="s">
        <v>227</v>
      </c>
      <c r="G173" s="269"/>
      <c r="H173" s="269"/>
      <c r="I173" s="269"/>
      <c r="J173" s="269"/>
      <c r="K173" s="269"/>
      <c r="L173" s="269"/>
      <c r="M173" s="269"/>
      <c r="N173" s="269"/>
      <c r="O173" s="269"/>
      <c r="P173" s="269"/>
      <c r="Q173" s="269"/>
      <c r="R173" s="269"/>
      <c r="S173" s="269"/>
      <c r="T173" s="269"/>
      <c r="U173" s="269"/>
      <c r="V173" s="217"/>
      <c r="W173" s="217"/>
      <c r="X173" s="217"/>
      <c r="Y173" s="217"/>
      <c r="Z173" s="217"/>
      <c r="AA173" s="217"/>
    </row>
    <row r="174" ht="18.75" customHeight="1">
      <c r="A174" s="218">
        <v>173.0</v>
      </c>
      <c r="B174" s="296">
        <v>25.0</v>
      </c>
      <c r="C174" s="297" t="s">
        <v>49</v>
      </c>
      <c r="D174" s="298"/>
      <c r="E174" s="266" t="s">
        <v>3681</v>
      </c>
      <c r="F174" s="267" t="s">
        <v>227</v>
      </c>
      <c r="G174" s="269"/>
      <c r="H174" s="269"/>
      <c r="I174" s="269"/>
      <c r="J174" s="269"/>
      <c r="K174" s="269"/>
      <c r="L174" s="269"/>
      <c r="M174" s="269"/>
      <c r="N174" s="269"/>
      <c r="O174" s="269"/>
      <c r="P174" s="269"/>
      <c r="Q174" s="269"/>
      <c r="R174" s="269"/>
      <c r="S174" s="269"/>
      <c r="T174" s="269"/>
      <c r="U174" s="269"/>
      <c r="V174" s="217"/>
      <c r="W174" s="217"/>
      <c r="X174" s="217"/>
      <c r="Y174" s="217"/>
      <c r="Z174" s="217"/>
      <c r="AA174" s="217"/>
    </row>
    <row r="175" ht="18.75" customHeight="1">
      <c r="A175" s="218">
        <v>174.0</v>
      </c>
      <c r="B175" s="245">
        <v>26.0</v>
      </c>
      <c r="C175" s="297" t="s">
        <v>3686</v>
      </c>
      <c r="D175" s="298"/>
      <c r="E175" s="266" t="s">
        <v>3687</v>
      </c>
      <c r="F175" s="267" t="s">
        <v>227</v>
      </c>
      <c r="G175" s="269"/>
      <c r="H175" s="269"/>
      <c r="I175" s="269"/>
      <c r="J175" s="269"/>
      <c r="K175" s="269"/>
      <c r="L175" s="269"/>
      <c r="M175" s="269"/>
      <c r="N175" s="269"/>
      <c r="O175" s="269"/>
      <c r="P175" s="269"/>
      <c r="Q175" s="269"/>
      <c r="R175" s="269"/>
      <c r="S175" s="269"/>
      <c r="T175" s="269"/>
      <c r="U175" s="269"/>
      <c r="V175" s="217"/>
      <c r="W175" s="217"/>
      <c r="X175" s="217"/>
      <c r="Y175" s="217"/>
      <c r="Z175" s="217"/>
      <c r="AA175" s="217"/>
    </row>
    <row r="176" ht="18.75" customHeight="1">
      <c r="A176" s="218">
        <v>175.0</v>
      </c>
      <c r="B176" s="296">
        <v>27.0</v>
      </c>
      <c r="C176" s="297" t="s">
        <v>3691</v>
      </c>
      <c r="D176" s="298"/>
      <c r="E176" s="266" t="s">
        <v>3692</v>
      </c>
      <c r="F176" s="267" t="s">
        <v>227</v>
      </c>
      <c r="G176" s="269"/>
      <c r="H176" s="269"/>
      <c r="I176" s="269"/>
      <c r="J176" s="269"/>
      <c r="K176" s="269"/>
      <c r="L176" s="269"/>
      <c r="M176" s="269"/>
      <c r="N176" s="269"/>
      <c r="O176" s="269"/>
      <c r="P176" s="269"/>
      <c r="Q176" s="269"/>
      <c r="R176" s="269"/>
      <c r="S176" s="269"/>
      <c r="T176" s="269"/>
      <c r="U176" s="269"/>
      <c r="V176" s="217"/>
      <c r="W176" s="217"/>
      <c r="X176" s="217"/>
      <c r="Y176" s="217"/>
      <c r="Z176" s="217"/>
      <c r="AA176" s="217"/>
    </row>
    <row r="177" ht="18.75" customHeight="1">
      <c r="A177" s="218">
        <v>176.0</v>
      </c>
      <c r="B177" s="245">
        <v>28.0</v>
      </c>
      <c r="C177" s="297" t="s">
        <v>3696</v>
      </c>
      <c r="D177" s="298"/>
      <c r="E177" s="266" t="s">
        <v>3697</v>
      </c>
      <c r="F177" s="267" t="s">
        <v>220</v>
      </c>
      <c r="G177" s="269"/>
      <c r="H177" s="269"/>
      <c r="I177" s="269"/>
      <c r="J177" s="269"/>
      <c r="K177" s="269"/>
      <c r="L177" s="269"/>
      <c r="M177" s="269"/>
      <c r="N177" s="269"/>
      <c r="O177" s="269"/>
      <c r="P177" s="269"/>
      <c r="Q177" s="269"/>
      <c r="R177" s="269"/>
      <c r="S177" s="269"/>
      <c r="T177" s="269"/>
      <c r="U177" s="269"/>
      <c r="V177" s="217"/>
      <c r="W177" s="217"/>
      <c r="X177" s="217"/>
      <c r="Y177" s="217"/>
      <c r="Z177" s="217"/>
      <c r="AA177" s="217"/>
    </row>
    <row r="178" ht="18.75" customHeight="1">
      <c r="A178" s="218">
        <v>177.0</v>
      </c>
      <c r="B178" s="296">
        <v>29.0</v>
      </c>
      <c r="C178" s="297" t="s">
        <v>3701</v>
      </c>
      <c r="D178" s="298"/>
      <c r="E178" s="266" t="s">
        <v>3702</v>
      </c>
      <c r="F178" s="267" t="s">
        <v>227</v>
      </c>
      <c r="G178" s="269"/>
      <c r="H178" s="269"/>
      <c r="I178" s="269"/>
      <c r="J178" s="269"/>
      <c r="K178" s="269"/>
      <c r="L178" s="269"/>
      <c r="M178" s="269"/>
      <c r="N178" s="269"/>
      <c r="O178" s="269"/>
      <c r="P178" s="269"/>
      <c r="Q178" s="269"/>
      <c r="R178" s="269"/>
      <c r="S178" s="269"/>
      <c r="T178" s="269"/>
      <c r="U178" s="269"/>
      <c r="V178" s="217"/>
      <c r="W178" s="217"/>
      <c r="X178" s="217"/>
      <c r="Y178" s="217"/>
      <c r="Z178" s="217"/>
      <c r="AA178" s="217"/>
    </row>
    <row r="179" ht="18.75" customHeight="1">
      <c r="A179" s="218">
        <v>178.0</v>
      </c>
      <c r="B179" s="245">
        <v>30.0</v>
      </c>
      <c r="C179" s="297" t="s">
        <v>3706</v>
      </c>
      <c r="D179" s="298"/>
      <c r="E179" s="266" t="s">
        <v>3707</v>
      </c>
      <c r="F179" s="267" t="s">
        <v>227</v>
      </c>
      <c r="G179" s="269"/>
      <c r="H179" s="269"/>
      <c r="I179" s="269"/>
      <c r="J179" s="269"/>
      <c r="K179" s="269"/>
      <c r="L179" s="269"/>
      <c r="M179" s="269"/>
      <c r="N179" s="269"/>
      <c r="O179" s="269"/>
      <c r="P179" s="269"/>
      <c r="Q179" s="269"/>
      <c r="R179" s="269"/>
      <c r="S179" s="269"/>
      <c r="T179" s="269"/>
      <c r="U179" s="269"/>
      <c r="V179" s="217"/>
      <c r="W179" s="217"/>
      <c r="X179" s="217"/>
      <c r="Y179" s="217"/>
      <c r="Z179" s="217"/>
      <c r="AA179" s="217"/>
    </row>
    <row r="180" ht="18.75" customHeight="1">
      <c r="A180" s="218">
        <v>179.0</v>
      </c>
      <c r="B180" s="296">
        <v>31.0</v>
      </c>
      <c r="C180" s="297" t="s">
        <v>3712</v>
      </c>
      <c r="D180" s="298"/>
      <c r="E180" s="266" t="s">
        <v>3713</v>
      </c>
      <c r="F180" s="267" t="s">
        <v>220</v>
      </c>
      <c r="G180" s="269"/>
      <c r="H180" s="269"/>
      <c r="I180" s="269"/>
      <c r="J180" s="269"/>
      <c r="K180" s="269"/>
      <c r="L180" s="269"/>
      <c r="M180" s="269"/>
      <c r="N180" s="269"/>
      <c r="O180" s="269"/>
      <c r="P180" s="269"/>
      <c r="Q180" s="269"/>
      <c r="R180" s="269"/>
      <c r="S180" s="269"/>
      <c r="T180" s="269"/>
      <c r="U180" s="269"/>
      <c r="V180" s="217"/>
      <c r="W180" s="217"/>
      <c r="X180" s="217"/>
      <c r="Y180" s="217"/>
      <c r="Z180" s="217"/>
      <c r="AA180" s="217"/>
    </row>
    <row r="181" ht="18.75" customHeight="1">
      <c r="A181" s="218">
        <v>180.0</v>
      </c>
      <c r="B181" s="245">
        <v>32.0</v>
      </c>
      <c r="C181" s="297" t="s">
        <v>3717</v>
      </c>
      <c r="D181" s="298"/>
      <c r="E181" s="266" t="s">
        <v>3718</v>
      </c>
      <c r="F181" s="267" t="s">
        <v>227</v>
      </c>
      <c r="G181" s="269"/>
      <c r="H181" s="269"/>
      <c r="I181" s="269"/>
      <c r="J181" s="269"/>
      <c r="K181" s="269"/>
      <c r="L181" s="269"/>
      <c r="M181" s="269"/>
      <c r="N181" s="269"/>
      <c r="O181" s="269"/>
      <c r="P181" s="269"/>
      <c r="Q181" s="269"/>
      <c r="R181" s="269"/>
      <c r="S181" s="269"/>
      <c r="T181" s="269"/>
      <c r="U181" s="269"/>
      <c r="V181" s="217"/>
      <c r="W181" s="217"/>
      <c r="X181" s="217"/>
      <c r="Y181" s="217"/>
      <c r="Z181" s="217"/>
      <c r="AA181" s="217"/>
    </row>
    <row r="182" ht="18.75" customHeight="1">
      <c r="A182" s="218">
        <v>181.0</v>
      </c>
      <c r="B182" s="296">
        <v>33.0</v>
      </c>
      <c r="C182" s="297" t="s">
        <v>3722</v>
      </c>
      <c r="D182" s="298"/>
      <c r="E182" s="266" t="s">
        <v>3723</v>
      </c>
      <c r="F182" s="267" t="s">
        <v>227</v>
      </c>
      <c r="G182" s="269"/>
      <c r="H182" s="269"/>
      <c r="I182" s="269"/>
      <c r="J182" s="269"/>
      <c r="K182" s="269"/>
      <c r="L182" s="269"/>
      <c r="M182" s="269"/>
      <c r="N182" s="269"/>
      <c r="O182" s="269"/>
      <c r="P182" s="269"/>
      <c r="Q182" s="269"/>
      <c r="R182" s="269"/>
      <c r="S182" s="269"/>
      <c r="T182" s="269"/>
      <c r="U182" s="269"/>
      <c r="V182" s="217"/>
      <c r="W182" s="217"/>
      <c r="X182" s="217"/>
      <c r="Y182" s="217"/>
      <c r="Z182" s="217"/>
      <c r="AA182" s="217"/>
    </row>
    <row r="183" ht="18.75" customHeight="1">
      <c r="A183" s="218">
        <v>182.0</v>
      </c>
      <c r="B183" s="245">
        <v>34.0</v>
      </c>
      <c r="C183" s="297" t="s">
        <v>3727</v>
      </c>
      <c r="D183" s="298"/>
      <c r="E183" s="266" t="s">
        <v>3728</v>
      </c>
      <c r="F183" s="267" t="s">
        <v>227</v>
      </c>
      <c r="G183" s="269"/>
      <c r="H183" s="269"/>
      <c r="I183" s="269"/>
      <c r="J183" s="269"/>
      <c r="K183" s="269"/>
      <c r="L183" s="269"/>
      <c r="M183" s="269"/>
      <c r="N183" s="269"/>
      <c r="O183" s="269"/>
      <c r="P183" s="269"/>
      <c r="Q183" s="269"/>
      <c r="R183" s="269"/>
      <c r="S183" s="269"/>
      <c r="T183" s="269"/>
      <c r="U183" s="269"/>
      <c r="V183" s="217"/>
      <c r="W183" s="217"/>
      <c r="X183" s="217"/>
      <c r="Y183" s="217"/>
      <c r="Z183" s="217"/>
      <c r="AA183" s="217"/>
    </row>
    <row r="184" ht="18.75" customHeight="1">
      <c r="A184" s="218">
        <v>183.0</v>
      </c>
      <c r="B184" s="296">
        <v>35.0</v>
      </c>
      <c r="C184" s="297" t="s">
        <v>3732</v>
      </c>
      <c r="D184" s="298"/>
      <c r="E184" s="266" t="s">
        <v>3733</v>
      </c>
      <c r="F184" s="267" t="s">
        <v>227</v>
      </c>
      <c r="G184" s="269"/>
      <c r="H184" s="269"/>
      <c r="I184" s="269"/>
      <c r="J184" s="269"/>
      <c r="K184" s="269"/>
      <c r="L184" s="269"/>
      <c r="M184" s="269"/>
      <c r="N184" s="269"/>
      <c r="O184" s="269"/>
      <c r="P184" s="269"/>
      <c r="Q184" s="269"/>
      <c r="R184" s="269"/>
      <c r="S184" s="269"/>
      <c r="T184" s="269"/>
      <c r="U184" s="269"/>
      <c r="V184" s="217"/>
      <c r="W184" s="217"/>
      <c r="X184" s="217"/>
      <c r="Y184" s="217"/>
      <c r="Z184" s="217"/>
      <c r="AA184" s="217"/>
    </row>
    <row r="185" ht="18.75" customHeight="1">
      <c r="A185" s="218">
        <v>184.0</v>
      </c>
      <c r="B185" s="245">
        <v>36.0</v>
      </c>
      <c r="C185" s="297" t="s">
        <v>3738</v>
      </c>
      <c r="D185" s="298"/>
      <c r="E185" s="266" t="s">
        <v>3739</v>
      </c>
      <c r="F185" s="306" t="s">
        <v>227</v>
      </c>
      <c r="G185" s="269"/>
      <c r="H185" s="269"/>
      <c r="I185" s="269"/>
      <c r="J185" s="269"/>
      <c r="K185" s="269"/>
      <c r="L185" s="269"/>
      <c r="M185" s="269"/>
      <c r="N185" s="269"/>
      <c r="O185" s="269"/>
      <c r="P185" s="269"/>
      <c r="Q185" s="269"/>
      <c r="R185" s="269"/>
      <c r="S185" s="269"/>
      <c r="T185" s="269"/>
      <c r="U185" s="269"/>
      <c r="V185" s="217"/>
      <c r="W185" s="217"/>
      <c r="X185" s="217"/>
      <c r="Y185" s="217"/>
      <c r="Z185" s="217"/>
      <c r="AA185" s="217"/>
    </row>
    <row r="186" ht="14.25" hidden="1" customHeight="1">
      <c r="A186" s="218">
        <v>185.0</v>
      </c>
      <c r="C186" s="253"/>
      <c r="D186" s="252"/>
      <c r="E186" s="253"/>
      <c r="F186" s="253"/>
      <c r="G186" s="254"/>
      <c r="H186" s="254"/>
      <c r="I186" s="254"/>
      <c r="J186" s="254"/>
      <c r="K186" s="254"/>
      <c r="L186" s="254"/>
      <c r="M186" s="254"/>
      <c r="N186" s="254"/>
      <c r="O186" s="254"/>
      <c r="P186" s="254"/>
      <c r="Q186" s="254"/>
      <c r="R186" s="254"/>
      <c r="S186" s="254"/>
      <c r="T186" s="254"/>
      <c r="U186" s="254"/>
      <c r="V186" s="217"/>
      <c r="W186" s="217"/>
      <c r="X186" s="217"/>
      <c r="Y186" s="217"/>
      <c r="Z186" s="217"/>
      <c r="AA186" s="217"/>
    </row>
    <row r="187" ht="16.5" hidden="1" customHeight="1">
      <c r="A187" s="218">
        <v>186.0</v>
      </c>
      <c r="B187" s="252"/>
      <c r="C187" s="253"/>
      <c r="D187" s="252"/>
      <c r="E187" s="253"/>
      <c r="F187" s="253"/>
      <c r="G187" s="254"/>
      <c r="H187" s="254"/>
      <c r="I187" s="254"/>
      <c r="J187" s="254"/>
      <c r="K187" s="254"/>
      <c r="L187" s="307" t="s">
        <v>9753</v>
      </c>
      <c r="M187" s="308"/>
      <c r="N187" s="308"/>
      <c r="O187" s="308"/>
      <c r="P187" s="308"/>
      <c r="Q187" s="308"/>
      <c r="R187" s="308"/>
      <c r="S187" s="309"/>
      <c r="T187" s="293"/>
      <c r="U187" s="293"/>
      <c r="V187" s="217"/>
      <c r="W187" s="217"/>
      <c r="X187" s="217"/>
      <c r="Y187" s="217"/>
      <c r="Z187" s="217"/>
      <c r="AA187" s="217"/>
    </row>
    <row r="188" ht="16.5" hidden="1" customHeight="1">
      <c r="A188" s="218">
        <v>187.0</v>
      </c>
      <c r="B188" s="252"/>
      <c r="C188" s="253"/>
      <c r="D188" s="252"/>
      <c r="E188" s="253"/>
      <c r="F188" s="253"/>
      <c r="G188" s="254"/>
      <c r="H188" s="254"/>
      <c r="I188" s="254"/>
      <c r="J188" s="254"/>
      <c r="K188" s="254"/>
      <c r="L188" s="258" t="s">
        <v>8793</v>
      </c>
      <c r="M188" s="259"/>
      <c r="N188" s="259"/>
      <c r="O188" s="259"/>
      <c r="P188" s="259"/>
      <c r="Q188" s="259"/>
      <c r="R188" s="259"/>
      <c r="S188" s="259"/>
      <c r="T188" s="259"/>
      <c r="U188" s="260"/>
      <c r="V188" s="217"/>
      <c r="W188" s="217"/>
      <c r="X188" s="217"/>
      <c r="Y188" s="217"/>
      <c r="Z188" s="217"/>
      <c r="AA188" s="217"/>
    </row>
    <row r="189" ht="75.75" hidden="1" customHeight="1">
      <c r="A189" s="218">
        <v>188.0</v>
      </c>
      <c r="B189" s="261"/>
      <c r="C189" s="261"/>
      <c r="D189" s="261"/>
      <c r="E189" s="261"/>
      <c r="F189" s="261"/>
      <c r="G189" s="261"/>
      <c r="H189" s="261"/>
      <c r="I189" s="261"/>
      <c r="J189" s="261"/>
      <c r="K189" s="261"/>
      <c r="L189" s="261"/>
      <c r="M189" s="261"/>
      <c r="N189" s="261"/>
      <c r="O189" s="261"/>
      <c r="P189" s="261"/>
      <c r="Q189" s="261"/>
      <c r="R189" s="261"/>
      <c r="S189" s="261"/>
      <c r="T189" s="261"/>
      <c r="U189" s="261"/>
      <c r="V189" s="217"/>
      <c r="W189" s="217"/>
      <c r="X189" s="217"/>
      <c r="Y189" s="217"/>
      <c r="Z189" s="217"/>
      <c r="AA189" s="217"/>
    </row>
    <row r="190" ht="16.5" hidden="1" customHeight="1">
      <c r="A190" s="218">
        <v>189.0</v>
      </c>
      <c r="B190" s="262"/>
      <c r="C190" s="263"/>
      <c r="D190" s="263"/>
      <c r="E190" s="263"/>
      <c r="F190" s="263"/>
      <c r="G190" s="263"/>
      <c r="H190" s="263"/>
      <c r="I190" s="263"/>
      <c r="J190" s="263"/>
      <c r="K190" s="263"/>
      <c r="L190" s="263"/>
      <c r="M190" s="263"/>
      <c r="N190" s="263"/>
      <c r="O190" s="263"/>
      <c r="P190" s="263"/>
      <c r="Q190" s="263"/>
      <c r="R190" s="263"/>
      <c r="S190" s="263"/>
      <c r="T190" s="263"/>
      <c r="U190" s="264"/>
      <c r="V190" s="217"/>
      <c r="W190" s="217"/>
      <c r="X190" s="217"/>
      <c r="Y190" s="217"/>
      <c r="Z190" s="217"/>
      <c r="AA190" s="217"/>
    </row>
    <row r="191" ht="16.5" hidden="1" customHeight="1">
      <c r="A191" s="218">
        <v>190.0</v>
      </c>
      <c r="B191" s="222"/>
      <c r="C191" s="223"/>
      <c r="D191" s="223"/>
      <c r="E191" s="223"/>
      <c r="F191" s="223"/>
      <c r="G191" s="223"/>
      <c r="H191" s="223"/>
      <c r="I191" s="223"/>
      <c r="J191" s="223"/>
      <c r="K191" s="223"/>
      <c r="L191" s="223"/>
      <c r="M191" s="223"/>
      <c r="N191" s="223"/>
      <c r="O191" s="223"/>
      <c r="P191" s="223"/>
      <c r="Q191" s="223"/>
      <c r="R191" s="223"/>
      <c r="S191" s="223"/>
      <c r="T191" s="223"/>
      <c r="U191" s="224"/>
      <c r="V191" s="217"/>
      <c r="W191" s="217"/>
      <c r="X191" s="217"/>
      <c r="Y191" s="217"/>
      <c r="Z191" s="217"/>
      <c r="AA191" s="217"/>
    </row>
    <row r="192" ht="16.5" hidden="1" customHeight="1">
      <c r="A192" s="218">
        <v>191.0</v>
      </c>
      <c r="B192" s="225"/>
      <c r="C192" s="226"/>
      <c r="D192" s="226"/>
      <c r="E192" s="226"/>
      <c r="F192" s="226"/>
      <c r="G192" s="226"/>
      <c r="H192" s="226"/>
      <c r="I192" s="226"/>
      <c r="J192" s="226"/>
      <c r="K192" s="226"/>
      <c r="L192" s="226"/>
      <c r="M192" s="226"/>
      <c r="N192" s="226"/>
      <c r="O192" s="226"/>
      <c r="P192" s="226"/>
      <c r="Q192" s="226"/>
      <c r="R192" s="226"/>
      <c r="S192" s="226"/>
      <c r="T192" s="226"/>
      <c r="U192" s="227"/>
      <c r="V192" s="217"/>
      <c r="W192" s="217"/>
      <c r="X192" s="217"/>
      <c r="Y192" s="217"/>
      <c r="Z192" s="217"/>
      <c r="AA192" s="217"/>
    </row>
    <row r="193" ht="16.5" hidden="1" customHeight="1">
      <c r="A193" s="218">
        <v>192.0</v>
      </c>
      <c r="B193" s="228"/>
      <c r="C193" s="229"/>
      <c r="D193" s="229"/>
      <c r="E193" s="229"/>
      <c r="F193" s="229"/>
      <c r="G193" s="230"/>
      <c r="H193" s="230"/>
      <c r="I193" s="230"/>
      <c r="J193" s="230"/>
      <c r="K193" s="230"/>
      <c r="L193" s="230"/>
      <c r="M193" s="230"/>
      <c r="N193" s="230"/>
      <c r="O193" s="230"/>
      <c r="P193" s="230"/>
      <c r="Q193" s="230"/>
      <c r="R193" s="230"/>
      <c r="S193" s="230"/>
      <c r="T193" s="230"/>
      <c r="U193" s="230"/>
      <c r="V193" s="217"/>
      <c r="W193" s="217"/>
      <c r="X193" s="217"/>
      <c r="Y193" s="217"/>
      <c r="Z193" s="217"/>
      <c r="AA193" s="217"/>
    </row>
    <row r="194" ht="14.25" hidden="1" customHeight="1">
      <c r="A194" s="218">
        <v>193.0</v>
      </c>
      <c r="B194" s="231"/>
      <c r="C194" s="231"/>
      <c r="D194" s="231"/>
      <c r="E194" s="231"/>
      <c r="F194" s="232"/>
      <c r="G194" s="233"/>
      <c r="H194" s="234"/>
      <c r="I194" s="234"/>
      <c r="J194" s="234"/>
      <c r="K194" s="234"/>
      <c r="L194" s="234"/>
      <c r="M194" s="234"/>
      <c r="N194" s="234"/>
      <c r="O194" s="234"/>
      <c r="P194" s="234"/>
      <c r="Q194" s="234"/>
      <c r="R194" s="234"/>
      <c r="S194" s="234"/>
      <c r="T194" s="234"/>
      <c r="U194" s="235"/>
      <c r="V194" s="217"/>
      <c r="W194" s="217"/>
      <c r="X194" s="217"/>
      <c r="Y194" s="217"/>
      <c r="Z194" s="217"/>
      <c r="AA194" s="217"/>
    </row>
    <row r="195" ht="14.25" hidden="1" customHeight="1">
      <c r="A195" s="218">
        <v>194.0</v>
      </c>
      <c r="B195" s="236"/>
      <c r="C195" s="236"/>
      <c r="D195" s="236"/>
      <c r="E195" s="236"/>
      <c r="F195" s="237"/>
      <c r="G195" s="238"/>
      <c r="H195" s="239"/>
      <c r="I195" s="239"/>
      <c r="J195" s="239"/>
      <c r="K195" s="239"/>
      <c r="L195" s="239"/>
      <c r="M195" s="239"/>
      <c r="N195" s="239"/>
      <c r="O195" s="239"/>
      <c r="P195" s="239"/>
      <c r="Q195" s="239"/>
      <c r="R195" s="240"/>
      <c r="S195" s="233" t="s">
        <v>9713</v>
      </c>
      <c r="T195" s="234"/>
      <c r="U195" s="235"/>
      <c r="V195" s="217"/>
      <c r="W195" s="217"/>
      <c r="X195" s="217"/>
      <c r="Y195" s="217"/>
      <c r="Z195" s="217"/>
      <c r="AA195" s="217"/>
    </row>
    <row r="196" ht="14.25" hidden="1" customHeight="1">
      <c r="A196" s="218">
        <v>195.0</v>
      </c>
      <c r="B196" s="241"/>
      <c r="C196" s="241"/>
      <c r="D196" s="241"/>
      <c r="E196" s="241"/>
      <c r="F196" s="242"/>
      <c r="G196" s="243"/>
      <c r="H196" s="243">
        <v>2.0</v>
      </c>
      <c r="I196" s="243">
        <v>3.0</v>
      </c>
      <c r="J196" s="243">
        <v>4.0</v>
      </c>
      <c r="K196" s="243">
        <v>5.0</v>
      </c>
      <c r="L196" s="243">
        <v>6.0</v>
      </c>
      <c r="M196" s="243">
        <v>7.0</v>
      </c>
      <c r="N196" s="243">
        <v>8.0</v>
      </c>
      <c r="O196" s="243">
        <v>9.0</v>
      </c>
      <c r="P196" s="243">
        <v>10.0</v>
      </c>
      <c r="Q196" s="243">
        <v>11.0</v>
      </c>
      <c r="R196" s="243">
        <v>12.0</v>
      </c>
      <c r="S196" s="243" t="s">
        <v>9714</v>
      </c>
      <c r="T196" s="243" t="s">
        <v>9715</v>
      </c>
      <c r="U196" s="244" t="s">
        <v>9716</v>
      </c>
      <c r="V196" s="217"/>
      <c r="W196" s="217"/>
      <c r="X196" s="217"/>
      <c r="Y196" s="217"/>
      <c r="Z196" s="217"/>
      <c r="AA196" s="217"/>
    </row>
    <row r="197" ht="14.25" customHeight="1">
      <c r="A197" s="218">
        <v>196.0</v>
      </c>
      <c r="B197" s="245">
        <v>1.0</v>
      </c>
      <c r="C197" s="302" t="s">
        <v>3743</v>
      </c>
      <c r="D197" s="303"/>
      <c r="E197" s="266" t="s">
        <v>3744</v>
      </c>
      <c r="F197" s="267" t="s">
        <v>220</v>
      </c>
      <c r="G197" s="245"/>
      <c r="H197" s="273"/>
      <c r="I197" s="273"/>
      <c r="J197" s="269"/>
      <c r="K197" s="269"/>
      <c r="L197" s="269"/>
      <c r="M197" s="269"/>
      <c r="N197" s="269"/>
      <c r="O197" s="269"/>
      <c r="P197" s="269"/>
      <c r="Q197" s="269"/>
      <c r="R197" s="269"/>
      <c r="S197" s="269"/>
      <c r="T197" s="269"/>
      <c r="U197" s="269"/>
      <c r="V197" s="217"/>
      <c r="W197" s="217"/>
      <c r="X197" s="217"/>
      <c r="Y197" s="217"/>
      <c r="Z197" s="217"/>
      <c r="AA197" s="217"/>
    </row>
    <row r="198" ht="14.25" customHeight="1">
      <c r="A198" s="218">
        <v>197.0</v>
      </c>
      <c r="B198" s="245">
        <v>2.0</v>
      </c>
      <c r="C198" s="310" t="s">
        <v>3750</v>
      </c>
      <c r="D198" s="311"/>
      <c r="E198" s="266" t="s">
        <v>3751</v>
      </c>
      <c r="F198" s="267" t="s">
        <v>227</v>
      </c>
      <c r="G198" s="245"/>
      <c r="H198" s="273"/>
      <c r="I198" s="273"/>
      <c r="J198" s="269"/>
      <c r="K198" s="269"/>
      <c r="L198" s="269"/>
      <c r="M198" s="269"/>
      <c r="N198" s="269"/>
      <c r="O198" s="269"/>
      <c r="P198" s="269"/>
      <c r="Q198" s="269"/>
      <c r="R198" s="269"/>
      <c r="S198" s="269"/>
      <c r="T198" s="269"/>
      <c r="U198" s="269"/>
      <c r="V198" s="217"/>
      <c r="W198" s="217"/>
      <c r="X198" s="217"/>
      <c r="Y198" s="217"/>
      <c r="Z198" s="217"/>
      <c r="AA198" s="217"/>
    </row>
    <row r="199" ht="14.25" customHeight="1">
      <c r="A199" s="218">
        <v>198.0</v>
      </c>
      <c r="B199" s="245">
        <v>3.0</v>
      </c>
      <c r="C199" s="310" t="s">
        <v>3755</v>
      </c>
      <c r="D199" s="311"/>
      <c r="E199" s="266" t="s">
        <v>3756</v>
      </c>
      <c r="F199" s="267" t="s">
        <v>220</v>
      </c>
      <c r="G199" s="245"/>
      <c r="H199" s="273"/>
      <c r="I199" s="273"/>
      <c r="J199" s="269"/>
      <c r="K199" s="269"/>
      <c r="L199" s="269"/>
      <c r="M199" s="269"/>
      <c r="N199" s="269"/>
      <c r="O199" s="269"/>
      <c r="P199" s="269"/>
      <c r="Q199" s="269"/>
      <c r="R199" s="269"/>
      <c r="S199" s="269"/>
      <c r="T199" s="269"/>
      <c r="U199" s="269"/>
      <c r="V199" s="217"/>
      <c r="W199" s="217"/>
      <c r="X199" s="217"/>
      <c r="Y199" s="217"/>
      <c r="Z199" s="217"/>
      <c r="AA199" s="217"/>
    </row>
    <row r="200" ht="14.25" customHeight="1">
      <c r="A200" s="218">
        <v>199.0</v>
      </c>
      <c r="B200" s="245">
        <v>4.0</v>
      </c>
      <c r="C200" s="310" t="s">
        <v>3760</v>
      </c>
      <c r="D200" s="311"/>
      <c r="E200" s="266" t="s">
        <v>3761</v>
      </c>
      <c r="F200" s="267" t="s">
        <v>220</v>
      </c>
      <c r="G200" s="245"/>
      <c r="H200" s="273"/>
      <c r="I200" s="273"/>
      <c r="J200" s="269"/>
      <c r="K200" s="269"/>
      <c r="L200" s="269"/>
      <c r="M200" s="269"/>
      <c r="N200" s="269"/>
      <c r="O200" s="269"/>
      <c r="P200" s="269"/>
      <c r="Q200" s="269"/>
      <c r="R200" s="269"/>
      <c r="S200" s="269"/>
      <c r="T200" s="269"/>
      <c r="U200" s="269"/>
      <c r="V200" s="217"/>
      <c r="W200" s="217"/>
      <c r="X200" s="217"/>
      <c r="Y200" s="217"/>
      <c r="Z200" s="217"/>
      <c r="AA200" s="217"/>
    </row>
    <row r="201" ht="14.25" customHeight="1">
      <c r="A201" s="218">
        <v>200.0</v>
      </c>
      <c r="B201" s="245">
        <v>5.0</v>
      </c>
      <c r="C201" s="304" t="s">
        <v>3765</v>
      </c>
      <c r="D201" s="305"/>
      <c r="E201" s="266" t="s">
        <v>3766</v>
      </c>
      <c r="F201" s="267" t="s">
        <v>227</v>
      </c>
      <c r="G201" s="245"/>
      <c r="H201" s="273"/>
      <c r="I201" s="273"/>
      <c r="J201" s="269"/>
      <c r="K201" s="269"/>
      <c r="L201" s="269"/>
      <c r="M201" s="269"/>
      <c r="N201" s="269"/>
      <c r="O201" s="269"/>
      <c r="P201" s="269"/>
      <c r="Q201" s="269"/>
      <c r="R201" s="269"/>
      <c r="S201" s="269"/>
      <c r="T201" s="269"/>
      <c r="U201" s="269"/>
      <c r="V201" s="217"/>
      <c r="W201" s="217"/>
      <c r="X201" s="217"/>
      <c r="Y201" s="217"/>
      <c r="Z201" s="217"/>
      <c r="AA201" s="217"/>
    </row>
    <row r="202" ht="14.25" customHeight="1">
      <c r="A202" s="218">
        <v>201.0</v>
      </c>
      <c r="B202" s="245">
        <v>6.0</v>
      </c>
      <c r="C202" s="297" t="s">
        <v>3770</v>
      </c>
      <c r="D202" s="298"/>
      <c r="E202" s="266" t="s">
        <v>3771</v>
      </c>
      <c r="F202" s="267" t="s">
        <v>227</v>
      </c>
      <c r="G202" s="245"/>
      <c r="H202" s="273"/>
      <c r="I202" s="273"/>
      <c r="J202" s="269"/>
      <c r="K202" s="269"/>
      <c r="L202" s="269"/>
      <c r="M202" s="269"/>
      <c r="N202" s="269"/>
      <c r="O202" s="269"/>
      <c r="P202" s="269"/>
      <c r="Q202" s="269"/>
      <c r="R202" s="269"/>
      <c r="S202" s="269"/>
      <c r="T202" s="269"/>
      <c r="U202" s="269"/>
      <c r="V202" s="217"/>
      <c r="W202" s="217"/>
      <c r="X202" s="217"/>
      <c r="Y202" s="217"/>
      <c r="Z202" s="217"/>
      <c r="AA202" s="217"/>
    </row>
    <row r="203" ht="14.25" customHeight="1">
      <c r="A203" s="218">
        <v>202.0</v>
      </c>
      <c r="B203" s="245">
        <v>7.0</v>
      </c>
      <c r="C203" s="297" t="s">
        <v>3775</v>
      </c>
      <c r="D203" s="298"/>
      <c r="E203" s="266" t="s">
        <v>3776</v>
      </c>
      <c r="F203" s="267" t="s">
        <v>220</v>
      </c>
      <c r="G203" s="245"/>
      <c r="H203" s="273"/>
      <c r="I203" s="273"/>
      <c r="J203" s="269"/>
      <c r="K203" s="269"/>
      <c r="L203" s="269"/>
      <c r="M203" s="269"/>
      <c r="N203" s="269"/>
      <c r="O203" s="269"/>
      <c r="P203" s="269"/>
      <c r="Q203" s="269"/>
      <c r="R203" s="269"/>
      <c r="S203" s="269"/>
      <c r="T203" s="269"/>
      <c r="U203" s="269"/>
      <c r="V203" s="217"/>
      <c r="W203" s="217"/>
      <c r="X203" s="217"/>
      <c r="Y203" s="217"/>
      <c r="Z203" s="217"/>
      <c r="AA203" s="217"/>
    </row>
    <row r="204" ht="14.25" customHeight="1">
      <c r="A204" s="218">
        <v>203.0</v>
      </c>
      <c r="B204" s="245">
        <v>8.0</v>
      </c>
      <c r="C204" s="302" t="s">
        <v>3781</v>
      </c>
      <c r="D204" s="303"/>
      <c r="E204" s="266" t="s">
        <v>3782</v>
      </c>
      <c r="F204" s="267" t="s">
        <v>227</v>
      </c>
      <c r="G204" s="245"/>
      <c r="H204" s="273"/>
      <c r="I204" s="273"/>
      <c r="J204" s="269"/>
      <c r="K204" s="269"/>
      <c r="L204" s="269"/>
      <c r="M204" s="269"/>
      <c r="N204" s="269"/>
      <c r="O204" s="269"/>
      <c r="P204" s="269"/>
      <c r="Q204" s="269"/>
      <c r="R204" s="269"/>
      <c r="S204" s="269"/>
      <c r="T204" s="269"/>
      <c r="U204" s="269"/>
      <c r="V204" s="217"/>
      <c r="W204" s="217"/>
      <c r="X204" s="217"/>
      <c r="Y204" s="217"/>
      <c r="Z204" s="217"/>
      <c r="AA204" s="217"/>
    </row>
    <row r="205" ht="14.25" customHeight="1">
      <c r="A205" s="218">
        <v>204.0</v>
      </c>
      <c r="B205" s="245">
        <v>9.0</v>
      </c>
      <c r="C205" s="304" t="s">
        <v>3786</v>
      </c>
      <c r="D205" s="305"/>
      <c r="E205" s="266" t="s">
        <v>3787</v>
      </c>
      <c r="F205" s="267" t="s">
        <v>227</v>
      </c>
      <c r="G205" s="245"/>
      <c r="H205" s="273"/>
      <c r="I205" s="273"/>
      <c r="J205" s="269"/>
      <c r="K205" s="269"/>
      <c r="L205" s="269"/>
      <c r="M205" s="269"/>
      <c r="N205" s="269"/>
      <c r="O205" s="269"/>
      <c r="P205" s="269"/>
      <c r="Q205" s="269"/>
      <c r="R205" s="269"/>
      <c r="S205" s="269"/>
      <c r="T205" s="269"/>
      <c r="U205" s="269"/>
      <c r="V205" s="217"/>
      <c r="W205" s="217"/>
      <c r="X205" s="217"/>
      <c r="Y205" s="217"/>
      <c r="Z205" s="217"/>
      <c r="AA205" s="217"/>
    </row>
    <row r="206" ht="14.25" customHeight="1">
      <c r="A206" s="218">
        <v>205.0</v>
      </c>
      <c r="B206" s="245">
        <v>10.0</v>
      </c>
      <c r="C206" s="302" t="s">
        <v>3791</v>
      </c>
      <c r="D206" s="303"/>
      <c r="E206" s="266" t="s">
        <v>3792</v>
      </c>
      <c r="F206" s="267" t="s">
        <v>227</v>
      </c>
      <c r="G206" s="245"/>
      <c r="H206" s="273"/>
      <c r="I206" s="273"/>
      <c r="J206" s="269"/>
      <c r="K206" s="269"/>
      <c r="L206" s="269"/>
      <c r="M206" s="269"/>
      <c r="N206" s="269"/>
      <c r="O206" s="269"/>
      <c r="P206" s="269"/>
      <c r="Q206" s="269"/>
      <c r="R206" s="269"/>
      <c r="S206" s="269"/>
      <c r="T206" s="269"/>
      <c r="U206" s="269"/>
      <c r="V206" s="217"/>
      <c r="W206" s="217"/>
      <c r="X206" s="217"/>
      <c r="Y206" s="217"/>
      <c r="Z206" s="217"/>
      <c r="AA206" s="217"/>
    </row>
    <row r="207" ht="14.25" customHeight="1">
      <c r="A207" s="218">
        <v>206.0</v>
      </c>
      <c r="B207" s="245">
        <v>11.0</v>
      </c>
      <c r="C207" s="310" t="s">
        <v>3796</v>
      </c>
      <c r="D207" s="311"/>
      <c r="E207" s="266" t="s">
        <v>3797</v>
      </c>
      <c r="F207" s="267" t="s">
        <v>227</v>
      </c>
      <c r="G207" s="245"/>
      <c r="H207" s="273"/>
      <c r="I207" s="273"/>
      <c r="J207" s="269"/>
      <c r="K207" s="269"/>
      <c r="L207" s="269"/>
      <c r="M207" s="269"/>
      <c r="N207" s="269"/>
      <c r="O207" s="269"/>
      <c r="P207" s="269"/>
      <c r="Q207" s="269"/>
      <c r="R207" s="269"/>
      <c r="S207" s="269"/>
      <c r="T207" s="269"/>
      <c r="U207" s="269"/>
      <c r="V207" s="217"/>
      <c r="W207" s="217"/>
      <c r="X207" s="217"/>
      <c r="Y207" s="217"/>
      <c r="Z207" s="217"/>
      <c r="AA207" s="217"/>
    </row>
    <row r="208" ht="14.25" customHeight="1">
      <c r="A208" s="218">
        <v>207.0</v>
      </c>
      <c r="B208" s="245">
        <v>12.0</v>
      </c>
      <c r="C208" s="312" t="s">
        <v>3801</v>
      </c>
      <c r="D208" s="313"/>
      <c r="E208" s="266" t="s">
        <v>3802</v>
      </c>
      <c r="F208" s="267" t="s">
        <v>227</v>
      </c>
      <c r="G208" s="245"/>
      <c r="H208" s="273"/>
      <c r="I208" s="273"/>
      <c r="J208" s="269"/>
      <c r="K208" s="269"/>
      <c r="L208" s="269"/>
      <c r="M208" s="269"/>
      <c r="N208" s="269"/>
      <c r="O208" s="269"/>
      <c r="P208" s="269"/>
      <c r="Q208" s="269"/>
      <c r="R208" s="269"/>
      <c r="S208" s="269"/>
      <c r="T208" s="269"/>
      <c r="U208" s="269"/>
      <c r="V208" s="217"/>
      <c r="W208" s="217"/>
      <c r="X208" s="217"/>
      <c r="Y208" s="217"/>
      <c r="Z208" s="217"/>
      <c r="AA208" s="217"/>
    </row>
    <row r="209" ht="14.25" customHeight="1">
      <c r="A209" s="218">
        <v>208.0</v>
      </c>
      <c r="B209" s="245">
        <v>13.0</v>
      </c>
      <c r="C209" s="297" t="s">
        <v>3807</v>
      </c>
      <c r="D209" s="298"/>
      <c r="E209" s="266" t="s">
        <v>3808</v>
      </c>
      <c r="F209" s="267" t="s">
        <v>227</v>
      </c>
      <c r="G209" s="245"/>
      <c r="H209" s="273"/>
      <c r="I209" s="273"/>
      <c r="J209" s="269"/>
      <c r="K209" s="269"/>
      <c r="L209" s="269"/>
      <c r="M209" s="269"/>
      <c r="N209" s="269"/>
      <c r="O209" s="269"/>
      <c r="P209" s="269"/>
      <c r="Q209" s="269"/>
      <c r="R209" s="269"/>
      <c r="S209" s="269"/>
      <c r="T209" s="269"/>
      <c r="U209" s="269"/>
      <c r="V209" s="217"/>
      <c r="W209" s="217"/>
      <c r="X209" s="217"/>
      <c r="Y209" s="217"/>
      <c r="Z209" s="217"/>
      <c r="AA209" s="217"/>
    </row>
    <row r="210" ht="14.25" customHeight="1">
      <c r="A210" s="218">
        <v>209.0</v>
      </c>
      <c r="B210" s="245">
        <v>14.0</v>
      </c>
      <c r="C210" s="297" t="s">
        <v>3812</v>
      </c>
      <c r="D210" s="298"/>
      <c r="E210" s="266" t="s">
        <v>3813</v>
      </c>
      <c r="F210" s="267" t="s">
        <v>227</v>
      </c>
      <c r="G210" s="245"/>
      <c r="H210" s="273"/>
      <c r="I210" s="273"/>
      <c r="J210" s="269"/>
      <c r="K210" s="269"/>
      <c r="L210" s="269"/>
      <c r="M210" s="269"/>
      <c r="N210" s="269"/>
      <c r="O210" s="269"/>
      <c r="P210" s="269"/>
      <c r="Q210" s="269"/>
      <c r="R210" s="269"/>
      <c r="S210" s="269"/>
      <c r="T210" s="269"/>
      <c r="U210" s="269"/>
      <c r="V210" s="217"/>
      <c r="W210" s="217"/>
      <c r="X210" s="217"/>
      <c r="Y210" s="217"/>
      <c r="Z210" s="217"/>
      <c r="AA210" s="217"/>
    </row>
    <row r="211" ht="14.25" customHeight="1">
      <c r="A211" s="218">
        <v>210.0</v>
      </c>
      <c r="B211" s="245">
        <v>15.0</v>
      </c>
      <c r="C211" s="297" t="s">
        <v>128</v>
      </c>
      <c r="D211" s="298"/>
      <c r="E211" s="270" t="s">
        <v>3817</v>
      </c>
      <c r="F211" s="271" t="s">
        <v>227</v>
      </c>
      <c r="G211" s="245"/>
      <c r="H211" s="273"/>
      <c r="I211" s="273"/>
      <c r="J211" s="269"/>
      <c r="K211" s="269"/>
      <c r="L211" s="269"/>
      <c r="M211" s="269"/>
      <c r="N211" s="269"/>
      <c r="O211" s="269"/>
      <c r="P211" s="269"/>
      <c r="Q211" s="269"/>
      <c r="R211" s="269"/>
      <c r="S211" s="269"/>
      <c r="T211" s="269"/>
      <c r="U211" s="269"/>
      <c r="X211" s="217"/>
      <c r="Y211" s="217"/>
      <c r="Z211" s="217"/>
      <c r="AA211" s="217"/>
    </row>
    <row r="212" ht="14.25" customHeight="1">
      <c r="A212" s="218">
        <v>211.0</v>
      </c>
      <c r="B212" s="245">
        <v>16.0</v>
      </c>
      <c r="C212" s="302" t="s">
        <v>3821</v>
      </c>
      <c r="D212" s="303"/>
      <c r="E212" s="266" t="s">
        <v>3822</v>
      </c>
      <c r="F212" s="267" t="s">
        <v>220</v>
      </c>
      <c r="G212" s="245"/>
      <c r="H212" s="273"/>
      <c r="I212" s="273"/>
      <c r="J212" s="269"/>
      <c r="K212" s="269"/>
      <c r="L212" s="269"/>
      <c r="M212" s="269"/>
      <c r="N212" s="269"/>
      <c r="O212" s="269"/>
      <c r="P212" s="269"/>
      <c r="Q212" s="269"/>
      <c r="R212" s="269"/>
      <c r="S212" s="269"/>
      <c r="T212" s="269"/>
      <c r="U212" s="269"/>
      <c r="V212" s="217"/>
      <c r="W212" s="217"/>
      <c r="X212" s="217"/>
      <c r="Y212" s="217"/>
      <c r="Z212" s="217"/>
      <c r="AA212" s="217"/>
    </row>
    <row r="213" ht="14.25" customHeight="1">
      <c r="A213" s="218">
        <v>212.0</v>
      </c>
      <c r="B213" s="245">
        <v>17.0</v>
      </c>
      <c r="C213" s="310" t="s">
        <v>3826</v>
      </c>
      <c r="D213" s="311"/>
      <c r="E213" s="266" t="s">
        <v>3827</v>
      </c>
      <c r="F213" s="267" t="s">
        <v>220</v>
      </c>
      <c r="G213" s="245"/>
      <c r="H213" s="273"/>
      <c r="I213" s="273"/>
      <c r="J213" s="269"/>
      <c r="K213" s="269"/>
      <c r="L213" s="269"/>
      <c r="M213" s="269"/>
      <c r="N213" s="269"/>
      <c r="O213" s="269"/>
      <c r="P213" s="269"/>
      <c r="Q213" s="269"/>
      <c r="R213" s="269"/>
      <c r="S213" s="269"/>
      <c r="T213" s="269"/>
      <c r="U213" s="269"/>
      <c r="V213" s="217"/>
      <c r="W213" s="217"/>
      <c r="X213" s="217"/>
      <c r="Y213" s="217"/>
      <c r="Z213" s="217"/>
      <c r="AA213" s="217"/>
    </row>
    <row r="214" ht="14.25" customHeight="1">
      <c r="A214" s="218">
        <v>213.0</v>
      </c>
      <c r="B214" s="245">
        <v>18.0</v>
      </c>
      <c r="C214" s="310" t="s">
        <v>3832</v>
      </c>
      <c r="D214" s="311"/>
      <c r="E214" s="266" t="s">
        <v>3833</v>
      </c>
      <c r="F214" s="267" t="s">
        <v>220</v>
      </c>
      <c r="G214" s="245"/>
      <c r="H214" s="273"/>
      <c r="I214" s="273"/>
      <c r="J214" s="269"/>
      <c r="K214" s="269"/>
      <c r="L214" s="269"/>
      <c r="M214" s="269"/>
      <c r="N214" s="269"/>
      <c r="O214" s="269"/>
      <c r="P214" s="269"/>
      <c r="Q214" s="269"/>
      <c r="R214" s="269"/>
      <c r="S214" s="269"/>
      <c r="T214" s="269"/>
      <c r="U214" s="269"/>
      <c r="V214" s="217"/>
      <c r="W214" s="217"/>
      <c r="X214" s="217"/>
      <c r="Y214" s="217"/>
      <c r="Z214" s="217"/>
      <c r="AA214" s="217"/>
    </row>
    <row r="215" ht="14.25" customHeight="1">
      <c r="A215" s="218">
        <v>214.0</v>
      </c>
      <c r="B215" s="245">
        <v>19.0</v>
      </c>
      <c r="C215" s="304" t="s">
        <v>3837</v>
      </c>
      <c r="D215" s="305"/>
      <c r="E215" s="266" t="s">
        <v>3838</v>
      </c>
      <c r="F215" s="267" t="s">
        <v>227</v>
      </c>
      <c r="G215" s="245"/>
      <c r="H215" s="273"/>
      <c r="I215" s="273"/>
      <c r="J215" s="269"/>
      <c r="K215" s="269"/>
      <c r="L215" s="269"/>
      <c r="M215" s="269"/>
      <c r="N215" s="269"/>
      <c r="O215" s="269"/>
      <c r="P215" s="269"/>
      <c r="Q215" s="269"/>
      <c r="R215" s="269"/>
      <c r="S215" s="269"/>
      <c r="T215" s="269"/>
      <c r="U215" s="269"/>
      <c r="V215" s="217"/>
      <c r="W215" s="217"/>
      <c r="X215" s="217"/>
      <c r="Y215" s="217"/>
      <c r="Z215" s="217"/>
      <c r="AA215" s="217"/>
    </row>
    <row r="216" ht="14.25" customHeight="1">
      <c r="A216" s="218">
        <v>215.0</v>
      </c>
      <c r="B216" s="245">
        <v>20.0</v>
      </c>
      <c r="C216" s="302" t="s">
        <v>3842</v>
      </c>
      <c r="D216" s="303"/>
      <c r="E216" s="266" t="s">
        <v>3843</v>
      </c>
      <c r="F216" s="267" t="s">
        <v>227</v>
      </c>
      <c r="G216" s="245"/>
      <c r="H216" s="273"/>
      <c r="I216" s="273"/>
      <c r="J216" s="269"/>
      <c r="K216" s="269"/>
      <c r="L216" s="269"/>
      <c r="M216" s="269"/>
      <c r="N216" s="269"/>
      <c r="O216" s="269"/>
      <c r="P216" s="269"/>
      <c r="Q216" s="269"/>
      <c r="R216" s="269"/>
      <c r="S216" s="269"/>
      <c r="T216" s="269"/>
      <c r="U216" s="269"/>
      <c r="X216" s="217"/>
      <c r="Y216" s="217"/>
      <c r="Z216" s="217"/>
      <c r="AA216" s="217"/>
    </row>
    <row r="217" ht="14.25" customHeight="1">
      <c r="A217" s="218">
        <v>216.0</v>
      </c>
      <c r="B217" s="245">
        <v>21.0</v>
      </c>
      <c r="C217" s="310" t="s">
        <v>3847</v>
      </c>
      <c r="D217" s="311"/>
      <c r="E217" s="266" t="s">
        <v>3848</v>
      </c>
      <c r="F217" s="267" t="s">
        <v>227</v>
      </c>
      <c r="G217" s="245"/>
      <c r="H217" s="273"/>
      <c r="I217" s="273"/>
      <c r="J217" s="269"/>
      <c r="K217" s="269"/>
      <c r="L217" s="269"/>
      <c r="M217" s="269"/>
      <c r="N217" s="269"/>
      <c r="O217" s="269"/>
      <c r="P217" s="269"/>
      <c r="Q217" s="269"/>
      <c r="R217" s="269"/>
      <c r="S217" s="269"/>
      <c r="T217" s="269"/>
      <c r="U217" s="269"/>
      <c r="V217" s="217"/>
      <c r="W217" s="217"/>
      <c r="X217" s="217"/>
      <c r="Y217" s="217"/>
      <c r="Z217" s="217"/>
      <c r="AA217" s="217"/>
    </row>
    <row r="218" ht="14.25" customHeight="1">
      <c r="A218" s="218">
        <v>217.0</v>
      </c>
      <c r="B218" s="245">
        <v>22.0</v>
      </c>
      <c r="C218" s="310" t="s">
        <v>3852</v>
      </c>
      <c r="D218" s="311"/>
      <c r="E218" s="266" t="s">
        <v>3853</v>
      </c>
      <c r="F218" s="267" t="s">
        <v>227</v>
      </c>
      <c r="G218" s="245"/>
      <c r="H218" s="273"/>
      <c r="I218" s="273"/>
      <c r="J218" s="269"/>
      <c r="K218" s="269"/>
      <c r="L218" s="269"/>
      <c r="M218" s="269"/>
      <c r="N218" s="269"/>
      <c r="O218" s="269"/>
      <c r="P218" s="269"/>
      <c r="Q218" s="269"/>
      <c r="R218" s="269"/>
      <c r="S218" s="269"/>
      <c r="T218" s="269"/>
      <c r="U218" s="269"/>
      <c r="V218" s="217"/>
      <c r="W218" s="217"/>
      <c r="X218" s="217"/>
      <c r="Y218" s="217"/>
      <c r="Z218" s="217"/>
      <c r="AA218" s="217"/>
    </row>
    <row r="219" ht="14.25" customHeight="1">
      <c r="A219" s="218">
        <v>218.0</v>
      </c>
      <c r="B219" s="245">
        <v>23.0</v>
      </c>
      <c r="C219" s="304" t="s">
        <v>3857</v>
      </c>
      <c r="D219" s="305"/>
      <c r="E219" s="266" t="s">
        <v>3858</v>
      </c>
      <c r="F219" s="267" t="s">
        <v>227</v>
      </c>
      <c r="G219" s="245"/>
      <c r="H219" s="273"/>
      <c r="I219" s="273"/>
      <c r="J219" s="269"/>
      <c r="K219" s="269"/>
      <c r="L219" s="269"/>
      <c r="M219" s="269"/>
      <c r="N219" s="269"/>
      <c r="O219" s="269"/>
      <c r="P219" s="269"/>
      <c r="Q219" s="269"/>
      <c r="R219" s="269"/>
      <c r="S219" s="269"/>
      <c r="T219" s="269"/>
      <c r="U219" s="269"/>
      <c r="V219" s="217"/>
      <c r="W219" s="217"/>
      <c r="X219" s="217"/>
      <c r="Y219" s="217"/>
      <c r="Z219" s="217"/>
      <c r="AA219" s="217"/>
    </row>
    <row r="220" ht="14.25" customHeight="1">
      <c r="A220" s="218">
        <v>219.0</v>
      </c>
      <c r="B220" s="245">
        <v>24.0</v>
      </c>
      <c r="C220" s="302" t="s">
        <v>3863</v>
      </c>
      <c r="D220" s="303"/>
      <c r="E220" s="266" t="s">
        <v>3864</v>
      </c>
      <c r="F220" s="267" t="s">
        <v>227</v>
      </c>
      <c r="G220" s="245"/>
      <c r="H220" s="273"/>
      <c r="I220" s="273"/>
      <c r="J220" s="269"/>
      <c r="K220" s="269"/>
      <c r="L220" s="269"/>
      <c r="M220" s="269"/>
      <c r="N220" s="269"/>
      <c r="O220" s="269"/>
      <c r="P220" s="269"/>
      <c r="Q220" s="269"/>
      <c r="R220" s="269"/>
      <c r="S220" s="269"/>
      <c r="T220" s="269"/>
      <c r="U220" s="269"/>
      <c r="X220" s="217"/>
      <c r="Y220" s="217"/>
      <c r="Z220" s="217"/>
      <c r="AA220" s="217"/>
    </row>
    <row r="221" ht="14.25" customHeight="1">
      <c r="A221" s="218">
        <v>220.0</v>
      </c>
      <c r="B221" s="245">
        <v>25.0</v>
      </c>
      <c r="C221" s="304" t="s">
        <v>3868</v>
      </c>
      <c r="D221" s="305"/>
      <c r="E221" s="266" t="s">
        <v>3869</v>
      </c>
      <c r="F221" s="267" t="s">
        <v>227</v>
      </c>
      <c r="G221" s="269"/>
      <c r="H221" s="269"/>
      <c r="I221" s="269"/>
      <c r="J221" s="269"/>
      <c r="K221" s="269"/>
      <c r="L221" s="269"/>
      <c r="M221" s="269"/>
      <c r="N221" s="269"/>
      <c r="O221" s="269"/>
      <c r="P221" s="269"/>
      <c r="Q221" s="269"/>
      <c r="R221" s="269"/>
      <c r="S221" s="269"/>
      <c r="T221" s="269"/>
      <c r="U221" s="269"/>
      <c r="V221" s="217"/>
      <c r="W221" s="217"/>
      <c r="X221" s="217"/>
      <c r="Y221" s="217"/>
      <c r="Z221" s="217"/>
      <c r="AA221" s="217"/>
    </row>
    <row r="222" ht="14.25" customHeight="1">
      <c r="A222" s="218">
        <v>221.0</v>
      </c>
      <c r="B222" s="245">
        <v>26.0</v>
      </c>
      <c r="C222" s="302" t="s">
        <v>3873</v>
      </c>
      <c r="D222" s="303"/>
      <c r="E222" s="266" t="s">
        <v>3874</v>
      </c>
      <c r="F222" s="267" t="s">
        <v>227</v>
      </c>
      <c r="G222" s="269"/>
      <c r="H222" s="269"/>
      <c r="I222" s="269"/>
      <c r="J222" s="269"/>
      <c r="K222" s="269"/>
      <c r="L222" s="269"/>
      <c r="M222" s="269"/>
      <c r="N222" s="269"/>
      <c r="O222" s="269"/>
      <c r="P222" s="269"/>
      <c r="Q222" s="269"/>
      <c r="R222" s="269"/>
      <c r="S222" s="269"/>
      <c r="T222" s="269"/>
      <c r="U222" s="269"/>
      <c r="X222" s="217"/>
      <c r="Y222" s="217"/>
      <c r="Z222" s="217"/>
      <c r="AA222" s="217"/>
    </row>
    <row r="223" ht="14.25" customHeight="1">
      <c r="A223" s="218">
        <v>222.0</v>
      </c>
      <c r="B223" s="245">
        <v>27.0</v>
      </c>
      <c r="C223" s="304" t="s">
        <v>3878</v>
      </c>
      <c r="D223" s="305"/>
      <c r="E223" s="266" t="s">
        <v>3879</v>
      </c>
      <c r="F223" s="267" t="s">
        <v>227</v>
      </c>
      <c r="G223" s="269"/>
      <c r="H223" s="269"/>
      <c r="I223" s="269"/>
      <c r="J223" s="269"/>
      <c r="K223" s="269"/>
      <c r="L223" s="269"/>
      <c r="M223" s="269"/>
      <c r="N223" s="269"/>
      <c r="O223" s="269"/>
      <c r="P223" s="269"/>
      <c r="Q223" s="269"/>
      <c r="R223" s="269"/>
      <c r="S223" s="269"/>
      <c r="T223" s="269"/>
      <c r="U223" s="269"/>
      <c r="V223" s="217"/>
      <c r="W223" s="217"/>
      <c r="X223" s="217"/>
      <c r="Y223" s="217"/>
      <c r="Z223" s="217"/>
      <c r="AA223" s="217"/>
    </row>
    <row r="224" ht="14.25" customHeight="1">
      <c r="A224" s="218">
        <v>223.0</v>
      </c>
      <c r="B224" s="245">
        <v>28.0</v>
      </c>
      <c r="C224" s="302" t="s">
        <v>3884</v>
      </c>
      <c r="D224" s="303"/>
      <c r="E224" s="266" t="s">
        <v>3885</v>
      </c>
      <c r="F224" s="267" t="s">
        <v>227</v>
      </c>
      <c r="G224" s="269"/>
      <c r="H224" s="269"/>
      <c r="I224" s="269"/>
      <c r="J224" s="269"/>
      <c r="K224" s="269"/>
      <c r="L224" s="269"/>
      <c r="M224" s="269"/>
      <c r="N224" s="269"/>
      <c r="O224" s="269"/>
      <c r="P224" s="269"/>
      <c r="Q224" s="269"/>
      <c r="R224" s="269"/>
      <c r="S224" s="269"/>
      <c r="T224" s="269"/>
      <c r="U224" s="269"/>
      <c r="X224" s="217"/>
      <c r="Y224" s="217"/>
      <c r="Z224" s="217"/>
      <c r="AA224" s="217"/>
    </row>
    <row r="225" ht="14.25" customHeight="1">
      <c r="A225" s="218">
        <v>224.0</v>
      </c>
      <c r="B225" s="245">
        <v>29.0</v>
      </c>
      <c r="C225" s="304" t="s">
        <v>3890</v>
      </c>
      <c r="D225" s="305"/>
      <c r="E225" s="266" t="s">
        <v>3891</v>
      </c>
      <c r="F225" s="267" t="s">
        <v>220</v>
      </c>
      <c r="G225" s="269"/>
      <c r="H225" s="269"/>
      <c r="I225" s="269"/>
      <c r="J225" s="269"/>
      <c r="K225" s="269"/>
      <c r="L225" s="269"/>
      <c r="M225" s="269"/>
      <c r="N225" s="269"/>
      <c r="O225" s="269"/>
      <c r="P225" s="269"/>
      <c r="Q225" s="269"/>
      <c r="R225" s="269"/>
      <c r="S225" s="269"/>
      <c r="T225" s="269"/>
      <c r="U225" s="269"/>
      <c r="V225" s="217"/>
      <c r="W225" s="217"/>
      <c r="X225" s="217"/>
      <c r="Y225" s="217"/>
      <c r="Z225" s="217"/>
      <c r="AA225" s="217"/>
    </row>
    <row r="226" ht="14.25" customHeight="1">
      <c r="A226" s="218">
        <v>225.0</v>
      </c>
      <c r="B226" s="245">
        <v>30.0</v>
      </c>
      <c r="C226" s="302" t="s">
        <v>3895</v>
      </c>
      <c r="D226" s="303"/>
      <c r="E226" s="266" t="s">
        <v>3896</v>
      </c>
      <c r="F226" s="267" t="s">
        <v>227</v>
      </c>
      <c r="G226" s="269"/>
      <c r="H226" s="269"/>
      <c r="I226" s="269"/>
      <c r="J226" s="269"/>
      <c r="K226" s="269"/>
      <c r="L226" s="269"/>
      <c r="M226" s="269"/>
      <c r="N226" s="269"/>
      <c r="O226" s="269"/>
      <c r="P226" s="269"/>
      <c r="Q226" s="269"/>
      <c r="R226" s="269"/>
      <c r="S226" s="269"/>
      <c r="T226" s="269"/>
      <c r="U226" s="269"/>
      <c r="X226" s="217"/>
      <c r="Y226" s="217"/>
      <c r="Z226" s="217"/>
      <c r="AA226" s="217"/>
    </row>
    <row r="227" ht="14.25" customHeight="1">
      <c r="A227" s="218">
        <v>226.0</v>
      </c>
      <c r="B227" s="245">
        <v>31.0</v>
      </c>
      <c r="C227" s="304" t="s">
        <v>3901</v>
      </c>
      <c r="D227" s="305"/>
      <c r="E227" s="266" t="s">
        <v>3902</v>
      </c>
      <c r="F227" s="267" t="s">
        <v>227</v>
      </c>
      <c r="G227" s="269"/>
      <c r="H227" s="269"/>
      <c r="I227" s="269"/>
      <c r="J227" s="269"/>
      <c r="K227" s="269"/>
      <c r="L227" s="269"/>
      <c r="M227" s="269"/>
      <c r="N227" s="269"/>
      <c r="O227" s="269"/>
      <c r="P227" s="269"/>
      <c r="Q227" s="269"/>
      <c r="R227" s="269"/>
      <c r="S227" s="269"/>
      <c r="T227" s="269"/>
      <c r="U227" s="269"/>
      <c r="V227" s="217"/>
      <c r="W227" s="217"/>
      <c r="X227" s="217"/>
      <c r="Y227" s="217"/>
      <c r="Z227" s="217"/>
      <c r="AA227" s="217"/>
    </row>
    <row r="228" ht="14.25" customHeight="1">
      <c r="A228" s="218">
        <v>227.0</v>
      </c>
      <c r="B228" s="245">
        <v>32.0</v>
      </c>
      <c r="C228" s="302" t="s">
        <v>3906</v>
      </c>
      <c r="D228" s="303"/>
      <c r="E228" s="266" t="s">
        <v>3907</v>
      </c>
      <c r="F228" s="267" t="s">
        <v>227</v>
      </c>
      <c r="G228" s="269"/>
      <c r="H228" s="269"/>
      <c r="I228" s="269"/>
      <c r="J228" s="269"/>
      <c r="K228" s="269"/>
      <c r="L228" s="269"/>
      <c r="M228" s="269"/>
      <c r="N228" s="269"/>
      <c r="O228" s="269"/>
      <c r="P228" s="269"/>
      <c r="Q228" s="269"/>
      <c r="R228" s="269"/>
      <c r="S228" s="269"/>
      <c r="T228" s="269"/>
      <c r="U228" s="269"/>
      <c r="V228" s="217"/>
      <c r="W228" s="217"/>
      <c r="X228" s="217"/>
      <c r="Y228" s="217"/>
      <c r="Z228" s="217"/>
      <c r="AA228" s="217"/>
    </row>
    <row r="229" ht="14.25" customHeight="1">
      <c r="A229" s="218">
        <v>228.0</v>
      </c>
      <c r="B229" s="245">
        <v>33.0</v>
      </c>
      <c r="C229" s="310" t="s">
        <v>3911</v>
      </c>
      <c r="D229" s="311"/>
      <c r="E229" s="266" t="s">
        <v>3912</v>
      </c>
      <c r="F229" s="267" t="s">
        <v>227</v>
      </c>
      <c r="G229" s="269"/>
      <c r="H229" s="269"/>
      <c r="I229" s="269"/>
      <c r="J229" s="269"/>
      <c r="K229" s="269"/>
      <c r="L229" s="269"/>
      <c r="M229" s="269"/>
      <c r="N229" s="269"/>
      <c r="O229" s="269"/>
      <c r="P229" s="269"/>
      <c r="Q229" s="269"/>
      <c r="R229" s="269"/>
      <c r="S229" s="269"/>
      <c r="T229" s="269"/>
      <c r="U229" s="269"/>
      <c r="V229" s="217"/>
      <c r="W229" s="217"/>
      <c r="X229" s="217"/>
      <c r="Y229" s="217"/>
      <c r="Z229" s="217"/>
      <c r="AA229" s="217"/>
    </row>
    <row r="230" ht="14.25" customHeight="1">
      <c r="A230" s="218">
        <v>229.0</v>
      </c>
      <c r="B230" s="245">
        <v>34.0</v>
      </c>
      <c r="C230" s="310" t="s">
        <v>3916</v>
      </c>
      <c r="D230" s="311"/>
      <c r="E230" s="270" t="s">
        <v>3917</v>
      </c>
      <c r="F230" s="267" t="s">
        <v>227</v>
      </c>
      <c r="G230" s="269"/>
      <c r="H230" s="269"/>
      <c r="I230" s="269"/>
      <c r="J230" s="269"/>
      <c r="K230" s="269"/>
      <c r="L230" s="269"/>
      <c r="M230" s="269"/>
      <c r="N230" s="269"/>
      <c r="O230" s="269"/>
      <c r="P230" s="269"/>
      <c r="Q230" s="269"/>
      <c r="R230" s="269"/>
      <c r="S230" s="269"/>
      <c r="T230" s="269"/>
      <c r="U230" s="269"/>
      <c r="V230" s="217"/>
      <c r="W230" s="217"/>
      <c r="X230" s="217"/>
      <c r="Y230" s="217"/>
      <c r="Z230" s="217"/>
      <c r="AA230" s="217"/>
    </row>
    <row r="231" ht="14.25" customHeight="1">
      <c r="A231" s="218">
        <v>230.0</v>
      </c>
      <c r="B231" s="245">
        <v>35.0</v>
      </c>
      <c r="C231" s="310" t="s">
        <v>3921</v>
      </c>
      <c r="D231" s="311"/>
      <c r="E231" s="314" t="s">
        <v>3922</v>
      </c>
      <c r="F231" s="315" t="s">
        <v>220</v>
      </c>
      <c r="G231" s="269"/>
      <c r="H231" s="269"/>
      <c r="I231" s="269"/>
      <c r="J231" s="269"/>
      <c r="K231" s="269"/>
      <c r="L231" s="269"/>
      <c r="M231" s="269"/>
      <c r="N231" s="269"/>
      <c r="O231" s="269"/>
      <c r="P231" s="269"/>
      <c r="Q231" s="269"/>
      <c r="R231" s="269"/>
      <c r="S231" s="269"/>
      <c r="T231" s="269"/>
      <c r="U231" s="269"/>
      <c r="V231" s="217"/>
      <c r="W231" s="217"/>
      <c r="X231" s="217"/>
      <c r="Y231" s="217"/>
      <c r="Z231" s="217"/>
      <c r="AA231" s="217"/>
    </row>
    <row r="232" ht="14.25" customHeight="1">
      <c r="A232" s="218">
        <v>231.0</v>
      </c>
      <c r="B232" s="245">
        <v>36.0</v>
      </c>
      <c r="C232" s="304" t="s">
        <v>3926</v>
      </c>
      <c r="D232" s="305"/>
      <c r="E232" s="266" t="s">
        <v>3927</v>
      </c>
      <c r="F232" s="267" t="s">
        <v>227</v>
      </c>
      <c r="G232" s="269"/>
      <c r="H232" s="269"/>
      <c r="I232" s="269"/>
      <c r="J232" s="269"/>
      <c r="K232" s="269"/>
      <c r="L232" s="269"/>
      <c r="M232" s="269"/>
      <c r="N232" s="269"/>
      <c r="O232" s="269"/>
      <c r="P232" s="269"/>
      <c r="Q232" s="269"/>
      <c r="R232" s="269"/>
      <c r="S232" s="269"/>
      <c r="T232" s="269"/>
      <c r="U232" s="269"/>
      <c r="V232" s="217"/>
      <c r="W232" s="217"/>
      <c r="X232" s="217"/>
      <c r="Y232" s="217"/>
      <c r="Z232" s="217"/>
      <c r="AA232" s="217"/>
    </row>
    <row r="233" ht="16.5" hidden="1" customHeight="1">
      <c r="A233" s="218">
        <v>232.0</v>
      </c>
      <c r="B233" s="252"/>
      <c r="C233" s="253"/>
      <c r="D233" s="252"/>
      <c r="E233" s="253"/>
      <c r="F233" s="253"/>
      <c r="G233" s="254"/>
      <c r="H233" s="254"/>
      <c r="I233" s="254"/>
      <c r="J233" s="254"/>
      <c r="K233" s="254"/>
      <c r="L233" s="254"/>
      <c r="M233" s="254"/>
      <c r="N233" s="254"/>
      <c r="O233" s="254"/>
      <c r="P233" s="254"/>
      <c r="Q233" s="254"/>
      <c r="R233" s="254"/>
      <c r="S233" s="254"/>
      <c r="T233" s="254"/>
      <c r="U233" s="254"/>
      <c r="V233" s="217"/>
      <c r="W233" s="217"/>
      <c r="X233" s="217"/>
      <c r="Y233" s="217"/>
      <c r="Z233" s="217"/>
      <c r="AA233" s="217"/>
    </row>
    <row r="234" ht="16.5" hidden="1" customHeight="1">
      <c r="A234" s="218">
        <v>233.0</v>
      </c>
      <c r="B234" s="252"/>
      <c r="C234" s="253"/>
      <c r="D234" s="252"/>
      <c r="E234" s="253"/>
      <c r="F234" s="253"/>
      <c r="G234" s="254"/>
      <c r="H234" s="254"/>
      <c r="I234" s="254"/>
      <c r="J234" s="254"/>
      <c r="K234" s="254"/>
      <c r="L234" s="255" t="s">
        <v>9753</v>
      </c>
      <c r="M234" s="256"/>
      <c r="N234" s="256"/>
      <c r="O234" s="256"/>
      <c r="P234" s="256"/>
      <c r="Q234" s="256"/>
      <c r="R234" s="256"/>
      <c r="S234" s="256"/>
      <c r="T234" s="256"/>
      <c r="U234" s="257"/>
      <c r="V234" s="217"/>
      <c r="W234" s="217"/>
      <c r="X234" s="217"/>
      <c r="Y234" s="217"/>
      <c r="Z234" s="217"/>
      <c r="AA234" s="217"/>
    </row>
    <row r="235" ht="16.5" hidden="1" customHeight="1">
      <c r="A235" s="218">
        <v>234.0</v>
      </c>
      <c r="B235" s="252"/>
      <c r="C235" s="253"/>
      <c r="D235" s="252"/>
      <c r="E235" s="253"/>
      <c r="F235" s="253"/>
      <c r="G235" s="254"/>
      <c r="H235" s="254"/>
      <c r="I235" s="254"/>
      <c r="J235" s="254"/>
      <c r="K235" s="254"/>
      <c r="L235" s="258" t="s">
        <v>8793</v>
      </c>
      <c r="M235" s="259"/>
      <c r="N235" s="259"/>
      <c r="O235" s="259"/>
      <c r="P235" s="259"/>
      <c r="Q235" s="259"/>
      <c r="R235" s="259"/>
      <c r="S235" s="259"/>
      <c r="T235" s="259"/>
      <c r="U235" s="260"/>
      <c r="V235" s="217"/>
      <c r="W235" s="217"/>
      <c r="X235" s="217"/>
      <c r="Y235" s="217"/>
      <c r="Z235" s="217"/>
      <c r="AA235" s="217"/>
    </row>
    <row r="236" ht="72.75" hidden="1" customHeight="1">
      <c r="A236" s="218">
        <v>235.0</v>
      </c>
      <c r="B236" s="261"/>
      <c r="C236" s="261"/>
      <c r="D236" s="261"/>
      <c r="E236" s="261"/>
      <c r="F236" s="261"/>
      <c r="G236" s="261"/>
      <c r="H236" s="261"/>
      <c r="I236" s="261"/>
      <c r="J236" s="261"/>
      <c r="K236" s="261"/>
      <c r="L236" s="261"/>
      <c r="M236" s="261"/>
      <c r="N236" s="261"/>
      <c r="O236" s="261"/>
      <c r="P236" s="261"/>
      <c r="Q236" s="261"/>
      <c r="R236" s="261"/>
      <c r="S236" s="261"/>
      <c r="T236" s="261"/>
      <c r="U236" s="261"/>
      <c r="V236" s="217"/>
      <c r="W236" s="217"/>
      <c r="X236" s="217"/>
      <c r="Y236" s="217"/>
      <c r="Z236" s="217"/>
      <c r="AA236" s="217"/>
    </row>
    <row r="237" ht="16.5" hidden="1" customHeight="1">
      <c r="A237" s="218">
        <v>236.0</v>
      </c>
      <c r="B237" s="262"/>
      <c r="C237" s="263"/>
      <c r="D237" s="263"/>
      <c r="E237" s="263"/>
      <c r="F237" s="263"/>
      <c r="G237" s="263"/>
      <c r="H237" s="263"/>
      <c r="I237" s="263"/>
      <c r="J237" s="263"/>
      <c r="K237" s="263"/>
      <c r="L237" s="263"/>
      <c r="M237" s="263"/>
      <c r="N237" s="263"/>
      <c r="O237" s="263"/>
      <c r="P237" s="263"/>
      <c r="Q237" s="263"/>
      <c r="R237" s="263"/>
      <c r="S237" s="263"/>
      <c r="T237" s="263"/>
      <c r="U237" s="264"/>
      <c r="V237" s="217"/>
      <c r="W237" s="217"/>
      <c r="X237" s="217"/>
      <c r="Y237" s="217"/>
      <c r="Z237" s="217"/>
      <c r="AA237" s="217"/>
    </row>
    <row r="238" ht="16.5" hidden="1" customHeight="1">
      <c r="A238" s="218">
        <v>237.0</v>
      </c>
      <c r="B238" s="222"/>
      <c r="C238" s="223"/>
      <c r="D238" s="223"/>
      <c r="E238" s="223"/>
      <c r="F238" s="223"/>
      <c r="G238" s="223"/>
      <c r="H238" s="223"/>
      <c r="I238" s="223"/>
      <c r="J238" s="223"/>
      <c r="K238" s="223"/>
      <c r="L238" s="223"/>
      <c r="M238" s="223"/>
      <c r="N238" s="223"/>
      <c r="O238" s="223"/>
      <c r="P238" s="223"/>
      <c r="Q238" s="223"/>
      <c r="R238" s="223"/>
      <c r="S238" s="223"/>
      <c r="T238" s="223"/>
      <c r="U238" s="224"/>
      <c r="V238" s="217"/>
      <c r="W238" s="217"/>
      <c r="X238" s="217"/>
      <c r="Y238" s="217"/>
      <c r="Z238" s="217"/>
      <c r="AA238" s="217"/>
    </row>
    <row r="239" ht="16.5" hidden="1" customHeight="1">
      <c r="A239" s="218">
        <v>238.0</v>
      </c>
      <c r="B239" s="225"/>
      <c r="C239" s="226"/>
      <c r="D239" s="226"/>
      <c r="E239" s="226"/>
      <c r="F239" s="226"/>
      <c r="G239" s="226"/>
      <c r="H239" s="226"/>
      <c r="I239" s="226"/>
      <c r="J239" s="226"/>
      <c r="K239" s="226"/>
      <c r="L239" s="226"/>
      <c r="M239" s="226"/>
      <c r="N239" s="226"/>
      <c r="O239" s="226"/>
      <c r="P239" s="226"/>
      <c r="Q239" s="226"/>
      <c r="R239" s="226"/>
      <c r="S239" s="226"/>
      <c r="T239" s="226"/>
      <c r="U239" s="227"/>
      <c r="V239" s="217"/>
      <c r="W239" s="217"/>
      <c r="X239" s="217"/>
      <c r="Y239" s="217"/>
      <c r="Z239" s="217"/>
      <c r="AA239" s="217"/>
    </row>
    <row r="240" ht="16.5" hidden="1" customHeight="1">
      <c r="A240" s="218">
        <v>239.0</v>
      </c>
      <c r="B240" s="228"/>
      <c r="C240" s="229"/>
      <c r="D240" s="229"/>
      <c r="E240" s="229"/>
      <c r="F240" s="229"/>
      <c r="G240" s="230"/>
      <c r="H240" s="230"/>
      <c r="I240" s="230"/>
      <c r="J240" s="230"/>
      <c r="K240" s="230"/>
      <c r="L240" s="230"/>
      <c r="M240" s="230"/>
      <c r="N240" s="230"/>
      <c r="O240" s="230"/>
      <c r="P240" s="230"/>
      <c r="Q240" s="230"/>
      <c r="R240" s="230"/>
      <c r="S240" s="230"/>
      <c r="T240" s="230"/>
      <c r="U240" s="230"/>
      <c r="V240" s="217"/>
      <c r="W240" s="217"/>
      <c r="X240" s="217"/>
      <c r="Y240" s="217"/>
      <c r="Z240" s="217"/>
      <c r="AA240" s="217"/>
    </row>
    <row r="241" ht="14.25" hidden="1" customHeight="1">
      <c r="A241" s="218">
        <v>240.0</v>
      </c>
      <c r="B241" s="231"/>
      <c r="C241" s="231"/>
      <c r="D241" s="231"/>
      <c r="E241" s="231"/>
      <c r="F241" s="232"/>
      <c r="G241" s="233"/>
      <c r="H241" s="234"/>
      <c r="I241" s="234"/>
      <c r="J241" s="234"/>
      <c r="K241" s="234"/>
      <c r="L241" s="234"/>
      <c r="M241" s="234"/>
      <c r="N241" s="234"/>
      <c r="O241" s="234"/>
      <c r="P241" s="234"/>
      <c r="Q241" s="234"/>
      <c r="R241" s="234"/>
      <c r="S241" s="234"/>
      <c r="T241" s="234"/>
      <c r="U241" s="235"/>
      <c r="V241" s="217"/>
      <c r="W241" s="217"/>
      <c r="X241" s="217"/>
      <c r="Y241" s="217"/>
      <c r="Z241" s="217"/>
      <c r="AA241" s="217"/>
    </row>
    <row r="242" ht="14.25" hidden="1" customHeight="1">
      <c r="A242" s="218">
        <v>241.0</v>
      </c>
      <c r="B242" s="236"/>
      <c r="C242" s="236"/>
      <c r="D242" s="236"/>
      <c r="E242" s="236"/>
      <c r="F242" s="237"/>
      <c r="G242" s="238"/>
      <c r="H242" s="239"/>
      <c r="I242" s="239"/>
      <c r="J242" s="239"/>
      <c r="K242" s="239"/>
      <c r="L242" s="239"/>
      <c r="M242" s="239"/>
      <c r="N242" s="239"/>
      <c r="O242" s="239"/>
      <c r="P242" s="239"/>
      <c r="Q242" s="239"/>
      <c r="R242" s="240"/>
      <c r="S242" s="233" t="s">
        <v>9713</v>
      </c>
      <c r="T242" s="234"/>
      <c r="U242" s="235"/>
      <c r="V242" s="217"/>
      <c r="W242" s="217"/>
      <c r="X242" s="217"/>
      <c r="Y242" s="217"/>
      <c r="Z242" s="217"/>
      <c r="AA242" s="217"/>
    </row>
    <row r="243" ht="14.25" hidden="1" customHeight="1">
      <c r="A243" s="218">
        <v>242.0</v>
      </c>
      <c r="B243" s="241"/>
      <c r="C243" s="241"/>
      <c r="D243" s="241"/>
      <c r="E243" s="241"/>
      <c r="F243" s="242"/>
      <c r="G243" s="243"/>
      <c r="H243" s="243">
        <v>2.0</v>
      </c>
      <c r="I243" s="243">
        <v>3.0</v>
      </c>
      <c r="J243" s="243">
        <v>4.0</v>
      </c>
      <c r="K243" s="243">
        <v>5.0</v>
      </c>
      <c r="L243" s="243">
        <v>6.0</v>
      </c>
      <c r="M243" s="243">
        <v>7.0</v>
      </c>
      <c r="N243" s="243">
        <v>8.0</v>
      </c>
      <c r="O243" s="243">
        <v>9.0</v>
      </c>
      <c r="P243" s="243">
        <v>10.0</v>
      </c>
      <c r="Q243" s="243">
        <v>11.0</v>
      </c>
      <c r="R243" s="243">
        <v>12.0</v>
      </c>
      <c r="S243" s="243" t="s">
        <v>9714</v>
      </c>
      <c r="T243" s="243" t="s">
        <v>9715</v>
      </c>
      <c r="U243" s="244" t="s">
        <v>9716</v>
      </c>
      <c r="V243" s="217"/>
      <c r="W243" s="217"/>
      <c r="X243" s="217"/>
      <c r="Y243" s="217"/>
      <c r="Z243" s="217"/>
      <c r="AA243" s="217"/>
    </row>
    <row r="244" ht="14.25" customHeight="1">
      <c r="A244" s="218">
        <v>243.0</v>
      </c>
      <c r="B244" s="245">
        <v>1.0</v>
      </c>
      <c r="C244" s="302" t="s">
        <v>3932</v>
      </c>
      <c r="D244" s="303"/>
      <c r="E244" s="266" t="s">
        <v>3933</v>
      </c>
      <c r="F244" s="267" t="s">
        <v>227</v>
      </c>
      <c r="G244" s="269"/>
      <c r="H244" s="269"/>
      <c r="I244" s="269"/>
      <c r="J244" s="269"/>
      <c r="K244" s="269"/>
      <c r="L244" s="269"/>
      <c r="M244" s="269"/>
      <c r="N244" s="269"/>
      <c r="O244" s="269"/>
      <c r="P244" s="269"/>
      <c r="Q244" s="269"/>
      <c r="R244" s="269"/>
      <c r="S244" s="269"/>
      <c r="T244" s="269"/>
      <c r="U244" s="269"/>
      <c r="X244" s="217"/>
      <c r="Y244" s="217"/>
      <c r="Z244" s="217"/>
      <c r="AA244" s="217"/>
    </row>
    <row r="245" ht="14.25" customHeight="1">
      <c r="A245" s="218">
        <v>244.0</v>
      </c>
      <c r="B245" s="245">
        <v>2.0</v>
      </c>
      <c r="C245" s="310" t="s">
        <v>3938</v>
      </c>
      <c r="D245" s="311"/>
      <c r="E245" s="266" t="s">
        <v>3939</v>
      </c>
      <c r="F245" s="267" t="s">
        <v>227</v>
      </c>
      <c r="G245" s="269"/>
      <c r="H245" s="269"/>
      <c r="I245" s="269"/>
      <c r="J245" s="269"/>
      <c r="K245" s="269"/>
      <c r="L245" s="269"/>
      <c r="M245" s="269"/>
      <c r="N245" s="269"/>
      <c r="O245" s="269"/>
      <c r="P245" s="269"/>
      <c r="Q245" s="269"/>
      <c r="R245" s="269"/>
      <c r="S245" s="269"/>
      <c r="T245" s="269"/>
      <c r="U245" s="269"/>
      <c r="V245" s="217"/>
      <c r="W245" s="217"/>
      <c r="X245" s="217"/>
      <c r="Y245" s="217"/>
      <c r="Z245" s="217"/>
      <c r="AA245" s="217"/>
    </row>
    <row r="246" ht="14.25" customHeight="1">
      <c r="A246" s="218">
        <v>245.0</v>
      </c>
      <c r="B246" s="245">
        <v>3.0</v>
      </c>
      <c r="C246" s="304" t="s">
        <v>3943</v>
      </c>
      <c r="D246" s="305"/>
      <c r="E246" s="266" t="s">
        <v>3944</v>
      </c>
      <c r="F246" s="316" t="s">
        <v>227</v>
      </c>
      <c r="G246" s="269"/>
      <c r="H246" s="269"/>
      <c r="I246" s="269"/>
      <c r="J246" s="269"/>
      <c r="K246" s="269"/>
      <c r="L246" s="269"/>
      <c r="M246" s="269"/>
      <c r="N246" s="269"/>
      <c r="O246" s="269"/>
      <c r="P246" s="269"/>
      <c r="Q246" s="269"/>
      <c r="R246" s="269"/>
      <c r="S246" s="269"/>
      <c r="T246" s="269"/>
      <c r="U246" s="269"/>
      <c r="V246" s="217"/>
      <c r="W246" s="217"/>
      <c r="X246" s="217"/>
      <c r="Y246" s="217"/>
      <c r="Z246" s="217"/>
      <c r="AA246" s="217"/>
    </row>
    <row r="247" ht="14.25" customHeight="1">
      <c r="A247" s="218">
        <v>246.0</v>
      </c>
      <c r="B247" s="245">
        <v>4.0</v>
      </c>
      <c r="C247" s="297" t="s">
        <v>3948</v>
      </c>
      <c r="D247" s="298"/>
      <c r="E247" s="266" t="s">
        <v>3949</v>
      </c>
      <c r="F247" s="267" t="s">
        <v>220</v>
      </c>
      <c r="G247" s="269"/>
      <c r="H247" s="269"/>
      <c r="I247" s="269"/>
      <c r="J247" s="269"/>
      <c r="K247" s="269"/>
      <c r="L247" s="269"/>
      <c r="M247" s="269"/>
      <c r="N247" s="269"/>
      <c r="O247" s="269"/>
      <c r="P247" s="269"/>
      <c r="Q247" s="269"/>
      <c r="R247" s="269"/>
      <c r="S247" s="269"/>
      <c r="T247" s="269"/>
      <c r="U247" s="269"/>
      <c r="V247" s="217"/>
      <c r="W247" s="217"/>
      <c r="X247" s="217"/>
      <c r="Y247" s="217"/>
      <c r="Z247" s="217"/>
      <c r="AA247" s="217"/>
    </row>
    <row r="248" ht="14.25" customHeight="1">
      <c r="A248" s="218">
        <v>247.0</v>
      </c>
      <c r="B248" s="245">
        <v>5.0</v>
      </c>
      <c r="C248" s="297" t="s">
        <v>3953</v>
      </c>
      <c r="D248" s="298"/>
      <c r="E248" s="266" t="s">
        <v>3954</v>
      </c>
      <c r="F248" s="267" t="s">
        <v>227</v>
      </c>
      <c r="G248" s="269"/>
      <c r="H248" s="269"/>
      <c r="I248" s="269"/>
      <c r="J248" s="269"/>
      <c r="K248" s="269"/>
      <c r="L248" s="269"/>
      <c r="M248" s="269"/>
      <c r="N248" s="269"/>
      <c r="O248" s="269"/>
      <c r="P248" s="269"/>
      <c r="Q248" s="269"/>
      <c r="R248" s="269"/>
      <c r="S248" s="269"/>
      <c r="T248" s="269"/>
      <c r="U248" s="269"/>
      <c r="V248" s="217"/>
      <c r="W248" s="217"/>
      <c r="X248" s="217"/>
      <c r="Y248" s="217"/>
      <c r="Z248" s="217"/>
      <c r="AA248" s="217"/>
    </row>
    <row r="249" ht="14.25" customHeight="1">
      <c r="A249" s="218">
        <v>248.0</v>
      </c>
      <c r="B249" s="245">
        <v>6.0</v>
      </c>
      <c r="C249" s="297" t="s">
        <v>3959</v>
      </c>
      <c r="D249" s="298"/>
      <c r="E249" s="266" t="s">
        <v>3960</v>
      </c>
      <c r="F249" s="267" t="s">
        <v>227</v>
      </c>
      <c r="G249" s="269"/>
      <c r="H249" s="269"/>
      <c r="I249" s="269"/>
      <c r="J249" s="269"/>
      <c r="K249" s="269"/>
      <c r="L249" s="269"/>
      <c r="M249" s="269"/>
      <c r="N249" s="269"/>
      <c r="O249" s="269"/>
      <c r="P249" s="269"/>
      <c r="Q249" s="269"/>
      <c r="R249" s="269"/>
      <c r="S249" s="269"/>
      <c r="T249" s="269"/>
      <c r="U249" s="269"/>
      <c r="V249" s="217"/>
      <c r="W249" s="217"/>
      <c r="X249" s="217"/>
      <c r="Y249" s="217"/>
      <c r="Z249" s="217"/>
      <c r="AA249" s="217"/>
    </row>
    <row r="250" ht="14.25" customHeight="1">
      <c r="A250" s="218">
        <v>249.0</v>
      </c>
      <c r="B250" s="245">
        <v>7.0</v>
      </c>
      <c r="C250" s="297" t="s">
        <v>3964</v>
      </c>
      <c r="D250" s="298"/>
      <c r="E250" s="266" t="s">
        <v>3965</v>
      </c>
      <c r="F250" s="267" t="s">
        <v>227</v>
      </c>
      <c r="G250" s="269"/>
      <c r="H250" s="269"/>
      <c r="I250" s="269"/>
      <c r="J250" s="269"/>
      <c r="K250" s="269"/>
      <c r="L250" s="269"/>
      <c r="M250" s="269"/>
      <c r="N250" s="269"/>
      <c r="O250" s="269"/>
      <c r="P250" s="269"/>
      <c r="Q250" s="269"/>
      <c r="R250" s="269"/>
      <c r="S250" s="269"/>
      <c r="T250" s="269"/>
      <c r="U250" s="269"/>
      <c r="V250" s="217"/>
      <c r="W250" s="217"/>
      <c r="X250" s="217"/>
      <c r="Y250" s="217"/>
      <c r="Z250" s="217"/>
      <c r="AA250" s="217"/>
    </row>
    <row r="251" ht="14.25" customHeight="1">
      <c r="A251" s="218">
        <v>250.0</v>
      </c>
      <c r="B251" s="245">
        <v>8.0</v>
      </c>
      <c r="C251" s="297" t="s">
        <v>3969</v>
      </c>
      <c r="D251" s="298"/>
      <c r="E251" s="266" t="s">
        <v>3970</v>
      </c>
      <c r="F251" s="267" t="s">
        <v>227</v>
      </c>
      <c r="G251" s="269"/>
      <c r="H251" s="269"/>
      <c r="I251" s="269"/>
      <c r="J251" s="269"/>
      <c r="K251" s="269"/>
      <c r="L251" s="269"/>
      <c r="M251" s="269"/>
      <c r="N251" s="269"/>
      <c r="O251" s="269"/>
      <c r="P251" s="269"/>
      <c r="Q251" s="269"/>
      <c r="R251" s="269"/>
      <c r="S251" s="269"/>
      <c r="T251" s="269"/>
      <c r="U251" s="269"/>
      <c r="V251" s="217"/>
      <c r="W251" s="217"/>
      <c r="X251" s="217"/>
      <c r="Y251" s="217"/>
      <c r="Z251" s="217"/>
      <c r="AA251" s="217"/>
    </row>
    <row r="252" ht="14.25" customHeight="1">
      <c r="A252" s="218">
        <v>251.0</v>
      </c>
      <c r="B252" s="245">
        <v>9.0</v>
      </c>
      <c r="C252" s="297" t="s">
        <v>3974</v>
      </c>
      <c r="D252" s="298"/>
      <c r="E252" s="266" t="s">
        <v>3975</v>
      </c>
      <c r="F252" s="267" t="s">
        <v>227</v>
      </c>
      <c r="G252" s="269"/>
      <c r="H252" s="269"/>
      <c r="I252" s="269"/>
      <c r="J252" s="269"/>
      <c r="K252" s="269"/>
      <c r="L252" s="269"/>
      <c r="M252" s="269"/>
      <c r="N252" s="269"/>
      <c r="O252" s="269"/>
      <c r="P252" s="269"/>
      <c r="Q252" s="269"/>
      <c r="R252" s="269"/>
      <c r="S252" s="269"/>
      <c r="T252" s="269"/>
      <c r="U252" s="269"/>
      <c r="V252" s="217"/>
      <c r="W252" s="217"/>
      <c r="X252" s="217"/>
      <c r="Y252" s="217"/>
      <c r="Z252" s="217"/>
      <c r="AA252" s="217"/>
    </row>
    <row r="253" ht="14.25" customHeight="1">
      <c r="A253" s="218">
        <v>252.0</v>
      </c>
      <c r="B253" s="245">
        <v>10.0</v>
      </c>
      <c r="C253" s="302" t="s">
        <v>3979</v>
      </c>
      <c r="D253" s="303"/>
      <c r="E253" s="266" t="s">
        <v>3980</v>
      </c>
      <c r="F253" s="267" t="s">
        <v>220</v>
      </c>
      <c r="G253" s="269"/>
      <c r="H253" s="269"/>
      <c r="I253" s="269"/>
      <c r="J253" s="269"/>
      <c r="K253" s="269"/>
      <c r="L253" s="269"/>
      <c r="M253" s="269"/>
      <c r="N253" s="269"/>
      <c r="O253" s="269"/>
      <c r="P253" s="269"/>
      <c r="Q253" s="269"/>
      <c r="R253" s="269"/>
      <c r="S253" s="269"/>
      <c r="T253" s="269"/>
      <c r="U253" s="269"/>
      <c r="X253" s="217"/>
      <c r="Y253" s="217"/>
      <c r="Z253" s="217"/>
      <c r="AA253" s="217"/>
    </row>
    <row r="254" ht="14.25" customHeight="1">
      <c r="A254" s="218">
        <v>253.0</v>
      </c>
      <c r="B254" s="245">
        <v>11.0</v>
      </c>
      <c r="C254" s="304" t="s">
        <v>3984</v>
      </c>
      <c r="D254" s="305"/>
      <c r="E254" s="266" t="s">
        <v>3985</v>
      </c>
      <c r="F254" s="267" t="s">
        <v>220</v>
      </c>
      <c r="G254" s="269"/>
      <c r="H254" s="269"/>
      <c r="I254" s="269"/>
      <c r="J254" s="269"/>
      <c r="K254" s="269"/>
      <c r="L254" s="269"/>
      <c r="M254" s="269"/>
      <c r="N254" s="269"/>
      <c r="O254" s="269"/>
      <c r="P254" s="269"/>
      <c r="Q254" s="269"/>
      <c r="R254" s="269"/>
      <c r="S254" s="269"/>
      <c r="T254" s="269"/>
      <c r="U254" s="269"/>
      <c r="V254" s="217"/>
      <c r="W254" s="217"/>
      <c r="X254" s="217"/>
      <c r="Y254" s="217"/>
      <c r="Z254" s="217"/>
      <c r="AA254" s="217"/>
    </row>
    <row r="255" ht="14.25" customHeight="1">
      <c r="A255" s="218">
        <v>254.0</v>
      </c>
      <c r="B255" s="245">
        <v>12.0</v>
      </c>
      <c r="C255" s="302" t="s">
        <v>3990</v>
      </c>
      <c r="D255" s="303"/>
      <c r="E255" s="266" t="s">
        <v>3991</v>
      </c>
      <c r="F255" s="267" t="s">
        <v>227</v>
      </c>
      <c r="G255" s="269"/>
      <c r="H255" s="269"/>
      <c r="I255" s="269"/>
      <c r="J255" s="269"/>
      <c r="K255" s="269"/>
      <c r="L255" s="269"/>
      <c r="M255" s="269"/>
      <c r="N255" s="269"/>
      <c r="O255" s="269"/>
      <c r="P255" s="269"/>
      <c r="Q255" s="269"/>
      <c r="R255" s="269"/>
      <c r="S255" s="269"/>
      <c r="T255" s="269"/>
      <c r="U255" s="269"/>
      <c r="X255" s="217"/>
      <c r="Y255" s="217"/>
      <c r="Z255" s="217"/>
      <c r="AA255" s="217"/>
    </row>
    <row r="256" ht="14.25" customHeight="1">
      <c r="A256" s="218">
        <v>255.0</v>
      </c>
      <c r="B256" s="245">
        <v>13.0</v>
      </c>
      <c r="C256" s="304" t="s">
        <v>3995</v>
      </c>
      <c r="D256" s="305"/>
      <c r="E256" s="266" t="s">
        <v>3996</v>
      </c>
      <c r="F256" s="267" t="s">
        <v>220</v>
      </c>
      <c r="G256" s="269"/>
      <c r="H256" s="269"/>
      <c r="I256" s="269"/>
      <c r="J256" s="269"/>
      <c r="K256" s="269"/>
      <c r="L256" s="269"/>
      <c r="M256" s="269"/>
      <c r="N256" s="269"/>
      <c r="O256" s="269"/>
      <c r="P256" s="269"/>
      <c r="Q256" s="269"/>
      <c r="R256" s="269"/>
      <c r="S256" s="269"/>
      <c r="T256" s="269"/>
      <c r="U256" s="269"/>
      <c r="V256" s="217"/>
      <c r="W256" s="217"/>
      <c r="X256" s="217"/>
      <c r="Y256" s="217"/>
      <c r="Z256" s="217"/>
      <c r="AA256" s="217"/>
    </row>
    <row r="257" ht="22.5" customHeight="1">
      <c r="A257" s="218">
        <v>256.0</v>
      </c>
      <c r="B257" s="245">
        <v>14.0</v>
      </c>
      <c r="C257" s="297" t="s">
        <v>4000</v>
      </c>
      <c r="D257" s="298"/>
      <c r="E257" s="276" t="s">
        <v>4001</v>
      </c>
      <c r="F257" s="277" t="s">
        <v>220</v>
      </c>
      <c r="G257" s="269"/>
      <c r="H257" s="269"/>
      <c r="I257" s="269"/>
      <c r="J257" s="269"/>
      <c r="K257" s="269"/>
      <c r="L257" s="269"/>
      <c r="M257" s="269"/>
      <c r="N257" s="269"/>
      <c r="O257" s="269"/>
      <c r="P257" s="269"/>
      <c r="Q257" s="269"/>
      <c r="R257" s="269"/>
      <c r="S257" s="269"/>
      <c r="T257" s="269"/>
      <c r="U257" s="269"/>
      <c r="V257" s="217"/>
      <c r="W257" s="217"/>
      <c r="X257" s="217"/>
      <c r="Y257" s="217"/>
      <c r="Z257" s="217"/>
      <c r="AA257" s="217"/>
    </row>
    <row r="258" ht="14.25" customHeight="1">
      <c r="A258" s="218">
        <v>257.0</v>
      </c>
      <c r="B258" s="245">
        <v>15.0</v>
      </c>
      <c r="C258" s="302" t="s">
        <v>4005</v>
      </c>
      <c r="D258" s="303"/>
      <c r="E258" s="266" t="s">
        <v>4006</v>
      </c>
      <c r="F258" s="267" t="s">
        <v>227</v>
      </c>
      <c r="G258" s="269"/>
      <c r="H258" s="269"/>
      <c r="I258" s="269"/>
      <c r="J258" s="269"/>
      <c r="K258" s="269"/>
      <c r="L258" s="269"/>
      <c r="M258" s="269"/>
      <c r="N258" s="269"/>
      <c r="O258" s="269"/>
      <c r="P258" s="269"/>
      <c r="Q258" s="269"/>
      <c r="R258" s="269"/>
      <c r="S258" s="269"/>
      <c r="T258" s="269"/>
      <c r="U258" s="269"/>
      <c r="X258" s="217"/>
      <c r="Y258" s="217"/>
      <c r="Z258" s="217"/>
      <c r="AA258" s="217"/>
    </row>
    <row r="259" ht="14.25" customHeight="1">
      <c r="A259" s="218">
        <v>258.0</v>
      </c>
      <c r="B259" s="245">
        <v>16.0</v>
      </c>
      <c r="C259" s="304" t="s">
        <v>4010</v>
      </c>
      <c r="D259" s="305"/>
      <c r="E259" s="266" t="s">
        <v>4011</v>
      </c>
      <c r="F259" s="267" t="s">
        <v>227</v>
      </c>
      <c r="G259" s="269"/>
      <c r="H259" s="269"/>
      <c r="I259" s="269"/>
      <c r="J259" s="269"/>
      <c r="K259" s="269"/>
      <c r="L259" s="269"/>
      <c r="M259" s="269"/>
      <c r="N259" s="269"/>
      <c r="O259" s="269"/>
      <c r="P259" s="269"/>
      <c r="Q259" s="269"/>
      <c r="R259" s="269"/>
      <c r="S259" s="269"/>
      <c r="T259" s="269"/>
      <c r="U259" s="269"/>
      <c r="V259" s="217"/>
      <c r="W259" s="217"/>
      <c r="X259" s="217"/>
      <c r="Y259" s="217"/>
      <c r="Z259" s="217"/>
      <c r="AA259" s="217"/>
    </row>
    <row r="260" ht="14.25" customHeight="1">
      <c r="A260" s="218">
        <v>259.0</v>
      </c>
      <c r="B260" s="245">
        <v>17.0</v>
      </c>
      <c r="C260" s="302" t="s">
        <v>4016</v>
      </c>
      <c r="D260" s="303"/>
      <c r="E260" s="266" t="s">
        <v>4017</v>
      </c>
      <c r="F260" s="267" t="s">
        <v>227</v>
      </c>
      <c r="G260" s="269"/>
      <c r="H260" s="269"/>
      <c r="I260" s="269"/>
      <c r="J260" s="269"/>
      <c r="K260" s="269"/>
      <c r="L260" s="269"/>
      <c r="M260" s="269"/>
      <c r="N260" s="269"/>
      <c r="O260" s="269"/>
      <c r="P260" s="269"/>
      <c r="Q260" s="269"/>
      <c r="R260" s="269"/>
      <c r="S260" s="269"/>
      <c r="T260" s="269"/>
      <c r="U260" s="269"/>
      <c r="X260" s="217"/>
      <c r="Y260" s="217"/>
      <c r="Z260" s="217"/>
      <c r="AA260" s="217"/>
    </row>
    <row r="261" ht="22.5" customHeight="1">
      <c r="A261" s="218">
        <v>260.0</v>
      </c>
      <c r="B261" s="245">
        <v>18.0</v>
      </c>
      <c r="C261" s="304" t="s">
        <v>4021</v>
      </c>
      <c r="D261" s="305"/>
      <c r="E261" s="266" t="s">
        <v>4022</v>
      </c>
      <c r="F261" s="267" t="s">
        <v>227</v>
      </c>
      <c r="G261" s="269"/>
      <c r="H261" s="269"/>
      <c r="I261" s="269"/>
      <c r="J261" s="269"/>
      <c r="K261" s="269"/>
      <c r="L261" s="269"/>
      <c r="M261" s="269"/>
      <c r="N261" s="269"/>
      <c r="O261" s="269"/>
      <c r="P261" s="269"/>
      <c r="Q261" s="269"/>
      <c r="R261" s="269"/>
      <c r="S261" s="269"/>
      <c r="T261" s="269"/>
      <c r="U261" s="269"/>
      <c r="V261" s="217"/>
      <c r="W261" s="217"/>
      <c r="X261" s="217"/>
      <c r="Y261" s="217"/>
      <c r="Z261" s="217"/>
      <c r="AA261" s="217"/>
    </row>
    <row r="262" ht="14.25" customHeight="1">
      <c r="A262" s="218">
        <v>261.0</v>
      </c>
      <c r="B262" s="245">
        <v>19.0</v>
      </c>
      <c r="C262" s="297" t="s">
        <v>4026</v>
      </c>
      <c r="D262" s="298"/>
      <c r="E262" s="266" t="s">
        <v>4027</v>
      </c>
      <c r="F262" s="267" t="s">
        <v>220</v>
      </c>
      <c r="G262" s="269"/>
      <c r="H262" s="269"/>
      <c r="I262" s="269"/>
      <c r="J262" s="269"/>
      <c r="K262" s="269"/>
      <c r="L262" s="269"/>
      <c r="M262" s="269"/>
      <c r="N262" s="269"/>
      <c r="O262" s="269"/>
      <c r="P262" s="269"/>
      <c r="Q262" s="269"/>
      <c r="R262" s="269"/>
      <c r="S262" s="269"/>
      <c r="T262" s="269"/>
      <c r="U262" s="269"/>
      <c r="V262" s="217"/>
      <c r="W262" s="217"/>
      <c r="X262" s="217"/>
      <c r="Y262" s="217"/>
      <c r="Z262" s="217"/>
      <c r="AA262" s="217"/>
    </row>
    <row r="263" ht="14.25" customHeight="1">
      <c r="A263" s="218">
        <v>262.0</v>
      </c>
      <c r="B263" s="245">
        <v>20.0</v>
      </c>
      <c r="C263" s="302" t="s">
        <v>4031</v>
      </c>
      <c r="D263" s="303"/>
      <c r="E263" s="266" t="s">
        <v>4032</v>
      </c>
      <c r="F263" s="267" t="s">
        <v>220</v>
      </c>
      <c r="G263" s="269"/>
      <c r="H263" s="269"/>
      <c r="I263" s="269"/>
      <c r="J263" s="269"/>
      <c r="K263" s="269"/>
      <c r="L263" s="269"/>
      <c r="M263" s="269"/>
      <c r="N263" s="269"/>
      <c r="O263" s="269"/>
      <c r="P263" s="269"/>
      <c r="Q263" s="269"/>
      <c r="R263" s="269"/>
      <c r="S263" s="269"/>
      <c r="T263" s="269"/>
      <c r="U263" s="269"/>
      <c r="X263" s="217"/>
      <c r="Y263" s="217"/>
      <c r="Z263" s="217"/>
      <c r="AA263" s="217"/>
    </row>
    <row r="264" ht="14.25" customHeight="1">
      <c r="A264" s="218">
        <v>263.0</v>
      </c>
      <c r="B264" s="245">
        <v>21.0</v>
      </c>
      <c r="C264" s="304" t="s">
        <v>4036</v>
      </c>
      <c r="D264" s="305"/>
      <c r="E264" s="266" t="s">
        <v>4037</v>
      </c>
      <c r="F264" s="267" t="s">
        <v>220</v>
      </c>
      <c r="G264" s="269"/>
      <c r="H264" s="269"/>
      <c r="I264" s="269"/>
      <c r="J264" s="269"/>
      <c r="K264" s="269"/>
      <c r="L264" s="269"/>
      <c r="M264" s="269"/>
      <c r="N264" s="269"/>
      <c r="O264" s="269"/>
      <c r="P264" s="269"/>
      <c r="Q264" s="269"/>
      <c r="R264" s="269"/>
      <c r="S264" s="269"/>
      <c r="T264" s="269"/>
      <c r="U264" s="269"/>
      <c r="V264" s="217"/>
      <c r="W264" s="217"/>
      <c r="X264" s="217"/>
      <c r="Y264" s="217"/>
      <c r="Z264" s="217"/>
      <c r="AA264" s="217"/>
    </row>
    <row r="265" ht="14.25" customHeight="1">
      <c r="A265" s="218">
        <v>264.0</v>
      </c>
      <c r="B265" s="245">
        <v>22.0</v>
      </c>
      <c r="C265" s="302" t="s">
        <v>4042</v>
      </c>
      <c r="D265" s="303"/>
      <c r="E265" s="266" t="s">
        <v>4043</v>
      </c>
      <c r="F265" s="267" t="s">
        <v>220</v>
      </c>
      <c r="G265" s="269"/>
      <c r="H265" s="269"/>
      <c r="I265" s="269"/>
      <c r="J265" s="269"/>
      <c r="K265" s="269"/>
      <c r="L265" s="269"/>
      <c r="M265" s="269"/>
      <c r="N265" s="269"/>
      <c r="O265" s="269"/>
      <c r="P265" s="269"/>
      <c r="Q265" s="269"/>
      <c r="R265" s="269"/>
      <c r="S265" s="269"/>
      <c r="T265" s="269"/>
      <c r="U265" s="269"/>
      <c r="X265" s="217"/>
      <c r="Y265" s="217"/>
      <c r="Z265" s="217"/>
      <c r="AA265" s="217"/>
    </row>
    <row r="266" ht="14.25" customHeight="1">
      <c r="A266" s="218">
        <v>265.0</v>
      </c>
      <c r="B266" s="245">
        <v>23.0</v>
      </c>
      <c r="C266" s="304" t="s">
        <v>4047</v>
      </c>
      <c r="D266" s="305"/>
      <c r="E266" s="266" t="s">
        <v>4048</v>
      </c>
      <c r="F266" s="267" t="s">
        <v>227</v>
      </c>
      <c r="G266" s="269"/>
      <c r="H266" s="269"/>
      <c r="I266" s="269"/>
      <c r="J266" s="269"/>
      <c r="K266" s="269"/>
      <c r="L266" s="269"/>
      <c r="M266" s="269"/>
      <c r="N266" s="269"/>
      <c r="O266" s="269"/>
      <c r="P266" s="269"/>
      <c r="Q266" s="269"/>
      <c r="R266" s="269"/>
      <c r="S266" s="269"/>
      <c r="T266" s="269"/>
      <c r="U266" s="269"/>
      <c r="V266" s="217"/>
      <c r="W266" s="217"/>
      <c r="X266" s="217"/>
      <c r="Y266" s="217"/>
      <c r="Z266" s="217"/>
      <c r="AA266" s="217"/>
    </row>
    <row r="267" ht="14.25" customHeight="1">
      <c r="A267" s="218">
        <v>266.0</v>
      </c>
      <c r="B267" s="245">
        <v>24.0</v>
      </c>
      <c r="C267" s="302" t="s">
        <v>4052</v>
      </c>
      <c r="D267" s="303"/>
      <c r="E267" s="266" t="s">
        <v>4053</v>
      </c>
      <c r="F267" s="267" t="s">
        <v>227</v>
      </c>
      <c r="G267" s="269"/>
      <c r="H267" s="269"/>
      <c r="I267" s="269"/>
      <c r="J267" s="269"/>
      <c r="K267" s="269"/>
      <c r="L267" s="269"/>
      <c r="M267" s="269"/>
      <c r="N267" s="269"/>
      <c r="O267" s="269"/>
      <c r="P267" s="269"/>
      <c r="Q267" s="269"/>
      <c r="R267" s="269"/>
      <c r="S267" s="269"/>
      <c r="T267" s="269"/>
      <c r="U267" s="269"/>
      <c r="X267" s="217"/>
      <c r="Y267" s="217"/>
      <c r="Z267" s="217"/>
      <c r="AA267" s="217"/>
    </row>
    <row r="268" ht="14.25" customHeight="1">
      <c r="A268" s="218">
        <v>267.0</v>
      </c>
      <c r="B268" s="245">
        <v>25.0</v>
      </c>
      <c r="C268" s="304" t="s">
        <v>4057</v>
      </c>
      <c r="D268" s="305"/>
      <c r="E268" s="266" t="s">
        <v>4058</v>
      </c>
      <c r="F268" s="267" t="s">
        <v>227</v>
      </c>
      <c r="G268" s="269"/>
      <c r="H268" s="269"/>
      <c r="I268" s="269"/>
      <c r="J268" s="269"/>
      <c r="K268" s="269"/>
      <c r="L268" s="269"/>
      <c r="M268" s="269"/>
      <c r="N268" s="269"/>
      <c r="O268" s="269"/>
      <c r="P268" s="269"/>
      <c r="Q268" s="269"/>
      <c r="R268" s="269"/>
      <c r="S268" s="269"/>
      <c r="T268" s="269"/>
      <c r="U268" s="269"/>
      <c r="V268" s="217"/>
      <c r="W268" s="217"/>
      <c r="X268" s="217"/>
      <c r="Y268" s="217"/>
      <c r="Z268" s="217"/>
      <c r="AA268" s="217"/>
    </row>
    <row r="269" ht="14.25" customHeight="1">
      <c r="A269" s="218">
        <v>268.0</v>
      </c>
      <c r="B269" s="245">
        <v>26.0</v>
      </c>
      <c r="C269" s="297" t="s">
        <v>4063</v>
      </c>
      <c r="D269" s="298"/>
      <c r="E269" s="266" t="s">
        <v>4064</v>
      </c>
      <c r="F269" s="267" t="s">
        <v>227</v>
      </c>
      <c r="G269" s="269"/>
      <c r="H269" s="269"/>
      <c r="I269" s="269"/>
      <c r="J269" s="269"/>
      <c r="K269" s="269"/>
      <c r="L269" s="269"/>
      <c r="M269" s="269"/>
      <c r="N269" s="269"/>
      <c r="O269" s="269"/>
      <c r="P269" s="269"/>
      <c r="Q269" s="269"/>
      <c r="R269" s="269"/>
      <c r="S269" s="269"/>
      <c r="T269" s="269"/>
      <c r="U269" s="269"/>
      <c r="X269" s="217"/>
      <c r="Y269" s="217"/>
      <c r="Z269" s="217"/>
      <c r="AA269" s="217"/>
    </row>
    <row r="270" ht="14.25" customHeight="1">
      <c r="A270" s="218">
        <v>269.0</v>
      </c>
      <c r="B270" s="245">
        <v>27.0</v>
      </c>
      <c r="C270" s="302" t="s">
        <v>4068</v>
      </c>
      <c r="D270" s="303"/>
      <c r="E270" s="266" t="s">
        <v>4069</v>
      </c>
      <c r="F270" s="267" t="s">
        <v>220</v>
      </c>
      <c r="G270" s="269"/>
      <c r="H270" s="269"/>
      <c r="I270" s="269"/>
      <c r="J270" s="269"/>
      <c r="K270" s="269"/>
      <c r="L270" s="269"/>
      <c r="M270" s="269"/>
      <c r="N270" s="269"/>
      <c r="O270" s="269"/>
      <c r="P270" s="269"/>
      <c r="Q270" s="269"/>
      <c r="R270" s="269"/>
      <c r="S270" s="269"/>
      <c r="T270" s="269"/>
      <c r="U270" s="269"/>
      <c r="X270" s="217"/>
      <c r="Y270" s="217"/>
      <c r="Z270" s="217"/>
      <c r="AA270" s="217"/>
    </row>
    <row r="271" ht="14.25" customHeight="1">
      <c r="A271" s="218">
        <v>270.0</v>
      </c>
      <c r="B271" s="245">
        <v>28.0</v>
      </c>
      <c r="C271" s="310" t="s">
        <v>4073</v>
      </c>
      <c r="D271" s="311"/>
      <c r="E271" s="266" t="s">
        <v>4074</v>
      </c>
      <c r="F271" s="267" t="s">
        <v>220</v>
      </c>
      <c r="G271" s="269"/>
      <c r="H271" s="269"/>
      <c r="I271" s="269"/>
      <c r="J271" s="269"/>
      <c r="K271" s="269"/>
      <c r="L271" s="269"/>
      <c r="M271" s="269"/>
      <c r="N271" s="269"/>
      <c r="O271" s="269"/>
      <c r="P271" s="269"/>
      <c r="Q271" s="269"/>
      <c r="R271" s="269"/>
      <c r="S271" s="269"/>
      <c r="T271" s="269"/>
      <c r="U271" s="269"/>
      <c r="V271" s="217"/>
      <c r="W271" s="217"/>
      <c r="X271" s="217"/>
      <c r="Y271" s="217"/>
      <c r="Z271" s="217"/>
      <c r="AA271" s="217"/>
    </row>
    <row r="272" ht="14.25" customHeight="1">
      <c r="A272" s="218">
        <v>271.0</v>
      </c>
      <c r="B272" s="245">
        <v>29.0</v>
      </c>
      <c r="C272" s="304" t="s">
        <v>4078</v>
      </c>
      <c r="D272" s="305"/>
      <c r="E272" s="266" t="s">
        <v>4079</v>
      </c>
      <c r="F272" s="267" t="s">
        <v>220</v>
      </c>
      <c r="G272" s="269"/>
      <c r="H272" s="317"/>
      <c r="I272" s="269"/>
      <c r="J272" s="269"/>
      <c r="K272" s="269"/>
      <c r="L272" s="269"/>
      <c r="M272" s="269"/>
      <c r="N272" s="269"/>
      <c r="O272" s="269"/>
      <c r="P272" s="269"/>
      <c r="Q272" s="269"/>
      <c r="R272" s="269"/>
      <c r="S272" s="269"/>
      <c r="T272" s="269"/>
      <c r="U272" s="269"/>
      <c r="V272" s="217"/>
      <c r="W272" s="217"/>
      <c r="X272" s="217"/>
      <c r="Y272" s="217"/>
      <c r="Z272" s="217"/>
      <c r="AA272" s="217"/>
    </row>
    <row r="273" ht="14.25" customHeight="1">
      <c r="A273" s="218">
        <v>272.0</v>
      </c>
      <c r="B273" s="245">
        <v>30.0</v>
      </c>
      <c r="C273" s="302" t="s">
        <v>4083</v>
      </c>
      <c r="D273" s="303"/>
      <c r="E273" s="266" t="s">
        <v>4084</v>
      </c>
      <c r="F273" s="267" t="s">
        <v>227</v>
      </c>
      <c r="G273" s="269"/>
      <c r="H273" s="269"/>
      <c r="I273" s="269"/>
      <c r="J273" s="269"/>
      <c r="K273" s="269"/>
      <c r="L273" s="269"/>
      <c r="M273" s="269"/>
      <c r="N273" s="269"/>
      <c r="O273" s="269"/>
      <c r="P273" s="269"/>
      <c r="Q273" s="269"/>
      <c r="R273" s="269"/>
      <c r="S273" s="269"/>
      <c r="T273" s="269"/>
      <c r="U273" s="269"/>
      <c r="X273" s="217"/>
      <c r="Y273" s="217"/>
      <c r="Z273" s="217"/>
      <c r="AA273" s="217"/>
    </row>
    <row r="274" ht="14.25" customHeight="1">
      <c r="A274" s="218">
        <v>273.0</v>
      </c>
      <c r="B274" s="245">
        <v>31.0</v>
      </c>
      <c r="C274" s="304" t="s">
        <v>4089</v>
      </c>
      <c r="D274" s="305"/>
      <c r="E274" s="266" t="s">
        <v>4090</v>
      </c>
      <c r="F274" s="267" t="s">
        <v>227</v>
      </c>
      <c r="G274" s="269"/>
      <c r="H274" s="269"/>
      <c r="I274" s="269"/>
      <c r="J274" s="269"/>
      <c r="K274" s="269"/>
      <c r="L274" s="269"/>
      <c r="M274" s="269"/>
      <c r="N274" s="269"/>
      <c r="O274" s="269"/>
      <c r="P274" s="269"/>
      <c r="Q274" s="269"/>
      <c r="R274" s="269"/>
      <c r="S274" s="269"/>
      <c r="T274" s="269"/>
      <c r="U274" s="269"/>
      <c r="V274" s="217"/>
      <c r="W274" s="217"/>
      <c r="X274" s="217"/>
      <c r="Y274" s="217"/>
      <c r="Z274" s="217"/>
      <c r="AA274" s="217"/>
    </row>
    <row r="275" ht="14.25" customHeight="1">
      <c r="A275" s="218">
        <v>274.0</v>
      </c>
      <c r="B275" s="245">
        <v>32.0</v>
      </c>
      <c r="C275" s="297" t="s">
        <v>4094</v>
      </c>
      <c r="D275" s="298"/>
      <c r="E275" s="266" t="s">
        <v>4095</v>
      </c>
      <c r="F275" s="267" t="s">
        <v>227</v>
      </c>
      <c r="G275" s="269"/>
      <c r="H275" s="269"/>
      <c r="I275" s="269"/>
      <c r="J275" s="269"/>
      <c r="K275" s="269"/>
      <c r="L275" s="269"/>
      <c r="M275" s="269"/>
      <c r="N275" s="269"/>
      <c r="O275" s="269"/>
      <c r="P275" s="269"/>
      <c r="Q275" s="269"/>
      <c r="R275" s="269"/>
      <c r="S275" s="269"/>
      <c r="T275" s="269"/>
      <c r="U275" s="269"/>
      <c r="V275" s="217"/>
      <c r="W275" s="217"/>
      <c r="X275" s="217"/>
      <c r="Y275" s="217"/>
      <c r="Z275" s="217"/>
      <c r="AA275" s="217"/>
    </row>
    <row r="276" ht="14.25" customHeight="1">
      <c r="A276" s="218">
        <v>275.0</v>
      </c>
      <c r="B276" s="245">
        <v>33.0</v>
      </c>
      <c r="C276" s="297" t="s">
        <v>4099</v>
      </c>
      <c r="D276" s="298"/>
      <c r="E276" s="266" t="s">
        <v>4100</v>
      </c>
      <c r="F276" s="267" t="s">
        <v>227</v>
      </c>
      <c r="G276" s="269"/>
      <c r="H276" s="269"/>
      <c r="I276" s="269"/>
      <c r="J276" s="269"/>
      <c r="K276" s="269"/>
      <c r="L276" s="269"/>
      <c r="M276" s="269"/>
      <c r="N276" s="269"/>
      <c r="O276" s="269"/>
      <c r="P276" s="269"/>
      <c r="Q276" s="269"/>
      <c r="R276" s="269"/>
      <c r="S276" s="269"/>
      <c r="T276" s="269"/>
      <c r="U276" s="269"/>
      <c r="V276" s="217"/>
      <c r="W276" s="217"/>
      <c r="X276" s="217"/>
      <c r="Y276" s="217"/>
      <c r="Z276" s="217"/>
      <c r="AA276" s="217"/>
    </row>
    <row r="277" ht="14.25" customHeight="1">
      <c r="A277" s="218">
        <v>276.0</v>
      </c>
      <c r="B277" s="245">
        <v>34.0</v>
      </c>
      <c r="C277" s="297" t="s">
        <v>4104</v>
      </c>
      <c r="D277" s="298"/>
      <c r="E277" s="266" t="s">
        <v>4105</v>
      </c>
      <c r="F277" s="267" t="s">
        <v>220</v>
      </c>
      <c r="G277" s="269"/>
      <c r="H277" s="269"/>
      <c r="I277" s="269"/>
      <c r="J277" s="269"/>
      <c r="K277" s="269"/>
      <c r="L277" s="269"/>
      <c r="M277" s="269"/>
      <c r="N277" s="269"/>
      <c r="O277" s="269"/>
      <c r="P277" s="269"/>
      <c r="Q277" s="269"/>
      <c r="R277" s="269"/>
      <c r="S277" s="269"/>
      <c r="T277" s="269"/>
      <c r="U277" s="269"/>
      <c r="V277" s="217"/>
      <c r="W277" s="217"/>
      <c r="X277" s="217"/>
      <c r="Y277" s="217"/>
      <c r="Z277" s="217"/>
      <c r="AA277" s="217"/>
    </row>
    <row r="278" ht="14.25" customHeight="1">
      <c r="A278" s="218">
        <v>277.0</v>
      </c>
      <c r="B278" s="245">
        <v>35.0</v>
      </c>
      <c r="C278" s="297" t="s">
        <v>4109</v>
      </c>
      <c r="D278" s="298"/>
      <c r="E278" s="314" t="s">
        <v>4110</v>
      </c>
      <c r="F278" s="315" t="s">
        <v>227</v>
      </c>
      <c r="G278" s="269"/>
      <c r="H278" s="269"/>
      <c r="I278" s="269"/>
      <c r="J278" s="269"/>
      <c r="K278" s="269"/>
      <c r="L278" s="269"/>
      <c r="M278" s="269"/>
      <c r="N278" s="269"/>
      <c r="O278" s="269"/>
      <c r="P278" s="269"/>
      <c r="Q278" s="269"/>
      <c r="R278" s="269"/>
      <c r="S278" s="269"/>
      <c r="T278" s="269"/>
      <c r="U278" s="269"/>
      <c r="V278" s="217"/>
      <c r="W278" s="217"/>
      <c r="X278" s="217"/>
      <c r="Y278" s="217"/>
      <c r="Z278" s="217"/>
      <c r="AA278" s="217"/>
    </row>
    <row r="279" ht="14.25" customHeight="1">
      <c r="A279" s="218">
        <v>278.0</v>
      </c>
      <c r="B279" s="245">
        <v>36.0</v>
      </c>
      <c r="C279" s="297" t="s">
        <v>4115</v>
      </c>
      <c r="D279" s="298"/>
      <c r="E279" s="266" t="s">
        <v>4116</v>
      </c>
      <c r="F279" s="267" t="s">
        <v>227</v>
      </c>
      <c r="G279" s="287"/>
      <c r="H279" s="287"/>
      <c r="I279" s="287"/>
      <c r="J279" s="287"/>
      <c r="K279" s="287"/>
      <c r="L279" s="287"/>
      <c r="M279" s="287"/>
      <c r="N279" s="287"/>
      <c r="O279" s="287"/>
      <c r="P279" s="287"/>
      <c r="Q279" s="287"/>
      <c r="R279" s="287"/>
      <c r="S279" s="287"/>
      <c r="T279" s="287"/>
      <c r="U279" s="287"/>
      <c r="V279" s="217"/>
      <c r="W279" s="217"/>
      <c r="X279" s="217"/>
      <c r="Y279" s="217"/>
      <c r="Z279" s="217"/>
      <c r="AA279" s="217"/>
    </row>
    <row r="280" ht="16.5" hidden="1" customHeight="1">
      <c r="A280" s="218">
        <v>279.0</v>
      </c>
      <c r="B280" s="252"/>
      <c r="C280" s="253"/>
      <c r="D280" s="252"/>
      <c r="E280" s="253"/>
      <c r="F280" s="253"/>
      <c r="G280" s="254"/>
      <c r="H280" s="254"/>
      <c r="I280" s="254"/>
      <c r="J280" s="254"/>
      <c r="K280" s="254"/>
      <c r="L280" s="254"/>
      <c r="M280" s="254"/>
      <c r="N280" s="254"/>
      <c r="O280" s="254"/>
      <c r="P280" s="254"/>
      <c r="Q280" s="254"/>
      <c r="R280" s="254"/>
      <c r="S280" s="254"/>
      <c r="T280" s="254"/>
      <c r="U280" s="254"/>
      <c r="V280" s="217"/>
      <c r="W280" s="217"/>
      <c r="X280" s="217"/>
      <c r="Y280" s="217"/>
      <c r="Z280" s="217"/>
      <c r="AA280" s="217"/>
    </row>
    <row r="281" ht="16.5" hidden="1" customHeight="1">
      <c r="A281" s="218">
        <v>280.0</v>
      </c>
      <c r="B281" s="252"/>
      <c r="C281" s="253"/>
      <c r="D281" s="252"/>
      <c r="E281" s="253"/>
      <c r="F281" s="253"/>
      <c r="G281" s="254"/>
      <c r="H281" s="254"/>
      <c r="I281" s="254"/>
      <c r="J281" s="254"/>
      <c r="K281" s="254"/>
      <c r="L281" s="255" t="s">
        <v>9753</v>
      </c>
      <c r="M281" s="256"/>
      <c r="N281" s="256"/>
      <c r="O281" s="256"/>
      <c r="P281" s="256"/>
      <c r="Q281" s="256"/>
      <c r="R281" s="256"/>
      <c r="S281" s="256"/>
      <c r="T281" s="256"/>
      <c r="U281" s="257"/>
      <c r="V281" s="217"/>
      <c r="W281" s="217"/>
      <c r="X281" s="217"/>
      <c r="Y281" s="217"/>
      <c r="Z281" s="217"/>
      <c r="AA281" s="217"/>
    </row>
    <row r="282" ht="16.5" hidden="1" customHeight="1">
      <c r="A282" s="218">
        <v>281.0</v>
      </c>
      <c r="B282" s="252"/>
      <c r="C282" s="253"/>
      <c r="D282" s="252"/>
      <c r="E282" s="253"/>
      <c r="F282" s="253"/>
      <c r="G282" s="254"/>
      <c r="H282" s="254"/>
      <c r="I282" s="254"/>
      <c r="J282" s="254"/>
      <c r="K282" s="254"/>
      <c r="L282" s="258" t="s">
        <v>8793</v>
      </c>
      <c r="M282" s="259"/>
      <c r="N282" s="259"/>
      <c r="O282" s="259"/>
      <c r="P282" s="259"/>
      <c r="Q282" s="259"/>
      <c r="R282" s="259"/>
      <c r="S282" s="259"/>
      <c r="T282" s="259"/>
      <c r="U282" s="260"/>
      <c r="V282" s="217"/>
      <c r="W282" s="217"/>
      <c r="X282" s="217"/>
      <c r="Y282" s="217"/>
      <c r="Z282" s="217"/>
      <c r="AA282" s="217"/>
    </row>
    <row r="283" ht="97.5" hidden="1" customHeight="1">
      <c r="A283" s="218">
        <v>282.0</v>
      </c>
      <c r="B283" s="261"/>
      <c r="C283" s="261"/>
      <c r="D283" s="261"/>
      <c r="E283" s="261"/>
      <c r="F283" s="261"/>
      <c r="G283" s="261"/>
      <c r="H283" s="261"/>
      <c r="I283" s="261"/>
      <c r="J283" s="261"/>
      <c r="K283" s="261"/>
      <c r="L283" s="261"/>
      <c r="M283" s="261"/>
      <c r="N283" s="261"/>
      <c r="O283" s="261"/>
      <c r="P283" s="261"/>
      <c r="Q283" s="261"/>
      <c r="R283" s="261"/>
      <c r="S283" s="261"/>
      <c r="T283" s="261"/>
      <c r="U283" s="261"/>
      <c r="V283" s="217"/>
      <c r="W283" s="217"/>
      <c r="X283" s="217"/>
      <c r="Y283" s="217"/>
      <c r="Z283" s="217"/>
      <c r="AA283" s="217"/>
    </row>
    <row r="284" ht="16.5" hidden="1" customHeight="1">
      <c r="A284" s="218">
        <v>283.0</v>
      </c>
      <c r="B284" s="262"/>
      <c r="C284" s="263"/>
      <c r="D284" s="263"/>
      <c r="E284" s="263"/>
      <c r="F284" s="263"/>
      <c r="G284" s="263"/>
      <c r="H284" s="263"/>
      <c r="I284" s="263"/>
      <c r="J284" s="263"/>
      <c r="K284" s="263"/>
      <c r="L284" s="263"/>
      <c r="M284" s="263"/>
      <c r="N284" s="263"/>
      <c r="O284" s="263"/>
      <c r="P284" s="263"/>
      <c r="Q284" s="263"/>
      <c r="R284" s="263"/>
      <c r="S284" s="263"/>
      <c r="T284" s="263"/>
      <c r="U284" s="264"/>
      <c r="V284" s="217"/>
      <c r="W284" s="217"/>
      <c r="X284" s="217"/>
      <c r="Y284" s="217"/>
      <c r="Z284" s="217"/>
      <c r="AA284" s="217"/>
    </row>
    <row r="285" ht="16.5" hidden="1" customHeight="1">
      <c r="A285" s="218">
        <v>284.0</v>
      </c>
      <c r="B285" s="222"/>
      <c r="C285" s="223"/>
      <c r="D285" s="223"/>
      <c r="E285" s="223"/>
      <c r="F285" s="223"/>
      <c r="G285" s="223"/>
      <c r="H285" s="223"/>
      <c r="I285" s="223"/>
      <c r="J285" s="223"/>
      <c r="K285" s="223"/>
      <c r="L285" s="223"/>
      <c r="M285" s="223"/>
      <c r="N285" s="223"/>
      <c r="O285" s="223"/>
      <c r="P285" s="223"/>
      <c r="Q285" s="223"/>
      <c r="R285" s="223"/>
      <c r="S285" s="223"/>
      <c r="T285" s="223"/>
      <c r="U285" s="224"/>
      <c r="V285" s="217"/>
      <c r="W285" s="217"/>
      <c r="X285" s="217"/>
      <c r="Y285" s="217"/>
      <c r="Z285" s="217"/>
      <c r="AA285" s="217"/>
    </row>
    <row r="286" ht="16.5" hidden="1" customHeight="1">
      <c r="A286" s="218">
        <v>285.0</v>
      </c>
      <c r="B286" s="225"/>
      <c r="C286" s="226"/>
      <c r="D286" s="226"/>
      <c r="E286" s="226"/>
      <c r="F286" s="226"/>
      <c r="G286" s="226"/>
      <c r="H286" s="226"/>
      <c r="I286" s="226"/>
      <c r="J286" s="226"/>
      <c r="K286" s="226"/>
      <c r="L286" s="226"/>
      <c r="M286" s="226"/>
      <c r="N286" s="226"/>
      <c r="O286" s="226"/>
      <c r="P286" s="226"/>
      <c r="Q286" s="226"/>
      <c r="R286" s="226"/>
      <c r="S286" s="226"/>
      <c r="T286" s="226"/>
      <c r="U286" s="227"/>
      <c r="V286" s="217"/>
      <c r="W286" s="217"/>
      <c r="X286" s="217"/>
      <c r="Y286" s="217"/>
      <c r="Z286" s="217"/>
      <c r="AA286" s="217"/>
    </row>
    <row r="287" ht="16.5" hidden="1" customHeight="1">
      <c r="A287" s="218">
        <v>286.0</v>
      </c>
      <c r="B287" s="228"/>
      <c r="C287" s="229"/>
      <c r="D287" s="229"/>
      <c r="E287" s="229"/>
      <c r="F287" s="229"/>
      <c r="G287" s="230"/>
      <c r="H287" s="230"/>
      <c r="I287" s="230"/>
      <c r="J287" s="230"/>
      <c r="K287" s="230"/>
      <c r="L287" s="230"/>
      <c r="M287" s="230"/>
      <c r="N287" s="230"/>
      <c r="O287" s="230"/>
      <c r="P287" s="230"/>
      <c r="Q287" s="230"/>
      <c r="R287" s="230"/>
      <c r="S287" s="230"/>
      <c r="T287" s="230"/>
      <c r="U287" s="230"/>
      <c r="V287" s="217"/>
      <c r="W287" s="217"/>
      <c r="X287" s="217"/>
      <c r="Y287" s="217"/>
      <c r="Z287" s="217"/>
      <c r="AA287" s="217"/>
    </row>
    <row r="288" ht="14.25" hidden="1" customHeight="1">
      <c r="A288" s="218">
        <v>287.0</v>
      </c>
      <c r="B288" s="231"/>
      <c r="C288" s="231"/>
      <c r="D288" s="231"/>
      <c r="E288" s="231"/>
      <c r="F288" s="232"/>
      <c r="G288" s="233"/>
      <c r="H288" s="234"/>
      <c r="I288" s="234"/>
      <c r="J288" s="234"/>
      <c r="K288" s="234"/>
      <c r="L288" s="234"/>
      <c r="M288" s="234"/>
      <c r="N288" s="234"/>
      <c r="O288" s="234"/>
      <c r="P288" s="234"/>
      <c r="Q288" s="234"/>
      <c r="R288" s="234"/>
      <c r="S288" s="234"/>
      <c r="T288" s="234"/>
      <c r="U288" s="235"/>
      <c r="V288" s="217"/>
      <c r="W288" s="217"/>
      <c r="X288" s="217"/>
      <c r="Y288" s="217"/>
      <c r="Z288" s="217"/>
      <c r="AA288" s="217"/>
    </row>
    <row r="289" ht="14.25" hidden="1" customHeight="1">
      <c r="A289" s="218">
        <v>288.0</v>
      </c>
      <c r="B289" s="236"/>
      <c r="C289" s="236"/>
      <c r="D289" s="236"/>
      <c r="E289" s="236"/>
      <c r="F289" s="237"/>
      <c r="G289" s="238"/>
      <c r="H289" s="239"/>
      <c r="I289" s="239"/>
      <c r="J289" s="239"/>
      <c r="K289" s="239"/>
      <c r="L289" s="239"/>
      <c r="M289" s="239"/>
      <c r="N289" s="239"/>
      <c r="O289" s="239"/>
      <c r="P289" s="239"/>
      <c r="Q289" s="239"/>
      <c r="R289" s="240"/>
      <c r="S289" s="233" t="s">
        <v>9713</v>
      </c>
      <c r="T289" s="234"/>
      <c r="U289" s="235"/>
      <c r="V289" s="217"/>
      <c r="W289" s="217"/>
      <c r="X289" s="217"/>
      <c r="Y289" s="217"/>
      <c r="Z289" s="217"/>
      <c r="AA289" s="217"/>
    </row>
    <row r="290" ht="14.25" hidden="1" customHeight="1">
      <c r="A290" s="218">
        <v>289.0</v>
      </c>
      <c r="B290" s="241"/>
      <c r="C290" s="295"/>
      <c r="D290" s="295"/>
      <c r="E290" s="241"/>
      <c r="F290" s="242"/>
      <c r="G290" s="243"/>
      <c r="H290" s="243">
        <v>2.0</v>
      </c>
      <c r="I290" s="243">
        <v>3.0</v>
      </c>
      <c r="J290" s="243">
        <v>4.0</v>
      </c>
      <c r="K290" s="243">
        <v>5.0</v>
      </c>
      <c r="L290" s="243">
        <v>6.0</v>
      </c>
      <c r="M290" s="243">
        <v>7.0</v>
      </c>
      <c r="N290" s="243">
        <v>8.0</v>
      </c>
      <c r="O290" s="243">
        <v>9.0</v>
      </c>
      <c r="P290" s="243">
        <v>10.0</v>
      </c>
      <c r="Q290" s="243">
        <v>11.0</v>
      </c>
      <c r="R290" s="243">
        <v>12.0</v>
      </c>
      <c r="S290" s="243" t="s">
        <v>9714</v>
      </c>
      <c r="T290" s="243" t="s">
        <v>9715</v>
      </c>
      <c r="U290" s="244" t="s">
        <v>9716</v>
      </c>
      <c r="V290" s="217"/>
      <c r="W290" s="217"/>
      <c r="X290" s="217"/>
      <c r="Y290" s="217"/>
      <c r="Z290" s="217"/>
      <c r="AA290" s="217"/>
    </row>
    <row r="291" ht="14.25" customHeight="1">
      <c r="A291" s="218">
        <v>290.0</v>
      </c>
      <c r="B291" s="318">
        <v>1.0</v>
      </c>
      <c r="C291" s="304" t="s">
        <v>4120</v>
      </c>
      <c r="D291" s="305"/>
      <c r="E291" s="266" t="s">
        <v>4121</v>
      </c>
      <c r="F291" s="267" t="s">
        <v>220</v>
      </c>
      <c r="G291" s="269"/>
      <c r="H291" s="245"/>
      <c r="I291" s="245"/>
      <c r="J291" s="245"/>
      <c r="K291" s="317"/>
      <c r="L291" s="275"/>
      <c r="M291" s="269"/>
      <c r="N291" s="269"/>
      <c r="O291" s="269"/>
      <c r="P291" s="269"/>
      <c r="Q291" s="269"/>
      <c r="R291" s="269"/>
      <c r="S291" s="269"/>
      <c r="T291" s="269"/>
      <c r="U291" s="269"/>
      <c r="V291" s="217"/>
      <c r="W291" s="217"/>
      <c r="X291" s="217"/>
      <c r="Y291" s="217"/>
      <c r="Z291" s="217"/>
      <c r="AA291" s="217"/>
    </row>
    <row r="292" ht="14.25" customHeight="1">
      <c r="A292" s="218">
        <v>291.0</v>
      </c>
      <c r="B292" s="318">
        <v>2.0</v>
      </c>
      <c r="C292" s="297" t="s">
        <v>4126</v>
      </c>
      <c r="D292" s="298"/>
      <c r="E292" s="266" t="s">
        <v>4127</v>
      </c>
      <c r="F292" s="267" t="s">
        <v>220</v>
      </c>
      <c r="G292" s="269"/>
      <c r="H292" s="245"/>
      <c r="I292" s="245"/>
      <c r="J292" s="245"/>
      <c r="K292" s="317"/>
      <c r="L292" s="275"/>
      <c r="M292" s="269"/>
      <c r="N292" s="269"/>
      <c r="O292" s="269"/>
      <c r="P292" s="269"/>
      <c r="Q292" s="269"/>
      <c r="R292" s="269"/>
      <c r="S292" s="269"/>
      <c r="T292" s="269"/>
      <c r="U292" s="269"/>
      <c r="V292" s="217"/>
      <c r="W292" s="217"/>
      <c r="X292" s="217"/>
      <c r="Y292" s="217"/>
      <c r="Z292" s="217"/>
      <c r="AA292" s="217"/>
    </row>
    <row r="293" ht="14.25" customHeight="1">
      <c r="A293" s="218">
        <v>292.0</v>
      </c>
      <c r="B293" s="318">
        <v>3.0</v>
      </c>
      <c r="C293" s="297" t="s">
        <v>4131</v>
      </c>
      <c r="D293" s="298"/>
      <c r="E293" s="319" t="s">
        <v>4132</v>
      </c>
      <c r="F293" s="320" t="s">
        <v>227</v>
      </c>
      <c r="G293" s="269"/>
      <c r="H293" s="245"/>
      <c r="I293" s="245"/>
      <c r="J293" s="245"/>
      <c r="K293" s="317"/>
      <c r="L293" s="275"/>
      <c r="M293" s="269"/>
      <c r="N293" s="269"/>
      <c r="O293" s="269"/>
      <c r="P293" s="269"/>
      <c r="Q293" s="269"/>
      <c r="R293" s="269"/>
      <c r="S293" s="269"/>
      <c r="T293" s="269"/>
      <c r="U293" s="269"/>
      <c r="X293" s="217"/>
      <c r="Y293" s="217"/>
      <c r="Z293" s="217"/>
      <c r="AA293" s="217"/>
    </row>
    <row r="294" ht="14.25" customHeight="1">
      <c r="A294" s="218">
        <v>293.0</v>
      </c>
      <c r="B294" s="318">
        <v>4.0</v>
      </c>
      <c r="C294" s="297" t="s">
        <v>4136</v>
      </c>
      <c r="D294" s="298"/>
      <c r="E294" s="266" t="s">
        <v>4137</v>
      </c>
      <c r="F294" s="267" t="s">
        <v>227</v>
      </c>
      <c r="G294" s="269"/>
      <c r="H294" s="245"/>
      <c r="I294" s="245"/>
      <c r="J294" s="245"/>
      <c r="K294" s="317"/>
      <c r="L294" s="275"/>
      <c r="M294" s="269"/>
      <c r="N294" s="269"/>
      <c r="O294" s="269"/>
      <c r="P294" s="269"/>
      <c r="Q294" s="269"/>
      <c r="R294" s="269"/>
      <c r="S294" s="269"/>
      <c r="T294" s="269"/>
      <c r="U294" s="269"/>
      <c r="V294" s="217"/>
      <c r="W294" s="217"/>
      <c r="X294" s="217"/>
      <c r="Y294" s="217"/>
      <c r="Z294" s="217"/>
      <c r="AA294" s="217"/>
    </row>
    <row r="295" ht="14.25" customHeight="1">
      <c r="A295" s="218">
        <v>294.0</v>
      </c>
      <c r="B295" s="318">
        <v>5.0</v>
      </c>
      <c r="C295" s="297" t="s">
        <v>4142</v>
      </c>
      <c r="D295" s="298"/>
      <c r="E295" s="266" t="s">
        <v>4143</v>
      </c>
      <c r="F295" s="267" t="s">
        <v>220</v>
      </c>
      <c r="G295" s="269"/>
      <c r="H295" s="245"/>
      <c r="I295" s="245"/>
      <c r="J295" s="245"/>
      <c r="K295" s="317"/>
      <c r="L295" s="275"/>
      <c r="M295" s="269"/>
      <c r="N295" s="269"/>
      <c r="O295" s="269"/>
      <c r="P295" s="269"/>
      <c r="Q295" s="269"/>
      <c r="R295" s="269"/>
      <c r="S295" s="269"/>
      <c r="T295" s="269"/>
      <c r="U295" s="269"/>
      <c r="V295" s="217"/>
      <c r="W295" s="217"/>
      <c r="X295" s="217"/>
      <c r="Y295" s="217"/>
      <c r="Z295" s="217"/>
      <c r="AA295" s="217"/>
    </row>
    <row r="296" ht="14.25" customHeight="1">
      <c r="A296" s="218">
        <v>295.0</v>
      </c>
      <c r="B296" s="318">
        <v>6.0</v>
      </c>
      <c r="C296" s="297" t="s">
        <v>4147</v>
      </c>
      <c r="D296" s="298"/>
      <c r="E296" s="266" t="s">
        <v>4148</v>
      </c>
      <c r="F296" s="267" t="s">
        <v>227</v>
      </c>
      <c r="G296" s="269"/>
      <c r="H296" s="245"/>
      <c r="I296" s="245"/>
      <c r="J296" s="245"/>
      <c r="K296" s="317"/>
      <c r="L296" s="275"/>
      <c r="M296" s="269"/>
      <c r="N296" s="269"/>
      <c r="O296" s="269"/>
      <c r="P296" s="269"/>
      <c r="Q296" s="269"/>
      <c r="R296" s="269"/>
      <c r="S296" s="269"/>
      <c r="T296" s="269"/>
      <c r="U296" s="269"/>
      <c r="V296" s="217"/>
      <c r="W296" s="217"/>
      <c r="X296" s="217"/>
      <c r="Y296" s="217"/>
      <c r="Z296" s="217"/>
      <c r="AA296" s="217"/>
    </row>
    <row r="297" ht="14.25" customHeight="1">
      <c r="A297" s="218">
        <v>296.0</v>
      </c>
      <c r="B297" s="318">
        <v>7.0</v>
      </c>
      <c r="C297" s="297" t="s">
        <v>4152</v>
      </c>
      <c r="D297" s="298"/>
      <c r="E297" s="266" t="s">
        <v>4153</v>
      </c>
      <c r="F297" s="267" t="s">
        <v>227</v>
      </c>
      <c r="G297" s="249"/>
      <c r="H297" s="245"/>
      <c r="I297" s="245"/>
      <c r="J297" s="245"/>
      <c r="K297" s="317"/>
      <c r="L297" s="275"/>
      <c r="M297" s="269"/>
      <c r="N297" s="269"/>
      <c r="O297" s="269"/>
      <c r="P297" s="269"/>
      <c r="Q297" s="269"/>
      <c r="R297" s="269"/>
      <c r="S297" s="269"/>
      <c r="T297" s="269"/>
      <c r="U297" s="269"/>
      <c r="V297" s="217"/>
      <c r="W297" s="217"/>
      <c r="X297" s="217"/>
      <c r="Y297" s="217"/>
      <c r="Z297" s="217"/>
      <c r="AA297" s="217"/>
    </row>
    <row r="298" ht="14.25" customHeight="1">
      <c r="A298" s="218">
        <v>297.0</v>
      </c>
      <c r="B298" s="318">
        <v>8.0</v>
      </c>
      <c r="C298" s="297" t="s">
        <v>4157</v>
      </c>
      <c r="D298" s="298"/>
      <c r="E298" s="266" t="s">
        <v>4158</v>
      </c>
      <c r="F298" s="267" t="s">
        <v>227</v>
      </c>
      <c r="G298" s="287"/>
      <c r="H298" s="287"/>
      <c r="I298" s="287"/>
      <c r="J298" s="287"/>
      <c r="K298" s="287"/>
      <c r="L298" s="287"/>
      <c r="M298" s="287"/>
      <c r="N298" s="287"/>
      <c r="O298" s="287"/>
      <c r="P298" s="287"/>
      <c r="Q298" s="287"/>
      <c r="R298" s="287"/>
      <c r="S298" s="287"/>
      <c r="T298" s="287"/>
      <c r="U298" s="287"/>
      <c r="V298" s="217"/>
      <c r="W298" s="217"/>
      <c r="X298" s="217"/>
      <c r="Y298" s="217"/>
      <c r="Z298" s="217"/>
      <c r="AA298" s="217"/>
    </row>
    <row r="299" ht="14.25" customHeight="1">
      <c r="A299" s="218">
        <v>298.0</v>
      </c>
      <c r="B299" s="318">
        <v>9.0</v>
      </c>
      <c r="C299" s="297" t="s">
        <v>4162</v>
      </c>
      <c r="D299" s="298"/>
      <c r="E299" s="266" t="s">
        <v>4163</v>
      </c>
      <c r="F299" s="267" t="s">
        <v>227</v>
      </c>
      <c r="G299" s="269"/>
      <c r="H299" s="245"/>
      <c r="I299" s="245"/>
      <c r="J299" s="245"/>
      <c r="K299" s="317"/>
      <c r="L299" s="275"/>
      <c r="M299" s="269"/>
      <c r="N299" s="269"/>
      <c r="O299" s="269"/>
      <c r="P299" s="269"/>
      <c r="Q299" s="269"/>
      <c r="R299" s="269"/>
      <c r="S299" s="269"/>
      <c r="T299" s="269"/>
      <c r="U299" s="269"/>
      <c r="V299" s="217"/>
      <c r="W299" s="217"/>
      <c r="X299" s="217"/>
      <c r="Y299" s="217"/>
      <c r="Z299" s="217"/>
      <c r="AA299" s="217"/>
    </row>
    <row r="300" ht="14.25" customHeight="1">
      <c r="A300" s="218">
        <v>299.0</v>
      </c>
      <c r="B300" s="318">
        <v>10.0</v>
      </c>
      <c r="C300" s="297" t="s">
        <v>4167</v>
      </c>
      <c r="D300" s="298"/>
      <c r="E300" s="266" t="s">
        <v>4168</v>
      </c>
      <c r="F300" s="267" t="s">
        <v>227</v>
      </c>
      <c r="G300" s="269"/>
      <c r="H300" s="245"/>
      <c r="I300" s="245"/>
      <c r="J300" s="245"/>
      <c r="K300" s="317"/>
      <c r="L300" s="275"/>
      <c r="M300" s="269"/>
      <c r="N300" s="269"/>
      <c r="O300" s="269"/>
      <c r="P300" s="269"/>
      <c r="Q300" s="269"/>
      <c r="R300" s="269"/>
      <c r="S300" s="269"/>
      <c r="T300" s="269"/>
      <c r="U300" s="269"/>
      <c r="X300" s="217"/>
      <c r="Y300" s="217"/>
      <c r="Z300" s="217"/>
      <c r="AA300" s="217"/>
    </row>
    <row r="301" ht="14.25" customHeight="1">
      <c r="A301" s="218">
        <v>300.0</v>
      </c>
      <c r="B301" s="318">
        <v>11.0</v>
      </c>
      <c r="C301" s="297" t="s">
        <v>4173</v>
      </c>
      <c r="D301" s="298"/>
      <c r="E301" s="266" t="s">
        <v>4174</v>
      </c>
      <c r="F301" s="267" t="s">
        <v>227</v>
      </c>
      <c r="G301" s="269"/>
      <c r="H301" s="245"/>
      <c r="I301" s="245"/>
      <c r="J301" s="245"/>
      <c r="K301" s="317"/>
      <c r="L301" s="275"/>
      <c r="M301" s="269"/>
      <c r="N301" s="269"/>
      <c r="O301" s="269"/>
      <c r="P301" s="269"/>
      <c r="Q301" s="269"/>
      <c r="R301" s="269"/>
      <c r="S301" s="269"/>
      <c r="T301" s="269"/>
      <c r="U301" s="269"/>
      <c r="V301" s="217"/>
      <c r="W301" s="217"/>
      <c r="X301" s="217"/>
      <c r="Y301" s="217"/>
      <c r="Z301" s="217"/>
      <c r="AA301" s="217"/>
    </row>
    <row r="302" ht="14.25" customHeight="1">
      <c r="A302" s="218">
        <v>301.0</v>
      </c>
      <c r="B302" s="318">
        <v>12.0</v>
      </c>
      <c r="C302" s="297" t="s">
        <v>4178</v>
      </c>
      <c r="D302" s="298"/>
      <c r="E302" s="266" t="s">
        <v>4179</v>
      </c>
      <c r="F302" s="267" t="s">
        <v>227</v>
      </c>
      <c r="G302" s="269"/>
      <c r="H302" s="269"/>
      <c r="I302" s="269"/>
      <c r="J302" s="269"/>
      <c r="K302" s="269"/>
      <c r="L302" s="269"/>
      <c r="M302" s="269"/>
      <c r="N302" s="269"/>
      <c r="O302" s="269"/>
      <c r="P302" s="269"/>
      <c r="Q302" s="269"/>
      <c r="R302" s="269"/>
      <c r="S302" s="269"/>
      <c r="T302" s="269"/>
      <c r="U302" s="269"/>
      <c r="V302" s="217"/>
      <c r="W302" s="217"/>
      <c r="X302" s="217"/>
      <c r="Y302" s="217"/>
      <c r="Z302" s="217"/>
      <c r="AA302" s="217"/>
    </row>
    <row r="303" ht="14.25" customHeight="1">
      <c r="A303" s="218">
        <v>302.0</v>
      </c>
      <c r="B303" s="318">
        <v>13.0</v>
      </c>
      <c r="C303" s="297" t="s">
        <v>4183</v>
      </c>
      <c r="D303" s="298"/>
      <c r="E303" s="266" t="s">
        <v>4184</v>
      </c>
      <c r="F303" s="267" t="s">
        <v>220</v>
      </c>
      <c r="G303" s="269"/>
      <c r="H303" s="269"/>
      <c r="I303" s="269"/>
      <c r="J303" s="269"/>
      <c r="K303" s="269"/>
      <c r="L303" s="269"/>
      <c r="M303" s="269"/>
      <c r="N303" s="269"/>
      <c r="O303" s="269"/>
      <c r="P303" s="269"/>
      <c r="Q303" s="269"/>
      <c r="R303" s="269"/>
      <c r="S303" s="269"/>
      <c r="T303" s="269"/>
      <c r="U303" s="269"/>
      <c r="V303" s="217"/>
      <c r="W303" s="217"/>
      <c r="X303" s="217"/>
      <c r="Y303" s="217"/>
      <c r="Z303" s="217"/>
      <c r="AA303" s="217"/>
    </row>
    <row r="304" ht="14.25" customHeight="1">
      <c r="A304" s="218">
        <v>303.0</v>
      </c>
      <c r="B304" s="318">
        <v>14.0</v>
      </c>
      <c r="C304" s="297" t="s">
        <v>4189</v>
      </c>
      <c r="D304" s="298"/>
      <c r="E304" s="266" t="s">
        <v>4190</v>
      </c>
      <c r="F304" s="267" t="s">
        <v>220</v>
      </c>
      <c r="G304" s="269"/>
      <c r="H304" s="269"/>
      <c r="I304" s="269"/>
      <c r="J304" s="269"/>
      <c r="K304" s="269"/>
      <c r="L304" s="269"/>
      <c r="M304" s="269"/>
      <c r="N304" s="269"/>
      <c r="O304" s="269"/>
      <c r="P304" s="269"/>
      <c r="Q304" s="269"/>
      <c r="R304" s="269"/>
      <c r="S304" s="269"/>
      <c r="T304" s="269"/>
      <c r="U304" s="269"/>
      <c r="X304" s="217"/>
      <c r="Y304" s="217"/>
      <c r="Z304" s="217"/>
      <c r="AA304" s="217"/>
    </row>
    <row r="305" ht="14.25" customHeight="1">
      <c r="A305" s="218">
        <v>304.0</v>
      </c>
      <c r="B305" s="318">
        <v>15.0</v>
      </c>
      <c r="C305" s="297" t="s">
        <v>4194</v>
      </c>
      <c r="D305" s="298"/>
      <c r="E305" s="266" t="s">
        <v>4195</v>
      </c>
      <c r="F305" s="267" t="s">
        <v>227</v>
      </c>
      <c r="G305" s="269"/>
      <c r="H305" s="269"/>
      <c r="I305" s="269"/>
      <c r="J305" s="269"/>
      <c r="K305" s="269"/>
      <c r="L305" s="269"/>
      <c r="M305" s="269"/>
      <c r="N305" s="269"/>
      <c r="O305" s="269"/>
      <c r="P305" s="269"/>
      <c r="Q305" s="269"/>
      <c r="R305" s="269"/>
      <c r="S305" s="269"/>
      <c r="T305" s="269"/>
      <c r="U305" s="269"/>
      <c r="V305" s="217"/>
      <c r="W305" s="217"/>
      <c r="X305" s="217"/>
      <c r="Y305" s="217"/>
      <c r="Z305" s="217"/>
      <c r="AA305" s="217"/>
    </row>
    <row r="306" ht="14.25" customHeight="1">
      <c r="A306" s="218">
        <v>305.0</v>
      </c>
      <c r="B306" s="318">
        <v>16.0</v>
      </c>
      <c r="C306" s="297" t="s">
        <v>4199</v>
      </c>
      <c r="D306" s="298"/>
      <c r="E306" s="270" t="s">
        <v>4200</v>
      </c>
      <c r="F306" s="271" t="s">
        <v>220</v>
      </c>
      <c r="G306" s="269"/>
      <c r="H306" s="269"/>
      <c r="I306" s="269"/>
      <c r="J306" s="269"/>
      <c r="K306" s="269"/>
      <c r="L306" s="269"/>
      <c r="M306" s="269"/>
      <c r="N306" s="269"/>
      <c r="O306" s="269"/>
      <c r="P306" s="269"/>
      <c r="Q306" s="269"/>
      <c r="R306" s="269"/>
      <c r="S306" s="269"/>
      <c r="T306" s="269"/>
      <c r="U306" s="269"/>
      <c r="X306" s="217"/>
      <c r="Y306" s="217"/>
      <c r="Z306" s="217"/>
      <c r="AA306" s="217"/>
    </row>
    <row r="307" ht="14.25" customHeight="1">
      <c r="A307" s="218">
        <v>306.0</v>
      </c>
      <c r="B307" s="318">
        <v>17.0</v>
      </c>
      <c r="C307" s="297" t="s">
        <v>4204</v>
      </c>
      <c r="D307" s="298"/>
      <c r="E307" s="266" t="s">
        <v>4205</v>
      </c>
      <c r="F307" s="267" t="s">
        <v>227</v>
      </c>
      <c r="G307" s="269"/>
      <c r="H307" s="269"/>
      <c r="I307" s="269"/>
      <c r="J307" s="269"/>
      <c r="K307" s="269"/>
      <c r="L307" s="269"/>
      <c r="M307" s="269"/>
      <c r="N307" s="269"/>
      <c r="O307" s="269"/>
      <c r="P307" s="269"/>
      <c r="Q307" s="269"/>
      <c r="R307" s="269"/>
      <c r="S307" s="269"/>
      <c r="T307" s="269"/>
      <c r="U307" s="269"/>
      <c r="X307" s="217"/>
      <c r="Y307" s="217"/>
      <c r="Z307" s="217"/>
      <c r="AA307" s="217"/>
    </row>
    <row r="308" ht="14.25" customHeight="1">
      <c r="A308" s="218">
        <v>307.0</v>
      </c>
      <c r="B308" s="318">
        <v>18.0</v>
      </c>
      <c r="C308" s="297" t="s">
        <v>4209</v>
      </c>
      <c r="D308" s="298"/>
      <c r="E308" s="266" t="s">
        <v>4210</v>
      </c>
      <c r="F308" s="267" t="s">
        <v>227</v>
      </c>
      <c r="G308" s="269"/>
      <c r="H308" s="269"/>
      <c r="I308" s="269"/>
      <c r="J308" s="269"/>
      <c r="K308" s="269"/>
      <c r="L308" s="269"/>
      <c r="M308" s="269"/>
      <c r="N308" s="269"/>
      <c r="O308" s="269"/>
      <c r="P308" s="269"/>
      <c r="Q308" s="269"/>
      <c r="R308" s="269"/>
      <c r="S308" s="269"/>
      <c r="T308" s="269"/>
      <c r="U308" s="269"/>
      <c r="X308" s="217"/>
      <c r="Y308" s="217"/>
      <c r="Z308" s="217"/>
      <c r="AA308" s="217"/>
    </row>
    <row r="309" ht="14.25" customHeight="1">
      <c r="A309" s="218">
        <v>308.0</v>
      </c>
      <c r="B309" s="318">
        <v>19.0</v>
      </c>
      <c r="C309" s="297" t="s">
        <v>4214</v>
      </c>
      <c r="D309" s="298"/>
      <c r="E309" s="266" t="s">
        <v>4215</v>
      </c>
      <c r="F309" s="267" t="s">
        <v>220</v>
      </c>
      <c r="G309" s="269"/>
      <c r="H309" s="269"/>
      <c r="I309" s="269"/>
      <c r="J309" s="269"/>
      <c r="K309" s="269"/>
      <c r="L309" s="269"/>
      <c r="M309" s="269"/>
      <c r="N309" s="269"/>
      <c r="O309" s="269"/>
      <c r="P309" s="269"/>
      <c r="Q309" s="269"/>
      <c r="R309" s="269"/>
      <c r="S309" s="269"/>
      <c r="T309" s="269"/>
      <c r="U309" s="269"/>
      <c r="X309" s="217"/>
      <c r="Y309" s="217"/>
      <c r="Z309" s="217"/>
      <c r="AA309" s="217"/>
    </row>
    <row r="310" ht="14.25" customHeight="1">
      <c r="A310" s="218">
        <v>309.0</v>
      </c>
      <c r="B310" s="318">
        <v>20.0</v>
      </c>
      <c r="C310" s="297" t="s">
        <v>4220</v>
      </c>
      <c r="D310" s="298"/>
      <c r="E310" s="266" t="s">
        <v>4221</v>
      </c>
      <c r="F310" s="267" t="s">
        <v>220</v>
      </c>
      <c r="G310" s="269"/>
      <c r="H310" s="317"/>
      <c r="I310" s="269"/>
      <c r="J310" s="269"/>
      <c r="K310" s="269"/>
      <c r="L310" s="269"/>
      <c r="M310" s="269"/>
      <c r="N310" s="269"/>
      <c r="O310" s="269"/>
      <c r="P310" s="269"/>
      <c r="Q310" s="269"/>
      <c r="R310" s="269"/>
      <c r="S310" s="269"/>
      <c r="T310" s="269"/>
      <c r="U310" s="269"/>
      <c r="V310" s="217"/>
      <c r="W310" s="217"/>
      <c r="X310" s="217"/>
      <c r="Y310" s="217"/>
      <c r="Z310" s="217"/>
      <c r="AA310" s="217"/>
    </row>
    <row r="311" ht="14.25" customHeight="1">
      <c r="A311" s="218">
        <v>310.0</v>
      </c>
      <c r="B311" s="318">
        <v>21.0</v>
      </c>
      <c r="C311" s="297" t="s">
        <v>4225</v>
      </c>
      <c r="D311" s="298"/>
      <c r="E311" s="266" t="s">
        <v>4226</v>
      </c>
      <c r="F311" s="267" t="s">
        <v>220</v>
      </c>
      <c r="G311" s="269"/>
      <c r="H311" s="269"/>
      <c r="I311" s="269"/>
      <c r="J311" s="269"/>
      <c r="K311" s="269"/>
      <c r="L311" s="269"/>
      <c r="M311" s="269"/>
      <c r="N311" s="269"/>
      <c r="O311" s="269"/>
      <c r="P311" s="269"/>
      <c r="Q311" s="269"/>
      <c r="R311" s="269"/>
      <c r="S311" s="269"/>
      <c r="T311" s="269"/>
      <c r="U311" s="269"/>
      <c r="V311" s="217"/>
      <c r="W311" s="217"/>
      <c r="X311" s="217"/>
      <c r="Y311" s="217"/>
      <c r="Z311" s="217"/>
      <c r="AA311" s="217"/>
    </row>
    <row r="312" ht="14.25" customHeight="1">
      <c r="A312" s="218">
        <v>311.0</v>
      </c>
      <c r="B312" s="318">
        <v>22.0</v>
      </c>
      <c r="C312" s="297" t="s">
        <v>4230</v>
      </c>
      <c r="D312" s="298"/>
      <c r="E312" s="266" t="s">
        <v>4231</v>
      </c>
      <c r="F312" s="267" t="s">
        <v>220</v>
      </c>
      <c r="G312" s="269"/>
      <c r="H312" s="269"/>
      <c r="I312" s="269"/>
      <c r="J312" s="269"/>
      <c r="K312" s="269"/>
      <c r="L312" s="269"/>
      <c r="M312" s="269"/>
      <c r="N312" s="269"/>
      <c r="O312" s="269"/>
      <c r="P312" s="269"/>
      <c r="Q312" s="269"/>
      <c r="R312" s="269"/>
      <c r="S312" s="269"/>
      <c r="T312" s="269"/>
      <c r="U312" s="269"/>
      <c r="X312" s="217"/>
      <c r="Y312" s="217"/>
      <c r="Z312" s="217"/>
      <c r="AA312" s="217"/>
    </row>
    <row r="313" ht="14.25" customHeight="1">
      <c r="A313" s="218">
        <v>312.0</v>
      </c>
      <c r="B313" s="318">
        <v>23.0</v>
      </c>
      <c r="C313" s="297" t="s">
        <v>4235</v>
      </c>
      <c r="D313" s="298"/>
      <c r="E313" s="266" t="s">
        <v>4236</v>
      </c>
      <c r="F313" s="267" t="s">
        <v>220</v>
      </c>
      <c r="G313" s="269"/>
      <c r="H313" s="269"/>
      <c r="I313" s="269"/>
      <c r="J313" s="269"/>
      <c r="K313" s="269"/>
      <c r="L313" s="269"/>
      <c r="M313" s="269"/>
      <c r="N313" s="269"/>
      <c r="O313" s="269"/>
      <c r="P313" s="269"/>
      <c r="Q313" s="269"/>
      <c r="R313" s="269"/>
      <c r="S313" s="269"/>
      <c r="T313" s="269"/>
      <c r="U313" s="269"/>
      <c r="V313" s="217"/>
      <c r="W313" s="217"/>
      <c r="X313" s="217"/>
      <c r="Y313" s="217"/>
      <c r="Z313" s="217"/>
      <c r="AA313" s="217"/>
    </row>
    <row r="314" ht="14.25" customHeight="1">
      <c r="A314" s="218">
        <v>313.0</v>
      </c>
      <c r="B314" s="318">
        <v>24.0</v>
      </c>
      <c r="C314" s="297" t="s">
        <v>4240</v>
      </c>
      <c r="D314" s="298"/>
      <c r="E314" s="266" t="s">
        <v>4241</v>
      </c>
      <c r="F314" s="267" t="s">
        <v>227</v>
      </c>
      <c r="G314" s="269"/>
      <c r="H314" s="269"/>
      <c r="I314" s="269"/>
      <c r="J314" s="269"/>
      <c r="K314" s="269"/>
      <c r="L314" s="269"/>
      <c r="M314" s="269"/>
      <c r="N314" s="269"/>
      <c r="O314" s="269"/>
      <c r="P314" s="269"/>
      <c r="Q314" s="269"/>
      <c r="R314" s="269"/>
      <c r="S314" s="269"/>
      <c r="T314" s="269"/>
      <c r="U314" s="269"/>
      <c r="V314" s="217"/>
      <c r="W314" s="217"/>
      <c r="X314" s="217"/>
      <c r="Y314" s="217"/>
      <c r="Z314" s="217"/>
      <c r="AA314" s="217"/>
    </row>
    <row r="315" ht="14.25" customHeight="1">
      <c r="A315" s="218">
        <v>314.0</v>
      </c>
      <c r="B315" s="318">
        <v>25.0</v>
      </c>
      <c r="C315" s="297" t="s">
        <v>4245</v>
      </c>
      <c r="D315" s="298"/>
      <c r="E315" s="266" t="s">
        <v>4246</v>
      </c>
      <c r="F315" s="267" t="s">
        <v>227</v>
      </c>
      <c r="G315" s="269"/>
      <c r="H315" s="269"/>
      <c r="I315" s="269"/>
      <c r="J315" s="269"/>
      <c r="K315" s="269"/>
      <c r="L315" s="269"/>
      <c r="M315" s="269"/>
      <c r="N315" s="269"/>
      <c r="O315" s="269"/>
      <c r="P315" s="269"/>
      <c r="Q315" s="269"/>
      <c r="R315" s="269"/>
      <c r="S315" s="269"/>
      <c r="T315" s="269"/>
      <c r="U315" s="269"/>
      <c r="V315" s="217"/>
      <c r="W315" s="217"/>
      <c r="X315" s="217"/>
      <c r="Y315" s="217"/>
      <c r="Z315" s="217"/>
      <c r="AA315" s="217"/>
    </row>
    <row r="316" ht="14.25" customHeight="1">
      <c r="A316" s="218">
        <v>315.0</v>
      </c>
      <c r="B316" s="318">
        <v>26.0</v>
      </c>
      <c r="C316" s="297" t="s">
        <v>4250</v>
      </c>
      <c r="D316" s="298"/>
      <c r="E316" s="266" t="s">
        <v>4251</v>
      </c>
      <c r="F316" s="267" t="s">
        <v>227</v>
      </c>
      <c r="G316" s="269"/>
      <c r="H316" s="269"/>
      <c r="I316" s="269"/>
      <c r="J316" s="269"/>
      <c r="K316" s="269"/>
      <c r="L316" s="269"/>
      <c r="M316" s="269"/>
      <c r="N316" s="269"/>
      <c r="O316" s="269"/>
      <c r="P316" s="269"/>
      <c r="Q316" s="269"/>
      <c r="R316" s="269"/>
      <c r="S316" s="269"/>
      <c r="T316" s="269"/>
      <c r="U316" s="269"/>
      <c r="V316" s="217"/>
      <c r="W316" s="217"/>
      <c r="X316" s="217"/>
      <c r="Y316" s="217"/>
      <c r="Z316" s="217"/>
      <c r="AA316" s="217"/>
    </row>
    <row r="317" ht="14.25" customHeight="1">
      <c r="A317" s="218">
        <v>316.0</v>
      </c>
      <c r="B317" s="318">
        <v>27.0</v>
      </c>
      <c r="C317" s="297" t="s">
        <v>4256</v>
      </c>
      <c r="D317" s="298"/>
      <c r="E317" s="266" t="s">
        <v>4257</v>
      </c>
      <c r="F317" s="267" t="s">
        <v>227</v>
      </c>
      <c r="G317" s="287"/>
      <c r="H317" s="287"/>
      <c r="I317" s="287"/>
      <c r="J317" s="287"/>
      <c r="K317" s="287"/>
      <c r="L317" s="287"/>
      <c r="M317" s="287"/>
      <c r="N317" s="287"/>
      <c r="O317" s="287"/>
      <c r="P317" s="287"/>
      <c r="Q317" s="287"/>
      <c r="R317" s="287"/>
      <c r="S317" s="287"/>
      <c r="T317" s="287"/>
      <c r="U317" s="287"/>
      <c r="V317" s="217"/>
      <c r="W317" s="217"/>
      <c r="X317" s="217"/>
      <c r="Y317" s="217"/>
      <c r="Z317" s="217"/>
      <c r="AA317" s="217"/>
    </row>
    <row r="318" ht="22.5" customHeight="1">
      <c r="A318" s="218">
        <v>317.0</v>
      </c>
      <c r="B318" s="318">
        <v>28.0</v>
      </c>
      <c r="C318" s="297" t="s">
        <v>4261</v>
      </c>
      <c r="D318" s="298"/>
      <c r="E318" s="266" t="s">
        <v>4262</v>
      </c>
      <c r="F318" s="267" t="s">
        <v>227</v>
      </c>
      <c r="G318" s="269"/>
      <c r="H318" s="269"/>
      <c r="I318" s="269"/>
      <c r="J318" s="269"/>
      <c r="K318" s="269"/>
      <c r="L318" s="269"/>
      <c r="M318" s="269"/>
      <c r="N318" s="269"/>
      <c r="O318" s="269"/>
      <c r="P318" s="269"/>
      <c r="Q318" s="269"/>
      <c r="R318" s="269"/>
      <c r="S318" s="269"/>
      <c r="T318" s="269"/>
      <c r="U318" s="269"/>
      <c r="X318" s="217"/>
      <c r="Y318" s="217"/>
      <c r="Z318" s="217"/>
      <c r="AA318" s="217"/>
    </row>
    <row r="319" ht="14.25" customHeight="1">
      <c r="A319" s="218">
        <v>318.0</v>
      </c>
      <c r="B319" s="318">
        <v>29.0</v>
      </c>
      <c r="C319" s="297" t="s">
        <v>4266</v>
      </c>
      <c r="D319" s="298"/>
      <c r="E319" s="266" t="s">
        <v>4267</v>
      </c>
      <c r="F319" s="267" t="s">
        <v>220</v>
      </c>
      <c r="G319" s="269"/>
      <c r="H319" s="269"/>
      <c r="I319" s="269"/>
      <c r="J319" s="269"/>
      <c r="K319" s="269"/>
      <c r="L319" s="269"/>
      <c r="M319" s="269"/>
      <c r="N319" s="269"/>
      <c r="O319" s="269"/>
      <c r="P319" s="269"/>
      <c r="Q319" s="269"/>
      <c r="R319" s="269"/>
      <c r="S319" s="269"/>
      <c r="T319" s="269"/>
      <c r="U319" s="269"/>
      <c r="V319" s="217"/>
      <c r="W319" s="217"/>
      <c r="X319" s="217"/>
      <c r="Y319" s="217"/>
      <c r="Z319" s="217"/>
      <c r="AA319" s="217"/>
    </row>
    <row r="320" ht="14.25" customHeight="1">
      <c r="A320" s="218">
        <v>319.0</v>
      </c>
      <c r="B320" s="318">
        <v>30.0</v>
      </c>
      <c r="C320" s="297" t="s">
        <v>4271</v>
      </c>
      <c r="D320" s="298"/>
      <c r="E320" s="266" t="s">
        <v>4272</v>
      </c>
      <c r="F320" s="267" t="s">
        <v>220</v>
      </c>
      <c r="G320" s="269"/>
      <c r="H320" s="269"/>
      <c r="I320" s="269"/>
      <c r="J320" s="269"/>
      <c r="K320" s="269"/>
      <c r="L320" s="269"/>
      <c r="M320" s="269"/>
      <c r="N320" s="269"/>
      <c r="O320" s="269"/>
      <c r="P320" s="269"/>
      <c r="Q320" s="269"/>
      <c r="R320" s="269"/>
      <c r="S320" s="269"/>
      <c r="T320" s="269"/>
      <c r="U320" s="269"/>
      <c r="V320" s="217"/>
      <c r="W320" s="217"/>
      <c r="X320" s="217"/>
      <c r="Y320" s="217"/>
      <c r="Z320" s="217"/>
      <c r="AA320" s="217"/>
    </row>
    <row r="321" ht="14.25" customHeight="1">
      <c r="A321" s="218">
        <v>320.0</v>
      </c>
      <c r="B321" s="318">
        <v>31.0</v>
      </c>
      <c r="C321" s="297" t="s">
        <v>4276</v>
      </c>
      <c r="D321" s="298"/>
      <c r="E321" s="266" t="s">
        <v>4277</v>
      </c>
      <c r="F321" s="267" t="s">
        <v>227</v>
      </c>
      <c r="G321" s="269"/>
      <c r="H321" s="269"/>
      <c r="I321" s="269"/>
      <c r="J321" s="269"/>
      <c r="K321" s="269"/>
      <c r="L321" s="269"/>
      <c r="M321" s="269"/>
      <c r="N321" s="269"/>
      <c r="O321" s="269"/>
      <c r="P321" s="269"/>
      <c r="Q321" s="269"/>
      <c r="R321" s="269"/>
      <c r="S321" s="269"/>
      <c r="T321" s="269"/>
      <c r="U321" s="269"/>
      <c r="V321" s="217"/>
      <c r="W321" s="217"/>
      <c r="X321" s="217"/>
      <c r="Y321" s="217"/>
      <c r="Z321" s="217"/>
      <c r="AA321" s="217"/>
    </row>
    <row r="322" ht="14.25" customHeight="1">
      <c r="A322" s="218">
        <v>321.0</v>
      </c>
      <c r="B322" s="318">
        <v>32.0</v>
      </c>
      <c r="C322" s="297" t="s">
        <v>4281</v>
      </c>
      <c r="D322" s="298"/>
      <c r="E322" s="266" t="s">
        <v>4282</v>
      </c>
      <c r="F322" s="267" t="s">
        <v>227</v>
      </c>
      <c r="G322" s="269"/>
      <c r="H322" s="269"/>
      <c r="I322" s="269"/>
      <c r="J322" s="269"/>
      <c r="K322" s="269"/>
      <c r="L322" s="269"/>
      <c r="M322" s="269"/>
      <c r="N322" s="269"/>
      <c r="O322" s="269"/>
      <c r="P322" s="269"/>
      <c r="Q322" s="269"/>
      <c r="R322" s="269"/>
      <c r="S322" s="269"/>
      <c r="T322" s="269"/>
      <c r="U322" s="269"/>
      <c r="X322" s="217"/>
      <c r="Y322" s="217"/>
      <c r="Z322" s="217"/>
      <c r="AA322" s="217"/>
    </row>
    <row r="323" ht="14.25" customHeight="1">
      <c r="A323" s="218">
        <v>322.0</v>
      </c>
      <c r="B323" s="318">
        <v>33.0</v>
      </c>
      <c r="C323" s="297" t="s">
        <v>4286</v>
      </c>
      <c r="D323" s="298"/>
      <c r="E323" s="266" t="s">
        <v>4287</v>
      </c>
      <c r="F323" s="267" t="s">
        <v>227</v>
      </c>
      <c r="G323" s="269"/>
      <c r="H323" s="269"/>
      <c r="I323" s="269"/>
      <c r="J323" s="269"/>
      <c r="K323" s="269"/>
      <c r="L323" s="269"/>
      <c r="M323" s="269"/>
      <c r="N323" s="269"/>
      <c r="O323" s="269"/>
      <c r="P323" s="269"/>
      <c r="Q323" s="269"/>
      <c r="R323" s="269"/>
      <c r="S323" s="269"/>
      <c r="T323" s="269"/>
      <c r="U323" s="269"/>
      <c r="V323" s="217"/>
      <c r="W323" s="217"/>
      <c r="X323" s="217"/>
      <c r="Y323" s="217"/>
      <c r="Z323" s="217"/>
      <c r="AA323" s="217"/>
    </row>
    <row r="324" ht="14.25" customHeight="1">
      <c r="A324" s="218">
        <v>323.0</v>
      </c>
      <c r="B324" s="318">
        <v>34.0</v>
      </c>
      <c r="C324" s="297" t="s">
        <v>4292</v>
      </c>
      <c r="D324" s="298"/>
      <c r="E324" s="266" t="s">
        <v>4293</v>
      </c>
      <c r="F324" s="267" t="s">
        <v>227</v>
      </c>
      <c r="G324" s="269"/>
      <c r="H324" s="269"/>
      <c r="I324" s="269"/>
      <c r="J324" s="269"/>
      <c r="K324" s="269"/>
      <c r="L324" s="269"/>
      <c r="M324" s="269"/>
      <c r="N324" s="269"/>
      <c r="O324" s="269"/>
      <c r="P324" s="269"/>
      <c r="Q324" s="269"/>
      <c r="R324" s="269"/>
      <c r="S324" s="269"/>
      <c r="T324" s="269"/>
      <c r="U324" s="269"/>
      <c r="X324" s="217"/>
      <c r="Y324" s="217"/>
      <c r="Z324" s="217"/>
      <c r="AA324" s="217"/>
    </row>
    <row r="325" ht="14.25" customHeight="1">
      <c r="A325" s="218">
        <v>324.0</v>
      </c>
      <c r="B325" s="318">
        <v>35.0</v>
      </c>
      <c r="C325" s="297" t="s">
        <v>4297</v>
      </c>
      <c r="D325" s="298"/>
      <c r="E325" s="314" t="s">
        <v>4298</v>
      </c>
      <c r="F325" s="315" t="s">
        <v>227</v>
      </c>
      <c r="G325" s="269"/>
      <c r="H325" s="269"/>
      <c r="I325" s="269"/>
      <c r="J325" s="269"/>
      <c r="K325" s="269"/>
      <c r="L325" s="269"/>
      <c r="M325" s="269"/>
      <c r="N325" s="269"/>
      <c r="O325" s="269"/>
      <c r="P325" s="269"/>
      <c r="Q325" s="269"/>
      <c r="R325" s="269"/>
      <c r="S325" s="269"/>
      <c r="T325" s="269"/>
      <c r="U325" s="269"/>
      <c r="V325" s="217"/>
      <c r="W325" s="217"/>
      <c r="X325" s="217"/>
      <c r="Y325" s="217"/>
      <c r="Z325" s="217"/>
      <c r="AA325" s="217"/>
    </row>
    <row r="326" ht="14.25" customHeight="1">
      <c r="A326" s="218">
        <v>325.0</v>
      </c>
      <c r="B326" s="318">
        <v>36.0</v>
      </c>
      <c r="C326" s="297" t="s">
        <v>4302</v>
      </c>
      <c r="D326" s="298"/>
      <c r="E326" s="266" t="s">
        <v>4303</v>
      </c>
      <c r="F326" s="267" t="s">
        <v>220</v>
      </c>
      <c r="G326" s="269"/>
      <c r="H326" s="269"/>
      <c r="I326" s="269"/>
      <c r="J326" s="269"/>
      <c r="K326" s="269"/>
      <c r="L326" s="269"/>
      <c r="M326" s="269"/>
      <c r="N326" s="269"/>
      <c r="O326" s="269"/>
      <c r="P326" s="269"/>
      <c r="Q326" s="269"/>
      <c r="R326" s="269"/>
      <c r="S326" s="269"/>
      <c r="T326" s="269"/>
      <c r="U326" s="269"/>
      <c r="V326" s="217"/>
      <c r="W326" s="217"/>
      <c r="X326" s="217"/>
      <c r="Y326" s="217"/>
      <c r="Z326" s="217"/>
      <c r="AA326" s="217"/>
    </row>
    <row r="327" ht="16.5" hidden="1" customHeight="1">
      <c r="A327" s="218">
        <v>326.0</v>
      </c>
      <c r="B327" s="252"/>
      <c r="C327" s="253"/>
      <c r="D327" s="252"/>
      <c r="E327" s="253"/>
      <c r="F327" s="253"/>
      <c r="G327" s="254"/>
      <c r="H327" s="254"/>
      <c r="I327" s="254"/>
      <c r="J327" s="254"/>
      <c r="K327" s="254"/>
      <c r="L327" s="254"/>
      <c r="M327" s="254"/>
      <c r="N327" s="254"/>
      <c r="O327" s="254"/>
      <c r="P327" s="254"/>
      <c r="Q327" s="254"/>
      <c r="R327" s="254"/>
      <c r="S327" s="254"/>
      <c r="T327" s="254"/>
      <c r="U327" s="254"/>
      <c r="V327" s="217"/>
      <c r="W327" s="217"/>
      <c r="X327" s="217"/>
      <c r="Y327" s="217"/>
      <c r="Z327" s="217"/>
      <c r="AA327" s="217"/>
    </row>
    <row r="328" ht="16.5" hidden="1" customHeight="1">
      <c r="A328" s="218">
        <v>327.0</v>
      </c>
      <c r="B328" s="252"/>
      <c r="C328" s="253"/>
      <c r="D328" s="252"/>
      <c r="E328" s="253"/>
      <c r="F328" s="253"/>
      <c r="G328" s="254"/>
      <c r="H328" s="254"/>
      <c r="I328" s="254"/>
      <c r="J328" s="254"/>
      <c r="K328" s="254"/>
      <c r="L328" s="255" t="s">
        <v>9753</v>
      </c>
      <c r="M328" s="256"/>
      <c r="N328" s="256"/>
      <c r="O328" s="256"/>
      <c r="P328" s="256"/>
      <c r="Q328" s="256"/>
      <c r="R328" s="256"/>
      <c r="S328" s="256"/>
      <c r="T328" s="256"/>
      <c r="U328" s="257"/>
      <c r="V328" s="217"/>
      <c r="W328" s="217"/>
      <c r="X328" s="217"/>
      <c r="Y328" s="217"/>
      <c r="Z328" s="217"/>
      <c r="AA328" s="217"/>
    </row>
    <row r="329" ht="16.5" hidden="1" customHeight="1">
      <c r="A329" s="218">
        <v>328.0</v>
      </c>
      <c r="B329" s="252"/>
      <c r="C329" s="253"/>
      <c r="D329" s="252"/>
      <c r="E329" s="253"/>
      <c r="F329" s="253"/>
      <c r="G329" s="254"/>
      <c r="H329" s="254"/>
      <c r="I329" s="254"/>
      <c r="J329" s="254"/>
      <c r="K329" s="254"/>
      <c r="L329" s="258" t="s">
        <v>8793</v>
      </c>
      <c r="M329" s="259"/>
      <c r="N329" s="259"/>
      <c r="O329" s="259"/>
      <c r="P329" s="259"/>
      <c r="Q329" s="259"/>
      <c r="R329" s="259"/>
      <c r="S329" s="259"/>
      <c r="T329" s="259"/>
      <c r="U329" s="260"/>
      <c r="V329" s="217"/>
      <c r="W329" s="217"/>
      <c r="X329" s="217"/>
      <c r="Y329" s="217"/>
      <c r="Z329" s="217"/>
      <c r="AA329" s="217"/>
    </row>
    <row r="330" ht="75.0" hidden="1" customHeight="1">
      <c r="A330" s="218">
        <v>329.0</v>
      </c>
      <c r="B330" s="261"/>
      <c r="C330" s="261"/>
      <c r="D330" s="261"/>
      <c r="E330" s="261"/>
      <c r="F330" s="261"/>
      <c r="G330" s="261"/>
      <c r="H330" s="261"/>
      <c r="I330" s="261"/>
      <c r="J330" s="261"/>
      <c r="K330" s="261"/>
      <c r="L330" s="261"/>
      <c r="M330" s="261"/>
      <c r="N330" s="261"/>
      <c r="O330" s="261"/>
      <c r="P330" s="261"/>
      <c r="Q330" s="261"/>
      <c r="R330" s="261"/>
      <c r="S330" s="261"/>
      <c r="T330" s="261"/>
      <c r="U330" s="261"/>
      <c r="V330" s="217"/>
      <c r="W330" s="217"/>
      <c r="X330" s="217"/>
      <c r="Y330" s="217"/>
      <c r="Z330" s="217"/>
      <c r="AA330" s="217"/>
    </row>
    <row r="331" ht="16.5" hidden="1" customHeight="1">
      <c r="A331" s="218">
        <v>330.0</v>
      </c>
      <c r="B331" s="262"/>
      <c r="C331" s="263"/>
      <c r="D331" s="263"/>
      <c r="E331" s="263"/>
      <c r="F331" s="263"/>
      <c r="G331" s="263"/>
      <c r="H331" s="263"/>
      <c r="I331" s="263"/>
      <c r="J331" s="263"/>
      <c r="K331" s="263"/>
      <c r="L331" s="263"/>
      <c r="M331" s="263"/>
      <c r="N331" s="263"/>
      <c r="O331" s="263"/>
      <c r="P331" s="263"/>
      <c r="Q331" s="263"/>
      <c r="R331" s="263"/>
      <c r="S331" s="263"/>
      <c r="T331" s="263"/>
      <c r="U331" s="264"/>
      <c r="V331" s="217"/>
      <c r="W331" s="217"/>
      <c r="X331" s="217"/>
      <c r="Y331" s="217"/>
      <c r="Z331" s="217"/>
      <c r="AA331" s="217"/>
    </row>
    <row r="332" ht="16.5" hidden="1" customHeight="1">
      <c r="A332" s="218">
        <v>331.0</v>
      </c>
      <c r="B332" s="222"/>
      <c r="C332" s="223"/>
      <c r="D332" s="223"/>
      <c r="E332" s="223"/>
      <c r="F332" s="223"/>
      <c r="G332" s="223"/>
      <c r="H332" s="223"/>
      <c r="I332" s="223"/>
      <c r="J332" s="223"/>
      <c r="K332" s="223"/>
      <c r="L332" s="223"/>
      <c r="M332" s="223"/>
      <c r="N332" s="223"/>
      <c r="O332" s="223"/>
      <c r="P332" s="223"/>
      <c r="Q332" s="223"/>
      <c r="R332" s="223"/>
      <c r="S332" s="223"/>
      <c r="T332" s="223"/>
      <c r="U332" s="224"/>
      <c r="V332" s="217"/>
      <c r="W332" s="217"/>
      <c r="X332" s="217"/>
      <c r="Y332" s="217"/>
      <c r="Z332" s="217"/>
      <c r="AA332" s="217"/>
    </row>
    <row r="333" ht="16.5" hidden="1" customHeight="1">
      <c r="A333" s="218">
        <v>332.0</v>
      </c>
      <c r="B333" s="225"/>
      <c r="C333" s="226"/>
      <c r="D333" s="226"/>
      <c r="E333" s="226"/>
      <c r="F333" s="226"/>
      <c r="G333" s="226"/>
      <c r="H333" s="226"/>
      <c r="I333" s="226"/>
      <c r="J333" s="226"/>
      <c r="K333" s="226"/>
      <c r="L333" s="226"/>
      <c r="M333" s="226"/>
      <c r="N333" s="226"/>
      <c r="O333" s="226"/>
      <c r="P333" s="226"/>
      <c r="Q333" s="226"/>
      <c r="R333" s="226"/>
      <c r="S333" s="226"/>
      <c r="T333" s="226"/>
      <c r="U333" s="227"/>
      <c r="V333" s="217"/>
      <c r="W333" s="217"/>
      <c r="X333" s="217"/>
      <c r="Y333" s="217"/>
      <c r="Z333" s="217"/>
      <c r="AA333" s="217"/>
    </row>
    <row r="334" ht="16.5" hidden="1" customHeight="1">
      <c r="A334" s="218">
        <v>333.0</v>
      </c>
      <c r="B334" s="228"/>
      <c r="C334" s="229"/>
      <c r="D334" s="229"/>
      <c r="E334" s="229"/>
      <c r="F334" s="229"/>
      <c r="G334" s="230"/>
      <c r="H334" s="230"/>
      <c r="I334" s="230"/>
      <c r="J334" s="230"/>
      <c r="K334" s="230"/>
      <c r="L334" s="230"/>
      <c r="M334" s="230"/>
      <c r="N334" s="230"/>
      <c r="O334" s="230"/>
      <c r="P334" s="230"/>
      <c r="Q334" s="230"/>
      <c r="R334" s="230"/>
      <c r="S334" s="230"/>
      <c r="T334" s="230"/>
      <c r="U334" s="230"/>
      <c r="V334" s="217"/>
      <c r="W334" s="217"/>
      <c r="X334" s="217"/>
      <c r="Y334" s="217"/>
      <c r="Z334" s="217"/>
      <c r="AA334" s="217"/>
    </row>
    <row r="335" ht="14.25" hidden="1" customHeight="1">
      <c r="A335" s="218">
        <v>334.0</v>
      </c>
      <c r="B335" s="231"/>
      <c r="C335" s="231"/>
      <c r="D335" s="231"/>
      <c r="E335" s="231"/>
      <c r="F335" s="232"/>
      <c r="G335" s="233"/>
      <c r="H335" s="234"/>
      <c r="I335" s="234"/>
      <c r="J335" s="234"/>
      <c r="K335" s="234"/>
      <c r="L335" s="234"/>
      <c r="M335" s="234"/>
      <c r="N335" s="234"/>
      <c r="O335" s="234"/>
      <c r="P335" s="234"/>
      <c r="Q335" s="234"/>
      <c r="R335" s="234"/>
      <c r="S335" s="234"/>
      <c r="T335" s="234"/>
      <c r="U335" s="235"/>
      <c r="V335" s="217"/>
      <c r="W335" s="217"/>
      <c r="X335" s="217"/>
      <c r="Y335" s="217"/>
      <c r="Z335" s="217"/>
      <c r="AA335" s="217"/>
    </row>
    <row r="336" ht="14.25" hidden="1" customHeight="1">
      <c r="A336" s="218">
        <v>335.0</v>
      </c>
      <c r="B336" s="236"/>
      <c r="C336" s="236"/>
      <c r="D336" s="236"/>
      <c r="E336" s="236"/>
      <c r="F336" s="237"/>
      <c r="G336" s="238"/>
      <c r="H336" s="239"/>
      <c r="I336" s="239"/>
      <c r="J336" s="239"/>
      <c r="K336" s="239"/>
      <c r="L336" s="239"/>
      <c r="M336" s="239"/>
      <c r="N336" s="239"/>
      <c r="O336" s="239"/>
      <c r="P336" s="239"/>
      <c r="Q336" s="239"/>
      <c r="R336" s="240"/>
      <c r="S336" s="233" t="s">
        <v>9713</v>
      </c>
      <c r="T336" s="234"/>
      <c r="U336" s="235"/>
      <c r="V336" s="217"/>
      <c r="W336" s="217"/>
      <c r="X336" s="217"/>
      <c r="Y336" s="217"/>
      <c r="Z336" s="217"/>
      <c r="AA336" s="217"/>
    </row>
    <row r="337" ht="14.25" hidden="1" customHeight="1">
      <c r="A337" s="218">
        <v>336.0</v>
      </c>
      <c r="B337" s="241"/>
      <c r="C337" s="241"/>
      <c r="D337" s="241"/>
      <c r="E337" s="241"/>
      <c r="F337" s="242"/>
      <c r="G337" s="243"/>
      <c r="H337" s="243">
        <v>2.0</v>
      </c>
      <c r="I337" s="243">
        <v>3.0</v>
      </c>
      <c r="J337" s="243">
        <v>4.0</v>
      </c>
      <c r="K337" s="243">
        <v>5.0</v>
      </c>
      <c r="L337" s="243">
        <v>6.0</v>
      </c>
      <c r="M337" s="243">
        <v>7.0</v>
      </c>
      <c r="N337" s="243">
        <v>8.0</v>
      </c>
      <c r="O337" s="243">
        <v>9.0</v>
      </c>
      <c r="P337" s="243">
        <v>10.0</v>
      </c>
      <c r="Q337" s="243">
        <v>11.0</v>
      </c>
      <c r="R337" s="243">
        <v>12.0</v>
      </c>
      <c r="S337" s="243" t="s">
        <v>9714</v>
      </c>
      <c r="T337" s="243" t="s">
        <v>9715</v>
      </c>
      <c r="U337" s="244" t="s">
        <v>9716</v>
      </c>
      <c r="V337" s="217"/>
      <c r="W337" s="217"/>
      <c r="X337" s="217"/>
      <c r="Y337" s="217"/>
      <c r="Z337" s="217"/>
      <c r="AA337" s="217"/>
    </row>
    <row r="338" ht="14.25" customHeight="1">
      <c r="A338" s="218">
        <v>337.0</v>
      </c>
      <c r="B338" s="245">
        <v>1.0</v>
      </c>
      <c r="C338" s="302" t="s">
        <v>4307</v>
      </c>
      <c r="D338" s="303"/>
      <c r="E338" s="266" t="s">
        <v>4308</v>
      </c>
      <c r="F338" s="267" t="s">
        <v>220</v>
      </c>
      <c r="G338" s="269"/>
      <c r="H338" s="269"/>
      <c r="I338" s="269"/>
      <c r="J338" s="269"/>
      <c r="K338" s="269"/>
      <c r="L338" s="269"/>
      <c r="M338" s="269"/>
      <c r="N338" s="269"/>
      <c r="O338" s="269"/>
      <c r="P338" s="269"/>
      <c r="Q338" s="269"/>
      <c r="R338" s="269"/>
      <c r="S338" s="269"/>
      <c r="T338" s="269"/>
      <c r="U338" s="269"/>
      <c r="V338" s="217"/>
      <c r="W338" s="217"/>
      <c r="X338" s="217"/>
      <c r="Y338" s="217"/>
      <c r="Z338" s="217"/>
      <c r="AA338" s="217"/>
    </row>
    <row r="339" ht="14.25" customHeight="1">
      <c r="A339" s="218">
        <v>338.0</v>
      </c>
      <c r="B339" s="245">
        <v>2.0</v>
      </c>
      <c r="C339" s="310" t="s">
        <v>4313</v>
      </c>
      <c r="D339" s="311"/>
      <c r="E339" s="319" t="s">
        <v>4314</v>
      </c>
      <c r="F339" s="320" t="s">
        <v>227</v>
      </c>
      <c r="G339" s="269"/>
      <c r="H339" s="269"/>
      <c r="I339" s="269"/>
      <c r="J339" s="269"/>
      <c r="K339" s="269"/>
      <c r="L339" s="269"/>
      <c r="M339" s="269"/>
      <c r="N339" s="269"/>
      <c r="O339" s="269"/>
      <c r="P339" s="269"/>
      <c r="Q339" s="269"/>
      <c r="R339" s="269"/>
      <c r="S339" s="269"/>
      <c r="T339" s="269"/>
      <c r="U339" s="269"/>
      <c r="V339" s="217"/>
      <c r="W339" s="217"/>
      <c r="X339" s="217"/>
      <c r="Y339" s="217"/>
      <c r="Z339" s="217"/>
      <c r="AA339" s="217"/>
    </row>
    <row r="340" ht="14.25" customHeight="1">
      <c r="A340" s="218">
        <v>339.0</v>
      </c>
      <c r="B340" s="245">
        <v>3.0</v>
      </c>
      <c r="C340" s="310" t="s">
        <v>4318</v>
      </c>
      <c r="D340" s="311"/>
      <c r="E340" s="266" t="s">
        <v>4319</v>
      </c>
      <c r="F340" s="267" t="s">
        <v>220</v>
      </c>
      <c r="G340" s="269"/>
      <c r="H340" s="269"/>
      <c r="I340" s="269"/>
      <c r="J340" s="269"/>
      <c r="K340" s="269"/>
      <c r="L340" s="269"/>
      <c r="M340" s="269"/>
      <c r="N340" s="269"/>
      <c r="O340" s="269"/>
      <c r="P340" s="269"/>
      <c r="Q340" s="269"/>
      <c r="R340" s="269"/>
      <c r="S340" s="269"/>
      <c r="T340" s="269"/>
      <c r="U340" s="269"/>
      <c r="V340" s="217"/>
      <c r="W340" s="217"/>
      <c r="X340" s="217"/>
      <c r="Y340" s="217"/>
      <c r="Z340" s="217"/>
      <c r="AA340" s="217"/>
    </row>
    <row r="341" ht="14.25" customHeight="1">
      <c r="A341" s="218">
        <v>340.0</v>
      </c>
      <c r="B341" s="245">
        <v>4.0</v>
      </c>
      <c r="C341" s="310" t="s">
        <v>4323</v>
      </c>
      <c r="D341" s="311"/>
      <c r="E341" s="266" t="s">
        <v>4324</v>
      </c>
      <c r="F341" s="267" t="s">
        <v>227</v>
      </c>
      <c r="G341" s="269"/>
      <c r="H341" s="269"/>
      <c r="I341" s="269"/>
      <c r="J341" s="269"/>
      <c r="K341" s="269"/>
      <c r="L341" s="269"/>
      <c r="M341" s="269"/>
      <c r="N341" s="269"/>
      <c r="O341" s="269"/>
      <c r="P341" s="269"/>
      <c r="Q341" s="269"/>
      <c r="R341" s="269"/>
      <c r="S341" s="269"/>
      <c r="T341" s="269"/>
      <c r="U341" s="269"/>
      <c r="X341" s="217"/>
      <c r="Y341" s="217"/>
      <c r="Z341" s="217"/>
      <c r="AA341" s="217"/>
    </row>
    <row r="342" ht="14.25" customHeight="1">
      <c r="A342" s="218">
        <v>341.0</v>
      </c>
      <c r="B342" s="245">
        <v>5.0</v>
      </c>
      <c r="C342" s="310" t="s">
        <v>4329</v>
      </c>
      <c r="D342" s="311"/>
      <c r="E342" s="266" t="s">
        <v>4330</v>
      </c>
      <c r="F342" s="267" t="s">
        <v>227</v>
      </c>
      <c r="G342" s="269"/>
      <c r="H342" s="269"/>
      <c r="I342" s="269"/>
      <c r="J342" s="269"/>
      <c r="K342" s="269"/>
      <c r="L342" s="269"/>
      <c r="M342" s="269"/>
      <c r="N342" s="269"/>
      <c r="O342" s="269"/>
      <c r="P342" s="269"/>
      <c r="Q342" s="269"/>
      <c r="R342" s="269"/>
      <c r="S342" s="269"/>
      <c r="T342" s="269"/>
      <c r="U342" s="269"/>
      <c r="V342" s="217"/>
      <c r="W342" s="217"/>
      <c r="X342" s="217"/>
      <c r="Y342" s="217"/>
      <c r="Z342" s="217"/>
      <c r="AA342" s="217"/>
    </row>
    <row r="343" ht="14.25" customHeight="1">
      <c r="A343" s="218">
        <v>342.0</v>
      </c>
      <c r="B343" s="245">
        <v>6.0</v>
      </c>
      <c r="C343" s="310" t="s">
        <v>4334</v>
      </c>
      <c r="D343" s="311"/>
      <c r="E343" s="266" t="s">
        <v>4335</v>
      </c>
      <c r="F343" s="267" t="s">
        <v>227</v>
      </c>
      <c r="G343" s="269"/>
      <c r="H343" s="269"/>
      <c r="I343" s="269"/>
      <c r="J343" s="269"/>
      <c r="K343" s="269"/>
      <c r="L343" s="269"/>
      <c r="M343" s="269"/>
      <c r="N343" s="269"/>
      <c r="O343" s="269"/>
      <c r="P343" s="269"/>
      <c r="Q343" s="269"/>
      <c r="R343" s="269"/>
      <c r="S343" s="269"/>
      <c r="T343" s="269"/>
      <c r="U343" s="269"/>
      <c r="V343" s="217"/>
      <c r="W343" s="217"/>
      <c r="X343" s="217"/>
      <c r="Y343" s="217"/>
      <c r="Z343" s="217"/>
      <c r="AA343" s="217"/>
    </row>
    <row r="344" ht="14.25" customHeight="1">
      <c r="A344" s="218">
        <v>343.0</v>
      </c>
      <c r="B344" s="245">
        <v>7.0</v>
      </c>
      <c r="C344" s="310" t="s">
        <v>4339</v>
      </c>
      <c r="D344" s="311"/>
      <c r="E344" s="266" t="s">
        <v>4340</v>
      </c>
      <c r="F344" s="267" t="s">
        <v>227</v>
      </c>
      <c r="G344" s="269"/>
      <c r="H344" s="269"/>
      <c r="I344" s="269"/>
      <c r="J344" s="269"/>
      <c r="K344" s="269"/>
      <c r="L344" s="269"/>
      <c r="M344" s="269"/>
      <c r="N344" s="269"/>
      <c r="O344" s="269"/>
      <c r="P344" s="269"/>
      <c r="Q344" s="269"/>
      <c r="R344" s="269"/>
      <c r="S344" s="269"/>
      <c r="T344" s="269"/>
      <c r="U344" s="269"/>
      <c r="V344" s="217"/>
      <c r="W344" s="217"/>
      <c r="X344" s="217"/>
      <c r="Y344" s="217"/>
      <c r="Z344" s="217"/>
      <c r="AA344" s="217"/>
    </row>
    <row r="345" ht="14.25" customHeight="1">
      <c r="A345" s="218">
        <v>344.0</v>
      </c>
      <c r="B345" s="245">
        <v>8.0</v>
      </c>
      <c r="C345" s="310" t="s">
        <v>4344</v>
      </c>
      <c r="D345" s="311"/>
      <c r="E345" s="266" t="s">
        <v>4345</v>
      </c>
      <c r="F345" s="267" t="s">
        <v>227</v>
      </c>
      <c r="G345" s="269"/>
      <c r="H345" s="269"/>
      <c r="I345" s="269"/>
      <c r="J345" s="269"/>
      <c r="K345" s="269"/>
      <c r="L345" s="269"/>
      <c r="M345" s="269"/>
      <c r="N345" s="269"/>
      <c r="O345" s="269"/>
      <c r="P345" s="269"/>
      <c r="Q345" s="269"/>
      <c r="R345" s="269"/>
      <c r="S345" s="269"/>
      <c r="T345" s="269"/>
      <c r="U345" s="269"/>
      <c r="V345" s="217"/>
      <c r="W345" s="217"/>
      <c r="X345" s="217"/>
      <c r="Y345" s="217"/>
      <c r="Z345" s="217"/>
      <c r="AA345" s="217"/>
    </row>
    <row r="346" ht="14.25" customHeight="1">
      <c r="A346" s="218">
        <v>345.0</v>
      </c>
      <c r="B346" s="245">
        <v>9.0</v>
      </c>
      <c r="C346" s="310" t="s">
        <v>4349</v>
      </c>
      <c r="D346" s="311"/>
      <c r="E346" s="266" t="s">
        <v>4350</v>
      </c>
      <c r="F346" s="267" t="s">
        <v>227</v>
      </c>
      <c r="G346" s="269"/>
      <c r="H346" s="269"/>
      <c r="I346" s="269"/>
      <c r="J346" s="269"/>
      <c r="K346" s="269"/>
      <c r="L346" s="269"/>
      <c r="M346" s="269"/>
      <c r="N346" s="269"/>
      <c r="O346" s="269"/>
      <c r="P346" s="269"/>
      <c r="Q346" s="269"/>
      <c r="R346" s="269"/>
      <c r="S346" s="269"/>
      <c r="T346" s="269"/>
      <c r="U346" s="269"/>
      <c r="V346" s="217"/>
      <c r="W346" s="217"/>
      <c r="X346" s="217"/>
      <c r="Y346" s="217"/>
      <c r="Z346" s="217"/>
      <c r="AA346" s="217"/>
    </row>
    <row r="347" ht="14.25" customHeight="1">
      <c r="A347" s="218">
        <v>346.0</v>
      </c>
      <c r="B347" s="245">
        <v>10.0</v>
      </c>
      <c r="C347" s="310" t="s">
        <v>4354</v>
      </c>
      <c r="D347" s="311"/>
      <c r="E347" s="266" t="s">
        <v>4355</v>
      </c>
      <c r="F347" s="267" t="s">
        <v>227</v>
      </c>
      <c r="G347" s="269"/>
      <c r="H347" s="269"/>
      <c r="I347" s="269"/>
      <c r="J347" s="269"/>
      <c r="K347" s="269"/>
      <c r="L347" s="269"/>
      <c r="M347" s="269"/>
      <c r="N347" s="269"/>
      <c r="O347" s="269"/>
      <c r="P347" s="269"/>
      <c r="Q347" s="269"/>
      <c r="R347" s="269"/>
      <c r="S347" s="269"/>
      <c r="T347" s="269"/>
      <c r="U347" s="269"/>
      <c r="V347" s="217"/>
      <c r="W347" s="217"/>
      <c r="X347" s="217"/>
      <c r="Y347" s="217"/>
      <c r="Z347" s="217"/>
      <c r="AA347" s="217"/>
    </row>
    <row r="348" ht="14.25" customHeight="1">
      <c r="A348" s="218">
        <v>347.0</v>
      </c>
      <c r="B348" s="245">
        <v>11.0</v>
      </c>
      <c r="C348" s="310" t="s">
        <v>4359</v>
      </c>
      <c r="D348" s="311"/>
      <c r="E348" s="266" t="s">
        <v>4360</v>
      </c>
      <c r="F348" s="267" t="s">
        <v>220</v>
      </c>
      <c r="G348" s="269"/>
      <c r="H348" s="269"/>
      <c r="I348" s="269"/>
      <c r="J348" s="269"/>
      <c r="K348" s="269"/>
      <c r="L348" s="269"/>
      <c r="M348" s="269"/>
      <c r="N348" s="269"/>
      <c r="O348" s="269"/>
      <c r="P348" s="269"/>
      <c r="Q348" s="269"/>
      <c r="R348" s="269"/>
      <c r="S348" s="269"/>
      <c r="T348" s="269"/>
      <c r="U348" s="269"/>
      <c r="V348" s="217"/>
      <c r="W348" s="217"/>
      <c r="X348" s="217"/>
      <c r="Y348" s="217"/>
      <c r="Z348" s="217"/>
      <c r="AA348" s="217"/>
    </row>
    <row r="349" ht="14.25" customHeight="1">
      <c r="A349" s="218">
        <v>348.0</v>
      </c>
      <c r="B349" s="245">
        <v>12.0</v>
      </c>
      <c r="C349" s="310" t="s">
        <v>4365</v>
      </c>
      <c r="D349" s="311"/>
      <c r="E349" s="266" t="s">
        <v>4366</v>
      </c>
      <c r="F349" s="267" t="s">
        <v>227</v>
      </c>
      <c r="G349" s="269"/>
      <c r="H349" s="269"/>
      <c r="I349" s="269"/>
      <c r="J349" s="269"/>
      <c r="K349" s="269"/>
      <c r="L349" s="269"/>
      <c r="M349" s="269"/>
      <c r="N349" s="269"/>
      <c r="O349" s="269"/>
      <c r="P349" s="269"/>
      <c r="Q349" s="269"/>
      <c r="R349" s="269"/>
      <c r="S349" s="269"/>
      <c r="T349" s="269"/>
      <c r="U349" s="269"/>
      <c r="V349" s="217"/>
      <c r="W349" s="217"/>
      <c r="X349" s="217"/>
      <c r="Y349" s="217"/>
      <c r="Z349" s="217"/>
      <c r="AA349" s="217"/>
    </row>
    <row r="350" ht="14.25" customHeight="1">
      <c r="A350" s="218">
        <v>349.0</v>
      </c>
      <c r="B350" s="245">
        <v>13.0</v>
      </c>
      <c r="C350" s="310" t="s">
        <v>4370</v>
      </c>
      <c r="D350" s="311"/>
      <c r="E350" s="266" t="s">
        <v>4371</v>
      </c>
      <c r="F350" s="267" t="s">
        <v>227</v>
      </c>
      <c r="G350" s="269"/>
      <c r="H350" s="269"/>
      <c r="I350" s="269"/>
      <c r="J350" s="269"/>
      <c r="K350" s="269"/>
      <c r="L350" s="269"/>
      <c r="M350" s="269"/>
      <c r="N350" s="269"/>
      <c r="O350" s="269"/>
      <c r="P350" s="269"/>
      <c r="Q350" s="269"/>
      <c r="R350" s="269"/>
      <c r="S350" s="269"/>
      <c r="T350" s="269"/>
      <c r="U350" s="269"/>
      <c r="V350" s="217"/>
      <c r="W350" s="217"/>
      <c r="X350" s="217"/>
      <c r="Y350" s="217"/>
      <c r="Z350" s="217"/>
      <c r="AA350" s="217"/>
    </row>
    <row r="351" ht="14.25" customHeight="1">
      <c r="A351" s="218">
        <v>350.0</v>
      </c>
      <c r="B351" s="245">
        <v>14.0</v>
      </c>
      <c r="C351" s="310" t="s">
        <v>4375</v>
      </c>
      <c r="D351" s="311"/>
      <c r="E351" s="266" t="s">
        <v>4376</v>
      </c>
      <c r="F351" s="267" t="s">
        <v>227</v>
      </c>
      <c r="G351" s="269"/>
      <c r="H351" s="269"/>
      <c r="I351" s="269"/>
      <c r="J351" s="269"/>
      <c r="K351" s="269"/>
      <c r="L351" s="269"/>
      <c r="M351" s="269"/>
      <c r="N351" s="269"/>
      <c r="O351" s="269"/>
      <c r="P351" s="269"/>
      <c r="Q351" s="269"/>
      <c r="R351" s="269"/>
      <c r="S351" s="269"/>
      <c r="T351" s="269"/>
      <c r="U351" s="269"/>
      <c r="V351" s="217"/>
      <c r="W351" s="217"/>
      <c r="X351" s="217"/>
      <c r="Y351" s="217"/>
      <c r="Z351" s="217"/>
      <c r="AA351" s="217"/>
    </row>
    <row r="352" ht="14.25" customHeight="1">
      <c r="A352" s="218">
        <v>351.0</v>
      </c>
      <c r="B352" s="245">
        <v>15.0</v>
      </c>
      <c r="C352" s="310" t="s">
        <v>4380</v>
      </c>
      <c r="D352" s="311"/>
      <c r="E352" s="266" t="s">
        <v>4381</v>
      </c>
      <c r="F352" s="267" t="s">
        <v>227</v>
      </c>
      <c r="G352" s="269"/>
      <c r="H352" s="269"/>
      <c r="I352" s="269"/>
      <c r="J352" s="269"/>
      <c r="K352" s="269"/>
      <c r="L352" s="269"/>
      <c r="M352" s="269"/>
      <c r="N352" s="269"/>
      <c r="O352" s="269"/>
      <c r="P352" s="269"/>
      <c r="Q352" s="269"/>
      <c r="R352" s="269"/>
      <c r="S352" s="269"/>
      <c r="T352" s="269"/>
      <c r="U352" s="269"/>
      <c r="V352" s="217"/>
      <c r="W352" s="217"/>
      <c r="X352" s="217"/>
      <c r="Y352" s="217"/>
      <c r="Z352" s="217"/>
      <c r="AA352" s="217"/>
    </row>
    <row r="353" ht="14.25" customHeight="1">
      <c r="A353" s="218">
        <v>352.0</v>
      </c>
      <c r="B353" s="245">
        <v>16.0</v>
      </c>
      <c r="C353" s="310" t="s">
        <v>4386</v>
      </c>
      <c r="D353" s="311"/>
      <c r="E353" s="266" t="s">
        <v>4387</v>
      </c>
      <c r="F353" s="267" t="s">
        <v>227</v>
      </c>
      <c r="G353" s="269"/>
      <c r="H353" s="269"/>
      <c r="I353" s="269"/>
      <c r="J353" s="269"/>
      <c r="K353" s="269"/>
      <c r="L353" s="269"/>
      <c r="M353" s="269"/>
      <c r="N353" s="269"/>
      <c r="O353" s="269"/>
      <c r="P353" s="269"/>
      <c r="Q353" s="269"/>
      <c r="R353" s="269"/>
      <c r="S353" s="269"/>
      <c r="T353" s="269"/>
      <c r="U353" s="269"/>
      <c r="V353" s="217"/>
      <c r="W353" s="217"/>
      <c r="X353" s="217"/>
      <c r="Y353" s="217"/>
      <c r="Z353" s="217"/>
      <c r="AA353" s="217"/>
    </row>
    <row r="354" ht="14.25" customHeight="1">
      <c r="A354" s="218">
        <v>353.0</v>
      </c>
      <c r="B354" s="245">
        <v>17.0</v>
      </c>
      <c r="C354" s="310" t="s">
        <v>4391</v>
      </c>
      <c r="D354" s="311"/>
      <c r="E354" s="266" t="s">
        <v>4392</v>
      </c>
      <c r="F354" s="267" t="s">
        <v>220</v>
      </c>
      <c r="G354" s="269"/>
      <c r="H354" s="269"/>
      <c r="I354" s="269"/>
      <c r="J354" s="269"/>
      <c r="K354" s="269"/>
      <c r="L354" s="269"/>
      <c r="M354" s="269"/>
      <c r="N354" s="269"/>
      <c r="O354" s="269"/>
      <c r="P354" s="269"/>
      <c r="Q354" s="269"/>
      <c r="R354" s="269"/>
      <c r="S354" s="269"/>
      <c r="T354" s="269"/>
      <c r="U354" s="269"/>
      <c r="V354" s="217"/>
      <c r="W354" s="217"/>
      <c r="X354" s="217"/>
      <c r="Y354" s="217"/>
      <c r="Z354" s="217"/>
      <c r="AA354" s="217"/>
    </row>
    <row r="355" ht="14.25" customHeight="1">
      <c r="A355" s="218">
        <v>354.0</v>
      </c>
      <c r="B355" s="245">
        <v>18.0</v>
      </c>
      <c r="C355" s="310" t="s">
        <v>127</v>
      </c>
      <c r="D355" s="311"/>
      <c r="E355" s="266" t="s">
        <v>4396</v>
      </c>
      <c r="F355" s="267" t="s">
        <v>227</v>
      </c>
      <c r="G355" s="269"/>
      <c r="H355" s="269"/>
      <c r="I355" s="269"/>
      <c r="J355" s="269"/>
      <c r="K355" s="269"/>
      <c r="L355" s="269"/>
      <c r="M355" s="269"/>
      <c r="N355" s="269"/>
      <c r="O355" s="269"/>
      <c r="P355" s="269"/>
      <c r="Q355" s="269"/>
      <c r="R355" s="269"/>
      <c r="S355" s="269"/>
      <c r="T355" s="269"/>
      <c r="U355" s="269"/>
      <c r="V355" s="217"/>
      <c r="W355" s="217"/>
      <c r="X355" s="217"/>
      <c r="Y355" s="217"/>
      <c r="Z355" s="217"/>
      <c r="AA355" s="217"/>
    </row>
    <row r="356" ht="14.25" customHeight="1">
      <c r="A356" s="218">
        <v>355.0</v>
      </c>
      <c r="B356" s="245">
        <v>19.0</v>
      </c>
      <c r="C356" s="310" t="s">
        <v>4400</v>
      </c>
      <c r="D356" s="311"/>
      <c r="E356" s="266" t="s">
        <v>4401</v>
      </c>
      <c r="F356" s="267" t="s">
        <v>227</v>
      </c>
      <c r="G356" s="269"/>
      <c r="H356" s="269"/>
      <c r="I356" s="269"/>
      <c r="J356" s="269"/>
      <c r="K356" s="269"/>
      <c r="L356" s="269"/>
      <c r="M356" s="269"/>
      <c r="N356" s="269"/>
      <c r="O356" s="269"/>
      <c r="P356" s="269"/>
      <c r="Q356" s="269"/>
      <c r="R356" s="269"/>
      <c r="S356" s="269"/>
      <c r="T356" s="269"/>
      <c r="U356" s="269"/>
      <c r="V356" s="217"/>
      <c r="W356" s="217"/>
      <c r="X356" s="217"/>
      <c r="Y356" s="217"/>
      <c r="Z356" s="217"/>
      <c r="AA356" s="217"/>
    </row>
    <row r="357" ht="14.25" customHeight="1">
      <c r="A357" s="218">
        <v>356.0</v>
      </c>
      <c r="B357" s="245">
        <v>20.0</v>
      </c>
      <c r="C357" s="310" t="s">
        <v>4406</v>
      </c>
      <c r="D357" s="311"/>
      <c r="E357" s="266" t="s">
        <v>4407</v>
      </c>
      <c r="F357" s="267" t="s">
        <v>227</v>
      </c>
      <c r="G357" s="269"/>
      <c r="H357" s="269"/>
      <c r="I357" s="269"/>
      <c r="J357" s="269"/>
      <c r="K357" s="269"/>
      <c r="L357" s="269"/>
      <c r="M357" s="269"/>
      <c r="N357" s="269"/>
      <c r="O357" s="269"/>
      <c r="P357" s="269"/>
      <c r="Q357" s="269"/>
      <c r="R357" s="269"/>
      <c r="S357" s="269"/>
      <c r="T357" s="269"/>
      <c r="U357" s="269"/>
      <c r="V357" s="217"/>
      <c r="W357" s="217"/>
      <c r="X357" s="217"/>
      <c r="Y357" s="217"/>
      <c r="Z357" s="217"/>
      <c r="AA357" s="217"/>
    </row>
    <row r="358" ht="22.5" customHeight="1">
      <c r="A358" s="218">
        <v>357.0</v>
      </c>
      <c r="B358" s="245">
        <v>21.0</v>
      </c>
      <c r="C358" s="310" t="s">
        <v>4412</v>
      </c>
      <c r="D358" s="311"/>
      <c r="E358" s="266" t="s">
        <v>4413</v>
      </c>
      <c r="F358" s="267" t="s">
        <v>227</v>
      </c>
      <c r="G358" s="269"/>
      <c r="H358" s="269"/>
      <c r="I358" s="269"/>
      <c r="J358" s="269"/>
      <c r="K358" s="269"/>
      <c r="L358" s="269"/>
      <c r="M358" s="269"/>
      <c r="N358" s="269"/>
      <c r="O358" s="269"/>
      <c r="P358" s="269"/>
      <c r="Q358" s="269"/>
      <c r="R358" s="269"/>
      <c r="S358" s="269"/>
      <c r="T358" s="269"/>
      <c r="U358" s="269"/>
      <c r="V358" s="217"/>
      <c r="W358" s="217"/>
      <c r="X358" s="217"/>
      <c r="Y358" s="217"/>
      <c r="Z358" s="217"/>
      <c r="AA358" s="217"/>
    </row>
    <row r="359" ht="14.25" customHeight="1">
      <c r="A359" s="218">
        <v>358.0</v>
      </c>
      <c r="B359" s="245">
        <v>22.0</v>
      </c>
      <c r="C359" s="310" t="s">
        <v>4417</v>
      </c>
      <c r="D359" s="311"/>
      <c r="E359" s="266" t="s">
        <v>4418</v>
      </c>
      <c r="F359" s="267" t="s">
        <v>220</v>
      </c>
      <c r="G359" s="269"/>
      <c r="H359" s="269"/>
      <c r="I359" s="269"/>
      <c r="J359" s="269"/>
      <c r="K359" s="269"/>
      <c r="L359" s="269"/>
      <c r="M359" s="269"/>
      <c r="N359" s="269"/>
      <c r="O359" s="269"/>
      <c r="P359" s="269"/>
      <c r="Q359" s="269"/>
      <c r="R359" s="269"/>
      <c r="S359" s="269"/>
      <c r="T359" s="269"/>
      <c r="U359" s="269"/>
      <c r="V359" s="217"/>
      <c r="W359" s="217"/>
      <c r="X359" s="217"/>
      <c r="Y359" s="217"/>
      <c r="Z359" s="217"/>
      <c r="AA359" s="217"/>
    </row>
    <row r="360" ht="13.5" customHeight="1">
      <c r="A360" s="218">
        <v>359.0</v>
      </c>
      <c r="B360" s="245">
        <v>23.0</v>
      </c>
      <c r="C360" s="310" t="s">
        <v>4422</v>
      </c>
      <c r="D360" s="311"/>
      <c r="E360" s="266" t="s">
        <v>4423</v>
      </c>
      <c r="F360" s="267" t="s">
        <v>220</v>
      </c>
      <c r="G360" s="269"/>
      <c r="H360" s="269"/>
      <c r="I360" s="269"/>
      <c r="J360" s="269"/>
      <c r="K360" s="269"/>
      <c r="L360" s="269"/>
      <c r="M360" s="269"/>
      <c r="N360" s="269"/>
      <c r="O360" s="269"/>
      <c r="P360" s="269"/>
      <c r="Q360" s="269"/>
      <c r="R360" s="269"/>
      <c r="S360" s="269"/>
      <c r="T360" s="269"/>
      <c r="U360" s="269"/>
      <c r="V360" s="217"/>
      <c r="W360" s="217"/>
      <c r="X360" s="217"/>
      <c r="Y360" s="217"/>
      <c r="Z360" s="217"/>
      <c r="AA360" s="217"/>
    </row>
    <row r="361" ht="14.25" customHeight="1">
      <c r="A361" s="218">
        <v>360.0</v>
      </c>
      <c r="B361" s="245">
        <v>24.0</v>
      </c>
      <c r="C361" s="310" t="s">
        <v>4427</v>
      </c>
      <c r="D361" s="311"/>
      <c r="E361" s="266" t="s">
        <v>4428</v>
      </c>
      <c r="F361" s="267" t="s">
        <v>220</v>
      </c>
      <c r="G361" s="269"/>
      <c r="H361" s="269"/>
      <c r="I361" s="269"/>
      <c r="J361" s="269"/>
      <c r="K361" s="269"/>
      <c r="L361" s="269"/>
      <c r="M361" s="269"/>
      <c r="N361" s="269"/>
      <c r="O361" s="269"/>
      <c r="P361" s="269"/>
      <c r="Q361" s="269"/>
      <c r="R361" s="269"/>
      <c r="S361" s="269"/>
      <c r="T361" s="269"/>
      <c r="U361" s="269"/>
      <c r="V361" s="217"/>
      <c r="W361" s="217"/>
      <c r="X361" s="217"/>
      <c r="Y361" s="217"/>
      <c r="Z361" s="217"/>
      <c r="AA361" s="217"/>
    </row>
    <row r="362" ht="14.25" customHeight="1">
      <c r="A362" s="218">
        <v>361.0</v>
      </c>
      <c r="B362" s="245">
        <v>25.0</v>
      </c>
      <c r="C362" s="310" t="s">
        <v>4432</v>
      </c>
      <c r="D362" s="311"/>
      <c r="E362" s="266" t="s">
        <v>4433</v>
      </c>
      <c r="F362" s="267" t="s">
        <v>220</v>
      </c>
      <c r="G362" s="269"/>
      <c r="H362" s="269"/>
      <c r="I362" s="269"/>
      <c r="J362" s="269"/>
      <c r="K362" s="269"/>
      <c r="L362" s="269"/>
      <c r="M362" s="269"/>
      <c r="N362" s="269"/>
      <c r="O362" s="269"/>
      <c r="P362" s="269"/>
      <c r="Q362" s="269"/>
      <c r="R362" s="269"/>
      <c r="S362" s="269"/>
      <c r="T362" s="269"/>
      <c r="U362" s="269"/>
      <c r="V362" s="217"/>
      <c r="W362" s="217"/>
      <c r="X362" s="217"/>
      <c r="Y362" s="217"/>
      <c r="Z362" s="217"/>
      <c r="AA362" s="217"/>
    </row>
    <row r="363" ht="14.25" customHeight="1">
      <c r="A363" s="218">
        <v>362.0</v>
      </c>
      <c r="B363" s="245">
        <v>26.0</v>
      </c>
      <c r="C363" s="310" t="s">
        <v>4437</v>
      </c>
      <c r="D363" s="311"/>
      <c r="E363" s="266" t="s">
        <v>4438</v>
      </c>
      <c r="F363" s="267" t="s">
        <v>220</v>
      </c>
      <c r="G363" s="269"/>
      <c r="H363" s="269"/>
      <c r="I363" s="269"/>
      <c r="J363" s="269"/>
      <c r="K363" s="269"/>
      <c r="L363" s="269"/>
      <c r="M363" s="269"/>
      <c r="N363" s="269"/>
      <c r="O363" s="269"/>
      <c r="P363" s="269"/>
      <c r="Q363" s="269"/>
      <c r="R363" s="269"/>
      <c r="S363" s="269"/>
      <c r="T363" s="269"/>
      <c r="U363" s="269"/>
      <c r="X363" s="217"/>
      <c r="Y363" s="217"/>
      <c r="Z363" s="217"/>
      <c r="AA363" s="217"/>
    </row>
    <row r="364" ht="14.25" customHeight="1">
      <c r="A364" s="218">
        <v>363.0</v>
      </c>
      <c r="B364" s="245">
        <v>27.0</v>
      </c>
      <c r="C364" s="310" t="s">
        <v>4442</v>
      </c>
      <c r="D364" s="311"/>
      <c r="E364" s="266" t="s">
        <v>4443</v>
      </c>
      <c r="F364" s="267" t="s">
        <v>220</v>
      </c>
      <c r="G364" s="269"/>
      <c r="H364" s="269"/>
      <c r="I364" s="269"/>
      <c r="J364" s="269"/>
      <c r="K364" s="269"/>
      <c r="L364" s="269"/>
      <c r="M364" s="269"/>
      <c r="N364" s="269"/>
      <c r="O364" s="269"/>
      <c r="P364" s="269"/>
      <c r="Q364" s="269"/>
      <c r="R364" s="269"/>
      <c r="S364" s="269"/>
      <c r="T364" s="269"/>
      <c r="U364" s="269"/>
      <c r="V364" s="217"/>
      <c r="W364" s="217"/>
      <c r="X364" s="217"/>
      <c r="Y364" s="217"/>
      <c r="Z364" s="217"/>
      <c r="AA364" s="217"/>
    </row>
    <row r="365" ht="14.25" customHeight="1">
      <c r="A365" s="218">
        <v>364.0</v>
      </c>
      <c r="B365" s="245">
        <v>28.0</v>
      </c>
      <c r="C365" s="310" t="s">
        <v>4448</v>
      </c>
      <c r="D365" s="311"/>
      <c r="E365" s="266" t="s">
        <v>4449</v>
      </c>
      <c r="F365" s="267" t="s">
        <v>227</v>
      </c>
      <c r="G365" s="269"/>
      <c r="H365" s="269"/>
      <c r="I365" s="269"/>
      <c r="J365" s="269"/>
      <c r="K365" s="269"/>
      <c r="L365" s="269"/>
      <c r="M365" s="269"/>
      <c r="N365" s="269"/>
      <c r="O365" s="269"/>
      <c r="P365" s="269"/>
      <c r="Q365" s="269"/>
      <c r="R365" s="269"/>
      <c r="S365" s="269"/>
      <c r="T365" s="269"/>
      <c r="U365" s="269"/>
      <c r="X365" s="217"/>
      <c r="Y365" s="217"/>
      <c r="Z365" s="217"/>
      <c r="AA365" s="217"/>
    </row>
    <row r="366" ht="14.25" customHeight="1">
      <c r="A366" s="218">
        <v>365.0</v>
      </c>
      <c r="B366" s="245">
        <v>29.0</v>
      </c>
      <c r="C366" s="310" t="s">
        <v>52</v>
      </c>
      <c r="D366" s="311"/>
      <c r="E366" s="266" t="s">
        <v>4453</v>
      </c>
      <c r="F366" s="267" t="s">
        <v>227</v>
      </c>
      <c r="G366" s="269"/>
      <c r="H366" s="269"/>
      <c r="I366" s="269"/>
      <c r="J366" s="269"/>
      <c r="K366" s="269"/>
      <c r="L366" s="269"/>
      <c r="M366" s="269"/>
      <c r="N366" s="269"/>
      <c r="O366" s="269"/>
      <c r="P366" s="269"/>
      <c r="Q366" s="269"/>
      <c r="R366" s="269"/>
      <c r="S366" s="269"/>
      <c r="T366" s="269"/>
      <c r="U366" s="269"/>
      <c r="V366" s="217"/>
      <c r="W366" s="217"/>
      <c r="X366" s="217"/>
      <c r="Y366" s="217"/>
      <c r="Z366" s="217"/>
      <c r="AA366" s="217"/>
    </row>
    <row r="367" ht="14.25" customHeight="1">
      <c r="A367" s="218">
        <v>366.0</v>
      </c>
      <c r="B367" s="245">
        <v>30.0</v>
      </c>
      <c r="C367" s="310" t="s">
        <v>4457</v>
      </c>
      <c r="D367" s="311"/>
      <c r="E367" s="266" t="s">
        <v>4458</v>
      </c>
      <c r="F367" s="267" t="s">
        <v>227</v>
      </c>
      <c r="G367" s="269"/>
      <c r="H367" s="269"/>
      <c r="I367" s="269"/>
      <c r="J367" s="269"/>
      <c r="K367" s="269"/>
      <c r="L367" s="269"/>
      <c r="M367" s="269"/>
      <c r="N367" s="269"/>
      <c r="O367" s="269"/>
      <c r="P367" s="269"/>
      <c r="Q367" s="269"/>
      <c r="R367" s="269"/>
      <c r="S367" s="269"/>
      <c r="T367" s="269"/>
      <c r="U367" s="269"/>
      <c r="V367" s="217"/>
      <c r="W367" s="217"/>
      <c r="X367" s="217"/>
      <c r="Y367" s="217"/>
      <c r="Z367" s="217"/>
      <c r="AA367" s="217"/>
    </row>
    <row r="368" ht="14.25" customHeight="1">
      <c r="A368" s="218">
        <v>367.0</v>
      </c>
      <c r="B368" s="245">
        <v>31.0</v>
      </c>
      <c r="C368" s="310" t="s">
        <v>4462</v>
      </c>
      <c r="D368" s="311"/>
      <c r="E368" s="266" t="s">
        <v>4463</v>
      </c>
      <c r="F368" s="267" t="s">
        <v>220</v>
      </c>
      <c r="G368" s="269"/>
      <c r="H368" s="269"/>
      <c r="I368" s="269"/>
      <c r="J368" s="269"/>
      <c r="K368" s="269"/>
      <c r="L368" s="269"/>
      <c r="M368" s="269"/>
      <c r="N368" s="269"/>
      <c r="O368" s="269"/>
      <c r="P368" s="269"/>
      <c r="Q368" s="269"/>
      <c r="R368" s="269"/>
      <c r="S368" s="269"/>
      <c r="T368" s="269"/>
      <c r="U368" s="269"/>
      <c r="V368" s="217"/>
      <c r="W368" s="217"/>
      <c r="X368" s="217"/>
      <c r="Y368" s="217"/>
      <c r="Z368" s="217"/>
      <c r="AA368" s="217"/>
    </row>
    <row r="369" ht="14.25" customHeight="1">
      <c r="A369" s="218">
        <v>368.0</v>
      </c>
      <c r="B369" s="245">
        <v>32.0</v>
      </c>
      <c r="C369" s="310" t="s">
        <v>4467</v>
      </c>
      <c r="D369" s="311"/>
      <c r="E369" s="266" t="s">
        <v>4468</v>
      </c>
      <c r="F369" s="267" t="s">
        <v>220</v>
      </c>
      <c r="G369" s="269"/>
      <c r="H369" s="269"/>
      <c r="I369" s="269"/>
      <c r="J369" s="269"/>
      <c r="K369" s="269"/>
      <c r="L369" s="269"/>
      <c r="M369" s="269"/>
      <c r="N369" s="269"/>
      <c r="O369" s="269"/>
      <c r="P369" s="269"/>
      <c r="Q369" s="269"/>
      <c r="R369" s="269"/>
      <c r="S369" s="269"/>
      <c r="T369" s="269"/>
      <c r="U369" s="269"/>
      <c r="V369" s="217"/>
      <c r="W369" s="217"/>
      <c r="X369" s="217"/>
      <c r="Y369" s="217"/>
      <c r="Z369" s="217"/>
      <c r="AA369" s="217"/>
    </row>
    <row r="370" ht="14.25" customHeight="1">
      <c r="A370" s="218">
        <v>369.0</v>
      </c>
      <c r="B370" s="245">
        <v>33.0</v>
      </c>
      <c r="C370" s="310" t="s">
        <v>4472</v>
      </c>
      <c r="D370" s="311"/>
      <c r="E370" s="266" t="s">
        <v>4473</v>
      </c>
      <c r="F370" s="267" t="s">
        <v>227</v>
      </c>
      <c r="G370" s="269"/>
      <c r="H370" s="269"/>
      <c r="I370" s="269"/>
      <c r="J370" s="269"/>
      <c r="K370" s="269"/>
      <c r="L370" s="269"/>
      <c r="M370" s="269"/>
      <c r="N370" s="269"/>
      <c r="O370" s="269"/>
      <c r="P370" s="269"/>
      <c r="Q370" s="269"/>
      <c r="R370" s="269"/>
      <c r="S370" s="269"/>
      <c r="T370" s="269"/>
      <c r="U370" s="269"/>
      <c r="V370" s="217"/>
      <c r="W370" s="217"/>
      <c r="X370" s="217"/>
      <c r="Y370" s="217"/>
      <c r="Z370" s="217"/>
      <c r="AA370" s="217"/>
    </row>
    <row r="371" ht="14.25" customHeight="1">
      <c r="A371" s="218">
        <v>370.0</v>
      </c>
      <c r="B371" s="245">
        <v>34.0</v>
      </c>
      <c r="C371" s="310" t="s">
        <v>4477</v>
      </c>
      <c r="D371" s="311"/>
      <c r="E371" s="266" t="s">
        <v>4478</v>
      </c>
      <c r="F371" s="267" t="s">
        <v>220</v>
      </c>
      <c r="G371" s="269"/>
      <c r="H371" s="269"/>
      <c r="I371" s="269"/>
      <c r="J371" s="269"/>
      <c r="K371" s="269"/>
      <c r="L371" s="269"/>
      <c r="M371" s="269"/>
      <c r="N371" s="269"/>
      <c r="O371" s="269"/>
      <c r="P371" s="269"/>
      <c r="Q371" s="269"/>
      <c r="R371" s="269"/>
      <c r="S371" s="269"/>
      <c r="T371" s="269"/>
      <c r="U371" s="269"/>
      <c r="V371" s="217"/>
      <c r="W371" s="217"/>
      <c r="X371" s="217"/>
      <c r="Y371" s="217"/>
      <c r="Z371" s="217"/>
      <c r="AA371" s="217"/>
    </row>
    <row r="372" ht="14.25" customHeight="1">
      <c r="A372" s="218">
        <v>371.0</v>
      </c>
      <c r="B372" s="245">
        <v>35.0</v>
      </c>
      <c r="C372" s="310" t="s">
        <v>4483</v>
      </c>
      <c r="D372" s="311"/>
      <c r="E372" s="266" t="s">
        <v>4484</v>
      </c>
      <c r="F372" s="267" t="s">
        <v>227</v>
      </c>
      <c r="G372" s="269"/>
      <c r="H372" s="269"/>
      <c r="I372" s="269"/>
      <c r="J372" s="269"/>
      <c r="K372" s="269"/>
      <c r="L372" s="269"/>
      <c r="M372" s="269"/>
      <c r="N372" s="269"/>
      <c r="O372" s="269"/>
      <c r="P372" s="269"/>
      <c r="Q372" s="269"/>
      <c r="R372" s="269"/>
      <c r="S372" s="269"/>
      <c r="T372" s="269"/>
      <c r="U372" s="269"/>
      <c r="V372" s="217"/>
      <c r="W372" s="217"/>
      <c r="X372" s="217"/>
      <c r="Y372" s="217"/>
      <c r="Z372" s="217"/>
      <c r="AA372" s="217"/>
    </row>
    <row r="373" ht="14.25" customHeight="1">
      <c r="A373" s="218">
        <v>372.0</v>
      </c>
      <c r="B373" s="245">
        <v>36.0</v>
      </c>
      <c r="C373" s="304" t="s">
        <v>4488</v>
      </c>
      <c r="D373" s="305"/>
      <c r="E373" s="266" t="s">
        <v>4489</v>
      </c>
      <c r="F373" s="267" t="s">
        <v>227</v>
      </c>
      <c r="G373" s="269"/>
      <c r="H373" s="269"/>
      <c r="I373" s="269"/>
      <c r="J373" s="269"/>
      <c r="K373" s="269"/>
      <c r="L373" s="269"/>
      <c r="M373" s="269"/>
      <c r="N373" s="269"/>
      <c r="O373" s="269"/>
      <c r="P373" s="269"/>
      <c r="Q373" s="269"/>
      <c r="R373" s="269"/>
      <c r="S373" s="269"/>
      <c r="T373" s="269"/>
      <c r="U373" s="269"/>
      <c r="V373" s="217"/>
      <c r="W373" s="217"/>
      <c r="X373" s="217"/>
      <c r="Y373" s="217"/>
      <c r="Z373" s="217"/>
      <c r="AA373" s="217"/>
    </row>
    <row r="374" ht="16.5" hidden="1" customHeight="1">
      <c r="A374" s="218">
        <v>373.0</v>
      </c>
      <c r="B374" s="252"/>
      <c r="C374" s="253"/>
      <c r="D374" s="252"/>
      <c r="E374" s="253"/>
      <c r="F374" s="253"/>
      <c r="G374" s="254"/>
      <c r="H374" s="254"/>
      <c r="I374" s="254"/>
      <c r="J374" s="254"/>
      <c r="K374" s="254"/>
      <c r="L374" s="254"/>
      <c r="M374" s="254"/>
      <c r="N374" s="254"/>
      <c r="O374" s="254"/>
      <c r="P374" s="254"/>
      <c r="Q374" s="254"/>
      <c r="R374" s="254"/>
      <c r="S374" s="254"/>
      <c r="T374" s="254"/>
      <c r="U374" s="254"/>
      <c r="V374" s="217"/>
      <c r="W374" s="217"/>
      <c r="X374" s="217"/>
      <c r="Y374" s="217"/>
      <c r="Z374" s="217"/>
      <c r="AA374" s="217"/>
    </row>
    <row r="375" ht="16.5" hidden="1" customHeight="1">
      <c r="A375" s="218">
        <v>374.0</v>
      </c>
      <c r="B375" s="252"/>
      <c r="C375" s="253"/>
      <c r="D375" s="252"/>
      <c r="E375" s="253"/>
      <c r="F375" s="253"/>
      <c r="G375" s="254"/>
      <c r="H375" s="254"/>
      <c r="I375" s="254"/>
      <c r="J375" s="254"/>
      <c r="K375" s="254"/>
      <c r="L375" s="255" t="s">
        <v>9753</v>
      </c>
      <c r="M375" s="256"/>
      <c r="N375" s="256"/>
      <c r="O375" s="256"/>
      <c r="P375" s="256"/>
      <c r="Q375" s="256"/>
      <c r="R375" s="256"/>
      <c r="S375" s="256"/>
      <c r="T375" s="256"/>
      <c r="U375" s="257"/>
      <c r="V375" s="217"/>
      <c r="W375" s="217"/>
      <c r="X375" s="217"/>
      <c r="Y375" s="217"/>
      <c r="Z375" s="217"/>
      <c r="AA375" s="217"/>
    </row>
    <row r="376" ht="16.5" hidden="1" customHeight="1">
      <c r="A376" s="218">
        <v>375.0</v>
      </c>
      <c r="B376" s="252"/>
      <c r="C376" s="253"/>
      <c r="D376" s="252"/>
      <c r="E376" s="253"/>
      <c r="F376" s="253"/>
      <c r="G376" s="254"/>
      <c r="H376" s="254"/>
      <c r="I376" s="254"/>
      <c r="J376" s="254"/>
      <c r="K376" s="254"/>
      <c r="L376" s="258" t="s">
        <v>8793</v>
      </c>
      <c r="M376" s="259"/>
      <c r="N376" s="259"/>
      <c r="O376" s="259"/>
      <c r="P376" s="259"/>
      <c r="Q376" s="259"/>
      <c r="R376" s="259"/>
      <c r="S376" s="259"/>
      <c r="T376" s="259"/>
      <c r="U376" s="260"/>
      <c r="V376" s="217"/>
      <c r="W376" s="217"/>
      <c r="X376" s="217"/>
      <c r="Y376" s="217"/>
      <c r="Z376" s="217"/>
      <c r="AA376" s="217"/>
    </row>
    <row r="377" ht="82.5" hidden="1" customHeight="1">
      <c r="A377" s="218">
        <v>376.0</v>
      </c>
      <c r="B377" s="261"/>
      <c r="C377" s="261"/>
      <c r="D377" s="261"/>
      <c r="E377" s="261"/>
      <c r="F377" s="261"/>
      <c r="G377" s="261"/>
      <c r="H377" s="261"/>
      <c r="I377" s="261"/>
      <c r="J377" s="261"/>
      <c r="K377" s="261"/>
      <c r="L377" s="261"/>
      <c r="M377" s="261"/>
      <c r="N377" s="261"/>
      <c r="O377" s="261"/>
      <c r="P377" s="261"/>
      <c r="Q377" s="261"/>
      <c r="R377" s="261"/>
      <c r="S377" s="261"/>
      <c r="T377" s="261"/>
      <c r="U377" s="261"/>
      <c r="V377" s="217"/>
      <c r="W377" s="217"/>
      <c r="X377" s="217"/>
      <c r="Y377" s="217"/>
      <c r="Z377" s="217"/>
      <c r="AA377" s="217"/>
    </row>
    <row r="378" ht="16.5" hidden="1" customHeight="1">
      <c r="A378" s="218">
        <v>377.0</v>
      </c>
      <c r="B378" s="262"/>
      <c r="C378" s="263"/>
      <c r="D378" s="263"/>
      <c r="E378" s="263"/>
      <c r="F378" s="263"/>
      <c r="G378" s="263"/>
      <c r="H378" s="263"/>
      <c r="I378" s="263"/>
      <c r="J378" s="263"/>
      <c r="K378" s="263"/>
      <c r="L378" s="263"/>
      <c r="M378" s="263"/>
      <c r="N378" s="263"/>
      <c r="O378" s="263"/>
      <c r="P378" s="263"/>
      <c r="Q378" s="263"/>
      <c r="R378" s="263"/>
      <c r="S378" s="263"/>
      <c r="T378" s="263"/>
      <c r="U378" s="264"/>
      <c r="V378" s="217"/>
      <c r="W378" s="217"/>
      <c r="X378" s="217"/>
      <c r="Y378" s="217"/>
      <c r="Z378" s="217"/>
      <c r="AA378" s="217"/>
    </row>
    <row r="379" ht="16.5" hidden="1" customHeight="1">
      <c r="A379" s="218">
        <v>378.0</v>
      </c>
      <c r="B379" s="222"/>
      <c r="C379" s="223"/>
      <c r="D379" s="223"/>
      <c r="E379" s="223"/>
      <c r="F379" s="223"/>
      <c r="G379" s="223"/>
      <c r="H379" s="223"/>
      <c r="I379" s="223"/>
      <c r="J379" s="223"/>
      <c r="K379" s="223"/>
      <c r="L379" s="223"/>
      <c r="M379" s="223"/>
      <c r="N379" s="223"/>
      <c r="O379" s="223"/>
      <c r="P379" s="223"/>
      <c r="Q379" s="223"/>
      <c r="R379" s="223"/>
      <c r="S379" s="223"/>
      <c r="T379" s="223"/>
      <c r="U379" s="224"/>
      <c r="V379" s="217"/>
      <c r="W379" s="217"/>
      <c r="X379" s="217"/>
      <c r="Y379" s="217"/>
      <c r="Z379" s="217"/>
      <c r="AA379" s="217"/>
    </row>
    <row r="380" ht="16.5" hidden="1" customHeight="1">
      <c r="A380" s="218">
        <v>379.0</v>
      </c>
      <c r="B380" s="225"/>
      <c r="C380" s="226"/>
      <c r="D380" s="226"/>
      <c r="E380" s="226"/>
      <c r="F380" s="226"/>
      <c r="G380" s="226"/>
      <c r="H380" s="226"/>
      <c r="I380" s="226"/>
      <c r="J380" s="226"/>
      <c r="K380" s="226"/>
      <c r="L380" s="226"/>
      <c r="M380" s="226"/>
      <c r="N380" s="226"/>
      <c r="O380" s="226"/>
      <c r="P380" s="226"/>
      <c r="Q380" s="226"/>
      <c r="R380" s="226"/>
      <c r="S380" s="226"/>
      <c r="T380" s="226"/>
      <c r="U380" s="227"/>
      <c r="V380" s="217"/>
      <c r="W380" s="217"/>
      <c r="X380" s="217"/>
      <c r="Y380" s="217"/>
      <c r="Z380" s="217"/>
      <c r="AA380" s="217"/>
    </row>
    <row r="381" ht="16.5" hidden="1" customHeight="1">
      <c r="A381" s="218">
        <v>380.0</v>
      </c>
      <c r="B381" s="228"/>
      <c r="C381" s="229"/>
      <c r="D381" s="229"/>
      <c r="E381" s="229"/>
      <c r="F381" s="229"/>
      <c r="G381" s="230"/>
      <c r="H381" s="230"/>
      <c r="I381" s="230"/>
      <c r="J381" s="230"/>
      <c r="K381" s="230"/>
      <c r="L381" s="230"/>
      <c r="M381" s="230"/>
      <c r="N381" s="230"/>
      <c r="O381" s="230"/>
      <c r="P381" s="230"/>
      <c r="Q381" s="230"/>
      <c r="R381" s="230"/>
      <c r="S381" s="230"/>
      <c r="T381" s="230"/>
      <c r="U381" s="230"/>
      <c r="V381" s="217"/>
      <c r="W381" s="217"/>
      <c r="X381" s="217"/>
      <c r="Y381" s="217"/>
      <c r="Z381" s="217"/>
      <c r="AA381" s="217"/>
    </row>
    <row r="382" ht="14.25" hidden="1" customHeight="1">
      <c r="A382" s="218">
        <v>381.0</v>
      </c>
      <c r="B382" s="231"/>
      <c r="C382" s="231"/>
      <c r="D382" s="231"/>
      <c r="E382" s="231"/>
      <c r="F382" s="232"/>
      <c r="G382" s="233"/>
      <c r="H382" s="234"/>
      <c r="I382" s="234"/>
      <c r="J382" s="234"/>
      <c r="K382" s="234"/>
      <c r="L382" s="234"/>
      <c r="M382" s="234"/>
      <c r="N382" s="234"/>
      <c r="O382" s="234"/>
      <c r="P382" s="234"/>
      <c r="Q382" s="234"/>
      <c r="R382" s="234"/>
      <c r="S382" s="234"/>
      <c r="T382" s="234"/>
      <c r="U382" s="235"/>
      <c r="V382" s="217"/>
      <c r="W382" s="217"/>
      <c r="X382" s="217"/>
      <c r="Y382" s="217"/>
      <c r="Z382" s="217"/>
      <c r="AA382" s="217"/>
    </row>
    <row r="383" ht="14.25" hidden="1" customHeight="1">
      <c r="A383" s="218">
        <v>382.0</v>
      </c>
      <c r="B383" s="236"/>
      <c r="C383" s="236"/>
      <c r="D383" s="236"/>
      <c r="E383" s="236"/>
      <c r="F383" s="237"/>
      <c r="G383" s="238"/>
      <c r="H383" s="239"/>
      <c r="I383" s="239"/>
      <c r="J383" s="239"/>
      <c r="K383" s="239"/>
      <c r="L383" s="239"/>
      <c r="M383" s="239"/>
      <c r="N383" s="239"/>
      <c r="O383" s="239"/>
      <c r="P383" s="239"/>
      <c r="Q383" s="239"/>
      <c r="R383" s="240"/>
      <c r="S383" s="233" t="s">
        <v>9713</v>
      </c>
      <c r="T383" s="234"/>
      <c r="U383" s="235"/>
      <c r="V383" s="217"/>
      <c r="W383" s="217"/>
      <c r="X383" s="217"/>
      <c r="Y383" s="217"/>
      <c r="Z383" s="217"/>
      <c r="AA383" s="217"/>
    </row>
    <row r="384" ht="14.25" hidden="1" customHeight="1">
      <c r="A384" s="218">
        <v>383.0</v>
      </c>
      <c r="B384" s="241"/>
      <c r="C384" s="241"/>
      <c r="D384" s="295"/>
      <c r="E384" s="241"/>
      <c r="F384" s="242"/>
      <c r="G384" s="243"/>
      <c r="H384" s="243">
        <v>2.0</v>
      </c>
      <c r="I384" s="243">
        <v>3.0</v>
      </c>
      <c r="J384" s="243">
        <v>4.0</v>
      </c>
      <c r="K384" s="243">
        <v>5.0</v>
      </c>
      <c r="L384" s="243">
        <v>6.0</v>
      </c>
      <c r="M384" s="243">
        <v>7.0</v>
      </c>
      <c r="N384" s="243">
        <v>8.0</v>
      </c>
      <c r="O384" s="243">
        <v>9.0</v>
      </c>
      <c r="P384" s="243">
        <v>10.0</v>
      </c>
      <c r="Q384" s="243">
        <v>11.0</v>
      </c>
      <c r="R384" s="243">
        <v>12.0</v>
      </c>
      <c r="S384" s="243" t="s">
        <v>9714</v>
      </c>
      <c r="T384" s="243" t="s">
        <v>9715</v>
      </c>
      <c r="U384" s="244" t="s">
        <v>9716</v>
      </c>
      <c r="V384" s="217"/>
      <c r="W384" s="217"/>
      <c r="X384" s="217"/>
      <c r="Y384" s="217"/>
      <c r="Z384" s="217"/>
      <c r="AA384" s="217"/>
    </row>
    <row r="385" ht="14.25" customHeight="1">
      <c r="A385" s="218">
        <v>384.0</v>
      </c>
      <c r="B385" s="245">
        <v>1.0</v>
      </c>
      <c r="C385" s="279" t="s">
        <v>7412</v>
      </c>
      <c r="D385" s="321">
        <v>2.42510006E8</v>
      </c>
      <c r="E385" s="266" t="s">
        <v>4494</v>
      </c>
      <c r="F385" s="267" t="s">
        <v>227</v>
      </c>
      <c r="G385" s="269"/>
      <c r="H385" s="269"/>
      <c r="I385" s="269"/>
      <c r="J385" s="269"/>
      <c r="K385" s="269"/>
      <c r="L385" s="269"/>
      <c r="M385" s="269"/>
      <c r="N385" s="269"/>
      <c r="O385" s="269"/>
      <c r="P385" s="269"/>
      <c r="Q385" s="269"/>
      <c r="R385" s="269"/>
      <c r="S385" s="269"/>
      <c r="T385" s="269"/>
      <c r="U385" s="269"/>
      <c r="X385" s="217"/>
      <c r="Y385" s="217"/>
      <c r="Z385" s="217"/>
      <c r="AA385" s="217"/>
    </row>
    <row r="386" ht="14.25" customHeight="1">
      <c r="A386" s="218">
        <v>385.0</v>
      </c>
      <c r="B386" s="245">
        <v>2.0</v>
      </c>
      <c r="C386" s="279" t="s">
        <v>7415</v>
      </c>
      <c r="D386" s="269">
        <v>2.42510022E8</v>
      </c>
      <c r="E386" s="266" t="s">
        <v>4500</v>
      </c>
      <c r="F386" s="267" t="s">
        <v>220</v>
      </c>
      <c r="G386" s="269"/>
      <c r="H386" s="269"/>
      <c r="I386" s="269"/>
      <c r="J386" s="269"/>
      <c r="K386" s="269"/>
      <c r="L386" s="269"/>
      <c r="M386" s="269"/>
      <c r="N386" s="269"/>
      <c r="O386" s="269"/>
      <c r="P386" s="269"/>
      <c r="Q386" s="269"/>
      <c r="R386" s="269"/>
      <c r="S386" s="269"/>
      <c r="T386" s="269"/>
      <c r="U386" s="269"/>
      <c r="V386" s="217"/>
      <c r="W386" s="217"/>
      <c r="X386" s="217"/>
      <c r="Y386" s="217"/>
      <c r="Z386" s="217"/>
      <c r="AA386" s="217"/>
    </row>
    <row r="387" ht="14.25" customHeight="1">
      <c r="A387" s="218">
        <v>386.0</v>
      </c>
      <c r="B387" s="245">
        <v>3.0</v>
      </c>
      <c r="C387" s="279" t="s">
        <v>7417</v>
      </c>
      <c r="D387" s="269">
        <v>2.42510035E8</v>
      </c>
      <c r="E387" s="266" t="s">
        <v>4505</v>
      </c>
      <c r="F387" s="267" t="s">
        <v>227</v>
      </c>
      <c r="G387" s="269"/>
      <c r="H387" s="269"/>
      <c r="I387" s="269"/>
      <c r="J387" s="269"/>
      <c r="K387" s="269"/>
      <c r="L387" s="269"/>
      <c r="M387" s="269"/>
      <c r="N387" s="269"/>
      <c r="O387" s="269"/>
      <c r="P387" s="269"/>
      <c r="Q387" s="269"/>
      <c r="R387" s="269"/>
      <c r="S387" s="269"/>
      <c r="T387" s="269"/>
      <c r="U387" s="269"/>
      <c r="X387" s="217"/>
      <c r="Y387" s="217"/>
      <c r="Z387" s="217"/>
      <c r="AA387" s="217"/>
    </row>
    <row r="388" ht="14.25" customHeight="1">
      <c r="A388" s="218">
        <v>387.0</v>
      </c>
      <c r="B388" s="245">
        <v>4.0</v>
      </c>
      <c r="C388" s="279" t="s">
        <v>7419</v>
      </c>
      <c r="D388" s="269">
        <v>2.42510047E8</v>
      </c>
      <c r="E388" s="266" t="s">
        <v>4510</v>
      </c>
      <c r="F388" s="267" t="s">
        <v>220</v>
      </c>
      <c r="G388" s="269"/>
      <c r="H388" s="269"/>
      <c r="I388" s="269"/>
      <c r="J388" s="269"/>
      <c r="K388" s="269"/>
      <c r="L388" s="269"/>
      <c r="M388" s="269"/>
      <c r="N388" s="269"/>
      <c r="O388" s="269"/>
      <c r="P388" s="269"/>
      <c r="Q388" s="269"/>
      <c r="R388" s="269"/>
      <c r="S388" s="269"/>
      <c r="T388" s="269"/>
      <c r="U388" s="269"/>
      <c r="X388" s="217"/>
      <c r="Y388" s="217"/>
      <c r="Z388" s="217"/>
      <c r="AA388" s="217"/>
    </row>
    <row r="389" ht="14.25" customHeight="1">
      <c r="A389" s="218">
        <v>388.0</v>
      </c>
      <c r="B389" s="245">
        <v>5.0</v>
      </c>
      <c r="C389" s="279" t="s">
        <v>7421</v>
      </c>
      <c r="D389" s="269">
        <v>2.42510051E8</v>
      </c>
      <c r="E389" s="266" t="s">
        <v>4515</v>
      </c>
      <c r="F389" s="267" t="s">
        <v>227</v>
      </c>
      <c r="G389" s="269"/>
      <c r="H389" s="269"/>
      <c r="I389" s="269"/>
      <c r="J389" s="269"/>
      <c r="K389" s="269"/>
      <c r="L389" s="269"/>
      <c r="M389" s="269"/>
      <c r="N389" s="269"/>
      <c r="O389" s="269"/>
      <c r="P389" s="269"/>
      <c r="Q389" s="269"/>
      <c r="R389" s="269"/>
      <c r="S389" s="269"/>
      <c r="T389" s="269"/>
      <c r="U389" s="269"/>
      <c r="V389" s="217"/>
      <c r="W389" s="217"/>
      <c r="X389" s="217"/>
      <c r="Y389" s="217"/>
      <c r="Z389" s="217"/>
      <c r="AA389" s="217"/>
    </row>
    <row r="390" ht="14.25" customHeight="1">
      <c r="A390" s="218">
        <v>389.0</v>
      </c>
      <c r="B390" s="245">
        <v>6.0</v>
      </c>
      <c r="C390" s="279" t="s">
        <v>7423</v>
      </c>
      <c r="D390" s="269">
        <v>2.42510059E8</v>
      </c>
      <c r="E390" s="266" t="s">
        <v>4520</v>
      </c>
      <c r="F390" s="267" t="s">
        <v>220</v>
      </c>
      <c r="G390" s="269"/>
      <c r="H390" s="269"/>
      <c r="I390" s="269"/>
      <c r="J390" s="269"/>
      <c r="K390" s="269"/>
      <c r="L390" s="269"/>
      <c r="M390" s="269"/>
      <c r="N390" s="269"/>
      <c r="O390" s="269"/>
      <c r="P390" s="269"/>
      <c r="Q390" s="269"/>
      <c r="R390" s="269"/>
      <c r="S390" s="269"/>
      <c r="T390" s="269"/>
      <c r="U390" s="269"/>
      <c r="X390" s="217"/>
      <c r="Y390" s="217"/>
      <c r="Z390" s="217"/>
      <c r="AA390" s="217"/>
    </row>
    <row r="391" ht="14.25" customHeight="1">
      <c r="A391" s="218">
        <v>390.0</v>
      </c>
      <c r="B391" s="245">
        <v>7.0</v>
      </c>
      <c r="C391" s="279" t="s">
        <v>7425</v>
      </c>
      <c r="D391" s="269">
        <v>2.42510083E8</v>
      </c>
      <c r="E391" s="266" t="s">
        <v>4526</v>
      </c>
      <c r="F391" s="267" t="s">
        <v>220</v>
      </c>
      <c r="G391" s="269"/>
      <c r="H391" s="269"/>
      <c r="I391" s="269"/>
      <c r="J391" s="269"/>
      <c r="K391" s="269"/>
      <c r="L391" s="269"/>
      <c r="M391" s="269"/>
      <c r="N391" s="269"/>
      <c r="O391" s="269"/>
      <c r="P391" s="269"/>
      <c r="Q391" s="269"/>
      <c r="R391" s="269"/>
      <c r="S391" s="269"/>
      <c r="T391" s="269"/>
      <c r="U391" s="269"/>
      <c r="V391" s="217"/>
      <c r="W391" s="217"/>
      <c r="X391" s="217"/>
      <c r="Y391" s="217"/>
      <c r="Z391" s="217"/>
      <c r="AA391" s="217"/>
    </row>
    <row r="392" ht="14.25" customHeight="1">
      <c r="A392" s="218">
        <v>391.0</v>
      </c>
      <c r="B392" s="245">
        <v>8.0</v>
      </c>
      <c r="C392" s="279" t="s">
        <v>7427</v>
      </c>
      <c r="D392" s="269">
        <v>2.42510098E8</v>
      </c>
      <c r="E392" s="266" t="s">
        <v>4531</v>
      </c>
      <c r="F392" s="267" t="s">
        <v>220</v>
      </c>
      <c r="G392" s="269"/>
      <c r="H392" s="269"/>
      <c r="I392" s="269"/>
      <c r="J392" s="269"/>
      <c r="K392" s="269"/>
      <c r="L392" s="269"/>
      <c r="M392" s="269"/>
      <c r="N392" s="269"/>
      <c r="O392" s="269"/>
      <c r="P392" s="269"/>
      <c r="Q392" s="269"/>
      <c r="R392" s="269"/>
      <c r="S392" s="269"/>
      <c r="T392" s="269"/>
      <c r="U392" s="269"/>
      <c r="X392" s="217"/>
      <c r="Y392" s="217"/>
      <c r="Z392" s="217"/>
      <c r="AA392" s="217"/>
    </row>
    <row r="393" ht="14.25" customHeight="1">
      <c r="A393" s="218">
        <v>392.0</v>
      </c>
      <c r="B393" s="245">
        <v>9.0</v>
      </c>
      <c r="C393" s="279" t="s">
        <v>7429</v>
      </c>
      <c r="D393" s="269">
        <v>2.42510103E8</v>
      </c>
      <c r="E393" s="266" t="s">
        <v>4536</v>
      </c>
      <c r="F393" s="267" t="s">
        <v>220</v>
      </c>
      <c r="G393" s="269"/>
      <c r="H393" s="269"/>
      <c r="I393" s="269"/>
      <c r="J393" s="269"/>
      <c r="K393" s="269"/>
      <c r="L393" s="269"/>
      <c r="M393" s="269"/>
      <c r="N393" s="269"/>
      <c r="O393" s="269"/>
      <c r="P393" s="269"/>
      <c r="Q393" s="269"/>
      <c r="R393" s="269"/>
      <c r="S393" s="269"/>
      <c r="T393" s="269"/>
      <c r="U393" s="269"/>
      <c r="V393" s="217"/>
      <c r="W393" s="217"/>
      <c r="X393" s="217"/>
      <c r="Y393" s="217"/>
      <c r="Z393" s="217"/>
      <c r="AA393" s="217"/>
    </row>
    <row r="394" ht="14.25" customHeight="1">
      <c r="A394" s="218">
        <v>393.0</v>
      </c>
      <c r="B394" s="245">
        <v>10.0</v>
      </c>
      <c r="C394" s="279" t="s">
        <v>7431</v>
      </c>
      <c r="D394" s="269">
        <v>2.42510123E8</v>
      </c>
      <c r="E394" s="266" t="s">
        <v>4541</v>
      </c>
      <c r="F394" s="267" t="s">
        <v>220</v>
      </c>
      <c r="G394" s="269"/>
      <c r="H394" s="269"/>
      <c r="I394" s="269"/>
      <c r="J394" s="269"/>
      <c r="K394" s="269"/>
      <c r="L394" s="269"/>
      <c r="M394" s="269"/>
      <c r="N394" s="269"/>
      <c r="O394" s="269"/>
      <c r="P394" s="269"/>
      <c r="Q394" s="269"/>
      <c r="R394" s="269"/>
      <c r="S394" s="269"/>
      <c r="T394" s="269"/>
      <c r="U394" s="269"/>
      <c r="X394" s="217"/>
      <c r="Y394" s="217"/>
      <c r="Z394" s="217"/>
      <c r="AA394" s="217"/>
    </row>
    <row r="395" ht="14.25" customHeight="1">
      <c r="A395" s="218">
        <v>394.0</v>
      </c>
      <c r="B395" s="245">
        <v>11.0</v>
      </c>
      <c r="C395" s="279" t="s">
        <v>7433</v>
      </c>
      <c r="D395" s="269">
        <v>2.42510128E8</v>
      </c>
      <c r="E395" s="266" t="s">
        <v>4546</v>
      </c>
      <c r="F395" s="267" t="s">
        <v>220</v>
      </c>
      <c r="G395" s="269"/>
      <c r="H395" s="269"/>
      <c r="I395" s="269"/>
      <c r="J395" s="269"/>
      <c r="K395" s="269"/>
      <c r="L395" s="269"/>
      <c r="M395" s="269"/>
      <c r="N395" s="269"/>
      <c r="O395" s="269"/>
      <c r="P395" s="269"/>
      <c r="Q395" s="269"/>
      <c r="R395" s="269"/>
      <c r="S395" s="269"/>
      <c r="T395" s="269"/>
      <c r="U395" s="269"/>
      <c r="V395" s="217"/>
      <c r="W395" s="217"/>
      <c r="X395" s="217"/>
      <c r="Y395" s="217"/>
      <c r="Z395" s="217"/>
      <c r="AA395" s="217"/>
    </row>
    <row r="396" ht="14.25" customHeight="1">
      <c r="A396" s="218">
        <v>395.0</v>
      </c>
      <c r="B396" s="245">
        <v>12.0</v>
      </c>
      <c r="C396" s="279" t="s">
        <v>7435</v>
      </c>
      <c r="D396" s="269">
        <v>2.42510175E8</v>
      </c>
      <c r="E396" s="266" t="s">
        <v>4551</v>
      </c>
      <c r="F396" s="267" t="s">
        <v>220</v>
      </c>
      <c r="G396" s="269"/>
      <c r="H396" s="269"/>
      <c r="I396" s="269"/>
      <c r="J396" s="269"/>
      <c r="K396" s="269"/>
      <c r="L396" s="269"/>
      <c r="M396" s="269"/>
      <c r="N396" s="269"/>
      <c r="O396" s="269"/>
      <c r="P396" s="269"/>
      <c r="Q396" s="269"/>
      <c r="R396" s="269"/>
      <c r="S396" s="269"/>
      <c r="T396" s="269"/>
      <c r="U396" s="269"/>
      <c r="W396" s="217"/>
      <c r="X396" s="217"/>
      <c r="Y396" s="217"/>
      <c r="Z396" s="217"/>
      <c r="AA396" s="217"/>
    </row>
    <row r="397" ht="22.5" customHeight="1">
      <c r="A397" s="218">
        <v>396.0</v>
      </c>
      <c r="B397" s="245">
        <v>13.0</v>
      </c>
      <c r="C397" s="279" t="s">
        <v>7437</v>
      </c>
      <c r="D397" s="269">
        <v>2.42510181E8</v>
      </c>
      <c r="E397" s="266" t="s">
        <v>4556</v>
      </c>
      <c r="F397" s="267" t="s">
        <v>227</v>
      </c>
      <c r="G397" s="269"/>
      <c r="H397" s="269"/>
      <c r="I397" s="269"/>
      <c r="J397" s="269"/>
      <c r="K397" s="269"/>
      <c r="L397" s="269"/>
      <c r="M397" s="269"/>
      <c r="N397" s="269"/>
      <c r="O397" s="269"/>
      <c r="P397" s="269"/>
      <c r="Q397" s="269"/>
      <c r="R397" s="269"/>
      <c r="S397" s="269"/>
      <c r="T397" s="269"/>
      <c r="U397" s="269"/>
      <c r="V397" s="217"/>
      <c r="W397" s="217"/>
      <c r="X397" s="217"/>
      <c r="Y397" s="217"/>
      <c r="Z397" s="217"/>
      <c r="AA397" s="217"/>
    </row>
    <row r="398" ht="14.25" customHeight="1">
      <c r="A398" s="218">
        <v>397.0</v>
      </c>
      <c r="B398" s="245">
        <v>14.0</v>
      </c>
      <c r="C398" s="279" t="s">
        <v>7439</v>
      </c>
      <c r="D398" s="269">
        <v>2.42510211E8</v>
      </c>
      <c r="E398" s="266" t="s">
        <v>4562</v>
      </c>
      <c r="F398" s="267" t="s">
        <v>220</v>
      </c>
      <c r="G398" s="269"/>
      <c r="H398" s="269"/>
      <c r="I398" s="269"/>
      <c r="J398" s="269"/>
      <c r="K398" s="269"/>
      <c r="L398" s="269"/>
      <c r="M398" s="269"/>
      <c r="N398" s="269"/>
      <c r="O398" s="269"/>
      <c r="P398" s="269"/>
      <c r="Q398" s="269"/>
      <c r="R398" s="269"/>
      <c r="S398" s="269"/>
      <c r="T398" s="269"/>
      <c r="U398" s="269"/>
      <c r="X398" s="217"/>
      <c r="Y398" s="217"/>
      <c r="Z398" s="217"/>
      <c r="AA398" s="217"/>
    </row>
    <row r="399" ht="14.25" customHeight="1">
      <c r="A399" s="218">
        <v>398.0</v>
      </c>
      <c r="B399" s="245">
        <v>15.0</v>
      </c>
      <c r="C399" s="279" t="s">
        <v>7441</v>
      </c>
      <c r="D399" s="269">
        <v>2.42510225E8</v>
      </c>
      <c r="E399" s="266" t="s">
        <v>4567</v>
      </c>
      <c r="F399" s="267" t="s">
        <v>227</v>
      </c>
      <c r="G399" s="269"/>
      <c r="H399" s="269"/>
      <c r="I399" s="269"/>
      <c r="J399" s="269"/>
      <c r="K399" s="269"/>
      <c r="L399" s="269"/>
      <c r="M399" s="269"/>
      <c r="N399" s="269"/>
      <c r="O399" s="269"/>
      <c r="P399" s="269"/>
      <c r="Q399" s="269"/>
      <c r="R399" s="269"/>
      <c r="S399" s="269"/>
      <c r="T399" s="269"/>
      <c r="U399" s="269"/>
      <c r="X399" s="217"/>
      <c r="Y399" s="217"/>
      <c r="Z399" s="217"/>
      <c r="AA399" s="217"/>
    </row>
    <row r="400" ht="22.5" customHeight="1">
      <c r="A400" s="218">
        <v>399.0</v>
      </c>
      <c r="B400" s="245">
        <v>16.0</v>
      </c>
      <c r="C400" s="279" t="s">
        <v>7443</v>
      </c>
      <c r="D400" s="269">
        <v>2.42510234E8</v>
      </c>
      <c r="E400" s="266" t="s">
        <v>4572</v>
      </c>
      <c r="F400" s="267" t="s">
        <v>220</v>
      </c>
      <c r="G400" s="269"/>
      <c r="H400" s="269"/>
      <c r="I400" s="269"/>
      <c r="J400" s="269"/>
      <c r="K400" s="269"/>
      <c r="L400" s="269"/>
      <c r="M400" s="269"/>
      <c r="N400" s="269"/>
      <c r="O400" s="269"/>
      <c r="P400" s="269"/>
      <c r="Q400" s="269"/>
      <c r="R400" s="269"/>
      <c r="S400" s="269"/>
      <c r="T400" s="269"/>
      <c r="U400" s="269"/>
      <c r="V400" s="217"/>
      <c r="W400" s="217"/>
      <c r="X400" s="217"/>
      <c r="Y400" s="217"/>
      <c r="Z400" s="217"/>
      <c r="AA400" s="217"/>
    </row>
    <row r="401" ht="14.25" customHeight="1">
      <c r="A401" s="218">
        <v>400.0</v>
      </c>
      <c r="B401" s="245">
        <v>17.0</v>
      </c>
      <c r="C401" s="279" t="s">
        <v>7445</v>
      </c>
      <c r="D401" s="269">
        <v>2.42510235E8</v>
      </c>
      <c r="E401" s="266" t="s">
        <v>4577</v>
      </c>
      <c r="F401" s="267" t="s">
        <v>220</v>
      </c>
      <c r="G401" s="269"/>
      <c r="H401" s="269"/>
      <c r="I401" s="269"/>
      <c r="J401" s="269"/>
      <c r="K401" s="269"/>
      <c r="L401" s="269"/>
      <c r="M401" s="269"/>
      <c r="N401" s="269"/>
      <c r="O401" s="269"/>
      <c r="P401" s="269"/>
      <c r="Q401" s="269"/>
      <c r="R401" s="269"/>
      <c r="S401" s="269"/>
      <c r="T401" s="269"/>
      <c r="U401" s="269"/>
      <c r="V401" s="217"/>
      <c r="W401" s="217"/>
      <c r="X401" s="217"/>
      <c r="Y401" s="217"/>
      <c r="Z401" s="217"/>
      <c r="AA401" s="217"/>
    </row>
    <row r="402" ht="14.25" customHeight="1">
      <c r="A402" s="218">
        <v>401.0</v>
      </c>
      <c r="B402" s="245">
        <v>18.0</v>
      </c>
      <c r="C402" s="279" t="s">
        <v>7447</v>
      </c>
      <c r="D402" s="269">
        <v>2.4251024E8</v>
      </c>
      <c r="E402" s="266" t="s">
        <v>4582</v>
      </c>
      <c r="F402" s="267" t="s">
        <v>220</v>
      </c>
      <c r="G402" s="269"/>
      <c r="H402" s="269"/>
      <c r="I402" s="269"/>
      <c r="J402" s="269"/>
      <c r="K402" s="269"/>
      <c r="L402" s="269"/>
      <c r="M402" s="269"/>
      <c r="N402" s="269"/>
      <c r="O402" s="269"/>
      <c r="P402" s="269"/>
      <c r="Q402" s="269"/>
      <c r="R402" s="269"/>
      <c r="S402" s="269"/>
      <c r="T402" s="269"/>
      <c r="U402" s="269"/>
      <c r="V402" s="217"/>
      <c r="W402" s="217"/>
      <c r="X402" s="217"/>
      <c r="Y402" s="217"/>
      <c r="Z402" s="217"/>
      <c r="AA402" s="217"/>
    </row>
    <row r="403" ht="14.25" customHeight="1">
      <c r="A403" s="218">
        <v>402.0</v>
      </c>
      <c r="B403" s="245">
        <v>19.0</v>
      </c>
      <c r="C403" s="279" t="s">
        <v>7449</v>
      </c>
      <c r="D403" s="269">
        <v>2.42510242E8</v>
      </c>
      <c r="E403" s="266" t="s">
        <v>4587</v>
      </c>
      <c r="F403" s="267" t="s">
        <v>220</v>
      </c>
      <c r="G403" s="269"/>
      <c r="H403" s="269"/>
      <c r="I403" s="269"/>
      <c r="J403" s="269"/>
      <c r="K403" s="269"/>
      <c r="L403" s="269"/>
      <c r="M403" s="269"/>
      <c r="N403" s="269"/>
      <c r="O403" s="269"/>
      <c r="P403" s="269"/>
      <c r="Q403" s="269"/>
      <c r="R403" s="269"/>
      <c r="S403" s="269"/>
      <c r="T403" s="269"/>
      <c r="U403" s="269"/>
      <c r="V403" s="217"/>
      <c r="W403" s="217"/>
      <c r="X403" s="217"/>
      <c r="Y403" s="217"/>
      <c r="Z403" s="217"/>
      <c r="AA403" s="217"/>
    </row>
    <row r="404" ht="22.5" customHeight="1">
      <c r="A404" s="218">
        <v>403.0</v>
      </c>
      <c r="B404" s="245">
        <v>20.0</v>
      </c>
      <c r="C404" s="279" t="s">
        <v>7451</v>
      </c>
      <c r="D404" s="269">
        <v>2.42510252E8</v>
      </c>
      <c r="E404" s="266" t="s">
        <v>4592</v>
      </c>
      <c r="F404" s="267" t="s">
        <v>220</v>
      </c>
      <c r="G404" s="269"/>
      <c r="H404" s="269"/>
      <c r="I404" s="269"/>
      <c r="J404" s="269"/>
      <c r="K404" s="269"/>
      <c r="L404" s="269"/>
      <c r="M404" s="269"/>
      <c r="N404" s="269"/>
      <c r="O404" s="269"/>
      <c r="P404" s="269"/>
      <c r="Q404" s="269"/>
      <c r="R404" s="269"/>
      <c r="S404" s="269"/>
      <c r="T404" s="269"/>
      <c r="U404" s="269"/>
      <c r="X404" s="217"/>
      <c r="Y404" s="217"/>
      <c r="Z404" s="217"/>
      <c r="AA404" s="217"/>
    </row>
    <row r="405" ht="22.5" customHeight="1">
      <c r="A405" s="218">
        <v>404.0</v>
      </c>
      <c r="B405" s="245">
        <v>21.0</v>
      </c>
      <c r="C405" s="279" t="s">
        <v>7453</v>
      </c>
      <c r="D405" s="269">
        <v>2.42510259E8</v>
      </c>
      <c r="E405" s="266" t="s">
        <v>4597</v>
      </c>
      <c r="F405" s="267" t="s">
        <v>220</v>
      </c>
      <c r="G405" s="269"/>
      <c r="H405" s="269"/>
      <c r="I405" s="269"/>
      <c r="J405" s="269"/>
      <c r="K405" s="269"/>
      <c r="L405" s="269"/>
      <c r="M405" s="269"/>
      <c r="N405" s="269"/>
      <c r="O405" s="269"/>
      <c r="P405" s="269"/>
      <c r="Q405" s="269"/>
      <c r="R405" s="269"/>
      <c r="S405" s="269"/>
      <c r="T405" s="269"/>
      <c r="U405" s="269"/>
      <c r="W405" s="217"/>
      <c r="X405" s="217"/>
      <c r="Y405" s="217"/>
      <c r="Z405" s="217"/>
      <c r="AA405" s="217"/>
    </row>
    <row r="406" ht="14.25" customHeight="1">
      <c r="A406" s="218">
        <v>405.0</v>
      </c>
      <c r="B406" s="245">
        <v>22.0</v>
      </c>
      <c r="C406" s="279" t="s">
        <v>7455</v>
      </c>
      <c r="D406" s="269">
        <v>2.4251026E8</v>
      </c>
      <c r="E406" s="266" t="s">
        <v>4603</v>
      </c>
      <c r="F406" s="267" t="s">
        <v>220</v>
      </c>
      <c r="G406" s="269"/>
      <c r="H406" s="269"/>
      <c r="I406" s="269"/>
      <c r="J406" s="269"/>
      <c r="K406" s="269"/>
      <c r="L406" s="269"/>
      <c r="M406" s="269"/>
      <c r="N406" s="269"/>
      <c r="O406" s="269"/>
      <c r="P406" s="269"/>
      <c r="Q406" s="269"/>
      <c r="R406" s="269"/>
      <c r="S406" s="269"/>
      <c r="T406" s="269"/>
      <c r="U406" s="269"/>
      <c r="W406" s="217"/>
      <c r="X406" s="217"/>
      <c r="Y406" s="217"/>
      <c r="Z406" s="217"/>
      <c r="AA406" s="217"/>
    </row>
    <row r="407" ht="14.25" customHeight="1">
      <c r="A407" s="218">
        <v>406.0</v>
      </c>
      <c r="B407" s="245">
        <v>23.0</v>
      </c>
      <c r="C407" s="279" t="s">
        <v>7457</v>
      </c>
      <c r="D407" s="269">
        <v>2.42510262E8</v>
      </c>
      <c r="E407" s="266" t="s">
        <v>4608</v>
      </c>
      <c r="F407" s="267" t="s">
        <v>220</v>
      </c>
      <c r="G407" s="269"/>
      <c r="H407" s="269"/>
      <c r="I407" s="269"/>
      <c r="J407" s="269"/>
      <c r="K407" s="269"/>
      <c r="L407" s="269"/>
      <c r="M407" s="269"/>
      <c r="N407" s="269"/>
      <c r="O407" s="269"/>
      <c r="P407" s="269"/>
      <c r="Q407" s="269"/>
      <c r="R407" s="269"/>
      <c r="S407" s="269"/>
      <c r="T407" s="269"/>
      <c r="U407" s="269"/>
      <c r="W407" s="217"/>
      <c r="X407" s="217"/>
      <c r="Y407" s="217"/>
      <c r="Z407" s="217"/>
      <c r="AA407" s="217"/>
    </row>
    <row r="408" ht="22.5" customHeight="1">
      <c r="A408" s="218">
        <v>407.0</v>
      </c>
      <c r="B408" s="245">
        <v>24.0</v>
      </c>
      <c r="C408" s="279" t="s">
        <v>7459</v>
      </c>
      <c r="D408" s="269">
        <v>2.42510265E8</v>
      </c>
      <c r="E408" s="266" t="s">
        <v>4613</v>
      </c>
      <c r="F408" s="267" t="s">
        <v>220</v>
      </c>
      <c r="G408" s="269"/>
      <c r="H408" s="269"/>
      <c r="I408" s="269"/>
      <c r="J408" s="269"/>
      <c r="K408" s="269"/>
      <c r="L408" s="269"/>
      <c r="M408" s="269"/>
      <c r="N408" s="269"/>
      <c r="O408" s="269"/>
      <c r="P408" s="269"/>
      <c r="Q408" s="269"/>
      <c r="R408" s="269"/>
      <c r="S408" s="269"/>
      <c r="T408" s="269"/>
      <c r="U408" s="269"/>
      <c r="V408" s="217"/>
      <c r="W408" s="217"/>
      <c r="X408" s="217"/>
      <c r="Y408" s="217"/>
      <c r="Z408" s="217"/>
      <c r="AA408" s="217"/>
    </row>
    <row r="409" ht="14.25" customHeight="1">
      <c r="A409" s="218">
        <v>408.0</v>
      </c>
      <c r="B409" s="245">
        <v>25.0</v>
      </c>
      <c r="C409" s="279" t="s">
        <v>7461</v>
      </c>
      <c r="D409" s="269">
        <v>2.42510266E8</v>
      </c>
      <c r="E409" s="266" t="s">
        <v>4618</v>
      </c>
      <c r="F409" s="267" t="s">
        <v>220</v>
      </c>
      <c r="G409" s="269"/>
      <c r="H409" s="269"/>
      <c r="I409" s="269"/>
      <c r="J409" s="269"/>
      <c r="K409" s="269"/>
      <c r="L409" s="269"/>
      <c r="M409" s="269"/>
      <c r="N409" s="269"/>
      <c r="O409" s="269"/>
      <c r="P409" s="269"/>
      <c r="Q409" s="269"/>
      <c r="R409" s="269"/>
      <c r="S409" s="269"/>
      <c r="T409" s="269"/>
      <c r="U409" s="269"/>
      <c r="V409" s="217"/>
      <c r="W409" s="217"/>
      <c r="X409" s="217"/>
      <c r="Y409" s="217"/>
      <c r="Z409" s="217"/>
      <c r="AA409" s="217"/>
    </row>
    <row r="410" ht="22.5" customHeight="1">
      <c r="A410" s="218">
        <v>409.0</v>
      </c>
      <c r="B410" s="245">
        <v>26.0</v>
      </c>
      <c r="C410" s="279" t="s">
        <v>7463</v>
      </c>
      <c r="D410" s="269">
        <v>2.42510275E8</v>
      </c>
      <c r="E410" s="266" t="s">
        <v>4623</v>
      </c>
      <c r="F410" s="267" t="s">
        <v>220</v>
      </c>
      <c r="G410" s="269"/>
      <c r="H410" s="269"/>
      <c r="I410" s="269"/>
      <c r="J410" s="269"/>
      <c r="K410" s="269"/>
      <c r="L410" s="269"/>
      <c r="M410" s="269"/>
      <c r="N410" s="269"/>
      <c r="O410" s="269"/>
      <c r="P410" s="269"/>
      <c r="Q410" s="269"/>
      <c r="R410" s="269"/>
      <c r="S410" s="269"/>
      <c r="T410" s="269"/>
      <c r="U410" s="269"/>
      <c r="V410" s="217"/>
      <c r="W410" s="217"/>
      <c r="X410" s="217"/>
      <c r="Y410" s="217"/>
      <c r="Z410" s="217"/>
      <c r="AA410" s="217"/>
    </row>
    <row r="411" ht="14.25" customHeight="1">
      <c r="A411" s="218">
        <v>410.0</v>
      </c>
      <c r="B411" s="245">
        <v>27.0</v>
      </c>
      <c r="C411" s="279" t="s">
        <v>7465</v>
      </c>
      <c r="D411" s="269">
        <v>2.425103E8</v>
      </c>
      <c r="E411" s="266" t="s">
        <v>4628</v>
      </c>
      <c r="F411" s="267" t="s">
        <v>227</v>
      </c>
      <c r="G411" s="269"/>
      <c r="H411" s="269"/>
      <c r="I411" s="269"/>
      <c r="J411" s="269"/>
      <c r="K411" s="269"/>
      <c r="L411" s="269"/>
      <c r="M411" s="269"/>
      <c r="N411" s="269"/>
      <c r="O411" s="269"/>
      <c r="P411" s="269"/>
      <c r="Q411" s="269"/>
      <c r="R411" s="269"/>
      <c r="S411" s="269"/>
      <c r="T411" s="269"/>
      <c r="U411" s="269"/>
      <c r="V411" s="217"/>
      <c r="W411" s="217"/>
      <c r="X411" s="217"/>
      <c r="Y411" s="217"/>
      <c r="Z411" s="217"/>
      <c r="AA411" s="217"/>
    </row>
    <row r="412" ht="14.25" customHeight="1">
      <c r="A412" s="218">
        <v>411.0</v>
      </c>
      <c r="B412" s="245">
        <v>28.0</v>
      </c>
      <c r="C412" s="279" t="s">
        <v>7467</v>
      </c>
      <c r="D412" s="269">
        <v>2.42510302E8</v>
      </c>
      <c r="E412" s="266" t="s">
        <v>4634</v>
      </c>
      <c r="F412" s="267" t="s">
        <v>227</v>
      </c>
      <c r="G412" s="269"/>
      <c r="H412" s="269"/>
      <c r="I412" s="269"/>
      <c r="J412" s="269"/>
      <c r="K412" s="269"/>
      <c r="L412" s="269"/>
      <c r="M412" s="269"/>
      <c r="N412" s="269"/>
      <c r="O412" s="269"/>
      <c r="P412" s="269"/>
      <c r="Q412" s="269"/>
      <c r="R412" s="269"/>
      <c r="S412" s="269"/>
      <c r="T412" s="269"/>
      <c r="U412" s="269"/>
      <c r="X412" s="217"/>
      <c r="Y412" s="217"/>
      <c r="Z412" s="217"/>
      <c r="AA412" s="217"/>
    </row>
    <row r="413" ht="14.25" customHeight="1">
      <c r="A413" s="218">
        <v>412.0</v>
      </c>
      <c r="B413" s="245">
        <v>29.0</v>
      </c>
      <c r="C413" s="279" t="s">
        <v>7469</v>
      </c>
      <c r="D413" s="269">
        <v>2.42510333E8</v>
      </c>
      <c r="E413" s="266" t="s">
        <v>4639</v>
      </c>
      <c r="F413" s="267" t="s">
        <v>220</v>
      </c>
      <c r="G413" s="269"/>
      <c r="H413" s="269"/>
      <c r="I413" s="269"/>
      <c r="J413" s="269"/>
      <c r="K413" s="269"/>
      <c r="L413" s="269"/>
      <c r="M413" s="269"/>
      <c r="N413" s="269"/>
      <c r="O413" s="269"/>
      <c r="P413" s="269"/>
      <c r="Q413" s="269"/>
      <c r="R413" s="269"/>
      <c r="S413" s="269"/>
      <c r="T413" s="269"/>
      <c r="U413" s="269"/>
      <c r="V413" s="217"/>
      <c r="W413" s="217"/>
      <c r="X413" s="217"/>
      <c r="Y413" s="217"/>
      <c r="Z413" s="217"/>
      <c r="AA413" s="217"/>
    </row>
    <row r="414" ht="14.25" customHeight="1">
      <c r="A414" s="218">
        <v>413.0</v>
      </c>
      <c r="B414" s="245">
        <v>30.0</v>
      </c>
      <c r="C414" s="279" t="s">
        <v>7471</v>
      </c>
      <c r="D414" s="269">
        <v>2.42510337E8</v>
      </c>
      <c r="E414" s="266" t="s">
        <v>4644</v>
      </c>
      <c r="F414" s="267" t="s">
        <v>220</v>
      </c>
      <c r="G414" s="269"/>
      <c r="H414" s="269"/>
      <c r="I414" s="269"/>
      <c r="J414" s="269"/>
      <c r="K414" s="269"/>
      <c r="L414" s="269"/>
      <c r="M414" s="269"/>
      <c r="N414" s="269"/>
      <c r="O414" s="269"/>
      <c r="P414" s="269"/>
      <c r="Q414" s="269"/>
      <c r="R414" s="269"/>
      <c r="S414" s="269"/>
      <c r="T414" s="269"/>
      <c r="U414" s="269"/>
      <c r="V414" s="217"/>
      <c r="W414" s="217"/>
      <c r="X414" s="217"/>
      <c r="Y414" s="217"/>
      <c r="Z414" s="217"/>
      <c r="AA414" s="217"/>
    </row>
    <row r="415" ht="14.25" customHeight="1">
      <c r="A415" s="218">
        <v>414.0</v>
      </c>
      <c r="B415" s="245">
        <v>31.0</v>
      </c>
      <c r="C415" s="279" t="s">
        <v>7473</v>
      </c>
      <c r="D415" s="269">
        <v>2.42510347E8</v>
      </c>
      <c r="E415" s="266" t="s">
        <v>4649</v>
      </c>
      <c r="F415" s="267" t="s">
        <v>220</v>
      </c>
      <c r="G415" s="269"/>
      <c r="H415" s="269"/>
      <c r="I415" s="269"/>
      <c r="J415" s="269"/>
      <c r="K415" s="269"/>
      <c r="L415" s="269"/>
      <c r="M415" s="269"/>
      <c r="N415" s="269"/>
      <c r="O415" s="269"/>
      <c r="P415" s="269"/>
      <c r="Q415" s="269"/>
      <c r="R415" s="269"/>
      <c r="S415" s="269"/>
      <c r="T415" s="269"/>
      <c r="U415" s="269"/>
      <c r="X415" s="217"/>
      <c r="Y415" s="217"/>
      <c r="Z415" s="217"/>
      <c r="AA415" s="217"/>
    </row>
    <row r="416" ht="14.25" customHeight="1">
      <c r="A416" s="218">
        <v>415.0</v>
      </c>
      <c r="B416" s="245">
        <v>32.0</v>
      </c>
      <c r="C416" s="279" t="s">
        <v>7475</v>
      </c>
      <c r="D416" s="269">
        <v>2.42510352E8</v>
      </c>
      <c r="E416" s="266" t="s">
        <v>4654</v>
      </c>
      <c r="F416" s="267" t="s">
        <v>220</v>
      </c>
      <c r="G416" s="269"/>
      <c r="H416" s="269"/>
      <c r="I416" s="269"/>
      <c r="J416" s="269"/>
      <c r="K416" s="269"/>
      <c r="L416" s="269"/>
      <c r="M416" s="269"/>
      <c r="N416" s="269"/>
      <c r="O416" s="269"/>
      <c r="P416" s="269"/>
      <c r="Q416" s="269"/>
      <c r="R416" s="269"/>
      <c r="S416" s="269"/>
      <c r="T416" s="269"/>
      <c r="U416" s="269"/>
      <c r="V416" s="217"/>
      <c r="W416" s="217"/>
      <c r="X416" s="217"/>
      <c r="Y416" s="217"/>
      <c r="Z416" s="217"/>
      <c r="AA416" s="217"/>
    </row>
    <row r="417" ht="14.25" customHeight="1">
      <c r="A417" s="218">
        <v>416.0</v>
      </c>
      <c r="B417" s="245">
        <v>33.0</v>
      </c>
      <c r="C417" s="279" t="s">
        <v>7477</v>
      </c>
      <c r="D417" s="269">
        <v>2.4251036E8</v>
      </c>
      <c r="E417" s="266" t="s">
        <v>4659</v>
      </c>
      <c r="F417" s="267" t="s">
        <v>227</v>
      </c>
      <c r="G417" s="269"/>
      <c r="H417" s="269"/>
      <c r="I417" s="269"/>
      <c r="J417" s="269"/>
      <c r="K417" s="269"/>
      <c r="L417" s="269"/>
      <c r="M417" s="269"/>
      <c r="N417" s="269"/>
      <c r="O417" s="269"/>
      <c r="P417" s="269"/>
      <c r="Q417" s="269"/>
      <c r="R417" s="269"/>
      <c r="S417" s="269"/>
      <c r="T417" s="269"/>
      <c r="U417" s="269"/>
      <c r="V417" s="217"/>
      <c r="W417" s="217"/>
      <c r="X417" s="217"/>
      <c r="Y417" s="217"/>
      <c r="Z417" s="217"/>
      <c r="AA417" s="217"/>
    </row>
    <row r="418" ht="14.25" customHeight="1">
      <c r="A418" s="218">
        <v>417.0</v>
      </c>
      <c r="B418" s="245">
        <v>34.0</v>
      </c>
      <c r="C418" s="279" t="s">
        <v>7479</v>
      </c>
      <c r="D418" s="269">
        <v>2.42510378E8</v>
      </c>
      <c r="E418" s="266" t="s">
        <v>4664</v>
      </c>
      <c r="F418" s="267" t="s">
        <v>220</v>
      </c>
      <c r="G418" s="269"/>
      <c r="H418" s="269"/>
      <c r="I418" s="269"/>
      <c r="J418" s="269"/>
      <c r="K418" s="269"/>
      <c r="L418" s="269"/>
      <c r="M418" s="269"/>
      <c r="N418" s="269"/>
      <c r="O418" s="269"/>
      <c r="P418" s="269"/>
      <c r="Q418" s="269"/>
      <c r="R418" s="269"/>
      <c r="S418" s="269"/>
      <c r="T418" s="269"/>
      <c r="U418" s="269"/>
      <c r="V418" s="217"/>
      <c r="W418" s="217"/>
      <c r="X418" s="217"/>
      <c r="Y418" s="217"/>
      <c r="Z418" s="217"/>
      <c r="AA418" s="217"/>
    </row>
    <row r="419" ht="14.25" customHeight="1">
      <c r="A419" s="218">
        <v>418.0</v>
      </c>
      <c r="B419" s="245">
        <v>35.0</v>
      </c>
      <c r="C419" s="279" t="s">
        <v>7481</v>
      </c>
      <c r="D419" s="269">
        <v>2.42510424E8</v>
      </c>
      <c r="E419" s="266" t="s">
        <v>4669</v>
      </c>
      <c r="F419" s="267" t="s">
        <v>227</v>
      </c>
      <c r="G419" s="269"/>
      <c r="H419" s="269"/>
      <c r="I419" s="269"/>
      <c r="J419" s="269"/>
      <c r="K419" s="269"/>
      <c r="L419" s="269"/>
      <c r="M419" s="269"/>
      <c r="N419" s="269"/>
      <c r="O419" s="269"/>
      <c r="P419" s="269"/>
      <c r="Q419" s="269"/>
      <c r="R419" s="269"/>
      <c r="S419" s="269"/>
      <c r="T419" s="269"/>
      <c r="U419" s="269"/>
      <c r="V419" s="217"/>
      <c r="W419" s="217"/>
      <c r="X419" s="217"/>
      <c r="Y419" s="217"/>
      <c r="Z419" s="217"/>
      <c r="AA419" s="217"/>
    </row>
    <row r="420" ht="14.25" customHeight="1">
      <c r="A420" s="218">
        <v>419.0</v>
      </c>
      <c r="B420" s="245">
        <v>36.0</v>
      </c>
      <c r="C420" s="279" t="s">
        <v>7483</v>
      </c>
      <c r="D420" s="269">
        <v>2.42510429E8</v>
      </c>
      <c r="E420" s="266" t="s">
        <v>4674</v>
      </c>
      <c r="F420" s="267" t="s">
        <v>220</v>
      </c>
      <c r="G420" s="269"/>
      <c r="H420" s="269"/>
      <c r="I420" s="269"/>
      <c r="J420" s="269"/>
      <c r="K420" s="269"/>
      <c r="L420" s="269"/>
      <c r="M420" s="269"/>
      <c r="N420" s="269"/>
      <c r="O420" s="269"/>
      <c r="P420" s="269"/>
      <c r="Q420" s="269"/>
      <c r="R420" s="269"/>
      <c r="S420" s="269"/>
      <c r="T420" s="269"/>
      <c r="U420" s="269"/>
      <c r="V420" s="217"/>
      <c r="W420" s="217"/>
      <c r="X420" s="217"/>
      <c r="Y420" s="217"/>
      <c r="Z420" s="217"/>
      <c r="AA420" s="217"/>
    </row>
    <row r="421" ht="16.5" hidden="1" customHeight="1">
      <c r="A421" s="218">
        <v>420.0</v>
      </c>
      <c r="B421" s="252"/>
      <c r="C421" s="253"/>
      <c r="D421" s="252"/>
      <c r="E421" s="253"/>
      <c r="F421" s="253"/>
      <c r="G421" s="254"/>
      <c r="H421" s="254"/>
      <c r="I421" s="254"/>
      <c r="J421" s="254"/>
      <c r="K421" s="254"/>
      <c r="L421" s="254"/>
      <c r="M421" s="254"/>
      <c r="N421" s="254"/>
      <c r="O421" s="254"/>
      <c r="P421" s="254"/>
      <c r="Q421" s="254"/>
      <c r="R421" s="254"/>
      <c r="S421" s="254"/>
      <c r="T421" s="254"/>
      <c r="U421" s="254"/>
      <c r="V421" s="217"/>
      <c r="W421" s="217"/>
      <c r="X421" s="217"/>
      <c r="Y421" s="217"/>
      <c r="Z421" s="217"/>
      <c r="AA421" s="217"/>
    </row>
    <row r="422" ht="16.5" hidden="1" customHeight="1">
      <c r="A422" s="218">
        <v>421.0</v>
      </c>
      <c r="B422" s="252"/>
      <c r="C422" s="253"/>
      <c r="D422" s="252"/>
      <c r="E422" s="253"/>
      <c r="F422" s="253"/>
      <c r="G422" s="254"/>
      <c r="H422" s="254"/>
      <c r="I422" s="254"/>
      <c r="J422" s="254"/>
      <c r="K422" s="254"/>
      <c r="L422" s="255" t="s">
        <v>9753</v>
      </c>
      <c r="M422" s="256"/>
      <c r="N422" s="256"/>
      <c r="O422" s="256"/>
      <c r="P422" s="256"/>
      <c r="Q422" s="256"/>
      <c r="R422" s="256"/>
      <c r="S422" s="256"/>
      <c r="T422" s="256"/>
      <c r="U422" s="257"/>
      <c r="V422" s="217"/>
      <c r="W422" s="217"/>
      <c r="X422" s="217"/>
      <c r="Y422" s="217"/>
      <c r="Z422" s="217"/>
      <c r="AA422" s="217"/>
    </row>
    <row r="423" ht="16.5" hidden="1" customHeight="1">
      <c r="A423" s="218">
        <v>422.0</v>
      </c>
      <c r="B423" s="252"/>
      <c r="C423" s="253"/>
      <c r="D423" s="252"/>
      <c r="E423" s="253"/>
      <c r="F423" s="253"/>
      <c r="G423" s="254"/>
      <c r="H423" s="254"/>
      <c r="I423" s="254"/>
      <c r="J423" s="254"/>
      <c r="K423" s="254"/>
      <c r="L423" s="258" t="s">
        <v>8793</v>
      </c>
      <c r="M423" s="259"/>
      <c r="N423" s="259"/>
      <c r="O423" s="259"/>
      <c r="P423" s="259"/>
      <c r="Q423" s="259"/>
      <c r="R423" s="259"/>
      <c r="S423" s="259"/>
      <c r="T423" s="259"/>
      <c r="U423" s="260"/>
      <c r="V423" s="217"/>
      <c r="W423" s="217"/>
      <c r="X423" s="217"/>
      <c r="Y423" s="217"/>
      <c r="Z423" s="217"/>
      <c r="AA423" s="217"/>
    </row>
    <row r="424" ht="75.0" hidden="1" customHeight="1">
      <c r="A424" s="218">
        <v>423.0</v>
      </c>
      <c r="B424" s="261"/>
      <c r="C424" s="261"/>
      <c r="D424" s="261"/>
      <c r="E424" s="261"/>
      <c r="F424" s="261"/>
      <c r="G424" s="261"/>
      <c r="H424" s="261"/>
      <c r="I424" s="261"/>
      <c r="J424" s="261"/>
      <c r="K424" s="261"/>
      <c r="L424" s="261"/>
      <c r="M424" s="261"/>
      <c r="N424" s="261"/>
      <c r="O424" s="261"/>
      <c r="P424" s="261"/>
      <c r="Q424" s="261"/>
      <c r="R424" s="261"/>
      <c r="S424" s="261"/>
      <c r="T424" s="261"/>
      <c r="U424" s="261"/>
      <c r="V424" s="217"/>
      <c r="W424" s="217"/>
      <c r="X424" s="217"/>
      <c r="Y424" s="217"/>
      <c r="Z424" s="217"/>
      <c r="AA424" s="217"/>
    </row>
    <row r="425" ht="16.5" hidden="1" customHeight="1">
      <c r="A425" s="218">
        <v>424.0</v>
      </c>
      <c r="B425" s="262"/>
      <c r="C425" s="263"/>
      <c r="D425" s="263"/>
      <c r="E425" s="263"/>
      <c r="F425" s="263"/>
      <c r="G425" s="263"/>
      <c r="H425" s="263"/>
      <c r="I425" s="263"/>
      <c r="J425" s="263"/>
      <c r="K425" s="263"/>
      <c r="L425" s="263"/>
      <c r="M425" s="263"/>
      <c r="N425" s="263"/>
      <c r="O425" s="263"/>
      <c r="P425" s="263"/>
      <c r="Q425" s="263"/>
      <c r="R425" s="263"/>
      <c r="S425" s="263"/>
      <c r="T425" s="263"/>
      <c r="U425" s="264"/>
      <c r="V425" s="217"/>
      <c r="W425" s="217"/>
      <c r="X425" s="217"/>
      <c r="Y425" s="217"/>
      <c r="Z425" s="217"/>
      <c r="AA425" s="217"/>
    </row>
    <row r="426" ht="16.5" hidden="1" customHeight="1">
      <c r="A426" s="218">
        <v>425.0</v>
      </c>
      <c r="B426" s="222"/>
      <c r="C426" s="223"/>
      <c r="D426" s="223"/>
      <c r="E426" s="223"/>
      <c r="F426" s="223"/>
      <c r="G426" s="223"/>
      <c r="H426" s="223"/>
      <c r="I426" s="223"/>
      <c r="J426" s="223"/>
      <c r="K426" s="223"/>
      <c r="L426" s="223"/>
      <c r="M426" s="223"/>
      <c r="N426" s="223"/>
      <c r="O426" s="223"/>
      <c r="P426" s="223"/>
      <c r="Q426" s="223"/>
      <c r="R426" s="223"/>
      <c r="S426" s="223"/>
      <c r="T426" s="223"/>
      <c r="U426" s="224"/>
      <c r="V426" s="217"/>
      <c r="W426" s="217"/>
      <c r="X426" s="217"/>
      <c r="Y426" s="217"/>
      <c r="Z426" s="217"/>
      <c r="AA426" s="217"/>
    </row>
    <row r="427" ht="16.5" hidden="1" customHeight="1">
      <c r="A427" s="218">
        <v>426.0</v>
      </c>
      <c r="B427" s="225"/>
      <c r="C427" s="226"/>
      <c r="D427" s="226"/>
      <c r="E427" s="226"/>
      <c r="F427" s="226"/>
      <c r="G427" s="226"/>
      <c r="H427" s="226"/>
      <c r="I427" s="226"/>
      <c r="J427" s="226"/>
      <c r="K427" s="226"/>
      <c r="L427" s="226"/>
      <c r="M427" s="226"/>
      <c r="N427" s="226"/>
      <c r="O427" s="226"/>
      <c r="P427" s="226"/>
      <c r="Q427" s="226"/>
      <c r="R427" s="226"/>
      <c r="S427" s="226"/>
      <c r="T427" s="226"/>
      <c r="U427" s="227"/>
      <c r="V427" s="217"/>
      <c r="W427" s="217"/>
      <c r="X427" s="217"/>
      <c r="Y427" s="217"/>
      <c r="Z427" s="217"/>
      <c r="AA427" s="217"/>
    </row>
    <row r="428" ht="16.5" hidden="1" customHeight="1">
      <c r="A428" s="218">
        <v>427.0</v>
      </c>
      <c r="B428" s="228"/>
      <c r="C428" s="229"/>
      <c r="D428" s="229"/>
      <c r="E428" s="229"/>
      <c r="F428" s="229"/>
      <c r="G428" s="230"/>
      <c r="H428" s="230"/>
      <c r="I428" s="230"/>
      <c r="J428" s="230"/>
      <c r="K428" s="230"/>
      <c r="L428" s="230"/>
      <c r="M428" s="230"/>
      <c r="N428" s="230"/>
      <c r="O428" s="230"/>
      <c r="P428" s="230"/>
      <c r="Q428" s="230"/>
      <c r="R428" s="230"/>
      <c r="S428" s="230"/>
      <c r="T428" s="230"/>
      <c r="U428" s="230"/>
      <c r="V428" s="217"/>
      <c r="W428" s="217"/>
      <c r="X428" s="217"/>
      <c r="Y428" s="217"/>
      <c r="Z428" s="217"/>
      <c r="AA428" s="217"/>
    </row>
    <row r="429" ht="14.25" hidden="1" customHeight="1">
      <c r="A429" s="218">
        <v>428.0</v>
      </c>
      <c r="B429" s="231"/>
      <c r="C429" s="231"/>
      <c r="D429" s="231"/>
      <c r="E429" s="231"/>
      <c r="F429" s="232"/>
      <c r="G429" s="233"/>
      <c r="H429" s="234"/>
      <c r="I429" s="234"/>
      <c r="J429" s="234"/>
      <c r="K429" s="234"/>
      <c r="L429" s="234"/>
      <c r="M429" s="234"/>
      <c r="N429" s="234"/>
      <c r="O429" s="234"/>
      <c r="P429" s="234"/>
      <c r="Q429" s="234"/>
      <c r="R429" s="234"/>
      <c r="S429" s="234"/>
      <c r="T429" s="234"/>
      <c r="U429" s="235"/>
      <c r="V429" s="217"/>
      <c r="W429" s="217"/>
      <c r="X429" s="217"/>
      <c r="Y429" s="217"/>
      <c r="Z429" s="217"/>
      <c r="AA429" s="217"/>
    </row>
    <row r="430" ht="14.25" hidden="1" customHeight="1">
      <c r="A430" s="218">
        <v>429.0</v>
      </c>
      <c r="B430" s="236"/>
      <c r="C430" s="236"/>
      <c r="D430" s="236"/>
      <c r="E430" s="236"/>
      <c r="F430" s="237"/>
      <c r="G430" s="238"/>
      <c r="H430" s="239"/>
      <c r="I430" s="239"/>
      <c r="J430" s="239"/>
      <c r="K430" s="239"/>
      <c r="L430" s="239"/>
      <c r="M430" s="239"/>
      <c r="N430" s="239"/>
      <c r="O430" s="239"/>
      <c r="P430" s="239"/>
      <c r="Q430" s="239"/>
      <c r="R430" s="240"/>
      <c r="S430" s="233" t="s">
        <v>9713</v>
      </c>
      <c r="T430" s="234"/>
      <c r="U430" s="235"/>
      <c r="V430" s="217"/>
      <c r="W430" s="217"/>
      <c r="X430" s="217"/>
      <c r="Y430" s="217"/>
      <c r="Z430" s="217"/>
      <c r="AA430" s="217"/>
    </row>
    <row r="431" ht="14.25" hidden="1" customHeight="1">
      <c r="A431" s="218">
        <v>430.0</v>
      </c>
      <c r="B431" s="241"/>
      <c r="C431" s="295"/>
      <c r="D431" s="295"/>
      <c r="E431" s="241"/>
      <c r="F431" s="242"/>
      <c r="G431" s="243"/>
      <c r="H431" s="243">
        <v>2.0</v>
      </c>
      <c r="I431" s="243">
        <v>3.0</v>
      </c>
      <c r="J431" s="243">
        <v>4.0</v>
      </c>
      <c r="K431" s="243">
        <v>5.0</v>
      </c>
      <c r="L431" s="243">
        <v>6.0</v>
      </c>
      <c r="M431" s="243">
        <v>7.0</v>
      </c>
      <c r="N431" s="243">
        <v>8.0</v>
      </c>
      <c r="O431" s="243">
        <v>9.0</v>
      </c>
      <c r="P431" s="243">
        <v>10.0</v>
      </c>
      <c r="Q431" s="243">
        <v>11.0</v>
      </c>
      <c r="R431" s="243">
        <v>12.0</v>
      </c>
      <c r="S431" s="243" t="s">
        <v>9714</v>
      </c>
      <c r="T431" s="243" t="s">
        <v>9715</v>
      </c>
      <c r="U431" s="244" t="s">
        <v>9716</v>
      </c>
      <c r="V431" s="217"/>
      <c r="W431" s="217"/>
      <c r="X431" s="217"/>
      <c r="Y431" s="217"/>
      <c r="Z431" s="217"/>
      <c r="AA431" s="217"/>
    </row>
    <row r="432" ht="14.25" customHeight="1">
      <c r="A432" s="218">
        <v>431.0</v>
      </c>
      <c r="B432" s="318">
        <v>1.0</v>
      </c>
      <c r="C432" s="304" t="s">
        <v>4678</v>
      </c>
      <c r="D432" s="305"/>
      <c r="E432" s="266" t="s">
        <v>4679</v>
      </c>
      <c r="F432" s="267" t="s">
        <v>227</v>
      </c>
      <c r="G432" s="269"/>
      <c r="H432" s="322"/>
      <c r="I432" s="323"/>
      <c r="J432" s="323"/>
      <c r="K432" s="324"/>
      <c r="L432" s="325"/>
      <c r="M432" s="269"/>
      <c r="N432" s="269"/>
      <c r="O432" s="269"/>
      <c r="P432" s="269"/>
      <c r="Q432" s="269"/>
      <c r="R432" s="269"/>
      <c r="S432" s="269"/>
      <c r="T432" s="269"/>
      <c r="U432" s="269"/>
      <c r="V432" s="217"/>
      <c r="W432" s="217"/>
      <c r="X432" s="217"/>
      <c r="Y432" s="217"/>
      <c r="Z432" s="217"/>
      <c r="AA432" s="217"/>
    </row>
    <row r="433" ht="14.25" customHeight="1">
      <c r="A433" s="218">
        <v>432.0</v>
      </c>
      <c r="B433" s="318">
        <v>2.0</v>
      </c>
      <c r="C433" s="297" t="s">
        <v>4684</v>
      </c>
      <c r="D433" s="298"/>
      <c r="E433" s="266" t="s">
        <v>4685</v>
      </c>
      <c r="F433" s="267" t="s">
        <v>227</v>
      </c>
      <c r="G433" s="269"/>
      <c r="H433" s="322"/>
      <c r="I433" s="323"/>
      <c r="J433" s="323"/>
      <c r="K433" s="324"/>
      <c r="L433" s="325"/>
      <c r="M433" s="269"/>
      <c r="N433" s="269"/>
      <c r="O433" s="269"/>
      <c r="P433" s="269"/>
      <c r="Q433" s="269"/>
      <c r="R433" s="269"/>
      <c r="S433" s="269"/>
      <c r="T433" s="269"/>
      <c r="U433" s="269"/>
      <c r="V433" s="217"/>
      <c r="W433" s="217"/>
      <c r="X433" s="217"/>
      <c r="Y433" s="217"/>
      <c r="Z433" s="217"/>
      <c r="AA433" s="217"/>
    </row>
    <row r="434" ht="14.25" customHeight="1">
      <c r="A434" s="218">
        <v>433.0</v>
      </c>
      <c r="B434" s="318">
        <v>3.0</v>
      </c>
      <c r="C434" s="297" t="s">
        <v>4689</v>
      </c>
      <c r="D434" s="298"/>
      <c r="E434" s="276" t="s">
        <v>4690</v>
      </c>
      <c r="F434" s="277" t="s">
        <v>227</v>
      </c>
      <c r="G434" s="287"/>
      <c r="H434" s="326"/>
      <c r="I434" s="327"/>
      <c r="J434" s="327"/>
      <c r="K434" s="328"/>
      <c r="L434" s="329"/>
      <c r="M434" s="287"/>
      <c r="N434" s="287"/>
      <c r="O434" s="287"/>
      <c r="P434" s="287"/>
      <c r="Q434" s="287"/>
      <c r="R434" s="287"/>
      <c r="S434" s="287"/>
      <c r="T434" s="287"/>
      <c r="U434" s="287"/>
      <c r="X434" s="217"/>
      <c r="Y434" s="217"/>
      <c r="Z434" s="217"/>
      <c r="AA434" s="217"/>
    </row>
    <row r="435" ht="14.25" customHeight="1">
      <c r="A435" s="218">
        <v>434.0</v>
      </c>
      <c r="B435" s="318">
        <v>4.0</v>
      </c>
      <c r="C435" s="297" t="s">
        <v>4694</v>
      </c>
      <c r="D435" s="298"/>
      <c r="E435" s="266" t="s">
        <v>4695</v>
      </c>
      <c r="F435" s="267" t="s">
        <v>220</v>
      </c>
      <c r="G435" s="269"/>
      <c r="H435" s="322"/>
      <c r="I435" s="323"/>
      <c r="J435" s="323"/>
      <c r="K435" s="324"/>
      <c r="L435" s="325"/>
      <c r="M435" s="269"/>
      <c r="N435" s="269"/>
      <c r="O435" s="269"/>
      <c r="P435" s="269"/>
      <c r="Q435" s="269"/>
      <c r="R435" s="269"/>
      <c r="S435" s="269"/>
      <c r="T435" s="269"/>
      <c r="U435" s="269"/>
      <c r="V435" s="217"/>
      <c r="W435" s="217"/>
      <c r="X435" s="217"/>
      <c r="Y435" s="217"/>
      <c r="Z435" s="217"/>
      <c r="AA435" s="217"/>
    </row>
    <row r="436" ht="14.25" customHeight="1">
      <c r="A436" s="218">
        <v>435.0</v>
      </c>
      <c r="B436" s="318">
        <v>5.0</v>
      </c>
      <c r="C436" s="297" t="s">
        <v>4700</v>
      </c>
      <c r="D436" s="298"/>
      <c r="E436" s="266" t="s">
        <v>4701</v>
      </c>
      <c r="F436" s="267" t="s">
        <v>220</v>
      </c>
      <c r="G436" s="269"/>
      <c r="H436" s="322"/>
      <c r="I436" s="323"/>
      <c r="J436" s="323"/>
      <c r="K436" s="324"/>
      <c r="L436" s="325"/>
      <c r="M436" s="269"/>
      <c r="N436" s="269"/>
      <c r="O436" s="269"/>
      <c r="P436" s="269"/>
      <c r="Q436" s="269"/>
      <c r="R436" s="269"/>
      <c r="S436" s="269"/>
      <c r="T436" s="269"/>
      <c r="U436" s="269"/>
      <c r="V436" s="217"/>
      <c r="W436" s="217"/>
      <c r="X436" s="217"/>
      <c r="Y436" s="217"/>
      <c r="Z436" s="217"/>
      <c r="AA436" s="217"/>
    </row>
    <row r="437" ht="22.5" customHeight="1">
      <c r="A437" s="218">
        <v>436.0</v>
      </c>
      <c r="B437" s="318">
        <v>6.0</v>
      </c>
      <c r="C437" s="297" t="s">
        <v>4705</v>
      </c>
      <c r="D437" s="298"/>
      <c r="E437" s="266" t="s">
        <v>4706</v>
      </c>
      <c r="F437" s="267" t="s">
        <v>227</v>
      </c>
      <c r="G437" s="269"/>
      <c r="H437" s="322"/>
      <c r="I437" s="323"/>
      <c r="J437" s="323"/>
      <c r="K437" s="324"/>
      <c r="L437" s="325"/>
      <c r="M437" s="269"/>
      <c r="N437" s="269"/>
      <c r="O437" s="269"/>
      <c r="P437" s="269"/>
      <c r="Q437" s="269"/>
      <c r="R437" s="269"/>
      <c r="S437" s="269"/>
      <c r="T437" s="269"/>
      <c r="U437" s="269"/>
      <c r="V437" s="217"/>
      <c r="W437" s="217"/>
      <c r="X437" s="217"/>
      <c r="Y437" s="217"/>
      <c r="Z437" s="217"/>
      <c r="AA437" s="217"/>
    </row>
    <row r="438" ht="14.25" customHeight="1">
      <c r="A438" s="218">
        <v>437.0</v>
      </c>
      <c r="B438" s="318">
        <v>7.0</v>
      </c>
      <c r="C438" s="297" t="s">
        <v>4710</v>
      </c>
      <c r="D438" s="298"/>
      <c r="E438" s="266" t="s">
        <v>4711</v>
      </c>
      <c r="F438" s="267" t="s">
        <v>227</v>
      </c>
      <c r="G438" s="269"/>
      <c r="H438" s="322"/>
      <c r="I438" s="323"/>
      <c r="J438" s="323"/>
      <c r="K438" s="324"/>
      <c r="L438" s="325"/>
      <c r="M438" s="269"/>
      <c r="N438" s="269"/>
      <c r="O438" s="269"/>
      <c r="P438" s="269"/>
      <c r="Q438" s="269"/>
      <c r="R438" s="269"/>
      <c r="S438" s="269"/>
      <c r="T438" s="269"/>
      <c r="U438" s="269"/>
      <c r="V438" s="217"/>
      <c r="W438" s="217"/>
      <c r="X438" s="217"/>
      <c r="Y438" s="217"/>
      <c r="Z438" s="217"/>
      <c r="AA438" s="217"/>
    </row>
    <row r="439" ht="14.25" customHeight="1">
      <c r="A439" s="218">
        <v>438.0</v>
      </c>
      <c r="B439" s="318">
        <v>8.0</v>
      </c>
      <c r="C439" s="297" t="s">
        <v>4715</v>
      </c>
      <c r="D439" s="298"/>
      <c r="E439" s="266" t="s">
        <v>4716</v>
      </c>
      <c r="F439" s="267" t="s">
        <v>220</v>
      </c>
      <c r="G439" s="269"/>
      <c r="H439" s="322"/>
      <c r="I439" s="323"/>
      <c r="J439" s="323"/>
      <c r="K439" s="324"/>
      <c r="L439" s="325"/>
      <c r="M439" s="269"/>
      <c r="N439" s="269"/>
      <c r="O439" s="269"/>
      <c r="P439" s="269"/>
      <c r="Q439" s="269"/>
      <c r="R439" s="269"/>
      <c r="S439" s="269"/>
      <c r="T439" s="269"/>
      <c r="U439" s="269"/>
      <c r="V439" s="217"/>
      <c r="W439" s="217"/>
      <c r="X439" s="217"/>
      <c r="Y439" s="217"/>
      <c r="Z439" s="217"/>
      <c r="AA439" s="217"/>
    </row>
    <row r="440" ht="14.25" customHeight="1">
      <c r="A440" s="218">
        <v>439.0</v>
      </c>
      <c r="B440" s="318">
        <v>9.0</v>
      </c>
      <c r="C440" s="297" t="s">
        <v>4720</v>
      </c>
      <c r="D440" s="298"/>
      <c r="E440" s="266" t="s">
        <v>4721</v>
      </c>
      <c r="F440" s="267" t="s">
        <v>220</v>
      </c>
      <c r="G440" s="269"/>
      <c r="H440" s="322"/>
      <c r="I440" s="323"/>
      <c r="J440" s="323"/>
      <c r="K440" s="324"/>
      <c r="L440" s="325"/>
      <c r="M440" s="269"/>
      <c r="N440" s="269"/>
      <c r="O440" s="269"/>
      <c r="P440" s="269"/>
      <c r="Q440" s="269"/>
      <c r="R440" s="269"/>
      <c r="S440" s="269"/>
      <c r="T440" s="269"/>
      <c r="U440" s="269"/>
      <c r="V440" s="217"/>
      <c r="W440" s="217"/>
      <c r="X440" s="217"/>
      <c r="Y440" s="217"/>
      <c r="Z440" s="217"/>
      <c r="AA440" s="217"/>
    </row>
    <row r="441" ht="14.25" customHeight="1">
      <c r="A441" s="218">
        <v>440.0</v>
      </c>
      <c r="B441" s="318">
        <v>10.0</v>
      </c>
      <c r="C441" s="297" t="s">
        <v>4725</v>
      </c>
      <c r="D441" s="298"/>
      <c r="E441" s="266" t="s">
        <v>4726</v>
      </c>
      <c r="F441" s="267" t="s">
        <v>220</v>
      </c>
      <c r="G441" s="269"/>
      <c r="H441" s="322"/>
      <c r="I441" s="323"/>
      <c r="J441" s="323"/>
      <c r="K441" s="324"/>
      <c r="L441" s="325"/>
      <c r="M441" s="269"/>
      <c r="N441" s="269"/>
      <c r="O441" s="269"/>
      <c r="P441" s="269"/>
      <c r="Q441" s="269"/>
      <c r="R441" s="269"/>
      <c r="S441" s="269"/>
      <c r="T441" s="269"/>
      <c r="U441" s="269"/>
      <c r="V441" s="217"/>
      <c r="W441" s="217"/>
      <c r="X441" s="217"/>
      <c r="Y441" s="217"/>
      <c r="Z441" s="217"/>
      <c r="AA441" s="217"/>
    </row>
    <row r="442" ht="14.25" customHeight="1">
      <c r="A442" s="218">
        <v>441.0</v>
      </c>
      <c r="B442" s="318">
        <v>11.0</v>
      </c>
      <c r="C442" s="297" t="s">
        <v>4731</v>
      </c>
      <c r="D442" s="298"/>
      <c r="E442" s="266" t="s">
        <v>4732</v>
      </c>
      <c r="F442" s="267" t="s">
        <v>220</v>
      </c>
      <c r="G442" s="269"/>
      <c r="H442" s="322"/>
      <c r="I442" s="323"/>
      <c r="J442" s="323"/>
      <c r="K442" s="324"/>
      <c r="L442" s="325"/>
      <c r="M442" s="269"/>
      <c r="N442" s="269"/>
      <c r="O442" s="269"/>
      <c r="P442" s="269"/>
      <c r="Q442" s="269"/>
      <c r="R442" s="269"/>
      <c r="S442" s="269"/>
      <c r="T442" s="269"/>
      <c r="U442" s="269"/>
      <c r="V442" s="217"/>
      <c r="W442" s="217"/>
      <c r="X442" s="217"/>
      <c r="Y442" s="217"/>
      <c r="Z442" s="217"/>
      <c r="AA442" s="217"/>
    </row>
    <row r="443" ht="14.25" customHeight="1">
      <c r="A443" s="218">
        <v>442.0</v>
      </c>
      <c r="B443" s="318">
        <v>12.0</v>
      </c>
      <c r="C443" s="297" t="s">
        <v>4736</v>
      </c>
      <c r="D443" s="298"/>
      <c r="E443" s="266" t="s">
        <v>4737</v>
      </c>
      <c r="F443" s="267" t="s">
        <v>220</v>
      </c>
      <c r="G443" s="269"/>
      <c r="H443" s="322"/>
      <c r="I443" s="323"/>
      <c r="J443" s="323"/>
      <c r="K443" s="324"/>
      <c r="L443" s="325"/>
      <c r="M443" s="269"/>
      <c r="N443" s="269"/>
      <c r="O443" s="269"/>
      <c r="P443" s="269"/>
      <c r="Q443" s="269"/>
      <c r="R443" s="269"/>
      <c r="S443" s="269"/>
      <c r="T443" s="269"/>
      <c r="U443" s="269"/>
      <c r="V443" s="217"/>
      <c r="W443" s="217"/>
      <c r="X443" s="217"/>
      <c r="Y443" s="217"/>
      <c r="Z443" s="217"/>
      <c r="AA443" s="217"/>
    </row>
    <row r="444" ht="14.25" customHeight="1">
      <c r="A444" s="218">
        <v>443.0</v>
      </c>
      <c r="B444" s="318">
        <v>13.0</v>
      </c>
      <c r="C444" s="297" t="s">
        <v>4741</v>
      </c>
      <c r="D444" s="298"/>
      <c r="E444" s="266" t="s">
        <v>4742</v>
      </c>
      <c r="F444" s="267" t="s">
        <v>220</v>
      </c>
      <c r="G444" s="269"/>
      <c r="H444" s="322"/>
      <c r="I444" s="323"/>
      <c r="J444" s="323"/>
      <c r="K444" s="324"/>
      <c r="L444" s="325"/>
      <c r="M444" s="269"/>
      <c r="N444" s="269"/>
      <c r="O444" s="269"/>
      <c r="P444" s="269"/>
      <c r="Q444" s="269"/>
      <c r="R444" s="269"/>
      <c r="S444" s="269"/>
      <c r="T444" s="269"/>
      <c r="U444" s="269"/>
      <c r="V444" s="217"/>
      <c r="W444" s="217"/>
      <c r="X444" s="217"/>
      <c r="Y444" s="217"/>
      <c r="Z444" s="217"/>
      <c r="AA444" s="217"/>
    </row>
    <row r="445" ht="14.25" customHeight="1">
      <c r="A445" s="218">
        <v>444.0</v>
      </c>
      <c r="B445" s="318">
        <v>14.0</v>
      </c>
      <c r="C445" s="297" t="s">
        <v>4746</v>
      </c>
      <c r="D445" s="298"/>
      <c r="E445" s="266" t="s">
        <v>4747</v>
      </c>
      <c r="F445" s="267" t="s">
        <v>220</v>
      </c>
      <c r="G445" s="269"/>
      <c r="H445" s="322"/>
      <c r="I445" s="323"/>
      <c r="J445" s="323"/>
      <c r="K445" s="324"/>
      <c r="L445" s="325"/>
      <c r="M445" s="269"/>
      <c r="N445" s="269"/>
      <c r="O445" s="269"/>
      <c r="P445" s="269"/>
      <c r="Q445" s="269"/>
      <c r="R445" s="269"/>
      <c r="S445" s="269"/>
      <c r="T445" s="269"/>
      <c r="U445" s="269"/>
      <c r="V445" s="217"/>
      <c r="W445" s="217"/>
      <c r="X445" s="217"/>
      <c r="Y445" s="217"/>
      <c r="Z445" s="217"/>
      <c r="AA445" s="217"/>
    </row>
    <row r="446" ht="14.25" customHeight="1">
      <c r="A446" s="218">
        <v>445.0</v>
      </c>
      <c r="B446" s="318">
        <v>15.0</v>
      </c>
      <c r="C446" s="297" t="s">
        <v>4751</v>
      </c>
      <c r="D446" s="298"/>
      <c r="E446" s="266" t="s">
        <v>4752</v>
      </c>
      <c r="F446" s="267" t="s">
        <v>220</v>
      </c>
      <c r="G446" s="269"/>
      <c r="H446" s="322"/>
      <c r="I446" s="323"/>
      <c r="J446" s="323"/>
      <c r="K446" s="324"/>
      <c r="L446" s="325"/>
      <c r="M446" s="269"/>
      <c r="N446" s="269"/>
      <c r="O446" s="269"/>
      <c r="P446" s="269"/>
      <c r="Q446" s="269"/>
      <c r="R446" s="269"/>
      <c r="S446" s="269"/>
      <c r="T446" s="269"/>
      <c r="U446" s="269"/>
      <c r="V446" s="217"/>
      <c r="W446" s="217"/>
      <c r="X446" s="217"/>
      <c r="Y446" s="217"/>
      <c r="Z446" s="217"/>
      <c r="AA446" s="217"/>
    </row>
    <row r="447" ht="14.25" customHeight="1">
      <c r="A447" s="218">
        <v>446.0</v>
      </c>
      <c r="B447" s="318">
        <v>16.0</v>
      </c>
      <c r="C447" s="297" t="s">
        <v>4756</v>
      </c>
      <c r="D447" s="298"/>
      <c r="E447" s="266" t="s">
        <v>4757</v>
      </c>
      <c r="F447" s="267" t="s">
        <v>220</v>
      </c>
      <c r="G447" s="269"/>
      <c r="H447" s="322"/>
      <c r="I447" s="323"/>
      <c r="J447" s="324"/>
      <c r="K447" s="324"/>
      <c r="L447" s="325"/>
      <c r="M447" s="269"/>
      <c r="N447" s="269"/>
      <c r="O447" s="269"/>
      <c r="P447" s="269"/>
      <c r="Q447" s="269"/>
      <c r="R447" s="269"/>
      <c r="S447" s="269"/>
      <c r="T447" s="269"/>
      <c r="U447" s="269"/>
      <c r="V447" s="217"/>
      <c r="W447" s="217"/>
      <c r="X447" s="217"/>
      <c r="Y447" s="217"/>
      <c r="Z447" s="217"/>
      <c r="AA447" s="217"/>
    </row>
    <row r="448" ht="14.25" customHeight="1">
      <c r="A448" s="218">
        <v>447.0</v>
      </c>
      <c r="B448" s="318">
        <v>17.0</v>
      </c>
      <c r="C448" s="297" t="s">
        <v>4762</v>
      </c>
      <c r="D448" s="298"/>
      <c r="E448" s="266" t="s">
        <v>4763</v>
      </c>
      <c r="F448" s="267" t="s">
        <v>220</v>
      </c>
      <c r="G448" s="269"/>
      <c r="H448" s="269"/>
      <c r="I448" s="269"/>
      <c r="J448" s="269"/>
      <c r="K448" s="269"/>
      <c r="L448" s="269"/>
      <c r="M448" s="269"/>
      <c r="N448" s="269"/>
      <c r="O448" s="269"/>
      <c r="P448" s="269"/>
      <c r="Q448" s="269"/>
      <c r="R448" s="269"/>
      <c r="S448" s="269"/>
      <c r="T448" s="269"/>
      <c r="U448" s="269"/>
      <c r="V448" s="217"/>
      <c r="W448" s="217"/>
      <c r="X448" s="217"/>
      <c r="Y448" s="217"/>
      <c r="Z448" s="217"/>
      <c r="AA448" s="217"/>
    </row>
    <row r="449" ht="14.25" customHeight="1">
      <c r="A449" s="218">
        <v>448.0</v>
      </c>
      <c r="B449" s="318">
        <v>18.0</v>
      </c>
      <c r="C449" s="297" t="s">
        <v>4767</v>
      </c>
      <c r="D449" s="298"/>
      <c r="E449" s="266" t="s">
        <v>4768</v>
      </c>
      <c r="F449" s="267" t="s">
        <v>220</v>
      </c>
      <c r="G449" s="269"/>
      <c r="H449" s="269"/>
      <c r="I449" s="269"/>
      <c r="J449" s="269"/>
      <c r="K449" s="269"/>
      <c r="L449" s="269"/>
      <c r="M449" s="269"/>
      <c r="N449" s="269"/>
      <c r="O449" s="269"/>
      <c r="P449" s="269"/>
      <c r="Q449" s="269"/>
      <c r="R449" s="269"/>
      <c r="S449" s="269"/>
      <c r="T449" s="269"/>
      <c r="U449" s="269"/>
      <c r="V449" s="217"/>
      <c r="W449" s="217"/>
      <c r="X449" s="217"/>
      <c r="Y449" s="217"/>
      <c r="Z449" s="217"/>
      <c r="AA449" s="217"/>
    </row>
    <row r="450" ht="14.25" customHeight="1">
      <c r="A450" s="218">
        <v>449.0</v>
      </c>
      <c r="B450" s="318">
        <v>19.0</v>
      </c>
      <c r="C450" s="297" t="s">
        <v>4772</v>
      </c>
      <c r="D450" s="298"/>
      <c r="E450" s="266" t="s">
        <v>4773</v>
      </c>
      <c r="F450" s="267" t="s">
        <v>220</v>
      </c>
      <c r="G450" s="269"/>
      <c r="H450" s="269"/>
      <c r="I450" s="269"/>
      <c r="J450" s="269"/>
      <c r="K450" s="269"/>
      <c r="L450" s="269"/>
      <c r="M450" s="269"/>
      <c r="N450" s="269"/>
      <c r="O450" s="269"/>
      <c r="P450" s="269"/>
      <c r="Q450" s="269"/>
      <c r="R450" s="269"/>
      <c r="S450" s="269"/>
      <c r="T450" s="269"/>
      <c r="U450" s="269"/>
      <c r="V450" s="217"/>
      <c r="W450" s="217"/>
      <c r="X450" s="217"/>
      <c r="Y450" s="217"/>
      <c r="Z450" s="217"/>
      <c r="AA450" s="217"/>
    </row>
    <row r="451" ht="14.25" customHeight="1">
      <c r="A451" s="218">
        <v>450.0</v>
      </c>
      <c r="B451" s="318">
        <v>20.0</v>
      </c>
      <c r="C451" s="297" t="s">
        <v>4777</v>
      </c>
      <c r="D451" s="298"/>
      <c r="E451" s="266" t="s">
        <v>4778</v>
      </c>
      <c r="F451" s="267" t="s">
        <v>220</v>
      </c>
      <c r="G451" s="269"/>
      <c r="H451" s="269"/>
      <c r="I451" s="269"/>
      <c r="J451" s="269"/>
      <c r="K451" s="269"/>
      <c r="L451" s="269"/>
      <c r="M451" s="269"/>
      <c r="N451" s="269"/>
      <c r="O451" s="269"/>
      <c r="P451" s="269"/>
      <c r="Q451" s="269"/>
      <c r="R451" s="269"/>
      <c r="S451" s="269"/>
      <c r="T451" s="269"/>
      <c r="U451" s="269"/>
      <c r="V451" s="217"/>
      <c r="W451" s="217"/>
      <c r="X451" s="217"/>
      <c r="Y451" s="217"/>
      <c r="Z451" s="217"/>
      <c r="AA451" s="217"/>
    </row>
    <row r="452" ht="14.25" customHeight="1">
      <c r="A452" s="218">
        <v>451.0</v>
      </c>
      <c r="B452" s="318">
        <v>21.0</v>
      </c>
      <c r="C452" s="297" t="s">
        <v>4782</v>
      </c>
      <c r="D452" s="298"/>
      <c r="E452" s="266" t="s">
        <v>4783</v>
      </c>
      <c r="F452" s="267" t="s">
        <v>220</v>
      </c>
      <c r="G452" s="269"/>
      <c r="H452" s="269"/>
      <c r="I452" s="269"/>
      <c r="J452" s="269"/>
      <c r="K452" s="269"/>
      <c r="L452" s="269"/>
      <c r="M452" s="269"/>
      <c r="N452" s="269"/>
      <c r="O452" s="269"/>
      <c r="P452" s="269"/>
      <c r="Q452" s="269"/>
      <c r="R452" s="269"/>
      <c r="S452" s="269"/>
      <c r="T452" s="269"/>
      <c r="U452" s="269"/>
      <c r="V452" s="217"/>
      <c r="W452" s="217"/>
      <c r="X452" s="217"/>
      <c r="Y452" s="217"/>
      <c r="Z452" s="217"/>
      <c r="AA452" s="217"/>
    </row>
    <row r="453" ht="14.25" customHeight="1">
      <c r="A453" s="218">
        <v>452.0</v>
      </c>
      <c r="B453" s="318">
        <v>22.0</v>
      </c>
      <c r="C453" s="297" t="s">
        <v>4787</v>
      </c>
      <c r="D453" s="298"/>
      <c r="E453" s="266" t="s">
        <v>4788</v>
      </c>
      <c r="F453" s="267" t="s">
        <v>220</v>
      </c>
      <c r="G453" s="269"/>
      <c r="H453" s="269"/>
      <c r="I453" s="269"/>
      <c r="J453" s="269"/>
      <c r="K453" s="269"/>
      <c r="L453" s="269"/>
      <c r="M453" s="269"/>
      <c r="N453" s="269"/>
      <c r="O453" s="269"/>
      <c r="P453" s="269"/>
      <c r="Q453" s="269"/>
      <c r="R453" s="269"/>
      <c r="S453" s="269"/>
      <c r="T453" s="269"/>
      <c r="U453" s="269"/>
      <c r="V453" s="217"/>
      <c r="W453" s="217"/>
      <c r="X453" s="217"/>
      <c r="Y453" s="217"/>
      <c r="Z453" s="217"/>
      <c r="AA453" s="217"/>
    </row>
    <row r="454" ht="14.25" customHeight="1">
      <c r="A454" s="218">
        <v>453.0</v>
      </c>
      <c r="B454" s="318">
        <v>23.0</v>
      </c>
      <c r="C454" s="297" t="s">
        <v>4793</v>
      </c>
      <c r="D454" s="298"/>
      <c r="E454" s="266" t="s">
        <v>4794</v>
      </c>
      <c r="F454" s="267" t="s">
        <v>220</v>
      </c>
      <c r="G454" s="269"/>
      <c r="H454" s="269"/>
      <c r="I454" s="269"/>
      <c r="J454" s="269"/>
      <c r="K454" s="269"/>
      <c r="L454" s="269"/>
      <c r="M454" s="269"/>
      <c r="N454" s="269"/>
      <c r="O454" s="269"/>
      <c r="P454" s="269"/>
      <c r="Q454" s="269"/>
      <c r="R454" s="269"/>
      <c r="S454" s="269"/>
      <c r="T454" s="269"/>
      <c r="U454" s="269"/>
      <c r="V454" s="217"/>
      <c r="W454" s="217"/>
      <c r="X454" s="217"/>
      <c r="Y454" s="217"/>
      <c r="Z454" s="217"/>
      <c r="AA454" s="217"/>
    </row>
    <row r="455" ht="14.25" customHeight="1">
      <c r="A455" s="218">
        <v>454.0</v>
      </c>
      <c r="B455" s="318">
        <v>24.0</v>
      </c>
      <c r="C455" s="297" t="s">
        <v>4798</v>
      </c>
      <c r="D455" s="298"/>
      <c r="E455" s="266" t="s">
        <v>4799</v>
      </c>
      <c r="F455" s="267" t="s">
        <v>220</v>
      </c>
      <c r="G455" s="269"/>
      <c r="H455" s="269"/>
      <c r="I455" s="269"/>
      <c r="J455" s="269"/>
      <c r="K455" s="269"/>
      <c r="L455" s="269"/>
      <c r="M455" s="269"/>
      <c r="N455" s="269"/>
      <c r="O455" s="269"/>
      <c r="P455" s="269"/>
      <c r="Q455" s="269"/>
      <c r="R455" s="269"/>
      <c r="S455" s="269"/>
      <c r="T455" s="269"/>
      <c r="U455" s="269"/>
      <c r="V455" s="217"/>
      <c r="W455" s="217"/>
      <c r="X455" s="217"/>
      <c r="Y455" s="217"/>
      <c r="Z455" s="217"/>
      <c r="AA455" s="217"/>
    </row>
    <row r="456" ht="14.25" customHeight="1">
      <c r="A456" s="218">
        <v>455.0</v>
      </c>
      <c r="B456" s="318">
        <v>25.0</v>
      </c>
      <c r="C456" s="297" t="s">
        <v>4803</v>
      </c>
      <c r="D456" s="298"/>
      <c r="E456" s="266" t="s">
        <v>4804</v>
      </c>
      <c r="F456" s="267" t="s">
        <v>227</v>
      </c>
      <c r="G456" s="269"/>
      <c r="H456" s="269"/>
      <c r="I456" s="269"/>
      <c r="J456" s="269"/>
      <c r="K456" s="269"/>
      <c r="L456" s="269"/>
      <c r="M456" s="269"/>
      <c r="N456" s="269"/>
      <c r="O456" s="269"/>
      <c r="P456" s="269"/>
      <c r="Q456" s="269"/>
      <c r="R456" s="269"/>
      <c r="S456" s="269"/>
      <c r="T456" s="269"/>
      <c r="U456" s="269"/>
      <c r="V456" s="217"/>
      <c r="W456" s="217"/>
      <c r="X456" s="217"/>
      <c r="Y456" s="217"/>
      <c r="Z456" s="217"/>
      <c r="AA456" s="217"/>
    </row>
    <row r="457" ht="14.25" customHeight="1">
      <c r="A457" s="218">
        <v>456.0</v>
      </c>
      <c r="B457" s="318">
        <v>26.0</v>
      </c>
      <c r="C457" s="297" t="s">
        <v>4808</v>
      </c>
      <c r="D457" s="298"/>
      <c r="E457" s="266" t="s">
        <v>4809</v>
      </c>
      <c r="F457" s="267" t="s">
        <v>220</v>
      </c>
      <c r="G457" s="269"/>
      <c r="H457" s="269"/>
      <c r="I457" s="269"/>
      <c r="J457" s="269"/>
      <c r="K457" s="269"/>
      <c r="L457" s="269"/>
      <c r="M457" s="269"/>
      <c r="N457" s="269"/>
      <c r="O457" s="269"/>
      <c r="P457" s="269"/>
      <c r="Q457" s="269"/>
      <c r="R457" s="269"/>
      <c r="S457" s="269"/>
      <c r="T457" s="269"/>
      <c r="U457" s="269"/>
      <c r="V457" s="217"/>
      <c r="W457" s="217"/>
      <c r="X457" s="217"/>
      <c r="Y457" s="217"/>
      <c r="Z457" s="217"/>
      <c r="AA457" s="217"/>
    </row>
    <row r="458" ht="14.25" customHeight="1">
      <c r="A458" s="218">
        <v>457.0</v>
      </c>
      <c r="B458" s="318">
        <v>27.0</v>
      </c>
      <c r="C458" s="297" t="s">
        <v>4813</v>
      </c>
      <c r="D458" s="298"/>
      <c r="E458" s="266" t="s">
        <v>4814</v>
      </c>
      <c r="F458" s="267" t="s">
        <v>220</v>
      </c>
      <c r="G458" s="269"/>
      <c r="H458" s="269"/>
      <c r="I458" s="269"/>
      <c r="J458" s="269"/>
      <c r="K458" s="269"/>
      <c r="L458" s="269"/>
      <c r="M458" s="269"/>
      <c r="N458" s="269"/>
      <c r="O458" s="269"/>
      <c r="P458" s="269"/>
      <c r="Q458" s="269"/>
      <c r="R458" s="269"/>
      <c r="S458" s="269"/>
      <c r="T458" s="269"/>
      <c r="U458" s="269"/>
      <c r="V458" s="217"/>
      <c r="W458" s="217"/>
      <c r="X458" s="217"/>
      <c r="Y458" s="217"/>
      <c r="Z458" s="217"/>
      <c r="AA458" s="217"/>
    </row>
    <row r="459" ht="14.25" customHeight="1">
      <c r="A459" s="218">
        <v>458.0</v>
      </c>
      <c r="B459" s="318">
        <v>28.0</v>
      </c>
      <c r="C459" s="297" t="s">
        <v>4818</v>
      </c>
      <c r="D459" s="298"/>
      <c r="E459" s="266" t="s">
        <v>4819</v>
      </c>
      <c r="F459" s="267" t="s">
        <v>220</v>
      </c>
      <c r="G459" s="269"/>
      <c r="H459" s="269"/>
      <c r="I459" s="269"/>
      <c r="J459" s="269"/>
      <c r="K459" s="269"/>
      <c r="L459" s="269"/>
      <c r="M459" s="269"/>
      <c r="N459" s="269"/>
      <c r="O459" s="269"/>
      <c r="P459" s="269"/>
      <c r="Q459" s="269"/>
      <c r="R459" s="269"/>
      <c r="S459" s="269"/>
      <c r="T459" s="269"/>
      <c r="U459" s="269"/>
      <c r="V459" s="217"/>
      <c r="W459" s="217"/>
      <c r="X459" s="217"/>
      <c r="Y459" s="217"/>
      <c r="Z459" s="217"/>
      <c r="AA459" s="217"/>
    </row>
    <row r="460" ht="14.25" customHeight="1">
      <c r="A460" s="218">
        <v>459.0</v>
      </c>
      <c r="B460" s="318">
        <v>29.0</v>
      </c>
      <c r="C460" s="297" t="s">
        <v>4823</v>
      </c>
      <c r="D460" s="298"/>
      <c r="E460" s="266" t="s">
        <v>4824</v>
      </c>
      <c r="F460" s="267" t="s">
        <v>227</v>
      </c>
      <c r="G460" s="269"/>
      <c r="H460" s="269"/>
      <c r="I460" s="269"/>
      <c r="J460" s="269"/>
      <c r="K460" s="269"/>
      <c r="L460" s="269"/>
      <c r="M460" s="269"/>
      <c r="N460" s="269"/>
      <c r="O460" s="269"/>
      <c r="P460" s="269"/>
      <c r="Q460" s="269"/>
      <c r="R460" s="269"/>
      <c r="S460" s="269"/>
      <c r="T460" s="269"/>
      <c r="U460" s="269"/>
      <c r="V460" s="217"/>
      <c r="W460" s="217"/>
      <c r="X460" s="217"/>
      <c r="Y460" s="217"/>
      <c r="Z460" s="217"/>
      <c r="AA460" s="217"/>
    </row>
    <row r="461" ht="14.25" customHeight="1">
      <c r="A461" s="218">
        <v>460.0</v>
      </c>
      <c r="B461" s="318">
        <v>30.0</v>
      </c>
      <c r="C461" s="297" t="s">
        <v>4829</v>
      </c>
      <c r="D461" s="298"/>
      <c r="E461" s="266" t="s">
        <v>4830</v>
      </c>
      <c r="F461" s="267" t="s">
        <v>227</v>
      </c>
      <c r="G461" s="269"/>
      <c r="H461" s="269"/>
      <c r="I461" s="269"/>
      <c r="J461" s="269"/>
      <c r="K461" s="269"/>
      <c r="L461" s="269"/>
      <c r="M461" s="269"/>
      <c r="N461" s="269"/>
      <c r="O461" s="269"/>
      <c r="P461" s="269"/>
      <c r="Q461" s="269"/>
      <c r="R461" s="269"/>
      <c r="S461" s="269"/>
      <c r="T461" s="269"/>
      <c r="U461" s="269"/>
      <c r="V461" s="217"/>
      <c r="W461" s="217"/>
      <c r="X461" s="217"/>
      <c r="Y461" s="217"/>
      <c r="Z461" s="217"/>
      <c r="AA461" s="217"/>
    </row>
    <row r="462" ht="14.25" customHeight="1">
      <c r="A462" s="218">
        <v>461.0</v>
      </c>
      <c r="B462" s="318">
        <v>31.0</v>
      </c>
      <c r="C462" s="297" t="s">
        <v>4834</v>
      </c>
      <c r="D462" s="298"/>
      <c r="E462" s="266" t="s">
        <v>4835</v>
      </c>
      <c r="F462" s="267" t="s">
        <v>227</v>
      </c>
      <c r="G462" s="269"/>
      <c r="H462" s="269"/>
      <c r="I462" s="269"/>
      <c r="J462" s="269"/>
      <c r="K462" s="269"/>
      <c r="L462" s="269"/>
      <c r="M462" s="269"/>
      <c r="N462" s="269"/>
      <c r="O462" s="269"/>
      <c r="P462" s="269"/>
      <c r="Q462" s="269"/>
      <c r="R462" s="269"/>
      <c r="S462" s="269"/>
      <c r="T462" s="269"/>
      <c r="U462" s="269"/>
      <c r="V462" s="217"/>
      <c r="W462" s="217"/>
      <c r="X462" s="217"/>
      <c r="Y462" s="217"/>
      <c r="Z462" s="217"/>
      <c r="AA462" s="217"/>
    </row>
    <row r="463" ht="14.25" customHeight="1">
      <c r="A463" s="218">
        <v>462.0</v>
      </c>
      <c r="B463" s="318">
        <v>32.0</v>
      </c>
      <c r="C463" s="297" t="s">
        <v>4839</v>
      </c>
      <c r="D463" s="298"/>
      <c r="E463" s="266" t="s">
        <v>4840</v>
      </c>
      <c r="F463" s="267" t="s">
        <v>220</v>
      </c>
      <c r="G463" s="287"/>
      <c r="H463" s="287"/>
      <c r="I463" s="287"/>
      <c r="J463" s="287"/>
      <c r="K463" s="287"/>
      <c r="L463" s="287"/>
      <c r="M463" s="287"/>
      <c r="N463" s="287"/>
      <c r="O463" s="287"/>
      <c r="P463" s="287"/>
      <c r="Q463" s="287"/>
      <c r="R463" s="287"/>
      <c r="S463" s="287"/>
      <c r="T463" s="287"/>
      <c r="U463" s="287"/>
      <c r="X463" s="217"/>
      <c r="Y463" s="217"/>
      <c r="Z463" s="217"/>
      <c r="AA463" s="217"/>
    </row>
    <row r="464" ht="14.25" customHeight="1">
      <c r="A464" s="218">
        <v>463.0</v>
      </c>
      <c r="B464" s="318">
        <v>33.0</v>
      </c>
      <c r="C464" s="297" t="s">
        <v>4844</v>
      </c>
      <c r="D464" s="298"/>
      <c r="E464" s="266" t="s">
        <v>4845</v>
      </c>
      <c r="F464" s="267" t="s">
        <v>220</v>
      </c>
      <c r="G464" s="269"/>
      <c r="H464" s="269"/>
      <c r="I464" s="269"/>
      <c r="J464" s="269"/>
      <c r="K464" s="269"/>
      <c r="L464" s="269"/>
      <c r="M464" s="269"/>
      <c r="N464" s="269"/>
      <c r="O464" s="269"/>
      <c r="P464" s="269"/>
      <c r="Q464" s="269"/>
      <c r="R464" s="269"/>
      <c r="S464" s="269"/>
      <c r="T464" s="269"/>
      <c r="U464" s="269"/>
      <c r="V464" s="217"/>
      <c r="W464" s="217"/>
      <c r="X464" s="217"/>
      <c r="Y464" s="217"/>
      <c r="Z464" s="217"/>
      <c r="AA464" s="217"/>
    </row>
    <row r="465" ht="22.5" customHeight="1">
      <c r="A465" s="218">
        <v>464.0</v>
      </c>
      <c r="B465" s="318">
        <v>34.0</v>
      </c>
      <c r="C465" s="297" t="s">
        <v>4849</v>
      </c>
      <c r="D465" s="298"/>
      <c r="E465" s="266" t="s">
        <v>4850</v>
      </c>
      <c r="F465" s="267" t="s">
        <v>220</v>
      </c>
      <c r="G465" s="269"/>
      <c r="H465" s="269"/>
      <c r="I465" s="269"/>
      <c r="J465" s="269"/>
      <c r="K465" s="269"/>
      <c r="L465" s="269"/>
      <c r="M465" s="269"/>
      <c r="N465" s="269"/>
      <c r="O465" s="269"/>
      <c r="P465" s="269"/>
      <c r="Q465" s="269"/>
      <c r="R465" s="269"/>
      <c r="S465" s="269"/>
      <c r="T465" s="269"/>
      <c r="U465" s="269"/>
      <c r="V465" s="217"/>
      <c r="W465" s="217"/>
      <c r="X465" s="217"/>
      <c r="Y465" s="217"/>
      <c r="Z465" s="217"/>
      <c r="AA465" s="217"/>
    </row>
    <row r="466" ht="22.5" customHeight="1">
      <c r="A466" s="218">
        <v>465.0</v>
      </c>
      <c r="B466" s="318">
        <v>35.0</v>
      </c>
      <c r="C466" s="297" t="s">
        <v>4854</v>
      </c>
      <c r="D466" s="298"/>
      <c r="E466" s="266" t="s">
        <v>4855</v>
      </c>
      <c r="F466" s="267" t="s">
        <v>220</v>
      </c>
      <c r="G466" s="269"/>
      <c r="H466" s="269"/>
      <c r="I466" s="269"/>
      <c r="J466" s="269"/>
      <c r="K466" s="269"/>
      <c r="L466" s="269"/>
      <c r="M466" s="269"/>
      <c r="N466" s="269"/>
      <c r="O466" s="269"/>
      <c r="P466" s="269"/>
      <c r="Q466" s="269"/>
      <c r="R466" s="269"/>
      <c r="S466" s="269"/>
      <c r="T466" s="269"/>
      <c r="U466" s="269"/>
      <c r="V466" s="217"/>
      <c r="W466" s="217"/>
      <c r="X466" s="217"/>
      <c r="Y466" s="217"/>
      <c r="Z466" s="217"/>
      <c r="AA466" s="217"/>
    </row>
    <row r="467" ht="14.25" customHeight="1">
      <c r="A467" s="218">
        <v>466.0</v>
      </c>
      <c r="B467" s="318">
        <v>36.0</v>
      </c>
      <c r="C467" s="330" t="s">
        <v>4859</v>
      </c>
      <c r="D467" s="331"/>
      <c r="E467" s="266" t="s">
        <v>4860</v>
      </c>
      <c r="F467" s="267" t="s">
        <v>227</v>
      </c>
      <c r="G467" s="269"/>
      <c r="H467" s="269"/>
      <c r="I467" s="269"/>
      <c r="J467" s="269"/>
      <c r="K467" s="269"/>
      <c r="L467" s="269"/>
      <c r="M467" s="269"/>
      <c r="N467" s="269"/>
      <c r="O467" s="269"/>
      <c r="P467" s="269"/>
      <c r="Q467" s="269"/>
      <c r="R467" s="269"/>
      <c r="S467" s="269"/>
      <c r="T467" s="269"/>
      <c r="U467" s="269"/>
      <c r="V467" s="217"/>
      <c r="W467" s="217"/>
      <c r="X467" s="217"/>
      <c r="Y467" s="217"/>
      <c r="Z467" s="217"/>
      <c r="AA467" s="217"/>
    </row>
    <row r="468" ht="16.5" hidden="1" customHeight="1">
      <c r="A468" s="218">
        <v>467.0</v>
      </c>
      <c r="B468" s="252"/>
      <c r="C468" s="253"/>
      <c r="D468" s="252"/>
      <c r="E468" s="253"/>
      <c r="F468" s="254"/>
      <c r="G468" s="254"/>
      <c r="H468" s="254"/>
      <c r="I468" s="254"/>
      <c r="J468" s="254"/>
      <c r="K468" s="254"/>
      <c r="L468" s="254"/>
      <c r="M468" s="254"/>
      <c r="N468" s="254"/>
      <c r="O468" s="254"/>
      <c r="P468" s="254"/>
      <c r="Q468" s="254"/>
      <c r="R468" s="254"/>
      <c r="S468" s="254"/>
      <c r="T468" s="254"/>
      <c r="U468" s="254"/>
      <c r="V468" s="217"/>
      <c r="W468" s="217"/>
      <c r="X468" s="217"/>
      <c r="Y468" s="217"/>
      <c r="Z468" s="217"/>
      <c r="AA468" s="217"/>
    </row>
    <row r="469" ht="16.5" hidden="1" customHeight="1">
      <c r="A469" s="218">
        <v>468.0</v>
      </c>
      <c r="B469" s="332"/>
      <c r="C469" s="253"/>
      <c r="D469" s="252"/>
      <c r="E469" s="253"/>
      <c r="F469" s="254"/>
      <c r="G469" s="254"/>
      <c r="H469" s="254"/>
      <c r="I469" s="254"/>
      <c r="J469" s="254"/>
      <c r="K469" s="254"/>
      <c r="L469" s="333" t="s">
        <v>9753</v>
      </c>
      <c r="M469" s="293"/>
      <c r="N469" s="293"/>
      <c r="O469" s="293"/>
      <c r="P469" s="293"/>
      <c r="Q469" s="293"/>
      <c r="R469" s="293"/>
      <c r="S469" s="293"/>
      <c r="T469" s="293"/>
      <c r="U469" s="293"/>
      <c r="V469" s="217"/>
      <c r="W469" s="217"/>
      <c r="X469" s="217"/>
      <c r="Y469" s="217"/>
      <c r="Z469" s="217"/>
      <c r="AA469" s="217"/>
    </row>
    <row r="470" ht="16.5" hidden="1" customHeight="1">
      <c r="A470" s="218">
        <v>469.0</v>
      </c>
      <c r="B470" s="332"/>
      <c r="C470" s="253"/>
      <c r="D470" s="252"/>
      <c r="E470" s="253"/>
      <c r="F470" s="254"/>
      <c r="G470" s="254"/>
      <c r="H470" s="254"/>
      <c r="I470" s="254"/>
      <c r="J470" s="254"/>
      <c r="K470" s="254"/>
      <c r="L470" s="258" t="s">
        <v>8793</v>
      </c>
      <c r="M470" s="259"/>
      <c r="N470" s="259"/>
      <c r="O470" s="259"/>
      <c r="P470" s="259"/>
      <c r="Q470" s="259"/>
      <c r="R470" s="259"/>
      <c r="S470" s="259"/>
      <c r="T470" s="259"/>
      <c r="U470" s="260"/>
      <c r="V470" s="217"/>
      <c r="W470" s="217"/>
      <c r="X470" s="217"/>
      <c r="Y470" s="217"/>
      <c r="Z470" s="217"/>
      <c r="AA470" s="217"/>
    </row>
    <row r="471" ht="80.25" hidden="1" customHeight="1">
      <c r="A471" s="218">
        <v>470.0</v>
      </c>
      <c r="B471" s="261"/>
      <c r="C471" s="261"/>
      <c r="D471" s="261"/>
      <c r="E471" s="261"/>
      <c r="F471" s="261"/>
      <c r="G471" s="261"/>
      <c r="H471" s="261"/>
      <c r="I471" s="261"/>
      <c r="J471" s="261"/>
      <c r="K471" s="261"/>
      <c r="L471" s="261"/>
      <c r="M471" s="261"/>
      <c r="N471" s="261"/>
      <c r="O471" s="261"/>
      <c r="P471" s="261"/>
      <c r="Q471" s="261"/>
      <c r="R471" s="261"/>
      <c r="S471" s="261"/>
      <c r="T471" s="261"/>
      <c r="U471" s="261"/>
      <c r="V471" s="217"/>
      <c r="W471" s="217"/>
      <c r="X471" s="217"/>
      <c r="Y471" s="217"/>
      <c r="Z471" s="217"/>
      <c r="AA471" s="217"/>
    </row>
    <row r="472" ht="16.5" hidden="1" customHeight="1">
      <c r="A472" s="218">
        <v>471.0</v>
      </c>
      <c r="B472" s="262"/>
      <c r="C472" s="263"/>
      <c r="D472" s="263"/>
      <c r="E472" s="263"/>
      <c r="F472" s="263"/>
      <c r="G472" s="263"/>
      <c r="H472" s="263"/>
      <c r="I472" s="263"/>
      <c r="J472" s="263"/>
      <c r="K472" s="263"/>
      <c r="L472" s="263"/>
      <c r="M472" s="263"/>
      <c r="N472" s="263"/>
      <c r="O472" s="263"/>
      <c r="P472" s="263"/>
      <c r="Q472" s="263"/>
      <c r="R472" s="263"/>
      <c r="S472" s="263"/>
      <c r="T472" s="263"/>
      <c r="U472" s="264"/>
      <c r="V472" s="217"/>
      <c r="W472" s="217"/>
      <c r="X472" s="217"/>
      <c r="Y472" s="217"/>
      <c r="Z472" s="217"/>
      <c r="AA472" s="217"/>
    </row>
    <row r="473" ht="16.5" hidden="1" customHeight="1">
      <c r="A473" s="218">
        <v>472.0</v>
      </c>
      <c r="B473" s="222"/>
      <c r="C473" s="223"/>
      <c r="D473" s="223"/>
      <c r="E473" s="223"/>
      <c r="F473" s="223"/>
      <c r="G473" s="223"/>
      <c r="H473" s="223"/>
      <c r="I473" s="223"/>
      <c r="J473" s="223"/>
      <c r="K473" s="223"/>
      <c r="L473" s="223"/>
      <c r="M473" s="223"/>
      <c r="N473" s="223"/>
      <c r="O473" s="223"/>
      <c r="P473" s="223"/>
      <c r="Q473" s="223"/>
      <c r="R473" s="223"/>
      <c r="S473" s="223"/>
      <c r="T473" s="223"/>
      <c r="U473" s="224"/>
      <c r="V473" s="217"/>
      <c r="W473" s="217"/>
      <c r="X473" s="217"/>
      <c r="Y473" s="217"/>
      <c r="Z473" s="217"/>
      <c r="AA473" s="217"/>
    </row>
    <row r="474" ht="16.5" hidden="1" customHeight="1">
      <c r="A474" s="218">
        <v>473.0</v>
      </c>
      <c r="B474" s="225"/>
      <c r="C474" s="226"/>
      <c r="D474" s="226"/>
      <c r="E474" s="226"/>
      <c r="F474" s="226"/>
      <c r="G474" s="226"/>
      <c r="H474" s="226"/>
      <c r="I474" s="226"/>
      <c r="J474" s="226"/>
      <c r="K474" s="226"/>
      <c r="L474" s="226"/>
      <c r="M474" s="226"/>
      <c r="N474" s="226"/>
      <c r="O474" s="226"/>
      <c r="P474" s="226"/>
      <c r="Q474" s="226"/>
      <c r="R474" s="226"/>
      <c r="S474" s="226"/>
      <c r="T474" s="226"/>
      <c r="U474" s="227"/>
      <c r="V474" s="217"/>
      <c r="W474" s="217"/>
      <c r="X474" s="217"/>
      <c r="Y474" s="217"/>
      <c r="Z474" s="217"/>
      <c r="AA474" s="217"/>
    </row>
    <row r="475" ht="16.5" hidden="1" customHeight="1">
      <c r="A475" s="218">
        <v>474.0</v>
      </c>
      <c r="B475" s="228"/>
      <c r="C475" s="229"/>
      <c r="D475" s="229"/>
      <c r="E475" s="229"/>
      <c r="F475" s="229"/>
      <c r="G475" s="230"/>
      <c r="H475" s="230"/>
      <c r="I475" s="230"/>
      <c r="J475" s="230"/>
      <c r="K475" s="230"/>
      <c r="L475" s="230"/>
      <c r="M475" s="230"/>
      <c r="N475" s="230"/>
      <c r="O475" s="230"/>
      <c r="P475" s="230"/>
      <c r="Q475" s="230"/>
      <c r="R475" s="230"/>
      <c r="S475" s="230"/>
      <c r="T475" s="230"/>
      <c r="U475" s="230"/>
      <c r="V475" s="217"/>
      <c r="W475" s="217"/>
      <c r="X475" s="217"/>
      <c r="Y475" s="217"/>
      <c r="Z475" s="217"/>
      <c r="AA475" s="217"/>
    </row>
    <row r="476" ht="14.25" hidden="1" customHeight="1">
      <c r="A476" s="218">
        <v>475.0</v>
      </c>
      <c r="B476" s="231"/>
      <c r="C476" s="231"/>
      <c r="D476" s="231"/>
      <c r="E476" s="231"/>
      <c r="F476" s="232"/>
      <c r="G476" s="233"/>
      <c r="H476" s="234"/>
      <c r="I476" s="234"/>
      <c r="J476" s="234"/>
      <c r="K476" s="234"/>
      <c r="L476" s="234"/>
      <c r="M476" s="234"/>
      <c r="N476" s="234"/>
      <c r="O476" s="234"/>
      <c r="P476" s="234"/>
      <c r="Q476" s="234"/>
      <c r="R476" s="234"/>
      <c r="S476" s="234"/>
      <c r="T476" s="234"/>
      <c r="U476" s="235"/>
      <c r="V476" s="217"/>
      <c r="W476" s="217"/>
      <c r="X476" s="217"/>
      <c r="Y476" s="217"/>
      <c r="Z476" s="217"/>
      <c r="AA476" s="217"/>
    </row>
    <row r="477" ht="14.25" hidden="1" customHeight="1">
      <c r="A477" s="218">
        <v>476.0</v>
      </c>
      <c r="B477" s="236"/>
      <c r="C477" s="236"/>
      <c r="D477" s="236"/>
      <c r="E477" s="236"/>
      <c r="F477" s="237"/>
      <c r="G477" s="238"/>
      <c r="H477" s="239"/>
      <c r="I477" s="239"/>
      <c r="J477" s="239"/>
      <c r="K477" s="239"/>
      <c r="L477" s="239"/>
      <c r="M477" s="239"/>
      <c r="N477" s="239"/>
      <c r="O477" s="239"/>
      <c r="P477" s="239"/>
      <c r="Q477" s="239"/>
      <c r="R477" s="240"/>
      <c r="S477" s="233" t="s">
        <v>9713</v>
      </c>
      <c r="T477" s="234"/>
      <c r="U477" s="235"/>
      <c r="V477" s="217"/>
      <c r="W477" s="217"/>
      <c r="X477" s="217"/>
      <c r="Y477" s="217"/>
      <c r="Z477" s="217"/>
      <c r="AA477" s="217"/>
    </row>
    <row r="478" ht="14.25" hidden="1" customHeight="1">
      <c r="A478" s="218">
        <v>477.0</v>
      </c>
      <c r="B478" s="295"/>
      <c r="C478" s="295"/>
      <c r="D478" s="295"/>
      <c r="E478" s="241"/>
      <c r="F478" s="242"/>
      <c r="G478" s="243"/>
      <c r="H478" s="243">
        <v>2.0</v>
      </c>
      <c r="I478" s="243">
        <v>3.0</v>
      </c>
      <c r="J478" s="243">
        <v>4.0</v>
      </c>
      <c r="K478" s="243">
        <v>5.0</v>
      </c>
      <c r="L478" s="243">
        <v>6.0</v>
      </c>
      <c r="M478" s="243">
        <v>7.0</v>
      </c>
      <c r="N478" s="243">
        <v>8.0</v>
      </c>
      <c r="O478" s="243">
        <v>9.0</v>
      </c>
      <c r="P478" s="243">
        <v>10.0</v>
      </c>
      <c r="Q478" s="243">
        <v>11.0</v>
      </c>
      <c r="R478" s="243">
        <v>12.0</v>
      </c>
      <c r="S478" s="243" t="s">
        <v>9714</v>
      </c>
      <c r="T478" s="243" t="s">
        <v>9715</v>
      </c>
      <c r="U478" s="244" t="s">
        <v>9716</v>
      </c>
      <c r="V478" s="217"/>
      <c r="W478" s="217"/>
      <c r="X478" s="217"/>
      <c r="Y478" s="217"/>
      <c r="Z478" s="217"/>
      <c r="AA478" s="217"/>
    </row>
    <row r="479" ht="14.25" customHeight="1">
      <c r="A479" s="218">
        <v>478.0</v>
      </c>
      <c r="B479" s="334">
        <v>1.0</v>
      </c>
      <c r="C479" s="304" t="s">
        <v>4865</v>
      </c>
      <c r="D479" s="305"/>
      <c r="E479" s="266" t="s">
        <v>4866</v>
      </c>
      <c r="F479" s="267" t="s">
        <v>220</v>
      </c>
      <c r="G479" s="269"/>
      <c r="H479" s="269"/>
      <c r="I479" s="269"/>
      <c r="J479" s="269"/>
      <c r="K479" s="269"/>
      <c r="L479" s="269"/>
      <c r="M479" s="269"/>
      <c r="N479" s="269"/>
      <c r="O479" s="269"/>
      <c r="P479" s="269"/>
      <c r="Q479" s="269"/>
      <c r="R479" s="269"/>
      <c r="S479" s="269"/>
      <c r="T479" s="269"/>
      <c r="U479" s="269"/>
      <c r="V479" s="217"/>
      <c r="W479" s="217"/>
      <c r="X479" s="217"/>
      <c r="Y479" s="217"/>
      <c r="Z479" s="217"/>
      <c r="AA479" s="217"/>
    </row>
    <row r="480" ht="14.25" customHeight="1">
      <c r="A480" s="218">
        <v>479.0</v>
      </c>
      <c r="B480" s="318">
        <v>2.0</v>
      </c>
      <c r="C480" s="297" t="s">
        <v>4871</v>
      </c>
      <c r="D480" s="298"/>
      <c r="E480" s="266" t="s">
        <v>4872</v>
      </c>
      <c r="F480" s="267" t="s">
        <v>227</v>
      </c>
      <c r="G480" s="269"/>
      <c r="H480" s="269"/>
      <c r="I480" s="269"/>
      <c r="J480" s="269"/>
      <c r="K480" s="269"/>
      <c r="L480" s="269"/>
      <c r="M480" s="269"/>
      <c r="N480" s="269"/>
      <c r="O480" s="269"/>
      <c r="P480" s="269"/>
      <c r="Q480" s="269"/>
      <c r="R480" s="269"/>
      <c r="S480" s="269"/>
      <c r="T480" s="269"/>
      <c r="U480" s="269"/>
      <c r="V480" s="217"/>
      <c r="W480" s="217"/>
      <c r="X480" s="217"/>
      <c r="Y480" s="217"/>
      <c r="Z480" s="217"/>
      <c r="AA480" s="217"/>
    </row>
    <row r="481" ht="14.25" customHeight="1">
      <c r="A481" s="218">
        <v>480.0</v>
      </c>
      <c r="B481" s="334">
        <v>3.0</v>
      </c>
      <c r="C481" s="297" t="s">
        <v>4876</v>
      </c>
      <c r="D481" s="298"/>
      <c r="E481" s="266" t="s">
        <v>4877</v>
      </c>
      <c r="F481" s="267" t="s">
        <v>227</v>
      </c>
      <c r="G481" s="287"/>
      <c r="H481" s="287"/>
      <c r="I481" s="287"/>
      <c r="J481" s="287"/>
      <c r="K481" s="287"/>
      <c r="L481" s="287"/>
      <c r="M481" s="287"/>
      <c r="N481" s="287"/>
      <c r="O481" s="287"/>
      <c r="P481" s="287"/>
      <c r="Q481" s="287"/>
      <c r="R481" s="287"/>
      <c r="S481" s="287"/>
      <c r="T481" s="287"/>
      <c r="U481" s="287"/>
      <c r="W481" s="217"/>
      <c r="X481" s="217"/>
      <c r="Y481" s="217"/>
      <c r="Z481" s="217"/>
      <c r="AA481" s="217"/>
    </row>
    <row r="482" ht="14.25" customHeight="1">
      <c r="A482" s="218">
        <v>481.0</v>
      </c>
      <c r="B482" s="318">
        <v>4.0</v>
      </c>
      <c r="C482" s="297" t="s">
        <v>4881</v>
      </c>
      <c r="D482" s="298"/>
      <c r="E482" s="266" t="s">
        <v>4882</v>
      </c>
      <c r="F482" s="267" t="s">
        <v>227</v>
      </c>
      <c r="G482" s="269"/>
      <c r="H482" s="269"/>
      <c r="I482" s="269"/>
      <c r="J482" s="269"/>
      <c r="K482" s="269"/>
      <c r="L482" s="269"/>
      <c r="M482" s="269"/>
      <c r="N482" s="269"/>
      <c r="O482" s="269"/>
      <c r="P482" s="269"/>
      <c r="Q482" s="269"/>
      <c r="R482" s="269"/>
      <c r="S482" s="269"/>
      <c r="T482" s="269"/>
      <c r="U482" s="269"/>
      <c r="V482" s="217"/>
      <c r="W482" s="217"/>
      <c r="X482" s="217"/>
      <c r="Y482" s="217"/>
      <c r="Z482" s="217"/>
      <c r="AA482" s="217"/>
    </row>
    <row r="483" ht="14.25" customHeight="1">
      <c r="A483" s="218">
        <v>482.0</v>
      </c>
      <c r="B483" s="334">
        <v>5.0</v>
      </c>
      <c r="C483" s="335" t="s">
        <v>4886</v>
      </c>
      <c r="D483" s="331"/>
      <c r="E483" s="266" t="s">
        <v>4887</v>
      </c>
      <c r="F483" s="267" t="s">
        <v>227</v>
      </c>
      <c r="G483" s="269"/>
      <c r="H483" s="269"/>
      <c r="I483" s="269"/>
      <c r="J483" s="269"/>
      <c r="K483" s="269"/>
      <c r="L483" s="269"/>
      <c r="M483" s="269"/>
      <c r="N483" s="269"/>
      <c r="O483" s="269"/>
      <c r="P483" s="269"/>
      <c r="Q483" s="269"/>
      <c r="R483" s="269"/>
      <c r="S483" s="269"/>
      <c r="T483" s="269"/>
      <c r="U483" s="269"/>
      <c r="V483" s="217"/>
      <c r="W483" s="217"/>
      <c r="X483" s="217"/>
      <c r="Y483" s="217"/>
      <c r="Z483" s="217"/>
      <c r="AA483" s="217"/>
    </row>
    <row r="484" ht="14.25" customHeight="1">
      <c r="A484" s="218">
        <v>483.0</v>
      </c>
      <c r="B484" s="318">
        <v>6.0</v>
      </c>
      <c r="C484" s="297" t="s">
        <v>4891</v>
      </c>
      <c r="D484" s="298"/>
      <c r="E484" s="266" t="s">
        <v>4892</v>
      </c>
      <c r="F484" s="267" t="s">
        <v>220</v>
      </c>
      <c r="G484" s="269"/>
      <c r="H484" s="269"/>
      <c r="I484" s="269"/>
      <c r="J484" s="269"/>
      <c r="K484" s="269"/>
      <c r="L484" s="269"/>
      <c r="M484" s="269"/>
      <c r="N484" s="269"/>
      <c r="O484" s="269"/>
      <c r="P484" s="269"/>
      <c r="Q484" s="269"/>
      <c r="R484" s="269"/>
      <c r="S484" s="269"/>
      <c r="T484" s="269"/>
      <c r="U484" s="269"/>
      <c r="V484" s="217"/>
      <c r="W484" s="217"/>
      <c r="X484" s="217"/>
      <c r="Y484" s="217"/>
      <c r="Z484" s="217"/>
      <c r="AA484" s="217"/>
    </row>
    <row r="485" ht="14.25" customHeight="1">
      <c r="A485" s="218">
        <v>484.0</v>
      </c>
      <c r="B485" s="334">
        <v>7.0</v>
      </c>
      <c r="C485" s="297" t="s">
        <v>4896</v>
      </c>
      <c r="D485" s="298"/>
      <c r="E485" s="266" t="s">
        <v>4897</v>
      </c>
      <c r="F485" s="267" t="s">
        <v>227</v>
      </c>
      <c r="G485" s="269"/>
      <c r="H485" s="269"/>
      <c r="I485" s="269"/>
      <c r="J485" s="269"/>
      <c r="K485" s="269"/>
      <c r="L485" s="269"/>
      <c r="M485" s="269"/>
      <c r="N485" s="269"/>
      <c r="O485" s="269"/>
      <c r="P485" s="269"/>
      <c r="Q485" s="269"/>
      <c r="R485" s="269"/>
      <c r="S485" s="269"/>
      <c r="T485" s="269"/>
      <c r="U485" s="269"/>
      <c r="V485" s="217"/>
      <c r="W485" s="217"/>
      <c r="X485" s="217"/>
      <c r="Y485" s="217"/>
      <c r="Z485" s="217"/>
      <c r="AA485" s="217"/>
    </row>
    <row r="486" ht="14.25" customHeight="1">
      <c r="A486" s="218">
        <v>485.0</v>
      </c>
      <c r="B486" s="318">
        <v>8.0</v>
      </c>
      <c r="C486" s="297" t="s">
        <v>4901</v>
      </c>
      <c r="D486" s="298"/>
      <c r="E486" s="266" t="s">
        <v>4902</v>
      </c>
      <c r="F486" s="267" t="s">
        <v>227</v>
      </c>
      <c r="G486" s="269"/>
      <c r="H486" s="269"/>
      <c r="I486" s="269"/>
      <c r="J486" s="269"/>
      <c r="K486" s="269"/>
      <c r="L486" s="269"/>
      <c r="M486" s="269"/>
      <c r="N486" s="269"/>
      <c r="O486" s="269"/>
      <c r="P486" s="269"/>
      <c r="Q486" s="269"/>
      <c r="R486" s="269"/>
      <c r="S486" s="269"/>
      <c r="T486" s="269"/>
      <c r="U486" s="269"/>
      <c r="V486" s="217"/>
      <c r="W486" s="217"/>
      <c r="X486" s="217"/>
      <c r="Y486" s="217"/>
      <c r="Z486" s="217"/>
      <c r="AA486" s="217"/>
    </row>
    <row r="487" ht="14.25" customHeight="1">
      <c r="A487" s="218">
        <v>486.0</v>
      </c>
      <c r="B487" s="334">
        <v>9.0</v>
      </c>
      <c r="C487" s="297" t="s">
        <v>4907</v>
      </c>
      <c r="D487" s="298"/>
      <c r="E487" s="266" t="s">
        <v>4908</v>
      </c>
      <c r="F487" s="267" t="s">
        <v>227</v>
      </c>
      <c r="G487" s="269"/>
      <c r="H487" s="269"/>
      <c r="I487" s="269"/>
      <c r="J487" s="269"/>
      <c r="K487" s="269"/>
      <c r="L487" s="269"/>
      <c r="M487" s="269"/>
      <c r="N487" s="269"/>
      <c r="O487" s="269"/>
      <c r="P487" s="269"/>
      <c r="Q487" s="269"/>
      <c r="R487" s="269"/>
      <c r="S487" s="269"/>
      <c r="T487" s="269"/>
      <c r="U487" s="269"/>
      <c r="V487" s="217"/>
      <c r="W487" s="217"/>
      <c r="X487" s="217"/>
      <c r="Y487" s="217"/>
      <c r="Z487" s="217"/>
      <c r="AA487" s="217"/>
    </row>
    <row r="488" ht="14.25" customHeight="1">
      <c r="A488" s="218">
        <v>487.0</v>
      </c>
      <c r="B488" s="318">
        <v>10.0</v>
      </c>
      <c r="C488" s="297" t="s">
        <v>4912</v>
      </c>
      <c r="D488" s="298"/>
      <c r="E488" s="266" t="s">
        <v>4913</v>
      </c>
      <c r="F488" s="267" t="s">
        <v>227</v>
      </c>
      <c r="G488" s="269"/>
      <c r="H488" s="269"/>
      <c r="I488" s="269"/>
      <c r="J488" s="269"/>
      <c r="K488" s="269"/>
      <c r="L488" s="269"/>
      <c r="M488" s="269"/>
      <c r="N488" s="269"/>
      <c r="O488" s="269"/>
      <c r="P488" s="269"/>
      <c r="Q488" s="269"/>
      <c r="R488" s="269"/>
      <c r="S488" s="269"/>
      <c r="T488" s="269"/>
      <c r="U488" s="269"/>
      <c r="V488" s="217"/>
      <c r="W488" s="217"/>
      <c r="X488" s="217"/>
      <c r="Y488" s="217"/>
      <c r="Z488" s="217"/>
      <c r="AA488" s="217"/>
    </row>
    <row r="489" ht="14.25" customHeight="1">
      <c r="A489" s="218">
        <v>488.0</v>
      </c>
      <c r="B489" s="334">
        <v>11.0</v>
      </c>
      <c r="C489" s="297" t="s">
        <v>4917</v>
      </c>
      <c r="D489" s="298"/>
      <c r="E489" s="266" t="s">
        <v>4918</v>
      </c>
      <c r="F489" s="267" t="s">
        <v>220</v>
      </c>
      <c r="G489" s="269"/>
      <c r="H489" s="269"/>
      <c r="I489" s="269"/>
      <c r="J489" s="269"/>
      <c r="K489" s="269"/>
      <c r="L489" s="269"/>
      <c r="M489" s="269"/>
      <c r="N489" s="269"/>
      <c r="O489" s="269"/>
      <c r="P489" s="269"/>
      <c r="Q489" s="269"/>
      <c r="R489" s="269"/>
      <c r="S489" s="269"/>
      <c r="T489" s="269"/>
      <c r="U489" s="269"/>
      <c r="V489" s="217"/>
      <c r="W489" s="217"/>
      <c r="X489" s="217"/>
      <c r="Y489" s="217"/>
      <c r="Z489" s="217"/>
      <c r="AA489" s="217"/>
    </row>
    <row r="490" ht="14.25" customHeight="1">
      <c r="A490" s="218">
        <v>489.0</v>
      </c>
      <c r="B490" s="318">
        <v>12.0</v>
      </c>
      <c r="C490" s="297" t="s">
        <v>4922</v>
      </c>
      <c r="D490" s="298"/>
      <c r="E490" s="266" t="s">
        <v>4923</v>
      </c>
      <c r="F490" s="267" t="s">
        <v>227</v>
      </c>
      <c r="G490" s="269"/>
      <c r="H490" s="269"/>
      <c r="I490" s="269"/>
      <c r="J490" s="269"/>
      <c r="K490" s="269"/>
      <c r="L490" s="269"/>
      <c r="M490" s="269"/>
      <c r="N490" s="269"/>
      <c r="O490" s="269"/>
      <c r="P490" s="269"/>
      <c r="Q490" s="269"/>
      <c r="R490" s="269"/>
      <c r="S490" s="269"/>
      <c r="T490" s="269"/>
      <c r="U490" s="269"/>
      <c r="V490" s="217"/>
      <c r="W490" s="217"/>
      <c r="X490" s="217"/>
      <c r="Y490" s="217"/>
      <c r="Z490" s="217"/>
      <c r="AA490" s="217"/>
    </row>
    <row r="491" ht="14.25" customHeight="1">
      <c r="A491" s="218">
        <v>490.0</v>
      </c>
      <c r="B491" s="334">
        <v>13.0</v>
      </c>
      <c r="C491" s="297" t="s">
        <v>4927</v>
      </c>
      <c r="D491" s="298"/>
      <c r="E491" s="266" t="s">
        <v>4928</v>
      </c>
      <c r="F491" s="267" t="s">
        <v>220</v>
      </c>
      <c r="G491" s="269"/>
      <c r="H491" s="269"/>
      <c r="I491" s="269"/>
      <c r="J491" s="269"/>
      <c r="K491" s="269"/>
      <c r="L491" s="269"/>
      <c r="M491" s="269"/>
      <c r="N491" s="269"/>
      <c r="O491" s="269"/>
      <c r="P491" s="269"/>
      <c r="Q491" s="269"/>
      <c r="R491" s="269"/>
      <c r="S491" s="269"/>
      <c r="T491" s="269"/>
      <c r="U491" s="269"/>
      <c r="V491" s="217"/>
      <c r="W491" s="217"/>
      <c r="X491" s="217"/>
      <c r="Y491" s="217"/>
      <c r="Z491" s="217"/>
      <c r="AA491" s="217"/>
    </row>
    <row r="492" ht="14.25" customHeight="1">
      <c r="A492" s="218">
        <v>491.0</v>
      </c>
      <c r="B492" s="318">
        <v>14.0</v>
      </c>
      <c r="C492" s="297" t="s">
        <v>4932</v>
      </c>
      <c r="D492" s="298"/>
      <c r="E492" s="266" t="s">
        <v>4933</v>
      </c>
      <c r="F492" s="267" t="s">
        <v>227</v>
      </c>
      <c r="G492" s="269"/>
      <c r="H492" s="269"/>
      <c r="I492" s="269"/>
      <c r="J492" s="269"/>
      <c r="K492" s="269"/>
      <c r="L492" s="269"/>
      <c r="M492" s="269"/>
      <c r="N492" s="269"/>
      <c r="O492" s="269"/>
      <c r="P492" s="269"/>
      <c r="Q492" s="269"/>
      <c r="R492" s="269"/>
      <c r="S492" s="269"/>
      <c r="T492" s="269"/>
      <c r="U492" s="269"/>
      <c r="V492" s="217"/>
      <c r="W492" s="217"/>
      <c r="X492" s="217"/>
      <c r="Y492" s="217"/>
      <c r="Z492" s="217"/>
      <c r="AA492" s="217"/>
    </row>
    <row r="493" ht="14.25" customHeight="1">
      <c r="A493" s="218">
        <v>492.0</v>
      </c>
      <c r="B493" s="334">
        <v>15.0</v>
      </c>
      <c r="C493" s="297" t="s">
        <v>4937</v>
      </c>
      <c r="D493" s="298"/>
      <c r="E493" s="266" t="s">
        <v>4938</v>
      </c>
      <c r="F493" s="267" t="s">
        <v>227</v>
      </c>
      <c r="G493" s="287"/>
      <c r="H493" s="287"/>
      <c r="I493" s="287"/>
      <c r="J493" s="287"/>
      <c r="K493" s="287"/>
      <c r="L493" s="287"/>
      <c r="M493" s="287"/>
      <c r="N493" s="287"/>
      <c r="O493" s="287"/>
      <c r="P493" s="287"/>
      <c r="Q493" s="287"/>
      <c r="R493" s="287"/>
      <c r="S493" s="287"/>
      <c r="T493" s="287"/>
      <c r="U493" s="287"/>
      <c r="X493" s="217"/>
      <c r="Y493" s="217"/>
      <c r="Z493" s="217"/>
      <c r="AA493" s="217"/>
    </row>
    <row r="494" ht="14.25" customHeight="1">
      <c r="A494" s="218">
        <v>493.0</v>
      </c>
      <c r="B494" s="318">
        <v>16.0</v>
      </c>
      <c r="C494" s="297" t="s">
        <v>4943</v>
      </c>
      <c r="D494" s="298"/>
      <c r="E494" s="266" t="s">
        <v>4944</v>
      </c>
      <c r="F494" s="267" t="s">
        <v>227</v>
      </c>
      <c r="G494" s="287"/>
      <c r="H494" s="287"/>
      <c r="I494" s="287"/>
      <c r="J494" s="287"/>
      <c r="K494" s="287"/>
      <c r="L494" s="287"/>
      <c r="M494" s="287"/>
      <c r="N494" s="287"/>
      <c r="O494" s="287"/>
      <c r="P494" s="287"/>
      <c r="Q494" s="287"/>
      <c r="R494" s="287"/>
      <c r="S494" s="287"/>
      <c r="T494" s="287"/>
      <c r="U494" s="287"/>
      <c r="X494" s="217"/>
      <c r="Y494" s="217"/>
      <c r="Z494" s="217"/>
      <c r="AA494" s="217"/>
    </row>
    <row r="495" ht="14.25" customHeight="1">
      <c r="A495" s="218">
        <v>494.0</v>
      </c>
      <c r="B495" s="334">
        <v>17.0</v>
      </c>
      <c r="C495" s="297" t="s">
        <v>4948</v>
      </c>
      <c r="D495" s="298"/>
      <c r="E495" s="336" t="s">
        <v>4949</v>
      </c>
      <c r="F495" s="267" t="s">
        <v>227</v>
      </c>
      <c r="G495" s="269"/>
      <c r="H495" s="269"/>
      <c r="I495" s="269"/>
      <c r="J495" s="269"/>
      <c r="K495" s="269"/>
      <c r="L495" s="269"/>
      <c r="M495" s="269"/>
      <c r="N495" s="269"/>
      <c r="O495" s="269"/>
      <c r="P495" s="269"/>
      <c r="Q495" s="269"/>
      <c r="R495" s="269"/>
      <c r="S495" s="269"/>
      <c r="T495" s="269"/>
      <c r="U495" s="269"/>
      <c r="V495" s="217"/>
      <c r="W495" s="217"/>
      <c r="X495" s="217"/>
      <c r="Y495" s="217"/>
      <c r="Z495" s="217"/>
      <c r="AA495" s="217"/>
    </row>
    <row r="496" ht="22.5" customHeight="1">
      <c r="A496" s="218">
        <v>495.0</v>
      </c>
      <c r="B496" s="318">
        <v>18.0</v>
      </c>
      <c r="C496" s="297" t="s">
        <v>4953</v>
      </c>
      <c r="D496" s="298"/>
      <c r="E496" s="266" t="s">
        <v>4954</v>
      </c>
      <c r="F496" s="267" t="s">
        <v>227</v>
      </c>
      <c r="G496" s="269"/>
      <c r="H496" s="269"/>
      <c r="I496" s="269"/>
      <c r="J496" s="269"/>
      <c r="K496" s="269"/>
      <c r="L496" s="269"/>
      <c r="M496" s="269"/>
      <c r="N496" s="269"/>
      <c r="O496" s="269"/>
      <c r="P496" s="269"/>
      <c r="Q496" s="269"/>
      <c r="R496" s="269"/>
      <c r="S496" s="269"/>
      <c r="T496" s="269"/>
      <c r="U496" s="269"/>
      <c r="V496" s="217"/>
      <c r="W496" s="217"/>
      <c r="X496" s="217"/>
      <c r="Y496" s="217"/>
      <c r="Z496" s="217"/>
      <c r="AA496" s="217"/>
    </row>
    <row r="497" ht="14.25" customHeight="1">
      <c r="A497" s="218">
        <v>496.0</v>
      </c>
      <c r="B497" s="334">
        <v>19.0</v>
      </c>
      <c r="C497" s="330" t="s">
        <v>4958</v>
      </c>
      <c r="D497" s="331"/>
      <c r="E497" s="266" t="s">
        <v>4959</v>
      </c>
      <c r="F497" s="267" t="s">
        <v>227</v>
      </c>
      <c r="G497" s="269"/>
      <c r="H497" s="269"/>
      <c r="I497" s="269"/>
      <c r="J497" s="269"/>
      <c r="K497" s="269"/>
      <c r="L497" s="269"/>
      <c r="M497" s="269"/>
      <c r="N497" s="269"/>
      <c r="O497" s="269"/>
      <c r="P497" s="269"/>
      <c r="Q497" s="269"/>
      <c r="R497" s="269"/>
      <c r="S497" s="269"/>
      <c r="T497" s="269"/>
      <c r="U497" s="269"/>
      <c r="V497" s="217"/>
      <c r="W497" s="217"/>
      <c r="X497" s="217"/>
      <c r="Y497" s="217"/>
      <c r="Z497" s="217"/>
      <c r="AA497" s="217"/>
    </row>
    <row r="498" ht="14.25" customHeight="1">
      <c r="A498" s="218">
        <v>497.0</v>
      </c>
      <c r="B498" s="318">
        <v>20.0</v>
      </c>
      <c r="C498" s="297" t="s">
        <v>4963</v>
      </c>
      <c r="D498" s="298"/>
      <c r="E498" s="266" t="s">
        <v>4964</v>
      </c>
      <c r="F498" s="267" t="s">
        <v>227</v>
      </c>
      <c r="G498" s="269"/>
      <c r="H498" s="269"/>
      <c r="I498" s="269"/>
      <c r="J498" s="269"/>
      <c r="K498" s="269"/>
      <c r="L498" s="269"/>
      <c r="M498" s="269"/>
      <c r="N498" s="269"/>
      <c r="O498" s="269"/>
      <c r="P498" s="269"/>
      <c r="Q498" s="269"/>
      <c r="R498" s="269"/>
      <c r="S498" s="269"/>
      <c r="T498" s="269"/>
      <c r="U498" s="269"/>
      <c r="V498" s="217"/>
      <c r="W498" s="217"/>
      <c r="X498" s="217"/>
      <c r="Y498" s="217"/>
      <c r="Z498" s="217"/>
      <c r="AA498" s="217"/>
    </row>
    <row r="499" ht="14.25" customHeight="1">
      <c r="A499" s="218">
        <v>498.0</v>
      </c>
      <c r="B499" s="334">
        <v>21.0</v>
      </c>
      <c r="C499" s="297" t="s">
        <v>4968</v>
      </c>
      <c r="D499" s="298"/>
      <c r="E499" s="266" t="s">
        <v>4969</v>
      </c>
      <c r="F499" s="267" t="s">
        <v>220</v>
      </c>
      <c r="G499" s="269"/>
      <c r="H499" s="269"/>
      <c r="I499" s="269"/>
      <c r="J499" s="269"/>
      <c r="K499" s="269"/>
      <c r="L499" s="269"/>
      <c r="M499" s="269"/>
      <c r="N499" s="269"/>
      <c r="O499" s="269"/>
      <c r="P499" s="269"/>
      <c r="Q499" s="269"/>
      <c r="R499" s="269"/>
      <c r="S499" s="269"/>
      <c r="T499" s="269"/>
      <c r="U499" s="269"/>
      <c r="V499" s="217"/>
      <c r="W499" s="217"/>
      <c r="X499" s="217"/>
      <c r="Y499" s="217"/>
      <c r="Z499" s="217"/>
      <c r="AA499" s="217"/>
    </row>
    <row r="500" ht="14.25" customHeight="1">
      <c r="A500" s="218">
        <v>499.0</v>
      </c>
      <c r="B500" s="318">
        <v>22.0</v>
      </c>
      <c r="C500" s="297" t="s">
        <v>4973</v>
      </c>
      <c r="D500" s="298"/>
      <c r="E500" s="266" t="s">
        <v>4974</v>
      </c>
      <c r="F500" s="267" t="s">
        <v>227</v>
      </c>
      <c r="G500" s="269"/>
      <c r="H500" s="269"/>
      <c r="I500" s="269"/>
      <c r="J500" s="269"/>
      <c r="K500" s="269"/>
      <c r="L500" s="269"/>
      <c r="M500" s="269"/>
      <c r="N500" s="269"/>
      <c r="O500" s="269"/>
      <c r="P500" s="269"/>
      <c r="Q500" s="269"/>
      <c r="R500" s="269"/>
      <c r="S500" s="269"/>
      <c r="T500" s="269"/>
      <c r="U500" s="269"/>
      <c r="V500" s="217"/>
      <c r="W500" s="217"/>
      <c r="X500" s="217"/>
      <c r="Y500" s="217"/>
      <c r="Z500" s="217"/>
      <c r="AA500" s="217"/>
    </row>
    <row r="501" ht="14.25" customHeight="1">
      <c r="A501" s="218">
        <v>500.0</v>
      </c>
      <c r="B501" s="334">
        <v>23.0</v>
      </c>
      <c r="C501" s="297" t="s">
        <v>4979</v>
      </c>
      <c r="D501" s="298"/>
      <c r="E501" s="266" t="s">
        <v>4980</v>
      </c>
      <c r="F501" s="267" t="s">
        <v>220</v>
      </c>
      <c r="G501" s="269"/>
      <c r="H501" s="269"/>
      <c r="I501" s="269"/>
      <c r="J501" s="269"/>
      <c r="K501" s="269"/>
      <c r="L501" s="269"/>
      <c r="M501" s="269"/>
      <c r="N501" s="269"/>
      <c r="O501" s="269"/>
      <c r="P501" s="269"/>
      <c r="Q501" s="269"/>
      <c r="R501" s="269"/>
      <c r="S501" s="269"/>
      <c r="T501" s="269"/>
      <c r="U501" s="269"/>
      <c r="V501" s="217"/>
      <c r="W501" s="217"/>
      <c r="X501" s="217"/>
      <c r="Y501" s="217"/>
      <c r="Z501" s="217"/>
      <c r="AA501" s="217"/>
    </row>
    <row r="502" ht="22.5" customHeight="1">
      <c r="A502" s="218">
        <v>501.0</v>
      </c>
      <c r="B502" s="318">
        <v>24.0</v>
      </c>
      <c r="C502" s="297" t="s">
        <v>4984</v>
      </c>
      <c r="D502" s="298"/>
      <c r="E502" s="337" t="s">
        <v>4985</v>
      </c>
      <c r="F502" s="267" t="s">
        <v>220</v>
      </c>
      <c r="G502" s="269"/>
      <c r="H502" s="269"/>
      <c r="I502" s="269"/>
      <c r="J502" s="269"/>
      <c r="K502" s="269"/>
      <c r="L502" s="269"/>
      <c r="M502" s="269"/>
      <c r="N502" s="269"/>
      <c r="O502" s="269"/>
      <c r="P502" s="269"/>
      <c r="Q502" s="269"/>
      <c r="R502" s="269"/>
      <c r="S502" s="269"/>
      <c r="T502" s="269"/>
      <c r="U502" s="269"/>
      <c r="V502" s="217"/>
      <c r="W502" s="217"/>
      <c r="X502" s="217"/>
      <c r="Y502" s="217"/>
      <c r="Z502" s="217"/>
      <c r="AA502" s="217"/>
    </row>
    <row r="503" ht="22.5" customHeight="1">
      <c r="A503" s="218">
        <v>502.0</v>
      </c>
      <c r="B503" s="334">
        <v>25.0</v>
      </c>
      <c r="C503" s="297" t="s">
        <v>4989</v>
      </c>
      <c r="D503" s="298"/>
      <c r="E503" s="266" t="s">
        <v>4990</v>
      </c>
      <c r="F503" s="267" t="s">
        <v>220</v>
      </c>
      <c r="G503" s="269"/>
      <c r="H503" s="269"/>
      <c r="I503" s="269"/>
      <c r="J503" s="269"/>
      <c r="K503" s="269"/>
      <c r="L503" s="269"/>
      <c r="M503" s="269"/>
      <c r="N503" s="269"/>
      <c r="O503" s="269"/>
      <c r="P503" s="269"/>
      <c r="Q503" s="269"/>
      <c r="R503" s="269"/>
      <c r="S503" s="269"/>
      <c r="T503" s="269"/>
      <c r="U503" s="269"/>
      <c r="V503" s="217"/>
      <c r="W503" s="217"/>
      <c r="X503" s="217"/>
      <c r="Y503" s="217"/>
      <c r="Z503" s="217"/>
      <c r="AA503" s="217"/>
    </row>
    <row r="504" ht="14.25" customHeight="1">
      <c r="A504" s="218">
        <v>503.0</v>
      </c>
      <c r="B504" s="318">
        <v>26.0</v>
      </c>
      <c r="C504" s="297" t="s">
        <v>4994</v>
      </c>
      <c r="D504" s="298"/>
      <c r="E504" s="266" t="s">
        <v>4995</v>
      </c>
      <c r="F504" s="267" t="s">
        <v>220</v>
      </c>
      <c r="G504" s="269"/>
      <c r="H504" s="269"/>
      <c r="I504" s="269"/>
      <c r="J504" s="269"/>
      <c r="K504" s="269"/>
      <c r="L504" s="269"/>
      <c r="M504" s="269"/>
      <c r="N504" s="269"/>
      <c r="O504" s="269"/>
      <c r="P504" s="269"/>
      <c r="Q504" s="269"/>
      <c r="R504" s="269"/>
      <c r="S504" s="269"/>
      <c r="T504" s="269"/>
      <c r="U504" s="269"/>
      <c r="V504" s="217"/>
      <c r="W504" s="217"/>
      <c r="X504" s="217"/>
      <c r="Y504" s="217"/>
      <c r="Z504" s="217"/>
      <c r="AA504" s="217"/>
    </row>
    <row r="505" ht="16.5" customHeight="1">
      <c r="A505" s="218">
        <v>504.0</v>
      </c>
      <c r="B505" s="334">
        <v>27.0</v>
      </c>
      <c r="C505" s="297" t="s">
        <v>4999</v>
      </c>
      <c r="D505" s="298"/>
      <c r="E505" s="266" t="s">
        <v>5000</v>
      </c>
      <c r="F505" s="267" t="s">
        <v>227</v>
      </c>
      <c r="G505" s="269"/>
      <c r="H505" s="269"/>
      <c r="I505" s="269"/>
      <c r="J505" s="269"/>
      <c r="K505" s="269"/>
      <c r="L505" s="269"/>
      <c r="M505" s="269"/>
      <c r="N505" s="269"/>
      <c r="O505" s="269"/>
      <c r="P505" s="269"/>
      <c r="Q505" s="269"/>
      <c r="R505" s="269"/>
      <c r="S505" s="269"/>
      <c r="T505" s="269"/>
      <c r="U505" s="269"/>
      <c r="V505" s="217"/>
      <c r="W505" s="217"/>
      <c r="X505" s="217"/>
      <c r="Y505" s="217"/>
      <c r="Z505" s="217"/>
      <c r="AA505" s="217"/>
    </row>
    <row r="506" ht="17.25" customHeight="1">
      <c r="A506" s="218">
        <v>505.0</v>
      </c>
      <c r="B506" s="318">
        <v>28.0</v>
      </c>
      <c r="C506" s="297" t="s">
        <v>5004</v>
      </c>
      <c r="D506" s="298"/>
      <c r="E506" s="266" t="s">
        <v>5005</v>
      </c>
      <c r="F506" s="267" t="s">
        <v>220</v>
      </c>
      <c r="G506" s="269"/>
      <c r="H506" s="269"/>
      <c r="I506" s="269"/>
      <c r="J506" s="269"/>
      <c r="K506" s="269"/>
      <c r="L506" s="269"/>
      <c r="M506" s="269"/>
      <c r="N506" s="269"/>
      <c r="O506" s="269"/>
      <c r="P506" s="269"/>
      <c r="Q506" s="269"/>
      <c r="R506" s="269"/>
      <c r="S506" s="269"/>
      <c r="T506" s="269"/>
      <c r="U506" s="269"/>
      <c r="V506" s="217"/>
      <c r="W506" s="217"/>
      <c r="X506" s="217"/>
      <c r="Y506" s="217"/>
      <c r="Z506" s="217"/>
      <c r="AA506" s="217"/>
    </row>
    <row r="507" ht="16.5" customHeight="1">
      <c r="A507" s="218">
        <v>506.0</v>
      </c>
      <c r="B507" s="334">
        <v>29.0</v>
      </c>
      <c r="C507" s="297" t="s">
        <v>5009</v>
      </c>
      <c r="D507" s="298"/>
      <c r="E507" s="266" t="s">
        <v>5010</v>
      </c>
      <c r="F507" s="267" t="s">
        <v>227</v>
      </c>
      <c r="G507" s="269"/>
      <c r="H507" s="269"/>
      <c r="I507" s="269"/>
      <c r="J507" s="269"/>
      <c r="K507" s="269"/>
      <c r="L507" s="269"/>
      <c r="M507" s="269"/>
      <c r="N507" s="269"/>
      <c r="O507" s="269"/>
      <c r="P507" s="269"/>
      <c r="Q507" s="269"/>
      <c r="R507" s="269"/>
      <c r="S507" s="269"/>
      <c r="T507" s="269"/>
      <c r="U507" s="269"/>
      <c r="V507" s="217"/>
      <c r="W507" s="217"/>
      <c r="X507" s="217"/>
      <c r="Y507" s="217"/>
      <c r="Z507" s="217"/>
      <c r="AA507" s="217"/>
    </row>
    <row r="508" ht="16.5" customHeight="1">
      <c r="A508" s="218">
        <v>507.0</v>
      </c>
      <c r="B508" s="318">
        <v>30.0</v>
      </c>
      <c r="C508" s="297" t="s">
        <v>5014</v>
      </c>
      <c r="D508" s="298"/>
      <c r="E508" s="266" t="s">
        <v>5015</v>
      </c>
      <c r="F508" s="267" t="s">
        <v>220</v>
      </c>
      <c r="G508" s="269"/>
      <c r="H508" s="269"/>
      <c r="I508" s="269"/>
      <c r="J508" s="269"/>
      <c r="K508" s="269"/>
      <c r="L508" s="269"/>
      <c r="M508" s="269"/>
      <c r="N508" s="269"/>
      <c r="O508" s="269"/>
      <c r="P508" s="269"/>
      <c r="Q508" s="269"/>
      <c r="R508" s="269"/>
      <c r="S508" s="269"/>
      <c r="T508" s="269"/>
      <c r="U508" s="269"/>
      <c r="V508" s="217"/>
      <c r="W508" s="217"/>
      <c r="X508" s="217"/>
      <c r="Y508" s="217"/>
      <c r="Z508" s="217"/>
      <c r="AA508" s="217"/>
    </row>
    <row r="509" ht="16.5" customHeight="1">
      <c r="A509" s="218">
        <v>508.0</v>
      </c>
      <c r="B509" s="334">
        <v>31.0</v>
      </c>
      <c r="C509" s="297" t="s">
        <v>5020</v>
      </c>
      <c r="D509" s="298"/>
      <c r="E509" s="266" t="s">
        <v>5021</v>
      </c>
      <c r="F509" s="267" t="s">
        <v>227</v>
      </c>
      <c r="G509" s="269"/>
      <c r="H509" s="269"/>
      <c r="I509" s="269"/>
      <c r="J509" s="269"/>
      <c r="K509" s="269"/>
      <c r="L509" s="269"/>
      <c r="M509" s="269"/>
      <c r="N509" s="269"/>
      <c r="O509" s="269"/>
      <c r="P509" s="269"/>
      <c r="Q509" s="269"/>
      <c r="R509" s="269"/>
      <c r="S509" s="269"/>
      <c r="T509" s="269"/>
      <c r="U509" s="269"/>
      <c r="V509" s="217"/>
      <c r="W509" s="217"/>
      <c r="X509" s="217"/>
      <c r="Y509" s="217"/>
      <c r="Z509" s="217"/>
      <c r="AA509" s="217"/>
    </row>
    <row r="510" ht="16.5" customHeight="1">
      <c r="A510" s="218">
        <v>509.0</v>
      </c>
      <c r="B510" s="318">
        <v>32.0</v>
      </c>
      <c r="C510" s="297" t="s">
        <v>5025</v>
      </c>
      <c r="D510" s="298"/>
      <c r="E510" s="266" t="s">
        <v>5026</v>
      </c>
      <c r="F510" s="267" t="s">
        <v>220</v>
      </c>
      <c r="G510" s="269"/>
      <c r="H510" s="269"/>
      <c r="I510" s="269"/>
      <c r="J510" s="269"/>
      <c r="K510" s="269"/>
      <c r="L510" s="269"/>
      <c r="M510" s="269"/>
      <c r="N510" s="269"/>
      <c r="O510" s="269"/>
      <c r="P510" s="269"/>
      <c r="Q510" s="269"/>
      <c r="R510" s="269"/>
      <c r="S510" s="269"/>
      <c r="T510" s="269"/>
      <c r="U510" s="269"/>
      <c r="V510" s="217"/>
      <c r="W510" s="217"/>
      <c r="X510" s="217"/>
      <c r="Y510" s="217"/>
      <c r="Z510" s="217"/>
      <c r="AA510" s="217"/>
    </row>
    <row r="511" ht="16.5" customHeight="1">
      <c r="A511" s="218">
        <v>510.0</v>
      </c>
      <c r="B511" s="334">
        <v>33.0</v>
      </c>
      <c r="C511" s="297" t="s">
        <v>5030</v>
      </c>
      <c r="D511" s="298"/>
      <c r="E511" s="266" t="s">
        <v>5031</v>
      </c>
      <c r="F511" s="267" t="s">
        <v>227</v>
      </c>
      <c r="G511" s="269"/>
      <c r="H511" s="269"/>
      <c r="I511" s="269"/>
      <c r="J511" s="269"/>
      <c r="K511" s="269"/>
      <c r="L511" s="269"/>
      <c r="M511" s="269"/>
      <c r="N511" s="269"/>
      <c r="O511" s="269"/>
      <c r="P511" s="269"/>
      <c r="Q511" s="269"/>
      <c r="R511" s="269"/>
      <c r="S511" s="269"/>
      <c r="T511" s="269"/>
      <c r="U511" s="269"/>
      <c r="V511" s="217"/>
      <c r="W511" s="217"/>
      <c r="X511" s="217"/>
      <c r="Y511" s="217"/>
      <c r="Z511" s="217"/>
      <c r="AA511" s="217"/>
    </row>
    <row r="512" ht="16.5" customHeight="1">
      <c r="A512" s="218">
        <v>511.0</v>
      </c>
      <c r="B512" s="318">
        <v>34.0</v>
      </c>
      <c r="C512" s="297" t="s">
        <v>5035</v>
      </c>
      <c r="D512" s="298"/>
      <c r="E512" s="266" t="s">
        <v>5036</v>
      </c>
      <c r="F512" s="267" t="s">
        <v>227</v>
      </c>
      <c r="G512" s="269"/>
      <c r="H512" s="269"/>
      <c r="I512" s="269"/>
      <c r="J512" s="269"/>
      <c r="K512" s="269"/>
      <c r="L512" s="269"/>
      <c r="M512" s="269"/>
      <c r="N512" s="269"/>
      <c r="O512" s="269"/>
      <c r="P512" s="269"/>
      <c r="Q512" s="269"/>
      <c r="R512" s="269"/>
      <c r="S512" s="269"/>
      <c r="T512" s="269"/>
      <c r="U512" s="269"/>
      <c r="V512" s="217"/>
      <c r="W512" s="217"/>
      <c r="X512" s="217"/>
      <c r="Y512" s="217"/>
      <c r="Z512" s="217"/>
      <c r="AA512" s="217"/>
    </row>
    <row r="513" ht="16.5" customHeight="1">
      <c r="A513" s="218">
        <v>512.0</v>
      </c>
      <c r="B513" s="334">
        <v>35.0</v>
      </c>
      <c r="C513" s="297" t="s">
        <v>5040</v>
      </c>
      <c r="D513" s="298"/>
      <c r="E513" s="266" t="s">
        <v>5041</v>
      </c>
      <c r="F513" s="267" t="s">
        <v>227</v>
      </c>
      <c r="G513" s="269"/>
      <c r="H513" s="269"/>
      <c r="I513" s="269"/>
      <c r="J513" s="269"/>
      <c r="K513" s="269"/>
      <c r="L513" s="269"/>
      <c r="M513" s="269"/>
      <c r="N513" s="269"/>
      <c r="O513" s="269"/>
      <c r="P513" s="269"/>
      <c r="Q513" s="269"/>
      <c r="R513" s="269"/>
      <c r="S513" s="269"/>
      <c r="T513" s="269"/>
      <c r="U513" s="269"/>
      <c r="V513" s="217"/>
      <c r="W513" s="217"/>
      <c r="X513" s="217"/>
      <c r="Y513" s="217"/>
      <c r="Z513" s="217"/>
      <c r="AA513" s="217"/>
    </row>
    <row r="514" ht="16.5" customHeight="1">
      <c r="A514" s="218">
        <v>513.0</v>
      </c>
      <c r="B514" s="318">
        <v>36.0</v>
      </c>
      <c r="C514" s="297" t="s">
        <v>5045</v>
      </c>
      <c r="D514" s="298"/>
      <c r="E514" s="266" t="s">
        <v>5046</v>
      </c>
      <c r="F514" s="267" t="s">
        <v>227</v>
      </c>
      <c r="G514" s="269"/>
      <c r="H514" s="269"/>
      <c r="I514" s="269"/>
      <c r="J514" s="269"/>
      <c r="K514" s="269"/>
      <c r="L514" s="269"/>
      <c r="M514" s="269"/>
      <c r="N514" s="269"/>
      <c r="O514" s="269"/>
      <c r="P514" s="269"/>
      <c r="Q514" s="269"/>
      <c r="R514" s="269"/>
      <c r="S514" s="269"/>
      <c r="T514" s="269"/>
      <c r="U514" s="269"/>
      <c r="V514" s="217"/>
      <c r="W514" s="217"/>
      <c r="X514" s="217"/>
      <c r="Y514" s="217"/>
      <c r="Z514" s="217"/>
      <c r="AA514" s="217"/>
    </row>
    <row r="515" ht="16.5" hidden="1" customHeight="1">
      <c r="A515" s="218">
        <v>514.0</v>
      </c>
      <c r="B515" s="252"/>
      <c r="C515" s="253"/>
      <c r="D515" s="252"/>
      <c r="E515" s="253"/>
      <c r="F515" s="253"/>
      <c r="G515" s="254"/>
      <c r="H515" s="254"/>
      <c r="I515" s="254"/>
      <c r="J515" s="254"/>
      <c r="K515" s="254"/>
      <c r="L515" s="254"/>
      <c r="M515" s="254"/>
      <c r="N515" s="254"/>
      <c r="O515" s="254"/>
      <c r="P515" s="254"/>
      <c r="Q515" s="254"/>
      <c r="R515" s="254"/>
      <c r="S515" s="254"/>
      <c r="T515" s="254"/>
      <c r="U515" s="254"/>
      <c r="V515" s="217"/>
      <c r="W515" s="217"/>
      <c r="X515" s="217"/>
      <c r="Y515" s="217"/>
      <c r="Z515" s="217"/>
      <c r="AA515" s="217"/>
    </row>
    <row r="516" ht="16.5" hidden="1" customHeight="1">
      <c r="A516" s="218">
        <v>515.0</v>
      </c>
      <c r="B516" s="252"/>
      <c r="C516" s="253"/>
      <c r="D516" s="252"/>
      <c r="E516" s="253"/>
      <c r="F516" s="253"/>
      <c r="G516" s="254"/>
      <c r="H516" s="254"/>
      <c r="I516" s="254"/>
      <c r="J516" s="254"/>
      <c r="K516" s="254"/>
      <c r="L516" s="338" t="s">
        <v>9753</v>
      </c>
      <c r="M516" s="339"/>
      <c r="N516" s="339"/>
      <c r="O516" s="339"/>
      <c r="P516" s="339"/>
      <c r="Q516" s="339"/>
      <c r="R516" s="339"/>
      <c r="S516" s="340"/>
      <c r="T516" s="293"/>
      <c r="U516" s="293"/>
      <c r="V516" s="217"/>
      <c r="W516" s="217"/>
      <c r="X516" s="217"/>
      <c r="Y516" s="217"/>
      <c r="Z516" s="217"/>
      <c r="AA516" s="217"/>
    </row>
    <row r="517" ht="16.5" hidden="1" customHeight="1">
      <c r="A517" s="218">
        <v>516.0</v>
      </c>
      <c r="B517" s="252"/>
      <c r="C517" s="253"/>
      <c r="D517" s="252"/>
      <c r="E517" s="253"/>
      <c r="F517" s="253"/>
      <c r="G517" s="254"/>
      <c r="H517" s="254"/>
      <c r="I517" s="254"/>
      <c r="J517" s="254"/>
      <c r="K517" s="254"/>
      <c r="L517" s="258" t="s">
        <v>8793</v>
      </c>
      <c r="M517" s="259"/>
      <c r="N517" s="259"/>
      <c r="O517" s="259"/>
      <c r="P517" s="259"/>
      <c r="Q517" s="259"/>
      <c r="R517" s="259"/>
      <c r="S517" s="259"/>
      <c r="T517" s="259"/>
      <c r="U517" s="260"/>
      <c r="V517" s="217"/>
      <c r="W517" s="217"/>
      <c r="X517" s="217"/>
      <c r="Y517" s="217"/>
      <c r="Z517" s="217"/>
      <c r="AA517" s="217"/>
    </row>
    <row r="518" ht="78.0" hidden="1" customHeight="1">
      <c r="A518" s="218">
        <v>517.0</v>
      </c>
      <c r="B518" s="261"/>
      <c r="C518" s="261"/>
      <c r="D518" s="261"/>
      <c r="E518" s="261"/>
      <c r="F518" s="261"/>
      <c r="G518" s="261"/>
      <c r="H518" s="261"/>
      <c r="I518" s="261"/>
      <c r="J518" s="261"/>
      <c r="K518" s="261"/>
      <c r="L518" s="261"/>
      <c r="M518" s="261"/>
      <c r="N518" s="261"/>
      <c r="O518" s="261"/>
      <c r="P518" s="261"/>
      <c r="Q518" s="261"/>
      <c r="R518" s="261"/>
      <c r="S518" s="261"/>
      <c r="T518" s="261"/>
      <c r="U518" s="261"/>
      <c r="V518" s="217"/>
      <c r="W518" s="217"/>
      <c r="X518" s="217"/>
      <c r="Y518" s="217"/>
      <c r="Z518" s="217"/>
      <c r="AA518" s="217"/>
    </row>
    <row r="519" ht="15.75" hidden="1" customHeight="1">
      <c r="A519" s="218">
        <v>518.0</v>
      </c>
      <c r="B519" s="262"/>
      <c r="C519" s="263"/>
      <c r="D519" s="263"/>
      <c r="E519" s="263"/>
      <c r="F519" s="263"/>
      <c r="G519" s="263"/>
      <c r="H519" s="263"/>
      <c r="I519" s="263"/>
      <c r="J519" s="263"/>
      <c r="K519" s="263"/>
      <c r="L519" s="263"/>
      <c r="M519" s="263"/>
      <c r="N519" s="263"/>
      <c r="O519" s="263"/>
      <c r="P519" s="263"/>
      <c r="Q519" s="263"/>
      <c r="R519" s="263"/>
      <c r="S519" s="263"/>
      <c r="T519" s="263"/>
      <c r="U519" s="264"/>
      <c r="V519" s="217"/>
      <c r="W519" s="217"/>
      <c r="X519" s="217"/>
      <c r="Y519" s="217"/>
      <c r="Z519" s="217"/>
      <c r="AA519" s="217"/>
    </row>
    <row r="520" ht="15.75" hidden="1" customHeight="1">
      <c r="A520" s="218">
        <v>519.0</v>
      </c>
      <c r="B520" s="222"/>
      <c r="C520" s="223"/>
      <c r="D520" s="223"/>
      <c r="E520" s="223"/>
      <c r="F520" s="223"/>
      <c r="G520" s="223"/>
      <c r="H520" s="223"/>
      <c r="I520" s="223"/>
      <c r="J520" s="223"/>
      <c r="K520" s="223"/>
      <c r="L520" s="223"/>
      <c r="M520" s="223"/>
      <c r="N520" s="223"/>
      <c r="O520" s="223"/>
      <c r="P520" s="223"/>
      <c r="Q520" s="223"/>
      <c r="R520" s="223"/>
      <c r="S520" s="223"/>
      <c r="T520" s="223"/>
      <c r="U520" s="224"/>
      <c r="V520" s="217"/>
      <c r="W520" s="217"/>
      <c r="X520" s="217"/>
      <c r="Y520" s="217"/>
      <c r="Z520" s="217"/>
      <c r="AA520" s="217"/>
    </row>
    <row r="521" ht="15.75" hidden="1" customHeight="1">
      <c r="A521" s="218">
        <v>520.0</v>
      </c>
      <c r="B521" s="225"/>
      <c r="C521" s="226"/>
      <c r="D521" s="226"/>
      <c r="E521" s="226"/>
      <c r="F521" s="226"/>
      <c r="G521" s="226"/>
      <c r="H521" s="226"/>
      <c r="I521" s="226"/>
      <c r="J521" s="226"/>
      <c r="K521" s="226"/>
      <c r="L521" s="226"/>
      <c r="M521" s="226"/>
      <c r="N521" s="226"/>
      <c r="O521" s="226"/>
      <c r="P521" s="226"/>
      <c r="Q521" s="226"/>
      <c r="R521" s="226"/>
      <c r="S521" s="226"/>
      <c r="T521" s="226"/>
      <c r="U521" s="227"/>
      <c r="V521" s="217"/>
      <c r="W521" s="217"/>
      <c r="X521" s="217"/>
      <c r="Y521" s="217"/>
      <c r="Z521" s="217"/>
      <c r="AA521" s="217"/>
    </row>
    <row r="522" ht="15.75" hidden="1" customHeight="1">
      <c r="A522" s="218">
        <v>521.0</v>
      </c>
      <c r="B522" s="228"/>
      <c r="C522" s="229"/>
      <c r="D522" s="229"/>
      <c r="E522" s="229"/>
      <c r="F522" s="229"/>
      <c r="G522" s="230"/>
      <c r="H522" s="230"/>
      <c r="I522" s="230"/>
      <c r="J522" s="230"/>
      <c r="K522" s="230"/>
      <c r="L522" s="230"/>
      <c r="M522" s="230"/>
      <c r="N522" s="230"/>
      <c r="O522" s="230"/>
      <c r="P522" s="230"/>
      <c r="Q522" s="230"/>
      <c r="R522" s="230"/>
      <c r="S522" s="230"/>
      <c r="T522" s="230"/>
      <c r="U522" s="230"/>
      <c r="V522" s="217"/>
      <c r="W522" s="217"/>
      <c r="X522" s="217"/>
      <c r="Y522" s="217"/>
      <c r="Z522" s="217"/>
      <c r="AA522" s="217"/>
    </row>
    <row r="523" ht="14.25" hidden="1" customHeight="1">
      <c r="A523" s="218">
        <v>522.0</v>
      </c>
      <c r="B523" s="231"/>
      <c r="C523" s="231"/>
      <c r="D523" s="231"/>
      <c r="E523" s="231"/>
      <c r="F523" s="232"/>
      <c r="G523" s="233"/>
      <c r="H523" s="234"/>
      <c r="I523" s="234"/>
      <c r="J523" s="234"/>
      <c r="K523" s="234"/>
      <c r="L523" s="234"/>
      <c r="M523" s="234"/>
      <c r="N523" s="234"/>
      <c r="O523" s="234"/>
      <c r="P523" s="234"/>
      <c r="Q523" s="234"/>
      <c r="R523" s="234"/>
      <c r="S523" s="234"/>
      <c r="T523" s="234"/>
      <c r="U523" s="235"/>
      <c r="V523" s="217"/>
      <c r="W523" s="217"/>
      <c r="X523" s="217"/>
      <c r="Y523" s="217"/>
      <c r="Z523" s="217"/>
      <c r="AA523" s="217"/>
    </row>
    <row r="524" ht="14.25" hidden="1" customHeight="1">
      <c r="A524" s="218">
        <v>523.0</v>
      </c>
      <c r="B524" s="236"/>
      <c r="C524" s="236"/>
      <c r="D524" s="236"/>
      <c r="E524" s="236"/>
      <c r="F524" s="237"/>
      <c r="G524" s="238"/>
      <c r="H524" s="239"/>
      <c r="I524" s="239"/>
      <c r="J524" s="239"/>
      <c r="K524" s="239"/>
      <c r="L524" s="239"/>
      <c r="M524" s="239"/>
      <c r="N524" s="239"/>
      <c r="O524" s="239"/>
      <c r="P524" s="239"/>
      <c r="Q524" s="239"/>
      <c r="R524" s="240"/>
      <c r="S524" s="233" t="s">
        <v>9713</v>
      </c>
      <c r="T524" s="234"/>
      <c r="U524" s="235"/>
      <c r="V524" s="217"/>
      <c r="W524" s="217"/>
      <c r="X524" s="217"/>
      <c r="Y524" s="217"/>
      <c r="Z524" s="217"/>
      <c r="AA524" s="217"/>
    </row>
    <row r="525" ht="14.25" hidden="1" customHeight="1">
      <c r="A525" s="218">
        <v>524.0</v>
      </c>
      <c r="B525" s="241"/>
      <c r="C525" s="295"/>
      <c r="D525" s="295"/>
      <c r="E525" s="241"/>
      <c r="F525" s="242"/>
      <c r="G525" s="243"/>
      <c r="H525" s="243">
        <v>2.0</v>
      </c>
      <c r="I525" s="243">
        <v>3.0</v>
      </c>
      <c r="J525" s="243">
        <v>4.0</v>
      </c>
      <c r="K525" s="243">
        <v>5.0</v>
      </c>
      <c r="L525" s="243">
        <v>6.0</v>
      </c>
      <c r="M525" s="243">
        <v>7.0</v>
      </c>
      <c r="N525" s="243">
        <v>8.0</v>
      </c>
      <c r="O525" s="243">
        <v>9.0</v>
      </c>
      <c r="P525" s="243">
        <v>10.0</v>
      </c>
      <c r="Q525" s="243">
        <v>11.0</v>
      </c>
      <c r="R525" s="243">
        <v>12.0</v>
      </c>
      <c r="S525" s="243" t="s">
        <v>9714</v>
      </c>
      <c r="T525" s="243" t="s">
        <v>9715</v>
      </c>
      <c r="U525" s="244" t="s">
        <v>9716</v>
      </c>
      <c r="V525" s="217"/>
      <c r="W525" s="217"/>
      <c r="X525" s="217"/>
      <c r="Y525" s="217"/>
      <c r="Z525" s="217"/>
      <c r="AA525" s="217"/>
    </row>
    <row r="526" ht="15.0" customHeight="1">
      <c r="A526" s="218">
        <v>525.0</v>
      </c>
      <c r="B526" s="318">
        <v>1.0</v>
      </c>
      <c r="C526" s="304" t="s">
        <v>5050</v>
      </c>
      <c r="D526" s="305"/>
      <c r="E526" s="266" t="s">
        <v>5051</v>
      </c>
      <c r="F526" s="267" t="s">
        <v>227</v>
      </c>
      <c r="G526" s="269"/>
      <c r="H526" s="269"/>
      <c r="I526" s="269"/>
      <c r="J526" s="269"/>
      <c r="K526" s="269"/>
      <c r="L526" s="269"/>
      <c r="M526" s="269"/>
      <c r="N526" s="269"/>
      <c r="O526" s="269"/>
      <c r="P526" s="269"/>
      <c r="Q526" s="269"/>
      <c r="R526" s="269"/>
      <c r="S526" s="269"/>
      <c r="T526" s="269"/>
      <c r="U526" s="269"/>
      <c r="V526" s="217"/>
      <c r="W526" s="217"/>
      <c r="X526" s="217"/>
      <c r="Y526" s="217"/>
      <c r="Z526" s="217"/>
      <c r="AA526" s="217"/>
    </row>
    <row r="527" ht="15.0" customHeight="1">
      <c r="A527" s="218">
        <v>526.0</v>
      </c>
      <c r="B527" s="318">
        <v>2.0</v>
      </c>
      <c r="C527" s="297" t="s">
        <v>5057</v>
      </c>
      <c r="D527" s="298"/>
      <c r="E527" s="266" t="s">
        <v>5058</v>
      </c>
      <c r="F527" s="267" t="s">
        <v>227</v>
      </c>
      <c r="G527" s="269"/>
      <c r="H527" s="269"/>
      <c r="I527" s="269"/>
      <c r="J527" s="269"/>
      <c r="K527" s="269"/>
      <c r="L527" s="269"/>
      <c r="M527" s="269"/>
      <c r="N527" s="269"/>
      <c r="O527" s="269"/>
      <c r="P527" s="269"/>
      <c r="Q527" s="269"/>
      <c r="R527" s="269"/>
      <c r="S527" s="269"/>
      <c r="T527" s="269"/>
      <c r="U527" s="269"/>
      <c r="V527" s="217"/>
      <c r="W527" s="217"/>
      <c r="X527" s="217"/>
      <c r="Y527" s="217"/>
      <c r="Z527" s="217"/>
      <c r="AA527" s="217"/>
    </row>
    <row r="528" ht="15.0" customHeight="1">
      <c r="A528" s="218">
        <v>527.0</v>
      </c>
      <c r="B528" s="318">
        <v>3.0</v>
      </c>
      <c r="C528" s="297" t="s">
        <v>5062</v>
      </c>
      <c r="D528" s="298"/>
      <c r="E528" s="266" t="s">
        <v>5063</v>
      </c>
      <c r="F528" s="267" t="s">
        <v>227</v>
      </c>
      <c r="G528" s="269"/>
      <c r="H528" s="269"/>
      <c r="I528" s="269"/>
      <c r="J528" s="269"/>
      <c r="K528" s="269"/>
      <c r="L528" s="269"/>
      <c r="M528" s="269"/>
      <c r="N528" s="269"/>
      <c r="O528" s="269"/>
      <c r="P528" s="269"/>
      <c r="Q528" s="269"/>
      <c r="R528" s="269"/>
      <c r="S528" s="269"/>
      <c r="T528" s="269"/>
      <c r="U528" s="269"/>
      <c r="V528" s="217"/>
      <c r="W528" s="217"/>
      <c r="X528" s="217"/>
      <c r="Y528" s="217"/>
      <c r="Z528" s="217"/>
      <c r="AA528" s="217"/>
    </row>
    <row r="529" ht="15.0" customHeight="1">
      <c r="A529" s="218">
        <v>528.0</v>
      </c>
      <c r="B529" s="318">
        <v>4.0</v>
      </c>
      <c r="C529" s="297" t="s">
        <v>5067</v>
      </c>
      <c r="D529" s="298"/>
      <c r="E529" s="266" t="s">
        <v>5068</v>
      </c>
      <c r="F529" s="267" t="s">
        <v>220</v>
      </c>
      <c r="G529" s="269"/>
      <c r="H529" s="269"/>
      <c r="I529" s="269"/>
      <c r="J529" s="269"/>
      <c r="K529" s="269"/>
      <c r="L529" s="269"/>
      <c r="M529" s="269"/>
      <c r="N529" s="269"/>
      <c r="O529" s="269"/>
      <c r="P529" s="269"/>
      <c r="Q529" s="269"/>
      <c r="R529" s="269"/>
      <c r="S529" s="269"/>
      <c r="T529" s="269"/>
      <c r="U529" s="269"/>
      <c r="V529" s="217"/>
      <c r="W529" s="217"/>
      <c r="X529" s="217"/>
      <c r="Y529" s="217"/>
      <c r="Z529" s="217"/>
      <c r="AA529" s="217"/>
    </row>
    <row r="530" ht="15.0" customHeight="1">
      <c r="A530" s="218">
        <v>529.0</v>
      </c>
      <c r="B530" s="318">
        <v>5.0</v>
      </c>
      <c r="C530" s="297" t="s">
        <v>5072</v>
      </c>
      <c r="D530" s="298"/>
      <c r="E530" s="266" t="s">
        <v>5073</v>
      </c>
      <c r="F530" s="267" t="s">
        <v>227</v>
      </c>
      <c r="G530" s="269"/>
      <c r="H530" s="269"/>
      <c r="I530" s="269"/>
      <c r="J530" s="269"/>
      <c r="K530" s="269"/>
      <c r="L530" s="269"/>
      <c r="M530" s="269"/>
      <c r="N530" s="269"/>
      <c r="O530" s="269"/>
      <c r="P530" s="269"/>
      <c r="Q530" s="269"/>
      <c r="R530" s="269"/>
      <c r="S530" s="269"/>
      <c r="T530" s="269"/>
      <c r="U530" s="269"/>
      <c r="V530" s="217"/>
      <c r="W530" s="217"/>
      <c r="X530" s="217"/>
      <c r="Y530" s="217"/>
      <c r="Z530" s="217"/>
      <c r="AA530" s="217"/>
    </row>
    <row r="531" ht="15.0" customHeight="1">
      <c r="A531" s="218">
        <v>530.0</v>
      </c>
      <c r="B531" s="318">
        <v>6.0</v>
      </c>
      <c r="C531" s="297" t="s">
        <v>5077</v>
      </c>
      <c r="D531" s="298"/>
      <c r="E531" s="266" t="s">
        <v>5078</v>
      </c>
      <c r="F531" s="267" t="s">
        <v>227</v>
      </c>
      <c r="G531" s="269"/>
      <c r="H531" s="269"/>
      <c r="I531" s="269"/>
      <c r="J531" s="269"/>
      <c r="K531" s="269"/>
      <c r="L531" s="269"/>
      <c r="M531" s="269"/>
      <c r="N531" s="269"/>
      <c r="O531" s="269"/>
      <c r="P531" s="269"/>
      <c r="Q531" s="269"/>
      <c r="R531" s="269"/>
      <c r="S531" s="269"/>
      <c r="T531" s="269"/>
      <c r="U531" s="269"/>
      <c r="V531" s="217"/>
      <c r="W531" s="217"/>
      <c r="X531" s="217"/>
      <c r="Y531" s="217"/>
      <c r="Z531" s="217"/>
      <c r="AA531" s="217"/>
    </row>
    <row r="532" ht="15.0" customHeight="1">
      <c r="A532" s="218">
        <v>531.0</v>
      </c>
      <c r="B532" s="318">
        <v>7.0</v>
      </c>
      <c r="C532" s="297" t="s">
        <v>53</v>
      </c>
      <c r="D532" s="298"/>
      <c r="E532" s="266" t="s">
        <v>5082</v>
      </c>
      <c r="F532" s="267" t="s">
        <v>227</v>
      </c>
      <c r="G532" s="269"/>
      <c r="H532" s="269"/>
      <c r="I532" s="269"/>
      <c r="J532" s="269"/>
      <c r="K532" s="269"/>
      <c r="L532" s="269"/>
      <c r="M532" s="269"/>
      <c r="N532" s="269"/>
      <c r="O532" s="269"/>
      <c r="P532" s="269"/>
      <c r="Q532" s="269"/>
      <c r="R532" s="269"/>
      <c r="S532" s="269"/>
      <c r="T532" s="269"/>
      <c r="U532" s="269"/>
      <c r="V532" s="217"/>
      <c r="W532" s="217"/>
      <c r="X532" s="217"/>
      <c r="Y532" s="217"/>
      <c r="Z532" s="217"/>
      <c r="AA532" s="217"/>
    </row>
    <row r="533" ht="15.0" customHeight="1">
      <c r="A533" s="218">
        <v>532.0</v>
      </c>
      <c r="B533" s="318">
        <v>8.0</v>
      </c>
      <c r="C533" s="297" t="s">
        <v>5086</v>
      </c>
      <c r="D533" s="298"/>
      <c r="E533" s="266" t="s">
        <v>5087</v>
      </c>
      <c r="F533" s="267" t="s">
        <v>227</v>
      </c>
      <c r="G533" s="269"/>
      <c r="H533" s="269"/>
      <c r="I533" s="269"/>
      <c r="J533" s="269"/>
      <c r="K533" s="269"/>
      <c r="L533" s="269"/>
      <c r="M533" s="269"/>
      <c r="N533" s="269"/>
      <c r="O533" s="269"/>
      <c r="P533" s="269"/>
      <c r="Q533" s="269"/>
      <c r="R533" s="269"/>
      <c r="S533" s="269"/>
      <c r="T533" s="269"/>
      <c r="U533" s="269"/>
      <c r="V533" s="217"/>
      <c r="W533" s="217"/>
      <c r="X533" s="217"/>
      <c r="Y533" s="217"/>
      <c r="Z533" s="217"/>
      <c r="AA533" s="217"/>
    </row>
    <row r="534" ht="15.0" customHeight="1">
      <c r="A534" s="218">
        <v>533.0</v>
      </c>
      <c r="B534" s="318">
        <v>9.0</v>
      </c>
      <c r="C534" s="297" t="s">
        <v>5091</v>
      </c>
      <c r="D534" s="298"/>
      <c r="E534" s="266" t="s">
        <v>5092</v>
      </c>
      <c r="F534" s="271" t="s">
        <v>227</v>
      </c>
      <c r="G534" s="269"/>
      <c r="H534" s="269"/>
      <c r="I534" s="269"/>
      <c r="J534" s="269"/>
      <c r="K534" s="269"/>
      <c r="L534" s="269"/>
      <c r="M534" s="269"/>
      <c r="N534" s="269"/>
      <c r="O534" s="269"/>
      <c r="P534" s="269"/>
      <c r="Q534" s="269"/>
      <c r="R534" s="269"/>
      <c r="S534" s="269"/>
      <c r="T534" s="269"/>
      <c r="U534" s="269"/>
      <c r="V534" s="217"/>
      <c r="W534" s="217"/>
      <c r="X534" s="217"/>
      <c r="Y534" s="217"/>
      <c r="Z534" s="217"/>
      <c r="AA534" s="217"/>
    </row>
    <row r="535" ht="15.0" customHeight="1">
      <c r="A535" s="218">
        <v>534.0</v>
      </c>
      <c r="B535" s="318">
        <v>10.0</v>
      </c>
      <c r="C535" s="297" t="s">
        <v>5097</v>
      </c>
      <c r="D535" s="298"/>
      <c r="E535" s="266" t="s">
        <v>5098</v>
      </c>
      <c r="F535" s="267" t="s">
        <v>227</v>
      </c>
      <c r="G535" s="269"/>
      <c r="H535" s="269"/>
      <c r="I535" s="269"/>
      <c r="J535" s="269"/>
      <c r="K535" s="269"/>
      <c r="L535" s="269"/>
      <c r="M535" s="269"/>
      <c r="N535" s="269"/>
      <c r="O535" s="269"/>
      <c r="P535" s="269"/>
      <c r="Q535" s="269"/>
      <c r="R535" s="269"/>
      <c r="S535" s="269"/>
      <c r="T535" s="269"/>
      <c r="U535" s="269"/>
      <c r="V535" s="217"/>
      <c r="W535" s="217"/>
      <c r="X535" s="217"/>
      <c r="Y535" s="217"/>
      <c r="Z535" s="217"/>
      <c r="AA535" s="217"/>
    </row>
    <row r="536" ht="15.0" customHeight="1">
      <c r="A536" s="218">
        <v>535.0</v>
      </c>
      <c r="B536" s="318">
        <v>11.0</v>
      </c>
      <c r="C536" s="297" t="s">
        <v>5102</v>
      </c>
      <c r="D536" s="298"/>
      <c r="E536" s="266" t="s">
        <v>5103</v>
      </c>
      <c r="F536" s="267" t="s">
        <v>220</v>
      </c>
      <c r="G536" s="269"/>
      <c r="H536" s="269"/>
      <c r="I536" s="269"/>
      <c r="J536" s="269"/>
      <c r="K536" s="269"/>
      <c r="L536" s="269"/>
      <c r="M536" s="269"/>
      <c r="N536" s="269"/>
      <c r="O536" s="269"/>
      <c r="P536" s="269"/>
      <c r="Q536" s="269"/>
      <c r="R536" s="269"/>
      <c r="S536" s="269"/>
      <c r="T536" s="269"/>
      <c r="U536" s="269"/>
      <c r="V536" s="217"/>
      <c r="W536" s="217"/>
      <c r="X536" s="217"/>
      <c r="Y536" s="217"/>
      <c r="Z536" s="217"/>
      <c r="AA536" s="217"/>
    </row>
    <row r="537" ht="15.0" customHeight="1">
      <c r="A537" s="218">
        <v>536.0</v>
      </c>
      <c r="B537" s="318">
        <v>12.0</v>
      </c>
      <c r="C537" s="297" t="s">
        <v>5107</v>
      </c>
      <c r="D537" s="298"/>
      <c r="E537" s="266" t="s">
        <v>5108</v>
      </c>
      <c r="F537" s="267" t="s">
        <v>220</v>
      </c>
      <c r="G537" s="269"/>
      <c r="H537" s="269"/>
      <c r="I537" s="269"/>
      <c r="J537" s="269"/>
      <c r="K537" s="269"/>
      <c r="L537" s="269"/>
      <c r="M537" s="269"/>
      <c r="N537" s="269"/>
      <c r="O537" s="269"/>
      <c r="P537" s="269"/>
      <c r="Q537" s="269"/>
      <c r="R537" s="269"/>
      <c r="S537" s="269"/>
      <c r="T537" s="269"/>
      <c r="U537" s="269"/>
      <c r="V537" s="217"/>
      <c r="W537" s="217"/>
      <c r="X537" s="217"/>
      <c r="Y537" s="217"/>
      <c r="Z537" s="217"/>
      <c r="AA537" s="217"/>
    </row>
    <row r="538" ht="15.0" customHeight="1">
      <c r="A538" s="218">
        <v>537.0</v>
      </c>
      <c r="B538" s="318">
        <v>13.0</v>
      </c>
      <c r="C538" s="297" t="s">
        <v>5112</v>
      </c>
      <c r="D538" s="298"/>
      <c r="E538" s="266" t="s">
        <v>5113</v>
      </c>
      <c r="F538" s="267" t="s">
        <v>227</v>
      </c>
      <c r="G538" s="269"/>
      <c r="H538" s="269"/>
      <c r="I538" s="269"/>
      <c r="J538" s="269"/>
      <c r="K538" s="269"/>
      <c r="L538" s="269"/>
      <c r="M538" s="269"/>
      <c r="N538" s="269"/>
      <c r="O538" s="269"/>
      <c r="P538" s="269"/>
      <c r="Q538" s="269"/>
      <c r="R538" s="269"/>
      <c r="S538" s="269"/>
      <c r="T538" s="269"/>
      <c r="U538" s="269"/>
      <c r="V538" s="217"/>
      <c r="W538" s="217"/>
      <c r="X538" s="217"/>
      <c r="Y538" s="217"/>
      <c r="Z538" s="217"/>
      <c r="AA538" s="217"/>
    </row>
    <row r="539" ht="15.0" customHeight="1">
      <c r="A539" s="218">
        <v>538.0</v>
      </c>
      <c r="B539" s="318">
        <v>14.0</v>
      </c>
      <c r="C539" s="297" t="s">
        <v>5117</v>
      </c>
      <c r="D539" s="298"/>
      <c r="E539" s="266" t="s">
        <v>5118</v>
      </c>
      <c r="F539" s="267" t="s">
        <v>220</v>
      </c>
      <c r="G539" s="269"/>
      <c r="H539" s="269"/>
      <c r="I539" s="269"/>
      <c r="J539" s="269"/>
      <c r="K539" s="269"/>
      <c r="L539" s="269"/>
      <c r="M539" s="269"/>
      <c r="N539" s="269"/>
      <c r="O539" s="269"/>
      <c r="P539" s="269"/>
      <c r="Q539" s="269"/>
      <c r="R539" s="269"/>
      <c r="S539" s="269"/>
      <c r="T539" s="269"/>
      <c r="U539" s="269"/>
      <c r="V539" s="217"/>
      <c r="W539" s="217"/>
      <c r="X539" s="217"/>
      <c r="Y539" s="217"/>
      <c r="Z539" s="217"/>
      <c r="AA539" s="217"/>
    </row>
    <row r="540" ht="15.0" customHeight="1">
      <c r="A540" s="218">
        <v>539.0</v>
      </c>
      <c r="B540" s="318">
        <v>15.0</v>
      </c>
      <c r="C540" s="297" t="s">
        <v>5122</v>
      </c>
      <c r="D540" s="298"/>
      <c r="E540" s="266" t="s">
        <v>5123</v>
      </c>
      <c r="F540" s="267" t="s">
        <v>227</v>
      </c>
      <c r="G540" s="269"/>
      <c r="H540" s="269"/>
      <c r="I540" s="269"/>
      <c r="J540" s="269"/>
      <c r="K540" s="269"/>
      <c r="L540" s="269"/>
      <c r="M540" s="269"/>
      <c r="N540" s="269"/>
      <c r="O540" s="269"/>
      <c r="P540" s="269"/>
      <c r="Q540" s="269"/>
      <c r="R540" s="269"/>
      <c r="S540" s="269"/>
      <c r="T540" s="269"/>
      <c r="U540" s="269"/>
      <c r="V540" s="217"/>
      <c r="W540" s="217"/>
      <c r="X540" s="217"/>
      <c r="Y540" s="217"/>
      <c r="Z540" s="217"/>
      <c r="AA540" s="217"/>
    </row>
    <row r="541" ht="15.0" customHeight="1">
      <c r="A541" s="218">
        <v>540.0</v>
      </c>
      <c r="B541" s="318">
        <v>16.0</v>
      </c>
      <c r="C541" s="297" t="s">
        <v>5127</v>
      </c>
      <c r="D541" s="298"/>
      <c r="E541" s="266" t="s">
        <v>5128</v>
      </c>
      <c r="F541" s="267" t="s">
        <v>227</v>
      </c>
      <c r="G541" s="269"/>
      <c r="H541" s="269"/>
      <c r="I541" s="269"/>
      <c r="J541" s="269"/>
      <c r="K541" s="269"/>
      <c r="L541" s="269"/>
      <c r="M541" s="269"/>
      <c r="N541" s="269"/>
      <c r="O541" s="269"/>
      <c r="P541" s="269"/>
      <c r="Q541" s="269"/>
      <c r="R541" s="269"/>
      <c r="S541" s="269"/>
      <c r="T541" s="269"/>
      <c r="U541" s="269"/>
      <c r="V541" s="217"/>
      <c r="W541" s="217"/>
      <c r="X541" s="217"/>
      <c r="Y541" s="217"/>
      <c r="Z541" s="217"/>
      <c r="AA541" s="217"/>
    </row>
    <row r="542" ht="15.0" customHeight="1">
      <c r="A542" s="218">
        <v>541.0</v>
      </c>
      <c r="B542" s="318">
        <v>17.0</v>
      </c>
      <c r="C542" s="297" t="s">
        <v>5132</v>
      </c>
      <c r="D542" s="298"/>
      <c r="E542" s="266" t="s">
        <v>5133</v>
      </c>
      <c r="F542" s="267" t="s">
        <v>227</v>
      </c>
      <c r="G542" s="269"/>
      <c r="H542" s="269"/>
      <c r="I542" s="269"/>
      <c r="J542" s="269"/>
      <c r="K542" s="269"/>
      <c r="L542" s="269"/>
      <c r="M542" s="269"/>
      <c r="N542" s="269"/>
      <c r="O542" s="269"/>
      <c r="P542" s="269"/>
      <c r="Q542" s="269"/>
      <c r="R542" s="269"/>
      <c r="S542" s="269"/>
      <c r="T542" s="269"/>
      <c r="U542" s="269"/>
      <c r="V542" s="217"/>
      <c r="W542" s="217"/>
      <c r="X542" s="217"/>
      <c r="Y542" s="217"/>
      <c r="Z542" s="217"/>
      <c r="AA542" s="217"/>
    </row>
    <row r="543" ht="15.0" customHeight="1">
      <c r="A543" s="218">
        <v>542.0</v>
      </c>
      <c r="B543" s="318">
        <v>18.0</v>
      </c>
      <c r="C543" s="335" t="s">
        <v>5138</v>
      </c>
      <c r="D543" s="331"/>
      <c r="E543" s="266" t="s">
        <v>5139</v>
      </c>
      <c r="F543" s="267" t="s">
        <v>220</v>
      </c>
      <c r="G543" s="269"/>
      <c r="H543" s="269"/>
      <c r="I543" s="269"/>
      <c r="J543" s="269"/>
      <c r="K543" s="269"/>
      <c r="L543" s="269"/>
      <c r="M543" s="269"/>
      <c r="N543" s="269"/>
      <c r="O543" s="269"/>
      <c r="P543" s="269"/>
      <c r="Q543" s="269"/>
      <c r="R543" s="269"/>
      <c r="S543" s="269"/>
      <c r="T543" s="269"/>
      <c r="U543" s="269"/>
      <c r="V543" s="217"/>
      <c r="W543" s="217"/>
      <c r="X543" s="217"/>
      <c r="Y543" s="217"/>
      <c r="Z543" s="217"/>
      <c r="AA543" s="217"/>
    </row>
    <row r="544" ht="15.0" customHeight="1">
      <c r="A544" s="218">
        <v>543.0</v>
      </c>
      <c r="B544" s="318">
        <v>19.0</v>
      </c>
      <c r="C544" s="297" t="s">
        <v>5143</v>
      </c>
      <c r="D544" s="298"/>
      <c r="E544" s="266" t="s">
        <v>5144</v>
      </c>
      <c r="F544" s="267" t="s">
        <v>227</v>
      </c>
      <c r="G544" s="269"/>
      <c r="H544" s="269"/>
      <c r="I544" s="269"/>
      <c r="J544" s="269"/>
      <c r="K544" s="269"/>
      <c r="L544" s="269"/>
      <c r="M544" s="269"/>
      <c r="N544" s="269"/>
      <c r="O544" s="269"/>
      <c r="P544" s="269"/>
      <c r="Q544" s="269"/>
      <c r="R544" s="269"/>
      <c r="S544" s="269"/>
      <c r="T544" s="269"/>
      <c r="U544" s="269"/>
      <c r="V544" s="217"/>
      <c r="W544" s="217"/>
      <c r="X544" s="217"/>
      <c r="Y544" s="217"/>
      <c r="Z544" s="217"/>
      <c r="AA544" s="217"/>
    </row>
    <row r="545" ht="15.0" customHeight="1">
      <c r="A545" s="218">
        <v>544.0</v>
      </c>
      <c r="B545" s="318">
        <v>20.0</v>
      </c>
      <c r="C545" s="297" t="s">
        <v>5148</v>
      </c>
      <c r="D545" s="298"/>
      <c r="E545" s="266" t="s">
        <v>5149</v>
      </c>
      <c r="F545" s="267" t="s">
        <v>227</v>
      </c>
      <c r="G545" s="269"/>
      <c r="H545" s="269"/>
      <c r="I545" s="269"/>
      <c r="J545" s="269"/>
      <c r="K545" s="269"/>
      <c r="L545" s="269"/>
      <c r="M545" s="269"/>
      <c r="N545" s="269"/>
      <c r="O545" s="269"/>
      <c r="P545" s="269"/>
      <c r="Q545" s="269"/>
      <c r="R545" s="269"/>
      <c r="S545" s="269"/>
      <c r="T545" s="269"/>
      <c r="U545" s="269"/>
      <c r="V545" s="217"/>
      <c r="W545" s="217"/>
      <c r="X545" s="217"/>
      <c r="Y545" s="217"/>
      <c r="Z545" s="217"/>
      <c r="AA545" s="217"/>
    </row>
    <row r="546" ht="15.0" customHeight="1">
      <c r="A546" s="218">
        <v>545.0</v>
      </c>
      <c r="B546" s="318">
        <v>21.0</v>
      </c>
      <c r="C546" s="297" t="s">
        <v>5153</v>
      </c>
      <c r="D546" s="298"/>
      <c r="E546" s="266" t="s">
        <v>5154</v>
      </c>
      <c r="F546" s="267" t="s">
        <v>220</v>
      </c>
      <c r="G546" s="269"/>
      <c r="H546" s="269"/>
      <c r="I546" s="269"/>
      <c r="J546" s="269"/>
      <c r="K546" s="269"/>
      <c r="L546" s="269"/>
      <c r="M546" s="269"/>
      <c r="N546" s="269"/>
      <c r="O546" s="269"/>
      <c r="P546" s="269"/>
      <c r="Q546" s="269"/>
      <c r="R546" s="269"/>
      <c r="S546" s="269"/>
      <c r="T546" s="269"/>
      <c r="U546" s="269"/>
      <c r="V546" s="217"/>
      <c r="W546" s="217"/>
      <c r="X546" s="217"/>
      <c r="Y546" s="217"/>
      <c r="Z546" s="217"/>
      <c r="AA546" s="217"/>
    </row>
    <row r="547" ht="15.0" customHeight="1">
      <c r="A547" s="218">
        <v>546.0</v>
      </c>
      <c r="B547" s="318">
        <v>22.0</v>
      </c>
      <c r="C547" s="297" t="s">
        <v>5158</v>
      </c>
      <c r="D547" s="298"/>
      <c r="E547" s="266" t="s">
        <v>5159</v>
      </c>
      <c r="F547" s="267" t="s">
        <v>227</v>
      </c>
      <c r="G547" s="269"/>
      <c r="H547" s="269"/>
      <c r="I547" s="269"/>
      <c r="J547" s="269"/>
      <c r="K547" s="269"/>
      <c r="L547" s="269"/>
      <c r="M547" s="269"/>
      <c r="N547" s="269"/>
      <c r="O547" s="269"/>
      <c r="P547" s="269"/>
      <c r="Q547" s="269"/>
      <c r="R547" s="269"/>
      <c r="S547" s="269"/>
      <c r="T547" s="269"/>
      <c r="U547" s="269"/>
      <c r="V547" s="217"/>
      <c r="W547" s="217"/>
      <c r="X547" s="217"/>
      <c r="Y547" s="217"/>
      <c r="Z547" s="217"/>
      <c r="AA547" s="217"/>
    </row>
    <row r="548" ht="15.0" customHeight="1">
      <c r="A548" s="218">
        <v>547.0</v>
      </c>
      <c r="B548" s="318">
        <v>23.0</v>
      </c>
      <c r="C548" s="297" t="s">
        <v>129</v>
      </c>
      <c r="D548" s="298"/>
      <c r="E548" s="266" t="s">
        <v>5163</v>
      </c>
      <c r="F548" s="267" t="s">
        <v>227</v>
      </c>
      <c r="G548" s="269"/>
      <c r="H548" s="269"/>
      <c r="I548" s="269"/>
      <c r="J548" s="269"/>
      <c r="K548" s="269"/>
      <c r="L548" s="269"/>
      <c r="M548" s="269"/>
      <c r="N548" s="269"/>
      <c r="O548" s="269"/>
      <c r="P548" s="269"/>
      <c r="Q548" s="269"/>
      <c r="R548" s="269"/>
      <c r="S548" s="269"/>
      <c r="T548" s="269"/>
      <c r="U548" s="269"/>
      <c r="V548" s="217"/>
      <c r="W548" s="217"/>
      <c r="X548" s="217"/>
      <c r="Y548" s="217"/>
      <c r="Z548" s="217"/>
      <c r="AA548" s="217"/>
    </row>
    <row r="549" ht="15.0" customHeight="1">
      <c r="A549" s="218">
        <v>548.0</v>
      </c>
      <c r="B549" s="318">
        <v>24.0</v>
      </c>
      <c r="C549" s="297" t="s">
        <v>5167</v>
      </c>
      <c r="D549" s="298"/>
      <c r="E549" s="266" t="s">
        <v>5168</v>
      </c>
      <c r="F549" s="267" t="s">
        <v>227</v>
      </c>
      <c r="G549" s="269"/>
      <c r="H549" s="269"/>
      <c r="I549" s="269"/>
      <c r="J549" s="269"/>
      <c r="K549" s="269"/>
      <c r="L549" s="269"/>
      <c r="M549" s="269"/>
      <c r="N549" s="269"/>
      <c r="O549" s="269"/>
      <c r="P549" s="269"/>
      <c r="Q549" s="269"/>
      <c r="R549" s="269"/>
      <c r="S549" s="269"/>
      <c r="T549" s="269"/>
      <c r="U549" s="269"/>
      <c r="V549" s="217"/>
      <c r="W549" s="217"/>
      <c r="X549" s="217"/>
      <c r="Y549" s="217"/>
      <c r="Z549" s="217"/>
      <c r="AA549" s="217"/>
    </row>
    <row r="550" ht="15.0" customHeight="1">
      <c r="A550" s="218">
        <v>549.0</v>
      </c>
      <c r="B550" s="318">
        <v>25.0</v>
      </c>
      <c r="C550" s="297" t="s">
        <v>5173</v>
      </c>
      <c r="D550" s="298"/>
      <c r="E550" s="266" t="s">
        <v>5174</v>
      </c>
      <c r="F550" s="267" t="s">
        <v>220</v>
      </c>
      <c r="G550" s="269"/>
      <c r="H550" s="269"/>
      <c r="I550" s="269"/>
      <c r="J550" s="269"/>
      <c r="K550" s="269"/>
      <c r="L550" s="269"/>
      <c r="M550" s="269"/>
      <c r="N550" s="269"/>
      <c r="O550" s="269"/>
      <c r="P550" s="269"/>
      <c r="Q550" s="269"/>
      <c r="R550" s="269"/>
      <c r="S550" s="269"/>
      <c r="T550" s="269"/>
      <c r="U550" s="269"/>
      <c r="V550" s="217"/>
      <c r="W550" s="217"/>
      <c r="X550" s="217"/>
      <c r="Y550" s="217"/>
      <c r="Z550" s="217"/>
      <c r="AA550" s="217"/>
    </row>
    <row r="551" ht="15.0" customHeight="1">
      <c r="A551" s="218">
        <v>550.0</v>
      </c>
      <c r="B551" s="318">
        <v>26.0</v>
      </c>
      <c r="C551" s="297" t="s">
        <v>5178</v>
      </c>
      <c r="D551" s="298"/>
      <c r="E551" s="270" t="s">
        <v>5179</v>
      </c>
      <c r="F551" s="271" t="s">
        <v>220</v>
      </c>
      <c r="G551" s="269"/>
      <c r="H551" s="269"/>
      <c r="I551" s="269"/>
      <c r="J551" s="269"/>
      <c r="K551" s="269"/>
      <c r="L551" s="269"/>
      <c r="M551" s="269"/>
      <c r="N551" s="269"/>
      <c r="O551" s="269"/>
      <c r="P551" s="269"/>
      <c r="Q551" s="269"/>
      <c r="R551" s="269"/>
      <c r="S551" s="269"/>
      <c r="T551" s="269"/>
      <c r="U551" s="269"/>
      <c r="V551" s="217"/>
      <c r="W551" s="217"/>
      <c r="X551" s="217"/>
      <c r="Y551" s="217"/>
      <c r="Z551" s="217"/>
      <c r="AA551" s="217"/>
    </row>
    <row r="552" ht="15.0" customHeight="1">
      <c r="A552" s="218">
        <v>551.0</v>
      </c>
      <c r="B552" s="318">
        <v>27.0</v>
      </c>
      <c r="C552" s="297" t="s">
        <v>5183</v>
      </c>
      <c r="D552" s="298"/>
      <c r="E552" s="270" t="s">
        <v>5184</v>
      </c>
      <c r="F552" s="271" t="s">
        <v>220</v>
      </c>
      <c r="G552" s="287"/>
      <c r="H552" s="287"/>
      <c r="I552" s="287"/>
      <c r="J552" s="287"/>
      <c r="K552" s="287"/>
      <c r="L552" s="287"/>
      <c r="M552" s="287"/>
      <c r="N552" s="287"/>
      <c r="O552" s="287"/>
      <c r="P552" s="287"/>
      <c r="Q552" s="287"/>
      <c r="R552" s="287"/>
      <c r="S552" s="287"/>
      <c r="T552" s="287"/>
      <c r="U552" s="287"/>
      <c r="X552" s="217"/>
      <c r="Y552" s="217"/>
      <c r="Z552" s="217"/>
      <c r="AA552" s="217"/>
    </row>
    <row r="553" ht="15.0" customHeight="1">
      <c r="A553" s="218">
        <v>552.0</v>
      </c>
      <c r="B553" s="318">
        <v>28.0</v>
      </c>
      <c r="C553" s="297" t="s">
        <v>5188</v>
      </c>
      <c r="D553" s="298"/>
      <c r="E553" s="266" t="s">
        <v>5189</v>
      </c>
      <c r="F553" s="267" t="s">
        <v>220</v>
      </c>
      <c r="G553" s="269"/>
      <c r="H553" s="269"/>
      <c r="I553" s="269"/>
      <c r="J553" s="269"/>
      <c r="K553" s="269"/>
      <c r="L553" s="269"/>
      <c r="M553" s="269"/>
      <c r="N553" s="269"/>
      <c r="O553" s="269"/>
      <c r="P553" s="269"/>
      <c r="Q553" s="269"/>
      <c r="R553" s="269"/>
      <c r="S553" s="269"/>
      <c r="T553" s="269"/>
      <c r="U553" s="269"/>
      <c r="V553" s="217"/>
      <c r="W553" s="217"/>
      <c r="X553" s="217"/>
      <c r="Y553" s="217"/>
      <c r="Z553" s="217"/>
      <c r="AA553" s="217"/>
    </row>
    <row r="554" ht="15.0" customHeight="1">
      <c r="A554" s="218">
        <v>553.0</v>
      </c>
      <c r="B554" s="318">
        <v>29.0</v>
      </c>
      <c r="C554" s="297" t="s">
        <v>5193</v>
      </c>
      <c r="D554" s="298"/>
      <c r="E554" s="266" t="s">
        <v>5194</v>
      </c>
      <c r="F554" s="267" t="s">
        <v>220</v>
      </c>
      <c r="G554" s="269"/>
      <c r="H554" s="269"/>
      <c r="I554" s="269"/>
      <c r="J554" s="269"/>
      <c r="K554" s="269"/>
      <c r="L554" s="269"/>
      <c r="M554" s="269"/>
      <c r="N554" s="269"/>
      <c r="O554" s="269"/>
      <c r="P554" s="269"/>
      <c r="Q554" s="269"/>
      <c r="R554" s="269"/>
      <c r="S554" s="269"/>
      <c r="T554" s="269"/>
      <c r="U554" s="269"/>
      <c r="V554" s="217"/>
      <c r="W554" s="217"/>
      <c r="X554" s="217"/>
      <c r="Y554" s="217"/>
      <c r="Z554" s="217"/>
      <c r="AA554" s="217"/>
    </row>
    <row r="555" ht="15.0" customHeight="1">
      <c r="A555" s="218">
        <v>554.0</v>
      </c>
      <c r="B555" s="318">
        <v>31.0</v>
      </c>
      <c r="C555" s="297" t="s">
        <v>5198</v>
      </c>
      <c r="D555" s="298"/>
      <c r="E555" s="266" t="s">
        <v>5199</v>
      </c>
      <c r="F555" s="267" t="s">
        <v>220</v>
      </c>
      <c r="G555" s="269"/>
      <c r="H555" s="269"/>
      <c r="I555" s="269"/>
      <c r="J555" s="269"/>
      <c r="K555" s="269"/>
      <c r="L555" s="269"/>
      <c r="M555" s="269"/>
      <c r="N555" s="269"/>
      <c r="O555" s="269"/>
      <c r="P555" s="269"/>
      <c r="Q555" s="269"/>
      <c r="R555" s="269"/>
      <c r="S555" s="269"/>
      <c r="T555" s="269"/>
      <c r="U555" s="269"/>
      <c r="V555" s="217"/>
      <c r="W555" s="217"/>
      <c r="X555" s="217"/>
      <c r="Y555" s="217"/>
      <c r="Z555" s="217"/>
      <c r="AA555" s="217"/>
    </row>
    <row r="556" ht="15.0" customHeight="1">
      <c r="A556" s="218">
        <v>555.0</v>
      </c>
      <c r="B556" s="318">
        <v>32.0</v>
      </c>
      <c r="C556" s="297" t="s">
        <v>5203</v>
      </c>
      <c r="D556" s="298"/>
      <c r="E556" s="266" t="s">
        <v>5204</v>
      </c>
      <c r="F556" s="267" t="s">
        <v>227</v>
      </c>
      <c r="G556" s="269"/>
      <c r="H556" s="269"/>
      <c r="I556" s="269"/>
      <c r="J556" s="269"/>
      <c r="K556" s="269"/>
      <c r="L556" s="269"/>
      <c r="M556" s="269"/>
      <c r="N556" s="269"/>
      <c r="O556" s="269"/>
      <c r="P556" s="269"/>
      <c r="Q556" s="269"/>
      <c r="R556" s="269"/>
      <c r="S556" s="269"/>
      <c r="T556" s="269"/>
      <c r="U556" s="269"/>
      <c r="V556" s="217"/>
      <c r="W556" s="217"/>
      <c r="X556" s="217"/>
      <c r="Y556" s="217"/>
      <c r="Z556" s="217"/>
      <c r="AA556" s="217"/>
    </row>
    <row r="557" ht="15.0" customHeight="1">
      <c r="A557" s="218">
        <v>556.0</v>
      </c>
      <c r="B557" s="318">
        <v>33.0</v>
      </c>
      <c r="C557" s="297" t="s">
        <v>5209</v>
      </c>
      <c r="D557" s="298"/>
      <c r="E557" s="266" t="s">
        <v>5210</v>
      </c>
      <c r="F557" s="267" t="s">
        <v>227</v>
      </c>
      <c r="G557" s="269"/>
      <c r="H557" s="269"/>
      <c r="I557" s="269"/>
      <c r="J557" s="269"/>
      <c r="K557" s="269"/>
      <c r="L557" s="269"/>
      <c r="M557" s="269"/>
      <c r="N557" s="269"/>
      <c r="O557" s="269"/>
      <c r="P557" s="269"/>
      <c r="Q557" s="269"/>
      <c r="R557" s="269"/>
      <c r="S557" s="269"/>
      <c r="T557" s="269"/>
      <c r="U557" s="269"/>
      <c r="V557" s="217"/>
      <c r="W557" s="217"/>
      <c r="X557" s="217"/>
      <c r="Y557" s="217"/>
      <c r="Z557" s="217"/>
      <c r="AA557" s="217"/>
    </row>
    <row r="558" ht="15.0" customHeight="1">
      <c r="A558" s="218">
        <v>557.0</v>
      </c>
      <c r="B558" s="318">
        <v>34.0</v>
      </c>
      <c r="C558" s="335" t="s">
        <v>5214</v>
      </c>
      <c r="D558" s="331"/>
      <c r="E558" s="266" t="s">
        <v>5215</v>
      </c>
      <c r="F558" s="267" t="s">
        <v>220</v>
      </c>
      <c r="G558" s="269"/>
      <c r="H558" s="269"/>
      <c r="I558" s="269"/>
      <c r="J558" s="269"/>
      <c r="K558" s="269"/>
      <c r="L558" s="269"/>
      <c r="M558" s="269"/>
      <c r="N558" s="269"/>
      <c r="O558" s="269"/>
      <c r="P558" s="269"/>
      <c r="Q558" s="269"/>
      <c r="R558" s="269"/>
      <c r="S558" s="269"/>
      <c r="T558" s="269"/>
      <c r="U558" s="269"/>
      <c r="V558" s="217"/>
      <c r="W558" s="217"/>
      <c r="X558" s="217"/>
      <c r="Y558" s="217"/>
      <c r="Z558" s="217"/>
      <c r="AA558" s="217"/>
    </row>
    <row r="559" ht="15.0" customHeight="1">
      <c r="A559" s="218">
        <v>558.0</v>
      </c>
      <c r="B559" s="318">
        <v>35.0</v>
      </c>
      <c r="C559" s="341" t="s">
        <v>5219</v>
      </c>
      <c r="D559" s="342"/>
      <c r="E559" s="266" t="s">
        <v>5220</v>
      </c>
      <c r="F559" s="267" t="s">
        <v>227</v>
      </c>
      <c r="G559" s="269"/>
      <c r="H559" s="269"/>
      <c r="I559" s="269"/>
      <c r="J559" s="269"/>
      <c r="K559" s="269"/>
      <c r="L559" s="269"/>
      <c r="M559" s="269"/>
      <c r="N559" s="269"/>
      <c r="O559" s="269"/>
      <c r="P559" s="269"/>
      <c r="Q559" s="269"/>
      <c r="R559" s="269"/>
      <c r="S559" s="269"/>
      <c r="T559" s="269"/>
      <c r="U559" s="269"/>
      <c r="V559" s="217"/>
      <c r="W559" s="217"/>
      <c r="X559" s="217"/>
      <c r="Y559" s="217"/>
      <c r="Z559" s="217"/>
      <c r="AA559" s="217"/>
    </row>
    <row r="560" ht="15.0" customHeight="1">
      <c r="A560" s="218">
        <v>559.0</v>
      </c>
      <c r="B560" s="318">
        <v>36.0</v>
      </c>
      <c r="C560" s="297" t="s">
        <v>5224</v>
      </c>
      <c r="D560" s="298"/>
      <c r="E560" s="270" t="s">
        <v>5225</v>
      </c>
      <c r="F560" s="271" t="s">
        <v>227</v>
      </c>
      <c r="G560" s="269"/>
      <c r="H560" s="269"/>
      <c r="I560" s="269"/>
      <c r="J560" s="269"/>
      <c r="K560" s="269"/>
      <c r="L560" s="269"/>
      <c r="M560" s="269"/>
      <c r="N560" s="269"/>
      <c r="O560" s="269"/>
      <c r="P560" s="269"/>
      <c r="Q560" s="269"/>
      <c r="R560" s="269"/>
      <c r="S560" s="269"/>
      <c r="T560" s="269"/>
      <c r="U560" s="269"/>
      <c r="V560" s="217"/>
      <c r="W560" s="217"/>
      <c r="X560" s="217"/>
      <c r="Y560" s="217"/>
      <c r="Z560" s="217"/>
      <c r="AA560" s="217"/>
    </row>
    <row r="561" ht="15.0" customHeight="1">
      <c r="A561" s="218">
        <v>560.0</v>
      </c>
      <c r="B561" s="318">
        <v>37.0</v>
      </c>
      <c r="C561" s="297" t="s">
        <v>5229</v>
      </c>
      <c r="D561" s="298"/>
      <c r="E561" s="266" t="s">
        <v>5230</v>
      </c>
      <c r="F561" s="267" t="s">
        <v>227</v>
      </c>
      <c r="G561" s="343"/>
      <c r="H561" s="269"/>
      <c r="I561" s="269"/>
      <c r="J561" s="269"/>
      <c r="K561" s="269"/>
      <c r="L561" s="269"/>
      <c r="M561" s="269"/>
      <c r="N561" s="269"/>
      <c r="O561" s="269"/>
      <c r="P561" s="269"/>
      <c r="Q561" s="269"/>
      <c r="R561" s="269"/>
      <c r="S561" s="269"/>
      <c r="T561" s="269"/>
      <c r="U561" s="269"/>
      <c r="V561" s="217"/>
      <c r="W561" s="217"/>
      <c r="X561" s="217"/>
      <c r="Y561" s="217"/>
      <c r="Z561" s="217"/>
      <c r="AA561" s="217"/>
    </row>
    <row r="562" ht="15.75" hidden="1" customHeight="1">
      <c r="A562" s="218">
        <v>561.0</v>
      </c>
      <c r="B562" s="344"/>
      <c r="C562" s="253"/>
      <c r="D562" s="252"/>
      <c r="E562" s="253"/>
      <c r="F562" s="253"/>
      <c r="G562" s="254"/>
      <c r="H562" s="254"/>
      <c r="I562" s="254"/>
      <c r="J562" s="254"/>
      <c r="K562" s="254"/>
      <c r="L562" s="254"/>
      <c r="M562" s="254"/>
      <c r="N562" s="254"/>
      <c r="O562" s="254"/>
      <c r="P562" s="254"/>
      <c r="Q562" s="254"/>
      <c r="R562" s="254"/>
      <c r="S562" s="254"/>
      <c r="T562" s="254"/>
      <c r="U562" s="254"/>
      <c r="V562" s="217"/>
      <c r="W562" s="217"/>
      <c r="X562" s="217"/>
      <c r="Y562" s="217"/>
      <c r="Z562" s="217"/>
      <c r="AA562" s="217"/>
    </row>
    <row r="563" ht="15.75" hidden="1" customHeight="1">
      <c r="A563" s="218">
        <v>562.0</v>
      </c>
      <c r="B563" s="344"/>
      <c r="C563" s="253"/>
      <c r="D563" s="252"/>
      <c r="E563" s="253"/>
      <c r="F563" s="253"/>
      <c r="G563" s="254"/>
      <c r="H563" s="254"/>
      <c r="I563" s="254"/>
      <c r="J563" s="254"/>
      <c r="K563" s="338" t="s">
        <v>9753</v>
      </c>
      <c r="L563" s="339"/>
      <c r="M563" s="339"/>
      <c r="N563" s="339"/>
      <c r="O563" s="339"/>
      <c r="P563" s="339"/>
      <c r="Q563" s="339"/>
      <c r="R563" s="340"/>
      <c r="S563" s="293"/>
      <c r="T563" s="293"/>
      <c r="U563" s="254"/>
      <c r="V563" s="217"/>
      <c r="W563" s="217"/>
      <c r="X563" s="217"/>
      <c r="Y563" s="217"/>
      <c r="Z563" s="217"/>
      <c r="AA563" s="217"/>
    </row>
    <row r="564" ht="15.75" hidden="1" customHeight="1">
      <c r="A564" s="218">
        <v>563.0</v>
      </c>
      <c r="B564" s="344"/>
      <c r="C564" s="253"/>
      <c r="D564" s="252"/>
      <c r="E564" s="253"/>
      <c r="F564" s="253"/>
      <c r="G564" s="254"/>
      <c r="H564" s="254"/>
      <c r="I564" s="254"/>
      <c r="J564" s="254"/>
      <c r="K564" s="258" t="s">
        <v>8793</v>
      </c>
      <c r="L564" s="259"/>
      <c r="M564" s="259"/>
      <c r="N564" s="259"/>
      <c r="O564" s="259"/>
      <c r="P564" s="259"/>
      <c r="Q564" s="259"/>
      <c r="R564" s="259"/>
      <c r="S564" s="259"/>
      <c r="T564" s="260"/>
      <c r="U564" s="254"/>
      <c r="V564" s="217"/>
      <c r="W564" s="217"/>
      <c r="X564" s="217"/>
      <c r="Y564" s="217"/>
      <c r="Z564" s="217"/>
      <c r="AA564" s="217"/>
    </row>
    <row r="565" ht="15.75" hidden="1" customHeight="1">
      <c r="A565" s="218">
        <v>564.0</v>
      </c>
      <c r="B565" s="344"/>
      <c r="C565" s="253"/>
      <c r="D565" s="253"/>
      <c r="E565" s="345"/>
      <c r="F565" s="253"/>
      <c r="G565" s="254"/>
      <c r="H565" s="254"/>
      <c r="I565" s="254"/>
      <c r="J565" s="254"/>
      <c r="K565" s="254"/>
      <c r="L565" s="254"/>
      <c r="M565" s="254"/>
      <c r="N565" s="254"/>
      <c r="O565" s="254"/>
      <c r="P565" s="254"/>
      <c r="Q565" s="254"/>
      <c r="R565" s="254"/>
      <c r="S565" s="254"/>
      <c r="T565" s="254"/>
      <c r="U565" s="254"/>
      <c r="V565" s="217"/>
      <c r="W565" s="217"/>
      <c r="X565" s="217"/>
      <c r="Y565" s="217"/>
      <c r="Z565" s="217"/>
      <c r="AA565" s="217"/>
    </row>
    <row r="566" ht="15.75" hidden="1" customHeight="1">
      <c r="A566" s="218">
        <v>565.0</v>
      </c>
      <c r="B566" s="344"/>
      <c r="C566" s="253"/>
      <c r="D566" s="253"/>
      <c r="E566" s="345"/>
      <c r="F566" s="253"/>
      <c r="G566" s="254"/>
      <c r="H566" s="254"/>
      <c r="I566" s="254"/>
      <c r="J566" s="254"/>
      <c r="K566" s="254"/>
      <c r="L566" s="254"/>
      <c r="M566" s="254"/>
      <c r="N566" s="254"/>
      <c r="O566" s="254"/>
      <c r="P566" s="254"/>
      <c r="Q566" s="254"/>
      <c r="R566" s="254"/>
      <c r="S566" s="254"/>
      <c r="T566" s="254"/>
      <c r="U566" s="254"/>
      <c r="V566" s="217"/>
      <c r="W566" s="217"/>
      <c r="X566" s="217"/>
      <c r="Y566" s="217"/>
      <c r="Z566" s="217"/>
      <c r="AA566" s="217"/>
    </row>
    <row r="567" ht="15.75" hidden="1" customHeight="1">
      <c r="A567" s="218">
        <v>566.0</v>
      </c>
      <c r="B567" s="344"/>
      <c r="C567" s="253"/>
      <c r="D567" s="253"/>
      <c r="E567" s="345"/>
      <c r="F567" s="253"/>
      <c r="G567" s="254"/>
      <c r="H567" s="254"/>
      <c r="I567" s="254"/>
      <c r="J567" s="254"/>
      <c r="K567" s="254"/>
      <c r="L567" s="254"/>
      <c r="M567" s="254"/>
      <c r="N567" s="254"/>
      <c r="O567" s="254"/>
      <c r="P567" s="254"/>
      <c r="Q567" s="254"/>
      <c r="R567" s="254"/>
      <c r="S567" s="254"/>
      <c r="T567" s="254"/>
      <c r="U567" s="254"/>
      <c r="V567" s="217"/>
      <c r="W567" s="217"/>
      <c r="X567" s="217"/>
      <c r="Y567" s="217"/>
      <c r="Z567" s="217"/>
      <c r="AA567" s="217"/>
    </row>
    <row r="568" ht="15.75" hidden="1" customHeight="1">
      <c r="A568" s="218">
        <v>567.0</v>
      </c>
      <c r="B568" s="344"/>
      <c r="C568" s="253"/>
      <c r="D568" s="253"/>
      <c r="E568" s="345"/>
      <c r="F568" s="253"/>
      <c r="G568" s="254"/>
      <c r="H568" s="254"/>
      <c r="I568" s="254"/>
      <c r="J568" s="254"/>
      <c r="K568" s="254"/>
      <c r="L568" s="254"/>
      <c r="M568" s="254"/>
      <c r="N568" s="254"/>
      <c r="O568" s="254"/>
      <c r="P568" s="254"/>
      <c r="Q568" s="254"/>
      <c r="R568" s="254"/>
      <c r="S568" s="254"/>
      <c r="T568" s="254"/>
      <c r="U568" s="254"/>
      <c r="V568" s="217"/>
      <c r="W568" s="217"/>
      <c r="X568" s="217"/>
      <c r="Y568" s="217"/>
      <c r="Z568" s="217"/>
      <c r="AA568" s="217"/>
    </row>
    <row r="569" ht="15.75" hidden="1" customHeight="1">
      <c r="A569" s="344"/>
      <c r="B569" s="344"/>
      <c r="C569" s="253"/>
      <c r="D569" s="253"/>
      <c r="E569" s="345"/>
      <c r="F569" s="253"/>
      <c r="G569" s="254"/>
      <c r="H569" s="254"/>
      <c r="I569" s="254"/>
      <c r="J569" s="254"/>
      <c r="K569" s="254"/>
      <c r="L569" s="254"/>
      <c r="M569" s="254"/>
      <c r="N569" s="254"/>
      <c r="O569" s="254"/>
      <c r="P569" s="254"/>
      <c r="Q569" s="254"/>
      <c r="R569" s="254"/>
      <c r="S569" s="254"/>
      <c r="T569" s="254"/>
      <c r="U569" s="254"/>
      <c r="V569" s="217"/>
      <c r="W569" s="217"/>
      <c r="X569" s="217"/>
      <c r="Y569" s="217"/>
      <c r="Z569" s="217"/>
      <c r="AA569" s="217"/>
    </row>
    <row r="570" ht="15.75" hidden="1" customHeight="1">
      <c r="A570" s="344"/>
      <c r="B570" s="344"/>
      <c r="C570" s="253"/>
      <c r="D570" s="253"/>
      <c r="E570" s="345"/>
      <c r="F570" s="253"/>
      <c r="G570" s="254"/>
      <c r="H570" s="254"/>
      <c r="I570" s="254"/>
      <c r="J570" s="254"/>
      <c r="K570" s="254"/>
      <c r="L570" s="254"/>
      <c r="M570" s="254"/>
      <c r="N570" s="254"/>
      <c r="O570" s="254"/>
      <c r="P570" s="254"/>
      <c r="Q570" s="254"/>
      <c r="R570" s="254"/>
      <c r="S570" s="254"/>
      <c r="T570" s="254"/>
      <c r="U570" s="254"/>
      <c r="V570" s="217"/>
      <c r="W570" s="217"/>
      <c r="X570" s="217"/>
      <c r="Y570" s="217"/>
      <c r="Z570" s="217"/>
      <c r="AA570" s="217"/>
    </row>
    <row r="571" ht="15.75" hidden="1" customHeight="1">
      <c r="A571" s="344"/>
      <c r="B571" s="344"/>
      <c r="C571" s="253"/>
      <c r="D571" s="253"/>
      <c r="E571" s="345"/>
      <c r="F571" s="253"/>
      <c r="G571" s="254"/>
      <c r="H571" s="254"/>
      <c r="I571" s="254"/>
      <c r="J571" s="254"/>
      <c r="K571" s="254"/>
      <c r="L571" s="254"/>
      <c r="M571" s="254"/>
      <c r="N571" s="254"/>
      <c r="O571" s="254"/>
      <c r="P571" s="254"/>
      <c r="Q571" s="254"/>
      <c r="R571" s="254"/>
      <c r="S571" s="254"/>
      <c r="T571" s="254"/>
      <c r="U571" s="254"/>
      <c r="V571" s="217"/>
      <c r="W571" s="217"/>
      <c r="X571" s="217"/>
      <c r="Y571" s="217"/>
      <c r="Z571" s="217"/>
      <c r="AA571" s="217"/>
    </row>
    <row r="572" ht="15.75" hidden="1" customHeight="1">
      <c r="A572" s="344"/>
      <c r="B572" s="344"/>
      <c r="C572" s="253"/>
      <c r="D572" s="253"/>
      <c r="E572" s="345"/>
      <c r="F572" s="253"/>
      <c r="G572" s="254"/>
      <c r="H572" s="254"/>
      <c r="I572" s="254"/>
      <c r="J572" s="254"/>
      <c r="K572" s="254"/>
      <c r="L572" s="254"/>
      <c r="M572" s="254"/>
      <c r="N572" s="254"/>
      <c r="O572" s="254"/>
      <c r="P572" s="254"/>
      <c r="Q572" s="254"/>
      <c r="R572" s="254"/>
      <c r="S572" s="254"/>
      <c r="T572" s="254"/>
      <c r="U572" s="254"/>
      <c r="V572" s="217"/>
      <c r="W572" s="217"/>
      <c r="X572" s="217"/>
      <c r="Y572" s="217"/>
      <c r="Z572" s="217"/>
      <c r="AA572" s="217"/>
    </row>
    <row r="573" ht="15.75" hidden="1" customHeight="1">
      <c r="A573" s="344"/>
      <c r="B573" s="344"/>
      <c r="C573" s="253"/>
      <c r="D573" s="253"/>
      <c r="E573" s="345"/>
      <c r="F573" s="253"/>
      <c r="G573" s="254"/>
      <c r="H573" s="254"/>
      <c r="I573" s="254"/>
      <c r="J573" s="254"/>
      <c r="K573" s="254"/>
      <c r="L573" s="254"/>
      <c r="M573" s="254"/>
      <c r="N573" s="254"/>
      <c r="O573" s="254"/>
      <c r="P573" s="254"/>
      <c r="Q573" s="254"/>
      <c r="R573" s="254"/>
      <c r="S573" s="254"/>
      <c r="T573" s="254"/>
      <c r="U573" s="254"/>
      <c r="V573" s="217"/>
      <c r="W573" s="217"/>
      <c r="X573" s="217"/>
      <c r="Y573" s="217"/>
      <c r="Z573" s="217"/>
      <c r="AA573" s="217"/>
    </row>
    <row r="574" ht="15.75" hidden="1" customHeight="1">
      <c r="A574" s="344"/>
      <c r="B574" s="344"/>
      <c r="C574" s="253"/>
      <c r="D574" s="253"/>
      <c r="E574" s="345"/>
      <c r="F574" s="253"/>
      <c r="G574" s="254"/>
      <c r="H574" s="254"/>
      <c r="I574" s="254"/>
      <c r="J574" s="254"/>
      <c r="K574" s="254"/>
      <c r="L574" s="254"/>
      <c r="M574" s="254"/>
      <c r="N574" s="254"/>
      <c r="O574" s="254"/>
      <c r="P574" s="254"/>
      <c r="Q574" s="254"/>
      <c r="R574" s="254"/>
      <c r="S574" s="254"/>
      <c r="T574" s="254"/>
      <c r="U574" s="254"/>
      <c r="V574" s="217"/>
      <c r="W574" s="217"/>
      <c r="X574" s="217"/>
      <c r="Y574" s="217"/>
      <c r="Z574" s="217"/>
      <c r="AA574" s="217"/>
    </row>
    <row r="575" ht="15.75" hidden="1" customHeight="1">
      <c r="A575" s="344"/>
      <c r="B575" s="344"/>
      <c r="C575" s="253"/>
      <c r="D575" s="253"/>
      <c r="E575" s="345"/>
      <c r="F575" s="253"/>
      <c r="G575" s="254"/>
      <c r="H575" s="254"/>
      <c r="I575" s="254"/>
      <c r="J575" s="254"/>
      <c r="K575" s="254"/>
      <c r="L575" s="254"/>
      <c r="M575" s="254"/>
      <c r="N575" s="254"/>
      <c r="O575" s="254"/>
      <c r="P575" s="254"/>
      <c r="Q575" s="254"/>
      <c r="R575" s="254"/>
      <c r="S575" s="254"/>
      <c r="T575" s="254"/>
      <c r="U575" s="254"/>
      <c r="V575" s="217"/>
      <c r="W575" s="217"/>
      <c r="X575" s="217"/>
      <c r="Y575" s="217"/>
      <c r="Z575" s="217"/>
      <c r="AA575" s="217"/>
    </row>
    <row r="576" ht="15.75" hidden="1" customHeight="1">
      <c r="A576" s="344"/>
      <c r="B576" s="344"/>
      <c r="C576" s="253"/>
      <c r="D576" s="253"/>
      <c r="E576" s="345"/>
      <c r="F576" s="253"/>
      <c r="G576" s="254"/>
      <c r="H576" s="254"/>
      <c r="I576" s="254"/>
      <c r="J576" s="254"/>
      <c r="K576" s="254"/>
      <c r="L576" s="254"/>
      <c r="M576" s="254"/>
      <c r="N576" s="254"/>
      <c r="O576" s="254"/>
      <c r="P576" s="254"/>
      <c r="Q576" s="254"/>
      <c r="R576" s="254"/>
      <c r="S576" s="254"/>
      <c r="T576" s="254"/>
      <c r="U576" s="254"/>
      <c r="V576" s="217"/>
      <c r="W576" s="217"/>
      <c r="X576" s="217"/>
      <c r="Y576" s="217"/>
      <c r="Z576" s="217"/>
      <c r="AA576" s="217"/>
    </row>
    <row r="577" ht="15.75" hidden="1" customHeight="1">
      <c r="A577" s="344"/>
      <c r="B577" s="344"/>
      <c r="C577" s="253"/>
      <c r="D577" s="253"/>
      <c r="E577" s="345"/>
      <c r="F577" s="253"/>
      <c r="G577" s="254"/>
      <c r="H577" s="254"/>
      <c r="I577" s="254"/>
      <c r="J577" s="254"/>
      <c r="K577" s="254"/>
      <c r="L577" s="254"/>
      <c r="M577" s="254"/>
      <c r="N577" s="254"/>
      <c r="O577" s="254"/>
      <c r="P577" s="254"/>
      <c r="Q577" s="254"/>
      <c r="R577" s="254"/>
      <c r="S577" s="254"/>
      <c r="T577" s="254"/>
      <c r="U577" s="254"/>
      <c r="V577" s="217"/>
      <c r="W577" s="217"/>
      <c r="X577" s="217"/>
      <c r="Y577" s="217"/>
      <c r="Z577" s="217"/>
      <c r="AA577" s="217"/>
    </row>
    <row r="578" ht="15.75" hidden="1" customHeight="1">
      <c r="A578" s="344"/>
      <c r="B578" s="344"/>
      <c r="C578" s="253"/>
      <c r="D578" s="253"/>
      <c r="E578" s="345"/>
      <c r="F578" s="253"/>
      <c r="G578" s="254"/>
      <c r="H578" s="254"/>
      <c r="I578" s="254"/>
      <c r="J578" s="254"/>
      <c r="K578" s="254"/>
      <c r="L578" s="254"/>
      <c r="M578" s="254"/>
      <c r="N578" s="254"/>
      <c r="O578" s="254"/>
      <c r="P578" s="254"/>
      <c r="Q578" s="254"/>
      <c r="R578" s="254"/>
      <c r="S578" s="254"/>
      <c r="T578" s="254"/>
      <c r="U578" s="254"/>
      <c r="V578" s="217"/>
      <c r="W578" s="217"/>
      <c r="X578" s="217"/>
      <c r="Y578" s="217"/>
      <c r="Z578" s="217"/>
      <c r="AA578" s="217"/>
    </row>
    <row r="579" ht="15.75" hidden="1" customHeight="1">
      <c r="A579" s="344"/>
      <c r="B579" s="344"/>
      <c r="C579" s="253"/>
      <c r="D579" s="253"/>
      <c r="E579" s="345"/>
      <c r="F579" s="253"/>
      <c r="G579" s="254"/>
      <c r="H579" s="254"/>
      <c r="I579" s="254"/>
      <c r="J579" s="254"/>
      <c r="K579" s="254"/>
      <c r="L579" s="254"/>
      <c r="M579" s="254"/>
      <c r="N579" s="254"/>
      <c r="O579" s="254"/>
      <c r="P579" s="254"/>
      <c r="Q579" s="254"/>
      <c r="R579" s="254"/>
      <c r="S579" s="254"/>
      <c r="T579" s="254"/>
      <c r="U579" s="254"/>
      <c r="V579" s="217"/>
      <c r="W579" s="217"/>
      <c r="X579" s="217"/>
      <c r="Y579" s="217"/>
      <c r="Z579" s="217"/>
      <c r="AA579" s="217"/>
    </row>
    <row r="580" ht="15.75" hidden="1" customHeight="1">
      <c r="A580" s="344"/>
      <c r="B580" s="344"/>
      <c r="C580" s="253"/>
      <c r="D580" s="253"/>
      <c r="E580" s="345"/>
      <c r="F580" s="253"/>
      <c r="G580" s="254"/>
      <c r="H580" s="254"/>
      <c r="I580" s="254"/>
      <c r="J580" s="254"/>
      <c r="K580" s="254"/>
      <c r="L580" s="254"/>
      <c r="M580" s="254"/>
      <c r="N580" s="254"/>
      <c r="O580" s="254"/>
      <c r="P580" s="254"/>
      <c r="Q580" s="254"/>
      <c r="R580" s="254"/>
      <c r="S580" s="254"/>
      <c r="T580" s="254"/>
      <c r="U580" s="254"/>
      <c r="V580" s="217"/>
      <c r="W580" s="217"/>
      <c r="X580" s="217"/>
      <c r="Y580" s="217"/>
      <c r="Z580" s="217"/>
      <c r="AA580" s="217"/>
    </row>
    <row r="581" ht="15.75" hidden="1" customHeight="1">
      <c r="A581" s="344"/>
      <c r="B581" s="344"/>
      <c r="C581" s="253"/>
      <c r="D581" s="253"/>
      <c r="E581" s="345"/>
      <c r="F581" s="253"/>
      <c r="G581" s="254"/>
      <c r="H581" s="254"/>
      <c r="I581" s="254"/>
      <c r="J581" s="254"/>
      <c r="K581" s="254"/>
      <c r="L581" s="254"/>
      <c r="M581" s="254"/>
      <c r="N581" s="254"/>
      <c r="O581" s="254"/>
      <c r="P581" s="254"/>
      <c r="Q581" s="254"/>
      <c r="R581" s="254"/>
      <c r="S581" s="254"/>
      <c r="T581" s="254"/>
      <c r="U581" s="254"/>
      <c r="V581" s="217"/>
      <c r="W581" s="217"/>
      <c r="X581" s="217"/>
      <c r="Y581" s="217"/>
      <c r="Z581" s="217"/>
      <c r="AA581" s="217"/>
    </row>
    <row r="582" ht="15.75" hidden="1" customHeight="1">
      <c r="A582" s="344"/>
      <c r="B582" s="344"/>
      <c r="C582" s="253"/>
      <c r="D582" s="253"/>
      <c r="E582" s="345"/>
      <c r="F582" s="253"/>
      <c r="G582" s="254"/>
      <c r="H582" s="254"/>
      <c r="I582" s="254"/>
      <c r="J582" s="254"/>
      <c r="K582" s="254"/>
      <c r="L582" s="254"/>
      <c r="M582" s="254"/>
      <c r="N582" s="254"/>
      <c r="O582" s="254"/>
      <c r="P582" s="254"/>
      <c r="Q582" s="254"/>
      <c r="R582" s="254"/>
      <c r="S582" s="254"/>
      <c r="T582" s="254"/>
      <c r="U582" s="254"/>
      <c r="V582" s="217"/>
      <c r="W582" s="217"/>
      <c r="X582" s="217"/>
      <c r="Y582" s="217"/>
      <c r="Z582" s="217"/>
      <c r="AA582" s="217"/>
    </row>
    <row r="583" ht="15.75" hidden="1" customHeight="1">
      <c r="A583" s="344"/>
      <c r="B583" s="344"/>
      <c r="C583" s="253"/>
      <c r="D583" s="253"/>
      <c r="E583" s="345"/>
      <c r="F583" s="253"/>
      <c r="G583" s="254"/>
      <c r="H583" s="254"/>
      <c r="I583" s="254"/>
      <c r="J583" s="254"/>
      <c r="K583" s="254"/>
      <c r="L583" s="254"/>
      <c r="M583" s="254"/>
      <c r="N583" s="254"/>
      <c r="O583" s="254"/>
      <c r="P583" s="254"/>
      <c r="Q583" s="254"/>
      <c r="R583" s="254"/>
      <c r="S583" s="254"/>
      <c r="T583" s="254"/>
      <c r="U583" s="254"/>
      <c r="V583" s="217"/>
      <c r="W583" s="217"/>
      <c r="X583" s="217"/>
      <c r="Y583" s="217"/>
      <c r="Z583" s="217"/>
      <c r="AA583" s="217"/>
    </row>
    <row r="584" ht="15.75" hidden="1" customHeight="1">
      <c r="A584" s="344"/>
      <c r="B584" s="344"/>
      <c r="C584" s="253"/>
      <c r="D584" s="253"/>
      <c r="E584" s="345"/>
      <c r="F584" s="253"/>
      <c r="G584" s="254"/>
      <c r="H584" s="254"/>
      <c r="I584" s="254"/>
      <c r="J584" s="254"/>
      <c r="K584" s="254"/>
      <c r="L584" s="254"/>
      <c r="M584" s="254"/>
      <c r="N584" s="254"/>
      <c r="O584" s="254"/>
      <c r="P584" s="254"/>
      <c r="Q584" s="254"/>
      <c r="R584" s="254"/>
      <c r="S584" s="254"/>
      <c r="T584" s="254"/>
      <c r="U584" s="254"/>
      <c r="V584" s="217"/>
      <c r="W584" s="217"/>
      <c r="X584" s="217"/>
      <c r="Y584" s="217"/>
      <c r="Z584" s="217"/>
      <c r="AA584" s="217"/>
    </row>
    <row r="585" ht="15.75" hidden="1" customHeight="1">
      <c r="A585" s="344"/>
      <c r="B585" s="344"/>
      <c r="C585" s="253"/>
      <c r="D585" s="253"/>
      <c r="E585" s="345"/>
      <c r="F585" s="253"/>
      <c r="G585" s="254"/>
      <c r="H585" s="254"/>
      <c r="I585" s="254"/>
      <c r="J585" s="254"/>
      <c r="K585" s="254"/>
      <c r="L585" s="254"/>
      <c r="M585" s="254"/>
      <c r="N585" s="254"/>
      <c r="O585" s="254"/>
      <c r="P585" s="254"/>
      <c r="Q585" s="254"/>
      <c r="R585" s="254"/>
      <c r="S585" s="254"/>
      <c r="T585" s="254"/>
      <c r="U585" s="254"/>
      <c r="V585" s="217"/>
      <c r="W585" s="217"/>
      <c r="X585" s="217"/>
      <c r="Y585" s="217"/>
      <c r="Z585" s="217"/>
      <c r="AA585" s="217"/>
    </row>
    <row r="586" ht="15.75" hidden="1" customHeight="1">
      <c r="A586" s="344"/>
      <c r="B586" s="344"/>
      <c r="C586" s="253"/>
      <c r="D586" s="253"/>
      <c r="E586" s="345"/>
      <c r="F586" s="253"/>
      <c r="G586" s="254"/>
      <c r="H586" s="254"/>
      <c r="I586" s="254"/>
      <c r="J586" s="254"/>
      <c r="K586" s="254"/>
      <c r="L586" s="254"/>
      <c r="M586" s="254"/>
      <c r="N586" s="254"/>
      <c r="O586" s="254"/>
      <c r="P586" s="254"/>
      <c r="Q586" s="254"/>
      <c r="R586" s="254"/>
      <c r="S586" s="254"/>
      <c r="T586" s="254"/>
      <c r="U586" s="254"/>
      <c r="V586" s="217"/>
      <c r="W586" s="217"/>
      <c r="X586" s="217"/>
      <c r="Y586" s="217"/>
      <c r="Z586" s="217"/>
      <c r="AA586" s="217"/>
    </row>
    <row r="587" ht="15.75" hidden="1" customHeight="1">
      <c r="A587" s="344"/>
      <c r="B587" s="344"/>
      <c r="C587" s="253"/>
      <c r="D587" s="253"/>
      <c r="E587" s="345"/>
      <c r="F587" s="253"/>
      <c r="G587" s="254"/>
      <c r="H587" s="254"/>
      <c r="I587" s="254"/>
      <c r="J587" s="254"/>
      <c r="K587" s="254"/>
      <c r="L587" s="254"/>
      <c r="M587" s="254"/>
      <c r="N587" s="254"/>
      <c r="O587" s="254"/>
      <c r="P587" s="254"/>
      <c r="Q587" s="254"/>
      <c r="R587" s="254"/>
      <c r="S587" s="254"/>
      <c r="T587" s="254"/>
      <c r="U587" s="254"/>
      <c r="V587" s="217"/>
      <c r="W587" s="217"/>
      <c r="X587" s="217"/>
      <c r="Y587" s="217"/>
      <c r="Z587" s="217"/>
      <c r="AA587" s="217"/>
    </row>
    <row r="588" ht="15.75" hidden="1" customHeight="1">
      <c r="A588" s="344"/>
      <c r="B588" s="344"/>
      <c r="C588" s="253"/>
      <c r="D588" s="253"/>
      <c r="E588" s="345"/>
      <c r="F588" s="253"/>
      <c r="G588" s="254"/>
      <c r="H588" s="254"/>
      <c r="I588" s="254"/>
      <c r="J588" s="254"/>
      <c r="K588" s="254"/>
      <c r="L588" s="254"/>
      <c r="M588" s="254"/>
      <c r="N588" s="254"/>
      <c r="O588" s="254"/>
      <c r="P588" s="254"/>
      <c r="Q588" s="254"/>
      <c r="R588" s="254"/>
      <c r="S588" s="254"/>
      <c r="T588" s="254"/>
      <c r="U588" s="254"/>
      <c r="V588" s="217"/>
      <c r="W588" s="217"/>
      <c r="X588" s="217"/>
      <c r="Y588" s="217"/>
      <c r="Z588" s="217"/>
      <c r="AA588" s="217"/>
    </row>
    <row r="589" ht="15.75" hidden="1" customHeight="1">
      <c r="A589" s="344"/>
      <c r="B589" s="344"/>
      <c r="C589" s="253"/>
      <c r="D589" s="253"/>
      <c r="E589" s="345"/>
      <c r="F589" s="253"/>
      <c r="G589" s="254"/>
      <c r="H589" s="254"/>
      <c r="I589" s="254"/>
      <c r="J589" s="254"/>
      <c r="K589" s="254"/>
      <c r="L589" s="254"/>
      <c r="M589" s="254"/>
      <c r="N589" s="254"/>
      <c r="O589" s="254"/>
      <c r="P589" s="254"/>
      <c r="Q589" s="254"/>
      <c r="R589" s="254"/>
      <c r="S589" s="254"/>
      <c r="T589" s="254"/>
      <c r="U589" s="254"/>
      <c r="V589" s="217"/>
      <c r="W589" s="217"/>
      <c r="X589" s="217"/>
      <c r="Y589" s="217"/>
      <c r="Z589" s="217"/>
      <c r="AA589" s="217"/>
    </row>
    <row r="590" ht="15.75" hidden="1" customHeight="1">
      <c r="A590" s="344"/>
      <c r="B590" s="344"/>
      <c r="C590" s="253"/>
      <c r="D590" s="253"/>
      <c r="E590" s="345"/>
      <c r="F590" s="253"/>
      <c r="G590" s="254"/>
      <c r="H590" s="254"/>
      <c r="I590" s="254"/>
      <c r="J590" s="254"/>
      <c r="K590" s="254"/>
      <c r="L590" s="254"/>
      <c r="M590" s="254"/>
      <c r="N590" s="254"/>
      <c r="O590" s="254"/>
      <c r="P590" s="254"/>
      <c r="Q590" s="254"/>
      <c r="R590" s="254"/>
      <c r="S590" s="254"/>
      <c r="T590" s="254"/>
      <c r="U590" s="254"/>
      <c r="V590" s="217"/>
      <c r="W590" s="217"/>
      <c r="X590" s="217"/>
      <c r="Y590" s="217"/>
      <c r="Z590" s="217"/>
      <c r="AA590" s="217"/>
    </row>
    <row r="591" ht="15.75" hidden="1" customHeight="1">
      <c r="A591" s="344"/>
      <c r="B591" s="344"/>
      <c r="C591" s="253"/>
      <c r="D591" s="253"/>
      <c r="E591" s="345"/>
      <c r="F591" s="253"/>
      <c r="G591" s="254"/>
      <c r="H591" s="254"/>
      <c r="I591" s="254"/>
      <c r="J591" s="254"/>
      <c r="K591" s="254"/>
      <c r="L591" s="254"/>
      <c r="M591" s="254"/>
      <c r="N591" s="254"/>
      <c r="O591" s="254"/>
      <c r="P591" s="254"/>
      <c r="Q591" s="254"/>
      <c r="R591" s="254"/>
      <c r="S591" s="254"/>
      <c r="T591" s="254"/>
      <c r="U591" s="254"/>
      <c r="V591" s="217"/>
      <c r="W591" s="217"/>
      <c r="X591" s="217"/>
      <c r="Y591" s="217"/>
      <c r="Z591" s="217"/>
      <c r="AA591" s="217"/>
    </row>
    <row r="592" ht="15.75" hidden="1" customHeight="1">
      <c r="A592" s="344"/>
      <c r="B592" s="344"/>
      <c r="C592" s="253"/>
      <c r="D592" s="253"/>
      <c r="E592" s="345"/>
      <c r="F592" s="253"/>
      <c r="G592" s="254"/>
      <c r="H592" s="254"/>
      <c r="I592" s="254"/>
      <c r="J592" s="254"/>
      <c r="K592" s="254"/>
      <c r="L592" s="254"/>
      <c r="M592" s="254"/>
      <c r="N592" s="254"/>
      <c r="O592" s="254"/>
      <c r="P592" s="254"/>
      <c r="Q592" s="254"/>
      <c r="R592" s="254"/>
      <c r="S592" s="254"/>
      <c r="T592" s="254"/>
      <c r="U592" s="254"/>
      <c r="V592" s="217"/>
      <c r="W592" s="217"/>
      <c r="X592" s="217"/>
      <c r="Y592" s="217"/>
      <c r="Z592" s="217"/>
      <c r="AA592" s="217"/>
    </row>
    <row r="593" ht="15.75" hidden="1" customHeight="1">
      <c r="A593" s="344"/>
      <c r="B593" s="344"/>
      <c r="C593" s="253"/>
      <c r="D593" s="253"/>
      <c r="E593" s="345"/>
      <c r="F593" s="253"/>
      <c r="G593" s="254"/>
      <c r="H593" s="254"/>
      <c r="I593" s="254"/>
      <c r="J593" s="254"/>
      <c r="K593" s="254"/>
      <c r="L593" s="254"/>
      <c r="M593" s="254"/>
      <c r="N593" s="254"/>
      <c r="O593" s="254"/>
      <c r="P593" s="254"/>
      <c r="Q593" s="254"/>
      <c r="R593" s="254"/>
      <c r="S593" s="254"/>
      <c r="T593" s="254"/>
      <c r="U593" s="254"/>
      <c r="V593" s="217"/>
      <c r="W593" s="217"/>
      <c r="X593" s="217"/>
      <c r="Y593" s="217"/>
      <c r="Z593" s="217"/>
      <c r="AA593" s="217"/>
    </row>
    <row r="594" ht="15.75" hidden="1" customHeight="1">
      <c r="A594" s="344"/>
      <c r="B594" s="344"/>
      <c r="C594" s="253"/>
      <c r="D594" s="253"/>
      <c r="E594" s="345"/>
      <c r="F594" s="253"/>
      <c r="G594" s="254"/>
      <c r="H594" s="254"/>
      <c r="I594" s="254"/>
      <c r="J594" s="254"/>
      <c r="K594" s="254"/>
      <c r="L594" s="254"/>
      <c r="M594" s="254"/>
      <c r="N594" s="254"/>
      <c r="O594" s="254"/>
      <c r="P594" s="254"/>
      <c r="Q594" s="254"/>
      <c r="R594" s="254"/>
      <c r="S594" s="254"/>
      <c r="T594" s="254"/>
      <c r="U594" s="254"/>
      <c r="V594" s="217"/>
      <c r="W594" s="217"/>
      <c r="X594" s="217"/>
      <c r="Y594" s="217"/>
      <c r="Z594" s="217"/>
      <c r="AA594" s="217"/>
    </row>
    <row r="595" ht="15.75" hidden="1" customHeight="1">
      <c r="A595" s="344"/>
      <c r="B595" s="344"/>
      <c r="C595" s="253"/>
      <c r="D595" s="253"/>
      <c r="E595" s="345"/>
      <c r="F595" s="253"/>
      <c r="G595" s="254"/>
      <c r="H595" s="254"/>
      <c r="I595" s="254"/>
      <c r="J595" s="254"/>
      <c r="K595" s="254"/>
      <c r="L595" s="254"/>
      <c r="M595" s="254"/>
      <c r="N595" s="254"/>
      <c r="O595" s="254"/>
      <c r="P595" s="254"/>
      <c r="Q595" s="254"/>
      <c r="R595" s="254"/>
      <c r="S595" s="254"/>
      <c r="T595" s="254"/>
      <c r="U595" s="254"/>
      <c r="V595" s="217"/>
      <c r="W595" s="217"/>
      <c r="X595" s="217"/>
      <c r="Y595" s="217"/>
      <c r="Z595" s="217"/>
      <c r="AA595" s="217"/>
    </row>
    <row r="596" ht="15.75" hidden="1" customHeight="1">
      <c r="A596" s="344"/>
      <c r="B596" s="344"/>
      <c r="C596" s="253"/>
      <c r="D596" s="253"/>
      <c r="E596" s="345"/>
      <c r="F596" s="253"/>
      <c r="G596" s="254"/>
      <c r="H596" s="254"/>
      <c r="I596" s="254"/>
      <c r="J596" s="254"/>
      <c r="K596" s="254"/>
      <c r="L596" s="254"/>
      <c r="M596" s="254"/>
      <c r="N596" s="254"/>
      <c r="O596" s="254"/>
      <c r="P596" s="254"/>
      <c r="Q596" s="254"/>
      <c r="R596" s="254"/>
      <c r="S596" s="254"/>
      <c r="T596" s="254"/>
      <c r="U596" s="254"/>
      <c r="V596" s="217"/>
      <c r="W596" s="217"/>
      <c r="X596" s="217"/>
      <c r="Y596" s="217"/>
      <c r="Z596" s="217"/>
      <c r="AA596" s="217"/>
    </row>
    <row r="597" ht="15.75" hidden="1" customHeight="1">
      <c r="A597" s="344"/>
      <c r="B597" s="344"/>
      <c r="C597" s="253"/>
      <c r="D597" s="253"/>
      <c r="E597" s="345"/>
      <c r="F597" s="253"/>
      <c r="G597" s="254"/>
      <c r="H597" s="254"/>
      <c r="I597" s="254"/>
      <c r="J597" s="254"/>
      <c r="K597" s="254"/>
      <c r="L597" s="254"/>
      <c r="M597" s="254"/>
      <c r="N597" s="254"/>
      <c r="O597" s="254"/>
      <c r="P597" s="254"/>
      <c r="Q597" s="254"/>
      <c r="R597" s="254"/>
      <c r="S597" s="254"/>
      <c r="T597" s="254"/>
      <c r="U597" s="254"/>
      <c r="V597" s="217"/>
      <c r="W597" s="217"/>
      <c r="X597" s="217"/>
      <c r="Y597" s="217"/>
      <c r="Z597" s="217"/>
      <c r="AA597" s="217"/>
    </row>
    <row r="598" ht="15.75" hidden="1" customHeight="1">
      <c r="A598" s="344"/>
      <c r="B598" s="344"/>
      <c r="C598" s="253"/>
      <c r="D598" s="253"/>
      <c r="E598" s="345"/>
      <c r="F598" s="253"/>
      <c r="G598" s="254"/>
      <c r="H598" s="254"/>
      <c r="I598" s="254"/>
      <c r="J598" s="254"/>
      <c r="K598" s="254"/>
      <c r="L598" s="254"/>
      <c r="M598" s="254"/>
      <c r="N598" s="254"/>
      <c r="O598" s="254"/>
      <c r="P598" s="254"/>
      <c r="Q598" s="254"/>
      <c r="R598" s="254"/>
      <c r="S598" s="254"/>
      <c r="T598" s="254"/>
      <c r="U598" s="254"/>
      <c r="V598" s="217"/>
      <c r="W598" s="217"/>
      <c r="X598" s="217"/>
      <c r="Y598" s="217"/>
      <c r="Z598" s="217"/>
      <c r="AA598" s="217"/>
    </row>
    <row r="599" ht="15.75" hidden="1" customHeight="1">
      <c r="A599" s="344"/>
      <c r="B599" s="344"/>
      <c r="C599" s="253"/>
      <c r="D599" s="253"/>
      <c r="E599" s="345"/>
      <c r="F599" s="253"/>
      <c r="G599" s="254"/>
      <c r="H599" s="254"/>
      <c r="I599" s="254"/>
      <c r="J599" s="254"/>
      <c r="K599" s="254"/>
      <c r="L599" s="254"/>
      <c r="M599" s="254"/>
      <c r="N599" s="254"/>
      <c r="O599" s="254"/>
      <c r="P599" s="254"/>
      <c r="Q599" s="254"/>
      <c r="R599" s="254"/>
      <c r="S599" s="254"/>
      <c r="T599" s="254"/>
      <c r="U599" s="254"/>
      <c r="V599" s="217"/>
      <c r="W599" s="217"/>
      <c r="X599" s="217"/>
      <c r="Y599" s="217"/>
      <c r="Z599" s="217"/>
      <c r="AA599" s="217"/>
    </row>
    <row r="600" ht="15.75" hidden="1" customHeight="1">
      <c r="A600" s="344"/>
      <c r="B600" s="344"/>
      <c r="C600" s="253"/>
      <c r="D600" s="253"/>
      <c r="E600" s="345"/>
      <c r="F600" s="253"/>
      <c r="G600" s="254"/>
      <c r="H600" s="254"/>
      <c r="I600" s="254"/>
      <c r="J600" s="254"/>
      <c r="K600" s="254"/>
      <c r="L600" s="254"/>
      <c r="M600" s="254"/>
      <c r="N600" s="254"/>
      <c r="O600" s="254"/>
      <c r="P600" s="254"/>
      <c r="Q600" s="254"/>
      <c r="R600" s="254"/>
      <c r="S600" s="254"/>
      <c r="T600" s="254"/>
      <c r="U600" s="254"/>
      <c r="V600" s="217"/>
      <c r="W600" s="217"/>
      <c r="X600" s="217"/>
      <c r="Y600" s="217"/>
      <c r="Z600" s="217"/>
      <c r="AA600" s="217"/>
    </row>
    <row r="601" ht="15.75" hidden="1" customHeight="1">
      <c r="A601" s="344"/>
      <c r="B601" s="344"/>
      <c r="C601" s="253"/>
      <c r="D601" s="253"/>
      <c r="E601" s="345"/>
      <c r="F601" s="253"/>
      <c r="G601" s="254"/>
      <c r="H601" s="254"/>
      <c r="I601" s="254"/>
      <c r="J601" s="254"/>
      <c r="K601" s="254"/>
      <c r="L601" s="254"/>
      <c r="M601" s="254"/>
      <c r="N601" s="254"/>
      <c r="O601" s="254"/>
      <c r="P601" s="254"/>
      <c r="Q601" s="254"/>
      <c r="R601" s="254"/>
      <c r="S601" s="254"/>
      <c r="T601" s="254"/>
      <c r="U601" s="254"/>
      <c r="V601" s="217"/>
      <c r="W601" s="217"/>
      <c r="X601" s="217"/>
      <c r="Y601" s="217"/>
      <c r="Z601" s="217"/>
      <c r="AA601" s="217"/>
    </row>
    <row r="602" ht="15.75" hidden="1" customHeight="1">
      <c r="A602" s="344"/>
      <c r="B602" s="344"/>
      <c r="C602" s="253"/>
      <c r="D602" s="253"/>
      <c r="E602" s="345"/>
      <c r="F602" s="253"/>
      <c r="G602" s="254"/>
      <c r="H602" s="254"/>
      <c r="I602" s="254"/>
      <c r="J602" s="254"/>
      <c r="K602" s="254"/>
      <c r="L602" s="254"/>
      <c r="M602" s="254"/>
      <c r="N602" s="254"/>
      <c r="O602" s="254"/>
      <c r="P602" s="254"/>
      <c r="Q602" s="254"/>
      <c r="R602" s="254"/>
      <c r="S602" s="254"/>
      <c r="T602" s="254"/>
      <c r="U602" s="254"/>
      <c r="V602" s="217"/>
      <c r="W602" s="217"/>
      <c r="X602" s="217"/>
      <c r="Y602" s="217"/>
      <c r="Z602" s="217"/>
      <c r="AA602" s="217"/>
    </row>
    <row r="603" ht="15.75" hidden="1" customHeight="1">
      <c r="A603" s="344"/>
      <c r="B603" s="344"/>
      <c r="C603" s="253"/>
      <c r="D603" s="253"/>
      <c r="E603" s="345"/>
      <c r="F603" s="253"/>
      <c r="G603" s="254"/>
      <c r="H603" s="254"/>
      <c r="I603" s="254"/>
      <c r="J603" s="254"/>
      <c r="K603" s="254"/>
      <c r="L603" s="254"/>
      <c r="M603" s="254"/>
      <c r="N603" s="254"/>
      <c r="O603" s="254"/>
      <c r="P603" s="254"/>
      <c r="Q603" s="254"/>
      <c r="R603" s="254"/>
      <c r="S603" s="254"/>
      <c r="T603" s="254"/>
      <c r="U603" s="254"/>
      <c r="V603" s="217"/>
      <c r="W603" s="217"/>
      <c r="X603" s="217"/>
      <c r="Y603" s="217"/>
      <c r="Z603" s="217"/>
      <c r="AA603" s="217"/>
    </row>
    <row r="604" ht="15.75" hidden="1" customHeight="1">
      <c r="A604" s="344"/>
      <c r="B604" s="344"/>
      <c r="C604" s="253"/>
      <c r="D604" s="253"/>
      <c r="E604" s="345"/>
      <c r="F604" s="253"/>
      <c r="G604" s="254"/>
      <c r="H604" s="254"/>
      <c r="I604" s="254"/>
      <c r="J604" s="254"/>
      <c r="K604" s="254"/>
      <c r="L604" s="254"/>
      <c r="M604" s="254"/>
      <c r="N604" s="254"/>
      <c r="O604" s="254"/>
      <c r="P604" s="254"/>
      <c r="Q604" s="254"/>
      <c r="R604" s="254"/>
      <c r="S604" s="254"/>
      <c r="T604" s="254"/>
      <c r="U604" s="254"/>
      <c r="V604" s="217"/>
      <c r="W604" s="217"/>
      <c r="X604" s="217"/>
      <c r="Y604" s="217"/>
      <c r="Z604" s="217"/>
      <c r="AA604" s="217"/>
    </row>
    <row r="605" ht="15.75" hidden="1" customHeight="1">
      <c r="A605" s="344"/>
      <c r="B605" s="344"/>
      <c r="C605" s="253"/>
      <c r="D605" s="253"/>
      <c r="E605" s="345"/>
      <c r="F605" s="253"/>
      <c r="G605" s="254"/>
      <c r="H605" s="254"/>
      <c r="I605" s="254"/>
      <c r="J605" s="254"/>
      <c r="K605" s="254"/>
      <c r="L605" s="254"/>
      <c r="M605" s="254"/>
      <c r="N605" s="254"/>
      <c r="O605" s="254"/>
      <c r="P605" s="254"/>
      <c r="Q605" s="254"/>
      <c r="R605" s="254"/>
      <c r="S605" s="254"/>
      <c r="T605" s="254"/>
      <c r="U605" s="254"/>
      <c r="V605" s="217"/>
      <c r="W605" s="217"/>
      <c r="X605" s="217"/>
      <c r="Y605" s="217"/>
      <c r="Z605" s="217"/>
      <c r="AA605" s="217"/>
    </row>
    <row r="606" ht="15.75" hidden="1" customHeight="1">
      <c r="A606" s="344"/>
      <c r="B606" s="344"/>
      <c r="C606" s="253"/>
      <c r="D606" s="253"/>
      <c r="E606" s="345"/>
      <c r="F606" s="253"/>
      <c r="G606" s="254"/>
      <c r="H606" s="254"/>
      <c r="I606" s="254"/>
      <c r="J606" s="254"/>
      <c r="K606" s="254"/>
      <c r="L606" s="254"/>
      <c r="M606" s="254"/>
      <c r="N606" s="254"/>
      <c r="O606" s="254"/>
      <c r="P606" s="254"/>
      <c r="Q606" s="254"/>
      <c r="R606" s="254"/>
      <c r="S606" s="254"/>
      <c r="T606" s="254"/>
      <c r="U606" s="254"/>
      <c r="V606" s="217"/>
      <c r="W606" s="217"/>
      <c r="X606" s="217"/>
      <c r="Y606" s="217"/>
      <c r="Z606" s="217"/>
      <c r="AA606" s="217"/>
    </row>
    <row r="607" ht="15.75" hidden="1" customHeight="1">
      <c r="A607" s="344"/>
      <c r="B607" s="344"/>
      <c r="C607" s="253"/>
      <c r="D607" s="253"/>
      <c r="E607" s="345"/>
      <c r="F607" s="253"/>
      <c r="G607" s="254"/>
      <c r="H607" s="254"/>
      <c r="I607" s="254"/>
      <c r="J607" s="254"/>
      <c r="K607" s="254"/>
      <c r="L607" s="254"/>
      <c r="M607" s="254"/>
      <c r="N607" s="254"/>
      <c r="O607" s="254"/>
      <c r="P607" s="254"/>
      <c r="Q607" s="254"/>
      <c r="R607" s="254"/>
      <c r="S607" s="254"/>
      <c r="T607" s="254"/>
      <c r="U607" s="254"/>
      <c r="V607" s="217"/>
      <c r="W607" s="217"/>
      <c r="X607" s="217"/>
      <c r="Y607" s="217"/>
      <c r="Z607" s="217"/>
      <c r="AA607" s="217"/>
    </row>
    <row r="608" ht="15.75" hidden="1" customHeight="1">
      <c r="A608" s="344"/>
      <c r="B608" s="344"/>
      <c r="C608" s="253"/>
      <c r="D608" s="253"/>
      <c r="E608" s="345"/>
      <c r="F608" s="253"/>
      <c r="G608" s="254"/>
      <c r="H608" s="254"/>
      <c r="I608" s="254"/>
      <c r="J608" s="254"/>
      <c r="K608" s="254"/>
      <c r="L608" s="254"/>
      <c r="M608" s="254"/>
      <c r="N608" s="254"/>
      <c r="O608" s="254"/>
      <c r="P608" s="254"/>
      <c r="Q608" s="254"/>
      <c r="R608" s="254"/>
      <c r="S608" s="254"/>
      <c r="T608" s="254"/>
      <c r="U608" s="254"/>
      <c r="V608" s="217"/>
      <c r="W608" s="217"/>
      <c r="X608" s="217"/>
      <c r="Y608" s="217"/>
      <c r="Z608" s="217"/>
      <c r="AA608" s="217"/>
    </row>
    <row r="609" ht="15.75" hidden="1" customHeight="1">
      <c r="A609" s="344"/>
      <c r="B609" s="344"/>
      <c r="C609" s="253"/>
      <c r="D609" s="253"/>
      <c r="E609" s="345"/>
      <c r="F609" s="253"/>
      <c r="G609" s="254"/>
      <c r="H609" s="254"/>
      <c r="I609" s="254"/>
      <c r="J609" s="254"/>
      <c r="K609" s="254"/>
      <c r="L609" s="254"/>
      <c r="M609" s="254"/>
      <c r="N609" s="254"/>
      <c r="O609" s="254"/>
      <c r="P609" s="254"/>
      <c r="Q609" s="254"/>
      <c r="R609" s="254"/>
      <c r="S609" s="254"/>
      <c r="T609" s="254"/>
      <c r="U609" s="254"/>
      <c r="V609" s="217"/>
      <c r="W609" s="217"/>
      <c r="X609" s="217"/>
      <c r="Y609" s="217"/>
      <c r="Z609" s="217"/>
      <c r="AA609" s="217"/>
    </row>
    <row r="610" ht="15.75" hidden="1" customHeight="1">
      <c r="A610" s="344"/>
      <c r="B610" s="344"/>
      <c r="C610" s="253"/>
      <c r="D610" s="253"/>
      <c r="E610" s="345"/>
      <c r="F610" s="253"/>
      <c r="G610" s="254"/>
      <c r="H610" s="254"/>
      <c r="I610" s="254"/>
      <c r="J610" s="254"/>
      <c r="K610" s="254"/>
      <c r="L610" s="254"/>
      <c r="M610" s="254"/>
      <c r="N610" s="254"/>
      <c r="O610" s="254"/>
      <c r="P610" s="254"/>
      <c r="Q610" s="254"/>
      <c r="R610" s="254"/>
      <c r="S610" s="254"/>
      <c r="T610" s="254"/>
      <c r="U610" s="254"/>
      <c r="V610" s="217"/>
      <c r="W610" s="217"/>
      <c r="X610" s="217"/>
      <c r="Y610" s="217"/>
      <c r="Z610" s="217"/>
      <c r="AA610" s="217"/>
    </row>
    <row r="611" ht="15.75" hidden="1" customHeight="1">
      <c r="A611" s="344"/>
      <c r="B611" s="344"/>
      <c r="C611" s="253"/>
      <c r="D611" s="253"/>
      <c r="E611" s="345"/>
      <c r="F611" s="253"/>
      <c r="G611" s="254"/>
      <c r="H611" s="254"/>
      <c r="I611" s="254"/>
      <c r="J611" s="254"/>
      <c r="K611" s="254"/>
      <c r="L611" s="254"/>
      <c r="M611" s="254"/>
      <c r="N611" s="254"/>
      <c r="O611" s="254"/>
      <c r="P611" s="254"/>
      <c r="Q611" s="254"/>
      <c r="R611" s="254"/>
      <c r="S611" s="254"/>
      <c r="T611" s="254"/>
      <c r="U611" s="254"/>
      <c r="V611" s="217"/>
      <c r="W611" s="217"/>
      <c r="X611" s="217"/>
      <c r="Y611" s="217"/>
      <c r="Z611" s="217"/>
      <c r="AA611" s="217"/>
    </row>
    <row r="612" ht="15.75" hidden="1" customHeight="1">
      <c r="A612" s="344"/>
      <c r="B612" s="344"/>
      <c r="C612" s="253"/>
      <c r="D612" s="253"/>
      <c r="E612" s="345"/>
      <c r="F612" s="253"/>
      <c r="G612" s="254"/>
      <c r="H612" s="254"/>
      <c r="I612" s="254"/>
      <c r="J612" s="254"/>
      <c r="K612" s="254"/>
      <c r="L612" s="254"/>
      <c r="M612" s="254"/>
      <c r="N612" s="254"/>
      <c r="O612" s="254"/>
      <c r="P612" s="254"/>
      <c r="Q612" s="254"/>
      <c r="R612" s="254"/>
      <c r="S612" s="254"/>
      <c r="T612" s="254"/>
      <c r="U612" s="254"/>
      <c r="V612" s="217"/>
      <c r="W612" s="217"/>
      <c r="X612" s="217"/>
      <c r="Y612" s="217"/>
      <c r="Z612" s="217"/>
      <c r="AA612" s="217"/>
    </row>
    <row r="613" ht="15.75" hidden="1" customHeight="1">
      <c r="A613" s="344"/>
      <c r="B613" s="344"/>
      <c r="C613" s="253"/>
      <c r="D613" s="253"/>
      <c r="E613" s="345"/>
      <c r="F613" s="253"/>
      <c r="G613" s="254"/>
      <c r="H613" s="254"/>
      <c r="I613" s="254"/>
      <c r="J613" s="254"/>
      <c r="K613" s="254"/>
      <c r="L613" s="254"/>
      <c r="M613" s="254"/>
      <c r="N613" s="254"/>
      <c r="O613" s="254"/>
      <c r="P613" s="254"/>
      <c r="Q613" s="254"/>
      <c r="R613" s="254"/>
      <c r="S613" s="254"/>
      <c r="T613" s="254"/>
      <c r="U613" s="254"/>
      <c r="V613" s="217"/>
      <c r="W613" s="217"/>
      <c r="X613" s="217"/>
      <c r="Y613" s="217"/>
      <c r="Z613" s="217"/>
      <c r="AA613" s="217"/>
    </row>
    <row r="614" ht="15.75" hidden="1" customHeight="1">
      <c r="A614" s="344"/>
      <c r="B614" s="344"/>
      <c r="C614" s="253"/>
      <c r="D614" s="253"/>
      <c r="E614" s="345"/>
      <c r="F614" s="253"/>
      <c r="G614" s="254"/>
      <c r="H614" s="254"/>
      <c r="I614" s="254"/>
      <c r="J614" s="254"/>
      <c r="K614" s="254"/>
      <c r="L614" s="254"/>
      <c r="M614" s="254"/>
      <c r="N614" s="254"/>
      <c r="O614" s="254"/>
      <c r="P614" s="254"/>
      <c r="Q614" s="254"/>
      <c r="R614" s="254"/>
      <c r="S614" s="254"/>
      <c r="T614" s="254"/>
      <c r="U614" s="254"/>
      <c r="V614" s="217"/>
      <c r="W614" s="217"/>
      <c r="X614" s="217"/>
      <c r="Y614" s="217"/>
      <c r="Z614" s="217"/>
      <c r="AA614" s="217"/>
    </row>
    <row r="615" ht="15.75" hidden="1" customHeight="1">
      <c r="A615" s="344"/>
      <c r="B615" s="344"/>
      <c r="C615" s="253"/>
      <c r="D615" s="253"/>
      <c r="E615" s="345"/>
      <c r="F615" s="253"/>
      <c r="G615" s="254"/>
      <c r="H615" s="254"/>
      <c r="I615" s="254"/>
      <c r="J615" s="254"/>
      <c r="K615" s="254"/>
      <c r="L615" s="254"/>
      <c r="M615" s="254"/>
      <c r="N615" s="254"/>
      <c r="O615" s="254"/>
      <c r="P615" s="254"/>
      <c r="Q615" s="254"/>
      <c r="R615" s="254"/>
      <c r="S615" s="254"/>
      <c r="T615" s="254"/>
      <c r="U615" s="254"/>
      <c r="V615" s="217"/>
      <c r="W615" s="217"/>
      <c r="X615" s="217"/>
      <c r="Y615" s="217"/>
      <c r="Z615" s="217"/>
      <c r="AA615" s="217"/>
    </row>
    <row r="616" ht="15.75" hidden="1" customHeight="1">
      <c r="A616" s="344"/>
      <c r="B616" s="344"/>
      <c r="C616" s="253"/>
      <c r="D616" s="253"/>
      <c r="E616" s="345"/>
      <c r="F616" s="253"/>
      <c r="G616" s="254"/>
      <c r="H616" s="254"/>
      <c r="I616" s="254"/>
      <c r="J616" s="254"/>
      <c r="K616" s="254"/>
      <c r="L616" s="254"/>
      <c r="M616" s="254"/>
      <c r="N616" s="254"/>
      <c r="O616" s="254"/>
      <c r="P616" s="254"/>
      <c r="Q616" s="254"/>
      <c r="R616" s="254"/>
      <c r="S616" s="254"/>
      <c r="T616" s="254"/>
      <c r="U616" s="254"/>
      <c r="V616" s="217"/>
      <c r="W616" s="217"/>
      <c r="X616" s="217"/>
      <c r="Y616" s="217"/>
      <c r="Z616" s="217"/>
      <c r="AA616" s="217"/>
    </row>
    <row r="617" ht="15.75" hidden="1" customHeight="1">
      <c r="A617" s="344"/>
      <c r="B617" s="344"/>
      <c r="C617" s="253"/>
      <c r="D617" s="253"/>
      <c r="E617" s="345"/>
      <c r="F617" s="253"/>
      <c r="G617" s="254"/>
      <c r="H617" s="254"/>
      <c r="I617" s="254"/>
      <c r="J617" s="254"/>
      <c r="K617" s="254"/>
      <c r="L617" s="254"/>
      <c r="M617" s="254"/>
      <c r="N617" s="254"/>
      <c r="O617" s="254"/>
      <c r="P617" s="254"/>
      <c r="Q617" s="254"/>
      <c r="R617" s="254"/>
      <c r="S617" s="254"/>
      <c r="T617" s="254"/>
      <c r="U617" s="254"/>
      <c r="V617" s="217"/>
      <c r="W617" s="217"/>
      <c r="X617" s="217"/>
      <c r="Y617" s="217"/>
      <c r="Z617" s="217"/>
      <c r="AA617" s="217"/>
    </row>
    <row r="618" ht="15.75" hidden="1" customHeight="1">
      <c r="A618" s="344"/>
      <c r="B618" s="344"/>
      <c r="C618" s="253"/>
      <c r="D618" s="253"/>
      <c r="E618" s="345"/>
      <c r="F618" s="253"/>
      <c r="G618" s="254"/>
      <c r="H618" s="254"/>
      <c r="I618" s="254"/>
      <c r="J618" s="254"/>
      <c r="K618" s="254"/>
      <c r="L618" s="254"/>
      <c r="M618" s="254"/>
      <c r="N618" s="254"/>
      <c r="O618" s="254"/>
      <c r="P618" s="254"/>
      <c r="Q618" s="254"/>
      <c r="R618" s="254"/>
      <c r="S618" s="254"/>
      <c r="T618" s="254"/>
      <c r="U618" s="254"/>
      <c r="V618" s="217"/>
      <c r="W618" s="217"/>
      <c r="X618" s="217"/>
      <c r="Y618" s="217"/>
      <c r="Z618" s="217"/>
      <c r="AA618" s="217"/>
    </row>
    <row r="619" ht="15.75" hidden="1" customHeight="1">
      <c r="A619" s="344"/>
      <c r="B619" s="344"/>
      <c r="C619" s="253"/>
      <c r="D619" s="253"/>
      <c r="E619" s="345"/>
      <c r="F619" s="253"/>
      <c r="G619" s="254"/>
      <c r="H619" s="254"/>
      <c r="I619" s="254"/>
      <c r="J619" s="254"/>
      <c r="K619" s="254"/>
      <c r="L619" s="254"/>
      <c r="M619" s="254"/>
      <c r="N619" s="254"/>
      <c r="O619" s="254"/>
      <c r="P619" s="254"/>
      <c r="Q619" s="254"/>
      <c r="R619" s="254"/>
      <c r="S619" s="254"/>
      <c r="T619" s="254"/>
      <c r="U619" s="254"/>
      <c r="V619" s="217"/>
      <c r="W619" s="217"/>
      <c r="X619" s="217"/>
      <c r="Y619" s="217"/>
      <c r="Z619" s="217"/>
      <c r="AA619" s="217"/>
    </row>
    <row r="620" ht="15.75" hidden="1" customHeight="1">
      <c r="A620" s="344"/>
      <c r="B620" s="344"/>
      <c r="C620" s="253"/>
      <c r="D620" s="253"/>
      <c r="E620" s="345"/>
      <c r="F620" s="253"/>
      <c r="G620" s="254"/>
      <c r="H620" s="254"/>
      <c r="I620" s="254"/>
      <c r="J620" s="254"/>
      <c r="K620" s="254"/>
      <c r="L620" s="254"/>
      <c r="M620" s="254"/>
      <c r="N620" s="254"/>
      <c r="O620" s="254"/>
      <c r="P620" s="254"/>
      <c r="Q620" s="254"/>
      <c r="R620" s="254"/>
      <c r="S620" s="254"/>
      <c r="T620" s="254"/>
      <c r="U620" s="254"/>
      <c r="V620" s="217"/>
      <c r="W620" s="217"/>
      <c r="X620" s="217"/>
      <c r="Y620" s="217"/>
      <c r="Z620" s="217"/>
      <c r="AA620" s="217"/>
    </row>
    <row r="621" ht="15.75" hidden="1" customHeight="1">
      <c r="A621" s="344"/>
      <c r="B621" s="344"/>
      <c r="C621" s="253"/>
      <c r="D621" s="253"/>
      <c r="E621" s="345"/>
      <c r="F621" s="253"/>
      <c r="G621" s="254"/>
      <c r="H621" s="254"/>
      <c r="I621" s="254"/>
      <c r="J621" s="254"/>
      <c r="K621" s="254"/>
      <c r="L621" s="254"/>
      <c r="M621" s="254"/>
      <c r="N621" s="254"/>
      <c r="O621" s="254"/>
      <c r="P621" s="254"/>
      <c r="Q621" s="254"/>
      <c r="R621" s="254"/>
      <c r="S621" s="254"/>
      <c r="T621" s="254"/>
      <c r="U621" s="254"/>
      <c r="V621" s="217"/>
      <c r="W621" s="217"/>
      <c r="X621" s="217"/>
      <c r="Y621" s="217"/>
      <c r="Z621" s="217"/>
      <c r="AA621" s="217"/>
    </row>
    <row r="622" ht="15.75" hidden="1" customHeight="1">
      <c r="A622" s="344"/>
      <c r="B622" s="344"/>
      <c r="C622" s="253"/>
      <c r="D622" s="253"/>
      <c r="E622" s="345"/>
      <c r="F622" s="253"/>
      <c r="G622" s="254"/>
      <c r="H622" s="254"/>
      <c r="I622" s="254"/>
      <c r="J622" s="254"/>
      <c r="K622" s="254"/>
      <c r="L622" s="254"/>
      <c r="M622" s="254"/>
      <c r="N622" s="254"/>
      <c r="O622" s="254"/>
      <c r="P622" s="254"/>
      <c r="Q622" s="254"/>
      <c r="R622" s="254"/>
      <c r="S622" s="254"/>
      <c r="T622" s="254"/>
      <c r="U622" s="254"/>
      <c r="V622" s="217"/>
      <c r="W622" s="217"/>
      <c r="X622" s="217"/>
      <c r="Y622" s="217"/>
      <c r="Z622" s="217"/>
      <c r="AA622" s="217"/>
    </row>
    <row r="623" ht="15.75" hidden="1" customHeight="1">
      <c r="A623" s="344"/>
      <c r="B623" s="344"/>
      <c r="C623" s="253"/>
      <c r="D623" s="253"/>
      <c r="E623" s="345"/>
      <c r="F623" s="253"/>
      <c r="G623" s="254"/>
      <c r="H623" s="254"/>
      <c r="I623" s="254"/>
      <c r="J623" s="254"/>
      <c r="K623" s="254"/>
      <c r="L623" s="254"/>
      <c r="M623" s="254"/>
      <c r="N623" s="254"/>
      <c r="O623" s="254"/>
      <c r="P623" s="254"/>
      <c r="Q623" s="254"/>
      <c r="R623" s="254"/>
      <c r="S623" s="254"/>
      <c r="T623" s="254"/>
      <c r="U623" s="254"/>
      <c r="V623" s="217"/>
      <c r="W623" s="217"/>
      <c r="X623" s="217"/>
      <c r="Y623" s="217"/>
      <c r="Z623" s="217"/>
      <c r="AA623" s="217"/>
    </row>
    <row r="624" ht="15.75" hidden="1" customHeight="1">
      <c r="A624" s="344"/>
      <c r="B624" s="344"/>
      <c r="C624" s="253"/>
      <c r="D624" s="253"/>
      <c r="E624" s="345"/>
      <c r="F624" s="253"/>
      <c r="G624" s="254"/>
      <c r="H624" s="254"/>
      <c r="I624" s="254"/>
      <c r="J624" s="254"/>
      <c r="K624" s="254"/>
      <c r="L624" s="254"/>
      <c r="M624" s="254"/>
      <c r="N624" s="254"/>
      <c r="O624" s="254"/>
      <c r="P624" s="254"/>
      <c r="Q624" s="254"/>
      <c r="R624" s="254"/>
      <c r="S624" s="254"/>
      <c r="T624" s="254"/>
      <c r="U624" s="254"/>
      <c r="V624" s="217"/>
      <c r="W624" s="217"/>
      <c r="X624" s="217"/>
      <c r="Y624" s="217"/>
      <c r="Z624" s="217"/>
      <c r="AA624" s="217"/>
    </row>
    <row r="625" ht="15.75" hidden="1" customHeight="1">
      <c r="A625" s="344"/>
      <c r="B625" s="344"/>
      <c r="C625" s="253"/>
      <c r="D625" s="253"/>
      <c r="E625" s="345"/>
      <c r="F625" s="253"/>
      <c r="G625" s="254"/>
      <c r="H625" s="254"/>
      <c r="I625" s="254"/>
      <c r="J625" s="254"/>
      <c r="K625" s="254"/>
      <c r="L625" s="254"/>
      <c r="M625" s="254"/>
      <c r="N625" s="254"/>
      <c r="O625" s="254"/>
      <c r="P625" s="254"/>
      <c r="Q625" s="254"/>
      <c r="R625" s="254"/>
      <c r="S625" s="254"/>
      <c r="T625" s="254"/>
      <c r="U625" s="254"/>
      <c r="V625" s="217"/>
      <c r="W625" s="217"/>
      <c r="X625" s="217"/>
      <c r="Y625" s="217"/>
      <c r="Z625" s="217"/>
      <c r="AA625" s="217"/>
    </row>
    <row r="626" ht="15.75" hidden="1" customHeight="1">
      <c r="A626" s="344"/>
      <c r="B626" s="344"/>
      <c r="C626" s="253"/>
      <c r="D626" s="253"/>
      <c r="E626" s="345"/>
      <c r="F626" s="253"/>
      <c r="G626" s="254"/>
      <c r="H626" s="254"/>
      <c r="I626" s="254"/>
      <c r="J626" s="254"/>
      <c r="K626" s="254"/>
      <c r="L626" s="254"/>
      <c r="M626" s="254"/>
      <c r="N626" s="254"/>
      <c r="O626" s="254"/>
      <c r="P626" s="254"/>
      <c r="Q626" s="254"/>
      <c r="R626" s="254"/>
      <c r="S626" s="254"/>
      <c r="T626" s="254"/>
      <c r="U626" s="254"/>
      <c r="V626" s="217"/>
      <c r="W626" s="217"/>
      <c r="X626" s="217"/>
      <c r="Y626" s="217"/>
      <c r="Z626" s="217"/>
      <c r="AA626" s="217"/>
    </row>
    <row r="627" ht="15.75" hidden="1" customHeight="1">
      <c r="A627" s="344"/>
      <c r="B627" s="344"/>
      <c r="C627" s="253"/>
      <c r="D627" s="253"/>
      <c r="E627" s="345"/>
      <c r="F627" s="253"/>
      <c r="G627" s="254"/>
      <c r="H627" s="254"/>
      <c r="I627" s="254"/>
      <c r="J627" s="254"/>
      <c r="K627" s="254"/>
      <c r="L627" s="254"/>
      <c r="M627" s="254"/>
      <c r="N627" s="254"/>
      <c r="O627" s="254"/>
      <c r="P627" s="254"/>
      <c r="Q627" s="254"/>
      <c r="R627" s="254"/>
      <c r="S627" s="254"/>
      <c r="T627" s="254"/>
      <c r="U627" s="254"/>
      <c r="V627" s="217"/>
      <c r="W627" s="217"/>
      <c r="X627" s="217"/>
      <c r="Y627" s="217"/>
      <c r="Z627" s="217"/>
      <c r="AA627" s="217"/>
    </row>
    <row r="628" ht="15.75" hidden="1" customHeight="1">
      <c r="A628" s="344"/>
      <c r="B628" s="344"/>
      <c r="C628" s="253"/>
      <c r="D628" s="253"/>
      <c r="E628" s="345"/>
      <c r="F628" s="253"/>
      <c r="G628" s="254"/>
      <c r="H628" s="254"/>
      <c r="I628" s="254"/>
      <c r="J628" s="254"/>
      <c r="K628" s="254"/>
      <c r="L628" s="254"/>
      <c r="M628" s="254"/>
      <c r="N628" s="254"/>
      <c r="O628" s="254"/>
      <c r="P628" s="254"/>
      <c r="Q628" s="254"/>
      <c r="R628" s="254"/>
      <c r="S628" s="254"/>
      <c r="T628" s="254"/>
      <c r="U628" s="254"/>
      <c r="V628" s="217"/>
      <c r="W628" s="217"/>
      <c r="X628" s="217"/>
      <c r="Y628" s="217"/>
      <c r="Z628" s="217"/>
      <c r="AA628" s="217"/>
    </row>
    <row r="629" ht="15.75" hidden="1" customHeight="1">
      <c r="A629" s="344"/>
      <c r="B629" s="344"/>
      <c r="C629" s="253"/>
      <c r="D629" s="253"/>
      <c r="E629" s="345"/>
      <c r="F629" s="253"/>
      <c r="G629" s="254"/>
      <c r="H629" s="254"/>
      <c r="I629" s="254"/>
      <c r="J629" s="254"/>
      <c r="K629" s="254"/>
      <c r="L629" s="254"/>
      <c r="M629" s="254"/>
      <c r="N629" s="254"/>
      <c r="O629" s="254"/>
      <c r="P629" s="254"/>
      <c r="Q629" s="254"/>
      <c r="R629" s="254"/>
      <c r="S629" s="254"/>
      <c r="T629" s="254"/>
      <c r="U629" s="254"/>
      <c r="V629" s="217"/>
      <c r="W629" s="217"/>
      <c r="X629" s="217"/>
      <c r="Y629" s="217"/>
      <c r="Z629" s="217"/>
      <c r="AA629" s="217"/>
    </row>
    <row r="630" ht="15.75" hidden="1" customHeight="1">
      <c r="A630" s="344"/>
      <c r="B630" s="344"/>
      <c r="C630" s="253"/>
      <c r="D630" s="253"/>
      <c r="E630" s="345"/>
      <c r="F630" s="253"/>
      <c r="G630" s="254"/>
      <c r="H630" s="254"/>
      <c r="I630" s="254"/>
      <c r="J630" s="254"/>
      <c r="K630" s="254"/>
      <c r="L630" s="254"/>
      <c r="M630" s="254"/>
      <c r="N630" s="254"/>
      <c r="O630" s="254"/>
      <c r="P630" s="254"/>
      <c r="Q630" s="254"/>
      <c r="R630" s="254"/>
      <c r="S630" s="254"/>
      <c r="T630" s="254"/>
      <c r="U630" s="254"/>
      <c r="V630" s="217"/>
      <c r="W630" s="217"/>
      <c r="X630" s="217"/>
      <c r="Y630" s="217"/>
      <c r="Z630" s="217"/>
      <c r="AA630" s="217"/>
    </row>
    <row r="631" ht="15.75" hidden="1" customHeight="1">
      <c r="A631" s="344"/>
      <c r="B631" s="344"/>
      <c r="C631" s="253"/>
      <c r="D631" s="253"/>
      <c r="E631" s="345"/>
      <c r="F631" s="253"/>
      <c r="G631" s="254"/>
      <c r="H631" s="254"/>
      <c r="I631" s="254"/>
      <c r="J631" s="254"/>
      <c r="K631" s="254"/>
      <c r="L631" s="254"/>
      <c r="M631" s="254"/>
      <c r="N631" s="254"/>
      <c r="O631" s="254"/>
      <c r="P631" s="254"/>
      <c r="Q631" s="254"/>
      <c r="R631" s="254"/>
      <c r="S631" s="254"/>
      <c r="T631" s="254"/>
      <c r="U631" s="254"/>
      <c r="V631" s="217"/>
      <c r="W631" s="217"/>
      <c r="X631" s="217"/>
      <c r="Y631" s="217"/>
      <c r="Z631" s="217"/>
      <c r="AA631" s="217"/>
    </row>
    <row r="632" ht="15.75" hidden="1" customHeight="1">
      <c r="A632" s="344"/>
      <c r="B632" s="344"/>
      <c r="C632" s="253"/>
      <c r="D632" s="253"/>
      <c r="E632" s="345"/>
      <c r="F632" s="253"/>
      <c r="G632" s="254"/>
      <c r="H632" s="254"/>
      <c r="I632" s="254"/>
      <c r="J632" s="254"/>
      <c r="K632" s="254"/>
      <c r="L632" s="254"/>
      <c r="M632" s="254"/>
      <c r="N632" s="254"/>
      <c r="O632" s="254"/>
      <c r="P632" s="254"/>
      <c r="Q632" s="254"/>
      <c r="R632" s="254"/>
      <c r="S632" s="254"/>
      <c r="T632" s="254"/>
      <c r="U632" s="254"/>
      <c r="V632" s="217"/>
      <c r="W632" s="217"/>
      <c r="X632" s="217"/>
      <c r="Y632" s="217"/>
      <c r="Z632" s="217"/>
      <c r="AA632" s="217"/>
    </row>
    <row r="633" ht="15.75" hidden="1" customHeight="1">
      <c r="A633" s="344"/>
      <c r="B633" s="344"/>
      <c r="C633" s="253"/>
      <c r="D633" s="253"/>
      <c r="E633" s="345"/>
      <c r="F633" s="253"/>
      <c r="G633" s="254"/>
      <c r="H633" s="254"/>
      <c r="I633" s="254"/>
      <c r="J633" s="254"/>
      <c r="K633" s="254"/>
      <c r="L633" s="254"/>
      <c r="M633" s="254"/>
      <c r="N633" s="254"/>
      <c r="O633" s="254"/>
      <c r="P633" s="254"/>
      <c r="Q633" s="254"/>
      <c r="R633" s="254"/>
      <c r="S633" s="254"/>
      <c r="T633" s="254"/>
      <c r="U633" s="254"/>
      <c r="V633" s="217"/>
      <c r="W633" s="217"/>
      <c r="X633" s="217"/>
      <c r="Y633" s="217"/>
      <c r="Z633" s="217"/>
      <c r="AA633" s="217"/>
    </row>
    <row r="634" ht="15.75" hidden="1" customHeight="1">
      <c r="A634" s="344"/>
      <c r="B634" s="344"/>
      <c r="C634" s="253"/>
      <c r="D634" s="253"/>
      <c r="E634" s="345"/>
      <c r="F634" s="253"/>
      <c r="G634" s="254"/>
      <c r="H634" s="254"/>
      <c r="I634" s="254"/>
      <c r="J634" s="254"/>
      <c r="K634" s="254"/>
      <c r="L634" s="254"/>
      <c r="M634" s="254"/>
      <c r="N634" s="254"/>
      <c r="O634" s="254"/>
      <c r="P634" s="254"/>
      <c r="Q634" s="254"/>
      <c r="R634" s="254"/>
      <c r="S634" s="254"/>
      <c r="T634" s="254"/>
      <c r="U634" s="254"/>
      <c r="V634" s="217"/>
      <c r="W634" s="217"/>
      <c r="X634" s="217"/>
      <c r="Y634" s="217"/>
      <c r="Z634" s="217"/>
      <c r="AA634" s="217"/>
    </row>
    <row r="635" ht="15.75" hidden="1" customHeight="1">
      <c r="A635" s="344"/>
      <c r="B635" s="344"/>
      <c r="C635" s="253"/>
      <c r="D635" s="253"/>
      <c r="E635" s="345"/>
      <c r="F635" s="253"/>
      <c r="G635" s="254"/>
      <c r="H635" s="254"/>
      <c r="I635" s="254"/>
      <c r="J635" s="254"/>
      <c r="K635" s="254"/>
      <c r="L635" s="254"/>
      <c r="M635" s="254"/>
      <c r="N635" s="254"/>
      <c r="O635" s="254"/>
      <c r="P635" s="254"/>
      <c r="Q635" s="254"/>
      <c r="R635" s="254"/>
      <c r="S635" s="254"/>
      <c r="T635" s="254"/>
      <c r="U635" s="254"/>
      <c r="V635" s="217"/>
      <c r="W635" s="217"/>
      <c r="X635" s="217"/>
      <c r="Y635" s="217"/>
      <c r="Z635" s="217"/>
      <c r="AA635" s="217"/>
    </row>
    <row r="636" ht="15.75" hidden="1" customHeight="1">
      <c r="A636" s="344"/>
      <c r="B636" s="344"/>
      <c r="C636" s="253"/>
      <c r="D636" s="253"/>
      <c r="E636" s="345"/>
      <c r="F636" s="253"/>
      <c r="G636" s="254"/>
      <c r="H636" s="254"/>
      <c r="I636" s="254"/>
      <c r="J636" s="254"/>
      <c r="K636" s="254"/>
      <c r="L636" s="254"/>
      <c r="M636" s="254"/>
      <c r="N636" s="254"/>
      <c r="O636" s="254"/>
      <c r="P636" s="254"/>
      <c r="Q636" s="254"/>
      <c r="R636" s="254"/>
      <c r="S636" s="254"/>
      <c r="T636" s="254"/>
      <c r="U636" s="254"/>
      <c r="V636" s="217"/>
      <c r="W636" s="217"/>
      <c r="X636" s="217"/>
      <c r="Y636" s="217"/>
      <c r="Z636" s="217"/>
      <c r="AA636" s="217"/>
    </row>
    <row r="637" ht="15.75" hidden="1" customHeight="1">
      <c r="A637" s="344"/>
      <c r="B637" s="344"/>
      <c r="C637" s="253"/>
      <c r="D637" s="253"/>
      <c r="E637" s="345"/>
      <c r="F637" s="253"/>
      <c r="G637" s="254"/>
      <c r="H637" s="254"/>
      <c r="I637" s="254"/>
      <c r="J637" s="254"/>
      <c r="K637" s="254"/>
      <c r="L637" s="254"/>
      <c r="M637" s="254"/>
      <c r="N637" s="254"/>
      <c r="O637" s="254"/>
      <c r="P637" s="254"/>
      <c r="Q637" s="254"/>
      <c r="R637" s="254"/>
      <c r="S637" s="254"/>
      <c r="T637" s="254"/>
      <c r="U637" s="254"/>
      <c r="V637" s="217"/>
      <c r="W637" s="217"/>
      <c r="X637" s="217"/>
      <c r="Y637" s="217"/>
      <c r="Z637" s="217"/>
      <c r="AA637" s="217"/>
    </row>
    <row r="638" ht="15.75" hidden="1" customHeight="1">
      <c r="A638" s="344"/>
      <c r="B638" s="344"/>
      <c r="C638" s="253"/>
      <c r="D638" s="253"/>
      <c r="E638" s="345"/>
      <c r="F638" s="253"/>
      <c r="G638" s="254"/>
      <c r="H638" s="254"/>
      <c r="I638" s="254"/>
      <c r="J638" s="254"/>
      <c r="K638" s="254"/>
      <c r="L638" s="254"/>
      <c r="M638" s="254"/>
      <c r="N638" s="254"/>
      <c r="O638" s="254"/>
      <c r="P638" s="254"/>
      <c r="Q638" s="254"/>
      <c r="R638" s="254"/>
      <c r="S638" s="254"/>
      <c r="T638" s="254"/>
      <c r="U638" s="254"/>
      <c r="V638" s="217"/>
      <c r="W638" s="217"/>
      <c r="X638" s="217"/>
      <c r="Y638" s="217"/>
      <c r="Z638" s="217"/>
      <c r="AA638" s="217"/>
    </row>
    <row r="639" ht="15.75" hidden="1" customHeight="1">
      <c r="A639" s="344"/>
      <c r="B639" s="344"/>
      <c r="C639" s="253"/>
      <c r="D639" s="253"/>
      <c r="E639" s="345"/>
      <c r="F639" s="253"/>
      <c r="G639" s="254"/>
      <c r="H639" s="254"/>
      <c r="I639" s="254"/>
      <c r="J639" s="254"/>
      <c r="K639" s="254"/>
      <c r="L639" s="254"/>
      <c r="M639" s="254"/>
      <c r="N639" s="254"/>
      <c r="O639" s="254"/>
      <c r="P639" s="254"/>
      <c r="Q639" s="254"/>
      <c r="R639" s="254"/>
      <c r="S639" s="254"/>
      <c r="T639" s="254"/>
      <c r="U639" s="254"/>
      <c r="V639" s="217"/>
      <c r="W639" s="217"/>
      <c r="X639" s="217"/>
      <c r="Y639" s="217"/>
      <c r="Z639" s="217"/>
      <c r="AA639" s="217"/>
    </row>
    <row r="640" ht="15.75" hidden="1" customHeight="1">
      <c r="A640" s="344"/>
      <c r="B640" s="344"/>
      <c r="C640" s="253"/>
      <c r="D640" s="253"/>
      <c r="E640" s="345"/>
      <c r="F640" s="253"/>
      <c r="G640" s="254"/>
      <c r="H640" s="254"/>
      <c r="I640" s="254"/>
      <c r="J640" s="254"/>
      <c r="K640" s="254"/>
      <c r="L640" s="254"/>
      <c r="M640" s="254"/>
      <c r="N640" s="254"/>
      <c r="O640" s="254"/>
      <c r="P640" s="254"/>
      <c r="Q640" s="254"/>
      <c r="R640" s="254"/>
      <c r="S640" s="254"/>
      <c r="T640" s="254"/>
      <c r="U640" s="254"/>
      <c r="V640" s="217"/>
      <c r="W640" s="217"/>
      <c r="X640" s="217"/>
      <c r="Y640" s="217"/>
      <c r="Z640" s="217"/>
      <c r="AA640" s="217"/>
    </row>
    <row r="641" ht="15.75" hidden="1" customHeight="1">
      <c r="A641" s="344"/>
      <c r="B641" s="344"/>
      <c r="C641" s="253"/>
      <c r="D641" s="253"/>
      <c r="E641" s="345"/>
      <c r="F641" s="253"/>
      <c r="G641" s="254"/>
      <c r="H641" s="254"/>
      <c r="I641" s="254"/>
      <c r="J641" s="254"/>
      <c r="K641" s="254"/>
      <c r="L641" s="254"/>
      <c r="M641" s="254"/>
      <c r="N641" s="254"/>
      <c r="O641" s="254"/>
      <c r="P641" s="254"/>
      <c r="Q641" s="254"/>
      <c r="R641" s="254"/>
      <c r="S641" s="254"/>
      <c r="T641" s="254"/>
      <c r="U641" s="254"/>
      <c r="V641" s="217"/>
      <c r="W641" s="217"/>
      <c r="X641" s="217"/>
      <c r="Y641" s="217"/>
      <c r="Z641" s="217"/>
      <c r="AA641" s="217"/>
    </row>
    <row r="642" ht="15.75" hidden="1" customHeight="1">
      <c r="A642" s="344"/>
      <c r="B642" s="344"/>
      <c r="C642" s="253"/>
      <c r="D642" s="253"/>
      <c r="E642" s="345"/>
      <c r="F642" s="253"/>
      <c r="G642" s="254"/>
      <c r="H642" s="254"/>
      <c r="I642" s="254"/>
      <c r="J642" s="254"/>
      <c r="K642" s="254"/>
      <c r="L642" s="254"/>
      <c r="M642" s="254"/>
      <c r="N642" s="254"/>
      <c r="O642" s="254"/>
      <c r="P642" s="254"/>
      <c r="Q642" s="254"/>
      <c r="R642" s="254"/>
      <c r="S642" s="254"/>
      <c r="T642" s="254"/>
      <c r="U642" s="254"/>
      <c r="V642" s="217"/>
      <c r="W642" s="217"/>
      <c r="X642" s="217"/>
      <c r="Y642" s="217"/>
      <c r="Z642" s="217"/>
      <c r="AA642" s="217"/>
    </row>
    <row r="643" ht="15.75" hidden="1" customHeight="1">
      <c r="A643" s="344"/>
      <c r="B643" s="344"/>
      <c r="C643" s="253"/>
      <c r="D643" s="253"/>
      <c r="E643" s="345"/>
      <c r="F643" s="253"/>
      <c r="G643" s="254"/>
      <c r="H643" s="254"/>
      <c r="I643" s="254"/>
      <c r="J643" s="254"/>
      <c r="K643" s="254"/>
      <c r="L643" s="254"/>
      <c r="M643" s="254"/>
      <c r="N643" s="254"/>
      <c r="O643" s="254"/>
      <c r="P643" s="254"/>
      <c r="Q643" s="254"/>
      <c r="R643" s="254"/>
      <c r="S643" s="254"/>
      <c r="T643" s="254"/>
      <c r="U643" s="254"/>
      <c r="V643" s="217"/>
      <c r="W643" s="217"/>
      <c r="X643" s="217"/>
      <c r="Y643" s="217"/>
      <c r="Z643" s="217"/>
      <c r="AA643" s="217"/>
    </row>
    <row r="644" ht="15.75" hidden="1" customHeight="1">
      <c r="A644" s="344"/>
      <c r="B644" s="344"/>
      <c r="C644" s="253"/>
      <c r="D644" s="253"/>
      <c r="E644" s="345"/>
      <c r="F644" s="253"/>
      <c r="G644" s="254"/>
      <c r="H644" s="254"/>
      <c r="I644" s="254"/>
      <c r="J644" s="254"/>
      <c r="K644" s="254"/>
      <c r="L644" s="254"/>
      <c r="M644" s="254"/>
      <c r="N644" s="254"/>
      <c r="O644" s="254"/>
      <c r="P644" s="254"/>
      <c r="Q644" s="254"/>
      <c r="R644" s="254"/>
      <c r="S644" s="254"/>
      <c r="T644" s="254"/>
      <c r="U644" s="254"/>
      <c r="V644" s="217"/>
      <c r="W644" s="217"/>
      <c r="X644" s="217"/>
      <c r="Y644" s="217"/>
      <c r="Z644" s="217"/>
      <c r="AA644" s="217"/>
    </row>
    <row r="645" ht="15.75" hidden="1" customHeight="1">
      <c r="A645" s="344"/>
      <c r="B645" s="344"/>
      <c r="C645" s="253"/>
      <c r="D645" s="253"/>
      <c r="E645" s="345"/>
      <c r="F645" s="253"/>
      <c r="G645" s="254"/>
      <c r="H645" s="254"/>
      <c r="I645" s="254"/>
      <c r="J645" s="254"/>
      <c r="K645" s="254"/>
      <c r="L645" s="254"/>
      <c r="M645" s="254"/>
      <c r="N645" s="254"/>
      <c r="O645" s="254"/>
      <c r="P645" s="254"/>
      <c r="Q645" s="254"/>
      <c r="R645" s="254"/>
      <c r="S645" s="254"/>
      <c r="T645" s="254"/>
      <c r="U645" s="254"/>
      <c r="V645" s="217"/>
      <c r="W645" s="217"/>
      <c r="X645" s="217"/>
      <c r="Y645" s="217"/>
      <c r="Z645" s="217"/>
      <c r="AA645" s="217"/>
    </row>
    <row r="646" ht="15.75" hidden="1" customHeight="1">
      <c r="A646" s="344"/>
      <c r="B646" s="344"/>
      <c r="C646" s="253"/>
      <c r="D646" s="253"/>
      <c r="E646" s="345"/>
      <c r="F646" s="253"/>
      <c r="G646" s="254"/>
      <c r="H646" s="254"/>
      <c r="I646" s="254"/>
      <c r="J646" s="254"/>
      <c r="K646" s="254"/>
      <c r="L646" s="254"/>
      <c r="M646" s="254"/>
      <c r="N646" s="254"/>
      <c r="O646" s="254"/>
      <c r="P646" s="254"/>
      <c r="Q646" s="254"/>
      <c r="R646" s="254"/>
      <c r="S646" s="254"/>
      <c r="T646" s="254"/>
      <c r="U646" s="254"/>
      <c r="V646" s="217"/>
      <c r="W646" s="217"/>
      <c r="X646" s="217"/>
      <c r="Y646" s="217"/>
      <c r="Z646" s="217"/>
      <c r="AA646" s="217"/>
    </row>
    <row r="647" ht="15.75" hidden="1" customHeight="1">
      <c r="A647" s="344"/>
      <c r="B647" s="344"/>
      <c r="C647" s="253"/>
      <c r="D647" s="253"/>
      <c r="E647" s="345"/>
      <c r="F647" s="253"/>
      <c r="G647" s="254"/>
      <c r="H647" s="254"/>
      <c r="I647" s="254"/>
      <c r="J647" s="254"/>
      <c r="K647" s="254"/>
      <c r="L647" s="254"/>
      <c r="M647" s="254"/>
      <c r="N647" s="254"/>
      <c r="O647" s="254"/>
      <c r="P647" s="254"/>
      <c r="Q647" s="254"/>
      <c r="R647" s="254"/>
      <c r="S647" s="254"/>
      <c r="T647" s="254"/>
      <c r="U647" s="254"/>
      <c r="V647" s="217"/>
      <c r="W647" s="217"/>
      <c r="X647" s="217"/>
      <c r="Y647" s="217"/>
      <c r="Z647" s="217"/>
      <c r="AA647" s="217"/>
    </row>
    <row r="648" ht="15.75" hidden="1" customHeight="1">
      <c r="A648" s="344"/>
      <c r="B648" s="344"/>
      <c r="C648" s="253"/>
      <c r="D648" s="253"/>
      <c r="E648" s="345"/>
      <c r="F648" s="253"/>
      <c r="G648" s="254"/>
      <c r="H648" s="254"/>
      <c r="I648" s="254"/>
      <c r="J648" s="254"/>
      <c r="K648" s="254"/>
      <c r="L648" s="254"/>
      <c r="M648" s="254"/>
      <c r="N648" s="254"/>
      <c r="O648" s="254"/>
      <c r="P648" s="254"/>
      <c r="Q648" s="254"/>
      <c r="R648" s="254"/>
      <c r="S648" s="254"/>
      <c r="T648" s="254"/>
      <c r="U648" s="254"/>
      <c r="V648" s="217"/>
      <c r="W648" s="217"/>
      <c r="X648" s="217"/>
      <c r="Y648" s="217"/>
      <c r="Z648" s="217"/>
      <c r="AA648" s="217"/>
    </row>
    <row r="649" ht="15.75" hidden="1" customHeight="1">
      <c r="A649" s="344"/>
      <c r="B649" s="344"/>
      <c r="C649" s="253"/>
      <c r="D649" s="253"/>
      <c r="E649" s="345"/>
      <c r="F649" s="253"/>
      <c r="G649" s="254"/>
      <c r="H649" s="254"/>
      <c r="I649" s="254"/>
      <c r="J649" s="254"/>
      <c r="K649" s="254"/>
      <c r="L649" s="254"/>
      <c r="M649" s="254"/>
      <c r="N649" s="254"/>
      <c r="O649" s="254"/>
      <c r="P649" s="254"/>
      <c r="Q649" s="254"/>
      <c r="R649" s="254"/>
      <c r="S649" s="254"/>
      <c r="T649" s="254"/>
      <c r="U649" s="254"/>
      <c r="V649" s="217"/>
      <c r="W649" s="217"/>
      <c r="X649" s="217"/>
      <c r="Y649" s="217"/>
      <c r="Z649" s="217"/>
      <c r="AA649" s="217"/>
    </row>
    <row r="650" ht="15.75" hidden="1" customHeight="1">
      <c r="A650" s="344"/>
      <c r="B650" s="344"/>
      <c r="C650" s="253"/>
      <c r="D650" s="253"/>
      <c r="E650" s="345"/>
      <c r="F650" s="253"/>
      <c r="G650" s="254"/>
      <c r="H650" s="254"/>
      <c r="I650" s="254"/>
      <c r="J650" s="254"/>
      <c r="K650" s="254"/>
      <c r="L650" s="254"/>
      <c r="M650" s="254"/>
      <c r="N650" s="254"/>
      <c r="O650" s="254"/>
      <c r="P650" s="254"/>
      <c r="Q650" s="254"/>
      <c r="R650" s="254"/>
      <c r="S650" s="254"/>
      <c r="T650" s="254"/>
      <c r="U650" s="254"/>
      <c r="V650" s="217"/>
      <c r="W650" s="217"/>
      <c r="X650" s="217"/>
      <c r="Y650" s="217"/>
      <c r="Z650" s="217"/>
      <c r="AA650" s="217"/>
    </row>
    <row r="651" ht="15.75" hidden="1" customHeight="1">
      <c r="A651" s="344"/>
      <c r="B651" s="344"/>
      <c r="C651" s="253"/>
      <c r="D651" s="253"/>
      <c r="E651" s="345"/>
      <c r="F651" s="253"/>
      <c r="G651" s="254"/>
      <c r="H651" s="254"/>
      <c r="I651" s="254"/>
      <c r="J651" s="254"/>
      <c r="K651" s="254"/>
      <c r="L651" s="254"/>
      <c r="M651" s="254"/>
      <c r="N651" s="254"/>
      <c r="O651" s="254"/>
      <c r="P651" s="254"/>
      <c r="Q651" s="254"/>
      <c r="R651" s="254"/>
      <c r="S651" s="254"/>
      <c r="T651" s="254"/>
      <c r="U651" s="254"/>
      <c r="V651" s="217"/>
      <c r="W651" s="217"/>
      <c r="X651" s="217"/>
      <c r="Y651" s="217"/>
      <c r="Z651" s="217"/>
      <c r="AA651" s="217"/>
    </row>
    <row r="652" ht="15.75" hidden="1" customHeight="1">
      <c r="A652" s="344"/>
      <c r="B652" s="344"/>
      <c r="C652" s="253"/>
      <c r="D652" s="253"/>
      <c r="E652" s="345"/>
      <c r="F652" s="253"/>
      <c r="G652" s="254"/>
      <c r="H652" s="254"/>
      <c r="I652" s="254"/>
      <c r="J652" s="254"/>
      <c r="K652" s="254"/>
      <c r="L652" s="254"/>
      <c r="M652" s="254"/>
      <c r="N652" s="254"/>
      <c r="O652" s="254"/>
      <c r="P652" s="254"/>
      <c r="Q652" s="254"/>
      <c r="R652" s="254"/>
      <c r="S652" s="254"/>
      <c r="T652" s="254"/>
      <c r="U652" s="254"/>
      <c r="V652" s="217"/>
      <c r="W652" s="217"/>
      <c r="X652" s="217"/>
      <c r="Y652" s="217"/>
      <c r="Z652" s="217"/>
      <c r="AA652" s="217"/>
    </row>
    <row r="653" ht="15.75" hidden="1" customHeight="1">
      <c r="A653" s="344"/>
      <c r="B653" s="344"/>
      <c r="C653" s="253"/>
      <c r="D653" s="253"/>
      <c r="E653" s="345"/>
      <c r="F653" s="253"/>
      <c r="G653" s="254"/>
      <c r="H653" s="254"/>
      <c r="I653" s="254"/>
      <c r="J653" s="254"/>
      <c r="K653" s="254"/>
      <c r="L653" s="254"/>
      <c r="M653" s="254"/>
      <c r="N653" s="254"/>
      <c r="O653" s="254"/>
      <c r="P653" s="254"/>
      <c r="Q653" s="254"/>
      <c r="R653" s="254"/>
      <c r="S653" s="254"/>
      <c r="T653" s="254"/>
      <c r="U653" s="254"/>
      <c r="V653" s="217"/>
      <c r="W653" s="217"/>
      <c r="X653" s="217"/>
      <c r="Y653" s="217"/>
      <c r="Z653" s="217"/>
      <c r="AA653" s="217"/>
    </row>
    <row r="654" ht="15.75" hidden="1" customHeight="1">
      <c r="A654" s="344"/>
      <c r="B654" s="344"/>
      <c r="C654" s="253"/>
      <c r="D654" s="253"/>
      <c r="E654" s="345"/>
      <c r="F654" s="253"/>
      <c r="G654" s="254"/>
      <c r="H654" s="254"/>
      <c r="I654" s="254"/>
      <c r="J654" s="254"/>
      <c r="K654" s="254"/>
      <c r="L654" s="254"/>
      <c r="M654" s="254"/>
      <c r="N654" s="254"/>
      <c r="O654" s="254"/>
      <c r="P654" s="254"/>
      <c r="Q654" s="254"/>
      <c r="R654" s="254"/>
      <c r="S654" s="254"/>
      <c r="T654" s="254"/>
      <c r="U654" s="254"/>
      <c r="V654" s="217"/>
      <c r="W654" s="217"/>
      <c r="X654" s="217"/>
      <c r="Y654" s="217"/>
      <c r="Z654" s="217"/>
      <c r="AA654" s="217"/>
    </row>
    <row r="655" ht="15.75" hidden="1" customHeight="1">
      <c r="A655" s="344"/>
      <c r="B655" s="344"/>
      <c r="C655" s="253"/>
      <c r="D655" s="253"/>
      <c r="E655" s="345"/>
      <c r="F655" s="253"/>
      <c r="G655" s="254"/>
      <c r="H655" s="254"/>
      <c r="I655" s="254"/>
      <c r="J655" s="254"/>
      <c r="K655" s="254"/>
      <c r="L655" s="254"/>
      <c r="M655" s="254"/>
      <c r="N655" s="254"/>
      <c r="O655" s="254"/>
      <c r="P655" s="254"/>
      <c r="Q655" s="254"/>
      <c r="R655" s="254"/>
      <c r="S655" s="254"/>
      <c r="T655" s="254"/>
      <c r="U655" s="254"/>
      <c r="V655" s="217"/>
      <c r="W655" s="217"/>
      <c r="X655" s="217"/>
      <c r="Y655" s="217"/>
      <c r="Z655" s="217"/>
      <c r="AA655" s="217"/>
    </row>
    <row r="656" ht="15.75" hidden="1" customHeight="1">
      <c r="A656" s="344"/>
      <c r="B656" s="344"/>
      <c r="C656" s="253"/>
      <c r="D656" s="253"/>
      <c r="E656" s="345"/>
      <c r="F656" s="253"/>
      <c r="G656" s="254"/>
      <c r="H656" s="254"/>
      <c r="I656" s="254"/>
      <c r="J656" s="254"/>
      <c r="K656" s="254"/>
      <c r="L656" s="254"/>
      <c r="M656" s="254"/>
      <c r="N656" s="254"/>
      <c r="O656" s="254"/>
      <c r="P656" s="254"/>
      <c r="Q656" s="254"/>
      <c r="R656" s="254"/>
      <c r="S656" s="254"/>
      <c r="T656" s="254"/>
      <c r="U656" s="254"/>
      <c r="V656" s="217"/>
      <c r="W656" s="217"/>
      <c r="X656" s="217"/>
      <c r="Y656" s="217"/>
      <c r="Z656" s="217"/>
      <c r="AA656" s="217"/>
    </row>
    <row r="657" ht="15.75" hidden="1" customHeight="1">
      <c r="A657" s="344"/>
      <c r="B657" s="344"/>
      <c r="C657" s="253"/>
      <c r="D657" s="253"/>
      <c r="E657" s="345"/>
      <c r="F657" s="253"/>
      <c r="G657" s="254"/>
      <c r="H657" s="254"/>
      <c r="I657" s="254"/>
      <c r="J657" s="254"/>
      <c r="K657" s="254"/>
      <c r="L657" s="254"/>
      <c r="M657" s="254"/>
      <c r="N657" s="254"/>
      <c r="O657" s="254"/>
      <c r="P657" s="254"/>
      <c r="Q657" s="254"/>
      <c r="R657" s="254"/>
      <c r="S657" s="254"/>
      <c r="T657" s="254"/>
      <c r="U657" s="254"/>
      <c r="V657" s="217"/>
      <c r="W657" s="217"/>
      <c r="X657" s="217"/>
      <c r="Y657" s="217"/>
      <c r="Z657" s="217"/>
      <c r="AA657" s="217"/>
    </row>
    <row r="658" ht="15.75" hidden="1" customHeight="1">
      <c r="A658" s="344"/>
      <c r="B658" s="344"/>
      <c r="C658" s="253"/>
      <c r="D658" s="253"/>
      <c r="E658" s="345"/>
      <c r="F658" s="253"/>
      <c r="G658" s="254"/>
      <c r="H658" s="254"/>
      <c r="I658" s="254"/>
      <c r="J658" s="254"/>
      <c r="K658" s="254"/>
      <c r="L658" s="254"/>
      <c r="M658" s="254"/>
      <c r="N658" s="254"/>
      <c r="O658" s="254"/>
      <c r="P658" s="254"/>
      <c r="Q658" s="254"/>
      <c r="R658" s="254"/>
      <c r="S658" s="254"/>
      <c r="T658" s="254"/>
      <c r="U658" s="254"/>
      <c r="V658" s="217"/>
      <c r="W658" s="217"/>
      <c r="X658" s="217"/>
      <c r="Y658" s="217"/>
      <c r="Z658" s="217"/>
      <c r="AA658" s="217"/>
    </row>
    <row r="659" ht="15.75" hidden="1" customHeight="1">
      <c r="A659" s="344"/>
      <c r="B659" s="344"/>
      <c r="C659" s="253"/>
      <c r="D659" s="253"/>
      <c r="E659" s="345"/>
      <c r="F659" s="253"/>
      <c r="G659" s="254"/>
      <c r="H659" s="254"/>
      <c r="I659" s="254"/>
      <c r="J659" s="254"/>
      <c r="K659" s="254"/>
      <c r="L659" s="254"/>
      <c r="M659" s="254"/>
      <c r="N659" s="254"/>
      <c r="O659" s="254"/>
      <c r="P659" s="254"/>
      <c r="Q659" s="254"/>
      <c r="R659" s="254"/>
      <c r="S659" s="254"/>
      <c r="T659" s="254"/>
      <c r="U659" s="254"/>
      <c r="V659" s="217"/>
      <c r="W659" s="217"/>
      <c r="X659" s="217"/>
      <c r="Y659" s="217"/>
      <c r="Z659" s="217"/>
      <c r="AA659" s="217"/>
    </row>
    <row r="660" ht="15.75" hidden="1" customHeight="1">
      <c r="A660" s="344"/>
      <c r="B660" s="344"/>
      <c r="C660" s="253"/>
      <c r="D660" s="253"/>
      <c r="E660" s="345"/>
      <c r="F660" s="253"/>
      <c r="G660" s="254"/>
      <c r="H660" s="254"/>
      <c r="I660" s="254"/>
      <c r="J660" s="254"/>
      <c r="K660" s="254"/>
      <c r="L660" s="254"/>
      <c r="M660" s="254"/>
      <c r="N660" s="254"/>
      <c r="O660" s="254"/>
      <c r="P660" s="254"/>
      <c r="Q660" s="254"/>
      <c r="R660" s="254"/>
      <c r="S660" s="254"/>
      <c r="T660" s="254"/>
      <c r="U660" s="254"/>
      <c r="V660" s="217"/>
      <c r="W660" s="217"/>
      <c r="X660" s="217"/>
      <c r="Y660" s="217"/>
      <c r="Z660" s="217"/>
      <c r="AA660" s="217"/>
    </row>
    <row r="661" ht="15.75" hidden="1" customHeight="1">
      <c r="A661" s="344"/>
      <c r="B661" s="344"/>
      <c r="C661" s="253"/>
      <c r="D661" s="253"/>
      <c r="E661" s="345"/>
      <c r="F661" s="253"/>
      <c r="G661" s="254"/>
      <c r="H661" s="254"/>
      <c r="I661" s="254"/>
      <c r="J661" s="254"/>
      <c r="K661" s="254"/>
      <c r="L661" s="254"/>
      <c r="M661" s="254"/>
      <c r="N661" s="254"/>
      <c r="O661" s="254"/>
      <c r="P661" s="254"/>
      <c r="Q661" s="254"/>
      <c r="R661" s="254"/>
      <c r="S661" s="254"/>
      <c r="T661" s="254"/>
      <c r="U661" s="254"/>
      <c r="V661" s="217"/>
      <c r="W661" s="217"/>
      <c r="X661" s="217"/>
      <c r="Y661" s="217"/>
      <c r="Z661" s="217"/>
      <c r="AA661" s="217"/>
    </row>
    <row r="662" ht="15.75" hidden="1" customHeight="1">
      <c r="A662" s="344"/>
      <c r="B662" s="344"/>
      <c r="C662" s="253"/>
      <c r="D662" s="253"/>
      <c r="E662" s="345"/>
      <c r="F662" s="253"/>
      <c r="G662" s="254"/>
      <c r="H662" s="254"/>
      <c r="I662" s="254"/>
      <c r="J662" s="254"/>
      <c r="K662" s="254"/>
      <c r="L662" s="254"/>
      <c r="M662" s="254"/>
      <c r="N662" s="254"/>
      <c r="O662" s="254"/>
      <c r="P662" s="254"/>
      <c r="Q662" s="254"/>
      <c r="R662" s="254"/>
      <c r="S662" s="254"/>
      <c r="T662" s="254"/>
      <c r="U662" s="254"/>
      <c r="V662" s="217"/>
      <c r="W662" s="217"/>
      <c r="X662" s="217"/>
      <c r="Y662" s="217"/>
      <c r="Z662" s="217"/>
      <c r="AA662" s="217"/>
    </row>
    <row r="663" ht="15.75" hidden="1" customHeight="1">
      <c r="A663" s="344"/>
      <c r="B663" s="344"/>
      <c r="C663" s="253"/>
      <c r="D663" s="253"/>
      <c r="E663" s="345"/>
      <c r="F663" s="253"/>
      <c r="G663" s="254"/>
      <c r="H663" s="254"/>
      <c r="I663" s="254"/>
      <c r="J663" s="254"/>
      <c r="K663" s="254"/>
      <c r="L663" s="254"/>
      <c r="M663" s="254"/>
      <c r="N663" s="254"/>
      <c r="O663" s="254"/>
      <c r="P663" s="254"/>
      <c r="Q663" s="254"/>
      <c r="R663" s="254"/>
      <c r="S663" s="254"/>
      <c r="T663" s="254"/>
      <c r="U663" s="254"/>
      <c r="V663" s="217"/>
      <c r="W663" s="217"/>
      <c r="X663" s="217"/>
      <c r="Y663" s="217"/>
      <c r="Z663" s="217"/>
      <c r="AA663" s="217"/>
    </row>
    <row r="664" ht="15.75" hidden="1" customHeight="1">
      <c r="A664" s="344"/>
      <c r="B664" s="344"/>
      <c r="C664" s="253"/>
      <c r="D664" s="253"/>
      <c r="E664" s="345"/>
      <c r="F664" s="253"/>
      <c r="G664" s="254"/>
      <c r="H664" s="254"/>
      <c r="I664" s="254"/>
      <c r="J664" s="254"/>
      <c r="K664" s="254"/>
      <c r="L664" s="254"/>
      <c r="M664" s="254"/>
      <c r="N664" s="254"/>
      <c r="O664" s="254"/>
      <c r="P664" s="254"/>
      <c r="Q664" s="254"/>
      <c r="R664" s="254"/>
      <c r="S664" s="254"/>
      <c r="T664" s="254"/>
      <c r="U664" s="254"/>
      <c r="V664" s="217"/>
      <c r="W664" s="217"/>
      <c r="X664" s="217"/>
      <c r="Y664" s="217"/>
      <c r="Z664" s="217"/>
      <c r="AA664" s="217"/>
    </row>
    <row r="665" ht="15.75" hidden="1" customHeight="1">
      <c r="A665" s="344"/>
      <c r="B665" s="344"/>
      <c r="C665" s="253"/>
      <c r="D665" s="253"/>
      <c r="E665" s="345"/>
      <c r="F665" s="253"/>
      <c r="G665" s="254"/>
      <c r="H665" s="254"/>
      <c r="I665" s="254"/>
      <c r="J665" s="254"/>
      <c r="K665" s="254"/>
      <c r="L665" s="254"/>
      <c r="M665" s="254"/>
      <c r="N665" s="254"/>
      <c r="O665" s="254"/>
      <c r="P665" s="254"/>
      <c r="Q665" s="254"/>
      <c r="R665" s="254"/>
      <c r="S665" s="254"/>
      <c r="T665" s="254"/>
      <c r="U665" s="254"/>
      <c r="V665" s="217"/>
      <c r="W665" s="217"/>
      <c r="X665" s="217"/>
      <c r="Y665" s="217"/>
      <c r="Z665" s="217"/>
      <c r="AA665" s="217"/>
    </row>
    <row r="666" ht="15.75" hidden="1" customHeight="1">
      <c r="A666" s="344"/>
      <c r="B666" s="344"/>
      <c r="C666" s="253"/>
      <c r="D666" s="253"/>
      <c r="E666" s="345"/>
      <c r="F666" s="253"/>
      <c r="G666" s="254"/>
      <c r="H666" s="254"/>
      <c r="I666" s="254"/>
      <c r="J666" s="254"/>
      <c r="K666" s="254"/>
      <c r="L666" s="254"/>
      <c r="M666" s="254"/>
      <c r="N666" s="254"/>
      <c r="O666" s="254"/>
      <c r="P666" s="254"/>
      <c r="Q666" s="254"/>
      <c r="R666" s="254"/>
      <c r="S666" s="254"/>
      <c r="T666" s="254"/>
      <c r="U666" s="254"/>
      <c r="V666" s="217"/>
      <c r="W666" s="217"/>
      <c r="X666" s="217"/>
      <c r="Y666" s="217"/>
      <c r="Z666" s="217"/>
      <c r="AA666" s="217"/>
    </row>
    <row r="667" ht="15.75" hidden="1" customHeight="1">
      <c r="A667" s="344"/>
      <c r="B667" s="344"/>
      <c r="C667" s="253"/>
      <c r="D667" s="253"/>
      <c r="E667" s="345"/>
      <c r="F667" s="253"/>
      <c r="G667" s="254"/>
      <c r="H667" s="254"/>
      <c r="I667" s="254"/>
      <c r="J667" s="254"/>
      <c r="K667" s="254"/>
      <c r="L667" s="254"/>
      <c r="M667" s="254"/>
      <c r="N667" s="254"/>
      <c r="O667" s="254"/>
      <c r="P667" s="254"/>
      <c r="Q667" s="254"/>
      <c r="R667" s="254"/>
      <c r="S667" s="254"/>
      <c r="T667" s="254"/>
      <c r="U667" s="254"/>
      <c r="V667" s="217"/>
      <c r="W667" s="217"/>
      <c r="X667" s="217"/>
      <c r="Y667" s="217"/>
      <c r="Z667" s="217"/>
      <c r="AA667" s="217"/>
    </row>
    <row r="668" ht="15.75" hidden="1" customHeight="1">
      <c r="A668" s="344"/>
      <c r="B668" s="344"/>
      <c r="C668" s="253"/>
      <c r="D668" s="253"/>
      <c r="E668" s="345"/>
      <c r="F668" s="253"/>
      <c r="G668" s="254"/>
      <c r="H668" s="254"/>
      <c r="I668" s="254"/>
      <c r="J668" s="254"/>
      <c r="K668" s="254"/>
      <c r="L668" s="254"/>
      <c r="M668" s="254"/>
      <c r="N668" s="254"/>
      <c r="O668" s="254"/>
      <c r="P668" s="254"/>
      <c r="Q668" s="254"/>
      <c r="R668" s="254"/>
      <c r="S668" s="254"/>
      <c r="T668" s="254"/>
      <c r="U668" s="254"/>
      <c r="V668" s="217"/>
      <c r="W668" s="217"/>
      <c r="X668" s="217"/>
      <c r="Y668" s="217"/>
      <c r="Z668" s="217"/>
      <c r="AA668" s="217"/>
    </row>
    <row r="669" ht="15.75" hidden="1" customHeight="1">
      <c r="A669" s="344"/>
      <c r="B669" s="344"/>
      <c r="C669" s="253"/>
      <c r="D669" s="253"/>
      <c r="E669" s="345"/>
      <c r="F669" s="253"/>
      <c r="G669" s="254"/>
      <c r="H669" s="254"/>
      <c r="I669" s="254"/>
      <c r="J669" s="254"/>
      <c r="K669" s="254"/>
      <c r="L669" s="254"/>
      <c r="M669" s="254"/>
      <c r="N669" s="254"/>
      <c r="O669" s="254"/>
      <c r="P669" s="254"/>
      <c r="Q669" s="254"/>
      <c r="R669" s="254"/>
      <c r="S669" s="254"/>
      <c r="T669" s="254"/>
      <c r="U669" s="254"/>
      <c r="V669" s="217"/>
      <c r="W669" s="217"/>
      <c r="X669" s="217"/>
      <c r="Y669" s="217"/>
      <c r="Z669" s="217"/>
      <c r="AA669" s="217"/>
    </row>
    <row r="670" ht="15.75" hidden="1" customHeight="1">
      <c r="A670" s="344"/>
      <c r="B670" s="344"/>
      <c r="C670" s="253"/>
      <c r="D670" s="253"/>
      <c r="E670" s="345"/>
      <c r="F670" s="253"/>
      <c r="G670" s="254"/>
      <c r="H670" s="254"/>
      <c r="I670" s="254"/>
      <c r="J670" s="254"/>
      <c r="K670" s="254"/>
      <c r="L670" s="254"/>
      <c r="M670" s="254"/>
      <c r="N670" s="254"/>
      <c r="O670" s="254"/>
      <c r="P670" s="254"/>
      <c r="Q670" s="254"/>
      <c r="R670" s="254"/>
      <c r="S670" s="254"/>
      <c r="T670" s="254"/>
      <c r="U670" s="254"/>
      <c r="V670" s="217"/>
      <c r="W670" s="217"/>
      <c r="X670" s="217"/>
      <c r="Y670" s="217"/>
      <c r="Z670" s="217"/>
      <c r="AA670" s="217"/>
    </row>
    <row r="671" ht="15.75" hidden="1" customHeight="1">
      <c r="A671" s="344"/>
      <c r="B671" s="344"/>
      <c r="C671" s="253"/>
      <c r="D671" s="253"/>
      <c r="E671" s="345"/>
      <c r="F671" s="253"/>
      <c r="G671" s="254"/>
      <c r="H671" s="254"/>
      <c r="I671" s="254"/>
      <c r="J671" s="254"/>
      <c r="K671" s="254"/>
      <c r="L671" s="254"/>
      <c r="M671" s="254"/>
      <c r="N671" s="254"/>
      <c r="O671" s="254"/>
      <c r="P671" s="254"/>
      <c r="Q671" s="254"/>
      <c r="R671" s="254"/>
      <c r="S671" s="254"/>
      <c r="T671" s="254"/>
      <c r="U671" s="254"/>
      <c r="V671" s="217"/>
      <c r="W671" s="217"/>
      <c r="X671" s="217"/>
      <c r="Y671" s="217"/>
      <c r="Z671" s="217"/>
      <c r="AA671" s="217"/>
    </row>
    <row r="672" ht="15.75" hidden="1" customHeight="1">
      <c r="A672" s="344"/>
      <c r="B672" s="344"/>
      <c r="C672" s="253"/>
      <c r="D672" s="253"/>
      <c r="E672" s="345"/>
      <c r="F672" s="253"/>
      <c r="G672" s="254"/>
      <c r="H672" s="254"/>
      <c r="I672" s="254"/>
      <c r="J672" s="254"/>
      <c r="K672" s="254"/>
      <c r="L672" s="254"/>
      <c r="M672" s="254"/>
      <c r="N672" s="254"/>
      <c r="O672" s="254"/>
      <c r="P672" s="254"/>
      <c r="Q672" s="254"/>
      <c r="R672" s="254"/>
      <c r="S672" s="254"/>
      <c r="T672" s="254"/>
      <c r="U672" s="254"/>
      <c r="V672" s="217"/>
      <c r="W672" s="217"/>
      <c r="X672" s="217"/>
      <c r="Y672" s="217"/>
      <c r="Z672" s="217"/>
      <c r="AA672" s="217"/>
    </row>
    <row r="673" ht="15.75" hidden="1" customHeight="1">
      <c r="A673" s="344"/>
      <c r="B673" s="344"/>
      <c r="C673" s="253"/>
      <c r="D673" s="253"/>
      <c r="E673" s="345"/>
      <c r="F673" s="253"/>
      <c r="G673" s="254"/>
      <c r="H673" s="254"/>
      <c r="I673" s="254"/>
      <c r="J673" s="254"/>
      <c r="K673" s="254"/>
      <c r="L673" s="254"/>
      <c r="M673" s="254"/>
      <c r="N673" s="254"/>
      <c r="O673" s="254"/>
      <c r="P673" s="254"/>
      <c r="Q673" s="254"/>
      <c r="R673" s="254"/>
      <c r="S673" s="254"/>
      <c r="T673" s="254"/>
      <c r="U673" s="254"/>
      <c r="V673" s="217"/>
      <c r="W673" s="217"/>
      <c r="X673" s="217"/>
      <c r="Y673" s="217"/>
      <c r="Z673" s="217"/>
      <c r="AA673" s="217"/>
    </row>
    <row r="674" ht="15.75" hidden="1" customHeight="1">
      <c r="A674" s="344"/>
      <c r="B674" s="344"/>
      <c r="C674" s="253"/>
      <c r="D674" s="253"/>
      <c r="E674" s="345"/>
      <c r="F674" s="253"/>
      <c r="G674" s="254"/>
      <c r="H674" s="254"/>
      <c r="I674" s="254"/>
      <c r="J674" s="254"/>
      <c r="K674" s="254"/>
      <c r="L674" s="254"/>
      <c r="M674" s="254"/>
      <c r="N674" s="254"/>
      <c r="O674" s="254"/>
      <c r="P674" s="254"/>
      <c r="Q674" s="254"/>
      <c r="R674" s="254"/>
      <c r="S674" s="254"/>
      <c r="T674" s="254"/>
      <c r="U674" s="254"/>
      <c r="V674" s="217"/>
      <c r="W674" s="217"/>
      <c r="X674" s="217"/>
      <c r="Y674" s="217"/>
      <c r="Z674" s="217"/>
      <c r="AA674" s="217"/>
    </row>
    <row r="675" ht="15.75" hidden="1" customHeight="1">
      <c r="A675" s="344"/>
      <c r="B675" s="344"/>
      <c r="C675" s="253"/>
      <c r="D675" s="253"/>
      <c r="E675" s="345"/>
      <c r="F675" s="253"/>
      <c r="G675" s="254"/>
      <c r="H675" s="254"/>
      <c r="I675" s="254"/>
      <c r="J675" s="254"/>
      <c r="K675" s="254"/>
      <c r="L675" s="254"/>
      <c r="M675" s="254"/>
      <c r="N675" s="254"/>
      <c r="O675" s="254"/>
      <c r="P675" s="254"/>
      <c r="Q675" s="254"/>
      <c r="R675" s="254"/>
      <c r="S675" s="254"/>
      <c r="T675" s="254"/>
      <c r="U675" s="254"/>
      <c r="V675" s="217"/>
      <c r="W675" s="217"/>
      <c r="X675" s="217"/>
      <c r="Y675" s="217"/>
      <c r="Z675" s="217"/>
      <c r="AA675" s="217"/>
    </row>
    <row r="676" ht="15.75" hidden="1" customHeight="1">
      <c r="A676" s="344"/>
      <c r="B676" s="344"/>
      <c r="C676" s="253"/>
      <c r="D676" s="253"/>
      <c r="E676" s="345"/>
      <c r="F676" s="253"/>
      <c r="G676" s="254"/>
      <c r="H676" s="254"/>
      <c r="I676" s="254"/>
      <c r="J676" s="254"/>
      <c r="K676" s="254"/>
      <c r="L676" s="254"/>
      <c r="M676" s="254"/>
      <c r="N676" s="254"/>
      <c r="O676" s="254"/>
      <c r="P676" s="254"/>
      <c r="Q676" s="254"/>
      <c r="R676" s="254"/>
      <c r="S676" s="254"/>
      <c r="T676" s="254"/>
      <c r="U676" s="254"/>
      <c r="V676" s="217"/>
      <c r="W676" s="217"/>
      <c r="X676" s="217"/>
      <c r="Y676" s="217"/>
      <c r="Z676" s="217"/>
      <c r="AA676" s="217"/>
    </row>
    <row r="677" ht="15.75" hidden="1" customHeight="1">
      <c r="A677" s="344"/>
      <c r="B677" s="344"/>
      <c r="C677" s="253"/>
      <c r="D677" s="253"/>
      <c r="E677" s="345"/>
      <c r="F677" s="253"/>
      <c r="G677" s="254"/>
      <c r="H677" s="254"/>
      <c r="I677" s="254"/>
      <c r="J677" s="254"/>
      <c r="K677" s="254"/>
      <c r="L677" s="254"/>
      <c r="M677" s="254"/>
      <c r="N677" s="254"/>
      <c r="O677" s="254"/>
      <c r="P677" s="254"/>
      <c r="Q677" s="254"/>
      <c r="R677" s="254"/>
      <c r="S677" s="254"/>
      <c r="T677" s="254"/>
      <c r="U677" s="254"/>
      <c r="V677" s="217"/>
      <c r="W677" s="217"/>
      <c r="X677" s="217"/>
      <c r="Y677" s="217"/>
      <c r="Z677" s="217"/>
      <c r="AA677" s="217"/>
    </row>
    <row r="678" ht="15.75" hidden="1" customHeight="1">
      <c r="A678" s="344"/>
      <c r="B678" s="344"/>
      <c r="C678" s="253"/>
      <c r="D678" s="253"/>
      <c r="E678" s="345"/>
      <c r="F678" s="253"/>
      <c r="G678" s="254"/>
      <c r="H678" s="254"/>
      <c r="I678" s="254"/>
      <c r="J678" s="254"/>
      <c r="K678" s="254"/>
      <c r="L678" s="254"/>
      <c r="M678" s="254"/>
      <c r="N678" s="254"/>
      <c r="O678" s="254"/>
      <c r="P678" s="254"/>
      <c r="Q678" s="254"/>
      <c r="R678" s="254"/>
      <c r="S678" s="254"/>
      <c r="T678" s="254"/>
      <c r="U678" s="254"/>
      <c r="V678" s="217"/>
      <c r="W678" s="217"/>
      <c r="X678" s="217"/>
      <c r="Y678" s="217"/>
      <c r="Z678" s="217"/>
      <c r="AA678" s="217"/>
    </row>
    <row r="679" ht="15.75" hidden="1" customHeight="1">
      <c r="A679" s="344"/>
      <c r="B679" s="344"/>
      <c r="C679" s="253"/>
      <c r="D679" s="253"/>
      <c r="E679" s="345"/>
      <c r="F679" s="253"/>
      <c r="G679" s="254"/>
      <c r="H679" s="254"/>
      <c r="I679" s="254"/>
      <c r="J679" s="254"/>
      <c r="K679" s="254"/>
      <c r="L679" s="254"/>
      <c r="M679" s="254"/>
      <c r="N679" s="254"/>
      <c r="O679" s="254"/>
      <c r="P679" s="254"/>
      <c r="Q679" s="254"/>
      <c r="R679" s="254"/>
      <c r="S679" s="254"/>
      <c r="T679" s="254"/>
      <c r="U679" s="254"/>
      <c r="V679" s="217"/>
      <c r="W679" s="217"/>
      <c r="X679" s="217"/>
      <c r="Y679" s="217"/>
      <c r="Z679" s="217"/>
      <c r="AA679" s="217"/>
    </row>
    <row r="680" ht="15.75" hidden="1" customHeight="1">
      <c r="A680" s="344"/>
      <c r="B680" s="344"/>
      <c r="C680" s="253"/>
      <c r="D680" s="253"/>
      <c r="E680" s="345"/>
      <c r="F680" s="253"/>
      <c r="G680" s="254"/>
      <c r="H680" s="254"/>
      <c r="I680" s="254"/>
      <c r="J680" s="254"/>
      <c r="K680" s="254"/>
      <c r="L680" s="254"/>
      <c r="M680" s="254"/>
      <c r="N680" s="254"/>
      <c r="O680" s="254"/>
      <c r="P680" s="254"/>
      <c r="Q680" s="254"/>
      <c r="R680" s="254"/>
      <c r="S680" s="254"/>
      <c r="T680" s="254"/>
      <c r="U680" s="254"/>
      <c r="V680" s="217"/>
      <c r="W680" s="217"/>
      <c r="X680" s="217"/>
      <c r="Y680" s="217"/>
      <c r="Z680" s="217"/>
      <c r="AA680" s="217"/>
    </row>
    <row r="681" ht="15.75" hidden="1" customHeight="1">
      <c r="A681" s="344"/>
      <c r="B681" s="344"/>
      <c r="C681" s="253"/>
      <c r="D681" s="253"/>
      <c r="E681" s="345"/>
      <c r="F681" s="253"/>
      <c r="G681" s="254"/>
      <c r="H681" s="254"/>
      <c r="I681" s="254"/>
      <c r="J681" s="254"/>
      <c r="K681" s="254"/>
      <c r="L681" s="254"/>
      <c r="M681" s="254"/>
      <c r="N681" s="254"/>
      <c r="O681" s="254"/>
      <c r="P681" s="254"/>
      <c r="Q681" s="254"/>
      <c r="R681" s="254"/>
      <c r="S681" s="254"/>
      <c r="T681" s="254"/>
      <c r="U681" s="254"/>
      <c r="V681" s="217"/>
      <c r="W681" s="217"/>
      <c r="X681" s="217"/>
      <c r="Y681" s="217"/>
      <c r="Z681" s="217"/>
      <c r="AA681" s="217"/>
    </row>
    <row r="682" ht="15.75" hidden="1" customHeight="1">
      <c r="A682" s="344"/>
      <c r="B682" s="344"/>
      <c r="C682" s="253"/>
      <c r="D682" s="253"/>
      <c r="E682" s="345"/>
      <c r="F682" s="253"/>
      <c r="G682" s="254"/>
      <c r="H682" s="254"/>
      <c r="I682" s="254"/>
      <c r="J682" s="254"/>
      <c r="K682" s="254"/>
      <c r="L682" s="254"/>
      <c r="M682" s="254"/>
      <c r="N682" s="254"/>
      <c r="O682" s="254"/>
      <c r="P682" s="254"/>
      <c r="Q682" s="254"/>
      <c r="R682" s="254"/>
      <c r="S682" s="254"/>
      <c r="T682" s="254"/>
      <c r="U682" s="254"/>
      <c r="V682" s="217"/>
      <c r="W682" s="217"/>
      <c r="X682" s="217"/>
      <c r="Y682" s="217"/>
      <c r="Z682" s="217"/>
      <c r="AA682" s="217"/>
    </row>
    <row r="683" ht="15.75" hidden="1" customHeight="1">
      <c r="A683" s="344"/>
      <c r="B683" s="344"/>
      <c r="C683" s="253"/>
      <c r="D683" s="253"/>
      <c r="E683" s="345"/>
      <c r="F683" s="253"/>
      <c r="G683" s="254"/>
      <c r="H683" s="254"/>
      <c r="I683" s="254"/>
      <c r="J683" s="254"/>
      <c r="K683" s="254"/>
      <c r="L683" s="254"/>
      <c r="M683" s="254"/>
      <c r="N683" s="254"/>
      <c r="O683" s="254"/>
      <c r="P683" s="254"/>
      <c r="Q683" s="254"/>
      <c r="R683" s="254"/>
      <c r="S683" s="254"/>
      <c r="T683" s="254"/>
      <c r="U683" s="254"/>
      <c r="V683" s="217"/>
      <c r="W683" s="217"/>
      <c r="X683" s="217"/>
      <c r="Y683" s="217"/>
      <c r="Z683" s="217"/>
      <c r="AA683" s="217"/>
    </row>
    <row r="684" ht="15.75" hidden="1" customHeight="1">
      <c r="A684" s="344"/>
      <c r="B684" s="344"/>
      <c r="C684" s="253"/>
      <c r="D684" s="253"/>
      <c r="E684" s="345"/>
      <c r="F684" s="253"/>
      <c r="G684" s="254"/>
      <c r="H684" s="254"/>
      <c r="I684" s="254"/>
      <c r="J684" s="254"/>
      <c r="K684" s="254"/>
      <c r="L684" s="254"/>
      <c r="M684" s="254"/>
      <c r="N684" s="254"/>
      <c r="O684" s="254"/>
      <c r="P684" s="254"/>
      <c r="Q684" s="254"/>
      <c r="R684" s="254"/>
      <c r="S684" s="254"/>
      <c r="T684" s="254"/>
      <c r="U684" s="254"/>
      <c r="V684" s="217"/>
      <c r="W684" s="217"/>
      <c r="X684" s="217"/>
      <c r="Y684" s="217"/>
      <c r="Z684" s="217"/>
      <c r="AA684" s="217"/>
    </row>
    <row r="685" ht="15.75" hidden="1" customHeight="1">
      <c r="A685" s="344"/>
      <c r="B685" s="344"/>
      <c r="C685" s="253"/>
      <c r="D685" s="253"/>
      <c r="E685" s="345"/>
      <c r="F685" s="253"/>
      <c r="G685" s="254"/>
      <c r="H685" s="254"/>
      <c r="I685" s="254"/>
      <c r="J685" s="254"/>
      <c r="K685" s="254"/>
      <c r="L685" s="254"/>
      <c r="M685" s="254"/>
      <c r="N685" s="254"/>
      <c r="O685" s="254"/>
      <c r="P685" s="254"/>
      <c r="Q685" s="254"/>
      <c r="R685" s="254"/>
      <c r="S685" s="254"/>
      <c r="T685" s="254"/>
      <c r="U685" s="254"/>
      <c r="V685" s="217"/>
      <c r="W685" s="217"/>
      <c r="X685" s="217"/>
      <c r="Y685" s="217"/>
      <c r="Z685" s="217"/>
      <c r="AA685" s="217"/>
    </row>
    <row r="686" ht="15.75" hidden="1" customHeight="1">
      <c r="A686" s="344"/>
      <c r="B686" s="344"/>
      <c r="C686" s="253"/>
      <c r="D686" s="253"/>
      <c r="E686" s="345"/>
      <c r="F686" s="253"/>
      <c r="G686" s="254"/>
      <c r="H686" s="254"/>
      <c r="I686" s="254"/>
      <c r="J686" s="254"/>
      <c r="K686" s="254"/>
      <c r="L686" s="254"/>
      <c r="M686" s="254"/>
      <c r="N686" s="254"/>
      <c r="O686" s="254"/>
      <c r="P686" s="254"/>
      <c r="Q686" s="254"/>
      <c r="R686" s="254"/>
      <c r="S686" s="254"/>
      <c r="T686" s="254"/>
      <c r="U686" s="254"/>
      <c r="V686" s="217"/>
      <c r="W686" s="217"/>
      <c r="X686" s="217"/>
      <c r="Y686" s="217"/>
      <c r="Z686" s="217"/>
      <c r="AA686" s="217"/>
    </row>
    <row r="687" ht="15.75" hidden="1" customHeight="1">
      <c r="A687" s="344"/>
      <c r="B687" s="344"/>
      <c r="C687" s="253"/>
      <c r="D687" s="253"/>
      <c r="E687" s="345"/>
      <c r="F687" s="253"/>
      <c r="G687" s="254"/>
      <c r="H687" s="254"/>
      <c r="I687" s="254"/>
      <c r="J687" s="254"/>
      <c r="K687" s="254"/>
      <c r="L687" s="254"/>
      <c r="M687" s="254"/>
      <c r="N687" s="254"/>
      <c r="O687" s="254"/>
      <c r="P687" s="254"/>
      <c r="Q687" s="254"/>
      <c r="R687" s="254"/>
      <c r="S687" s="254"/>
      <c r="T687" s="254"/>
      <c r="U687" s="254"/>
      <c r="V687" s="217"/>
      <c r="W687" s="217"/>
      <c r="X687" s="217"/>
      <c r="Y687" s="217"/>
      <c r="Z687" s="217"/>
      <c r="AA687" s="217"/>
    </row>
    <row r="688" ht="15.75" hidden="1" customHeight="1">
      <c r="A688" s="344"/>
      <c r="B688" s="344"/>
      <c r="C688" s="253"/>
      <c r="D688" s="253"/>
      <c r="E688" s="345"/>
      <c r="F688" s="253"/>
      <c r="G688" s="254"/>
      <c r="H688" s="254"/>
      <c r="I688" s="254"/>
      <c r="J688" s="254"/>
      <c r="K688" s="254"/>
      <c r="L688" s="254"/>
      <c r="M688" s="254"/>
      <c r="N688" s="254"/>
      <c r="O688" s="254"/>
      <c r="P688" s="254"/>
      <c r="Q688" s="254"/>
      <c r="R688" s="254"/>
      <c r="S688" s="254"/>
      <c r="T688" s="254"/>
      <c r="U688" s="254"/>
      <c r="V688" s="217"/>
      <c r="W688" s="217"/>
      <c r="X688" s="217"/>
      <c r="Y688" s="217"/>
      <c r="Z688" s="217"/>
      <c r="AA688" s="217"/>
    </row>
    <row r="689" ht="15.75" hidden="1" customHeight="1">
      <c r="A689" s="344"/>
      <c r="B689" s="344"/>
      <c r="C689" s="253"/>
      <c r="D689" s="253"/>
      <c r="E689" s="345"/>
      <c r="F689" s="253"/>
      <c r="G689" s="254"/>
      <c r="H689" s="254"/>
      <c r="I689" s="254"/>
      <c r="J689" s="254"/>
      <c r="K689" s="254"/>
      <c r="L689" s="254"/>
      <c r="M689" s="254"/>
      <c r="N689" s="254"/>
      <c r="O689" s="254"/>
      <c r="P689" s="254"/>
      <c r="Q689" s="254"/>
      <c r="R689" s="254"/>
      <c r="S689" s="254"/>
      <c r="T689" s="254"/>
      <c r="U689" s="254"/>
      <c r="V689" s="217"/>
      <c r="W689" s="217"/>
      <c r="X689" s="217"/>
      <c r="Y689" s="217"/>
      <c r="Z689" s="217"/>
      <c r="AA689" s="217"/>
    </row>
    <row r="690" ht="15.75" hidden="1" customHeight="1">
      <c r="A690" s="344"/>
      <c r="B690" s="344"/>
      <c r="C690" s="253"/>
      <c r="D690" s="253"/>
      <c r="E690" s="345"/>
      <c r="F690" s="253"/>
      <c r="G690" s="254"/>
      <c r="H690" s="254"/>
      <c r="I690" s="254"/>
      <c r="J690" s="254"/>
      <c r="K690" s="254"/>
      <c r="L690" s="254"/>
      <c r="M690" s="254"/>
      <c r="N690" s="254"/>
      <c r="O690" s="254"/>
      <c r="P690" s="254"/>
      <c r="Q690" s="254"/>
      <c r="R690" s="254"/>
      <c r="S690" s="254"/>
      <c r="T690" s="254"/>
      <c r="U690" s="254"/>
      <c r="V690" s="217"/>
      <c r="W690" s="217"/>
      <c r="X690" s="217"/>
      <c r="Y690" s="217"/>
      <c r="Z690" s="217"/>
      <c r="AA690" s="217"/>
    </row>
    <row r="691" ht="15.75" hidden="1" customHeight="1">
      <c r="A691" s="344"/>
      <c r="B691" s="344"/>
      <c r="C691" s="253"/>
      <c r="D691" s="253"/>
      <c r="E691" s="345"/>
      <c r="F691" s="253"/>
      <c r="G691" s="254"/>
      <c r="H691" s="254"/>
      <c r="I691" s="254"/>
      <c r="J691" s="254"/>
      <c r="K691" s="254"/>
      <c r="L691" s="254"/>
      <c r="M691" s="254"/>
      <c r="N691" s="254"/>
      <c r="O691" s="254"/>
      <c r="P691" s="254"/>
      <c r="Q691" s="254"/>
      <c r="R691" s="254"/>
      <c r="S691" s="254"/>
      <c r="T691" s="254"/>
      <c r="U691" s="254"/>
      <c r="V691" s="217"/>
      <c r="W691" s="217"/>
      <c r="X691" s="217"/>
      <c r="Y691" s="217"/>
      <c r="Z691" s="217"/>
      <c r="AA691" s="217"/>
    </row>
    <row r="692" ht="15.75" hidden="1" customHeight="1">
      <c r="A692" s="344"/>
      <c r="B692" s="344"/>
      <c r="C692" s="253"/>
      <c r="D692" s="253"/>
      <c r="E692" s="345"/>
      <c r="F692" s="253"/>
      <c r="G692" s="254"/>
      <c r="H692" s="254"/>
      <c r="I692" s="254"/>
      <c r="J692" s="254"/>
      <c r="K692" s="254"/>
      <c r="L692" s="254"/>
      <c r="M692" s="254"/>
      <c r="N692" s="254"/>
      <c r="O692" s="254"/>
      <c r="P692" s="254"/>
      <c r="Q692" s="254"/>
      <c r="R692" s="254"/>
      <c r="S692" s="254"/>
      <c r="T692" s="254"/>
      <c r="U692" s="254"/>
      <c r="V692" s="217"/>
      <c r="W692" s="217"/>
      <c r="X692" s="217"/>
      <c r="Y692" s="217"/>
      <c r="Z692" s="217"/>
      <c r="AA692" s="217"/>
    </row>
    <row r="693" ht="15.75" hidden="1" customHeight="1">
      <c r="A693" s="344"/>
      <c r="B693" s="344"/>
      <c r="C693" s="253"/>
      <c r="D693" s="253"/>
      <c r="E693" s="345"/>
      <c r="F693" s="253"/>
      <c r="G693" s="254"/>
      <c r="H693" s="254"/>
      <c r="I693" s="254"/>
      <c r="J693" s="254"/>
      <c r="K693" s="254"/>
      <c r="L693" s="254"/>
      <c r="M693" s="254"/>
      <c r="N693" s="254"/>
      <c r="O693" s="254"/>
      <c r="P693" s="254"/>
      <c r="Q693" s="254"/>
      <c r="R693" s="254"/>
      <c r="S693" s="254"/>
      <c r="T693" s="254"/>
      <c r="U693" s="254"/>
      <c r="V693" s="217"/>
      <c r="W693" s="217"/>
      <c r="X693" s="217"/>
      <c r="Y693" s="217"/>
      <c r="Z693" s="217"/>
      <c r="AA693" s="217"/>
    </row>
    <row r="694" ht="15.75" hidden="1" customHeight="1">
      <c r="A694" s="344"/>
      <c r="B694" s="344"/>
      <c r="C694" s="253"/>
      <c r="D694" s="253"/>
      <c r="E694" s="345"/>
      <c r="F694" s="253"/>
      <c r="G694" s="254"/>
      <c r="H694" s="254"/>
      <c r="I694" s="254"/>
      <c r="J694" s="254"/>
      <c r="K694" s="254"/>
      <c r="L694" s="254"/>
      <c r="M694" s="254"/>
      <c r="N694" s="254"/>
      <c r="O694" s="254"/>
      <c r="P694" s="254"/>
      <c r="Q694" s="254"/>
      <c r="R694" s="254"/>
      <c r="S694" s="254"/>
      <c r="T694" s="254"/>
      <c r="U694" s="254"/>
      <c r="V694" s="217"/>
      <c r="W694" s="217"/>
      <c r="X694" s="217"/>
      <c r="Y694" s="217"/>
      <c r="Z694" s="217"/>
      <c r="AA694" s="217"/>
    </row>
    <row r="695" ht="15.75" hidden="1" customHeight="1">
      <c r="A695" s="344"/>
      <c r="B695" s="344"/>
      <c r="C695" s="253"/>
      <c r="D695" s="253"/>
      <c r="E695" s="345"/>
      <c r="F695" s="253"/>
      <c r="G695" s="254"/>
      <c r="H695" s="254"/>
      <c r="I695" s="254"/>
      <c r="J695" s="254"/>
      <c r="K695" s="254"/>
      <c r="L695" s="254"/>
      <c r="M695" s="254"/>
      <c r="N695" s="254"/>
      <c r="O695" s="254"/>
      <c r="P695" s="254"/>
      <c r="Q695" s="254"/>
      <c r="R695" s="254"/>
      <c r="S695" s="254"/>
      <c r="T695" s="254"/>
      <c r="U695" s="254"/>
      <c r="V695" s="217"/>
      <c r="W695" s="217"/>
      <c r="X695" s="217"/>
      <c r="Y695" s="217"/>
      <c r="Z695" s="217"/>
      <c r="AA695" s="217"/>
    </row>
    <row r="696" ht="15.75" hidden="1" customHeight="1">
      <c r="A696" s="344"/>
      <c r="B696" s="344"/>
      <c r="C696" s="253"/>
      <c r="D696" s="253"/>
      <c r="E696" s="345"/>
      <c r="F696" s="253"/>
      <c r="G696" s="254"/>
      <c r="H696" s="254"/>
      <c r="I696" s="254"/>
      <c r="J696" s="254"/>
      <c r="K696" s="254"/>
      <c r="L696" s="254"/>
      <c r="M696" s="254"/>
      <c r="N696" s="254"/>
      <c r="O696" s="254"/>
      <c r="P696" s="254"/>
      <c r="Q696" s="254"/>
      <c r="R696" s="254"/>
      <c r="S696" s="254"/>
      <c r="T696" s="254"/>
      <c r="U696" s="254"/>
      <c r="V696" s="217"/>
      <c r="W696" s="217"/>
      <c r="X696" s="217"/>
      <c r="Y696" s="217"/>
      <c r="Z696" s="217"/>
      <c r="AA696" s="217"/>
    </row>
    <row r="697" ht="15.75" hidden="1" customHeight="1">
      <c r="A697" s="344"/>
      <c r="B697" s="344"/>
      <c r="C697" s="253"/>
      <c r="D697" s="253"/>
      <c r="E697" s="345"/>
      <c r="F697" s="253"/>
      <c r="G697" s="254"/>
      <c r="H697" s="254"/>
      <c r="I697" s="254"/>
      <c r="J697" s="254"/>
      <c r="K697" s="254"/>
      <c r="L697" s="254"/>
      <c r="M697" s="254"/>
      <c r="N697" s="254"/>
      <c r="O697" s="254"/>
      <c r="P697" s="254"/>
      <c r="Q697" s="254"/>
      <c r="R697" s="254"/>
      <c r="S697" s="254"/>
      <c r="T697" s="254"/>
      <c r="U697" s="254"/>
      <c r="V697" s="217"/>
      <c r="W697" s="217"/>
      <c r="X697" s="217"/>
      <c r="Y697" s="217"/>
      <c r="Z697" s="217"/>
      <c r="AA697" s="217"/>
    </row>
    <row r="698" ht="15.75" hidden="1" customHeight="1">
      <c r="A698" s="344"/>
      <c r="B698" s="344"/>
      <c r="C698" s="253"/>
      <c r="D698" s="253"/>
      <c r="E698" s="345"/>
      <c r="F698" s="253"/>
      <c r="G698" s="254"/>
      <c r="H698" s="254"/>
      <c r="I698" s="254"/>
      <c r="J698" s="254"/>
      <c r="K698" s="254"/>
      <c r="L698" s="254"/>
      <c r="M698" s="254"/>
      <c r="N698" s="254"/>
      <c r="O698" s="254"/>
      <c r="P698" s="254"/>
      <c r="Q698" s="254"/>
      <c r="R698" s="254"/>
      <c r="S698" s="254"/>
      <c r="T698" s="254"/>
      <c r="U698" s="254"/>
      <c r="V698" s="217"/>
      <c r="W698" s="217"/>
      <c r="X698" s="217"/>
      <c r="Y698" s="217"/>
      <c r="Z698" s="217"/>
      <c r="AA698" s="217"/>
    </row>
    <row r="699" ht="15.75" hidden="1" customHeight="1">
      <c r="A699" s="344"/>
      <c r="B699" s="344"/>
      <c r="C699" s="253"/>
      <c r="D699" s="253"/>
      <c r="E699" s="345"/>
      <c r="F699" s="253"/>
      <c r="G699" s="254"/>
      <c r="H699" s="254"/>
      <c r="I699" s="254"/>
      <c r="J699" s="254"/>
      <c r="K699" s="254"/>
      <c r="L699" s="254"/>
      <c r="M699" s="254"/>
      <c r="N699" s="254"/>
      <c r="O699" s="254"/>
      <c r="P699" s="254"/>
      <c r="Q699" s="254"/>
      <c r="R699" s="254"/>
      <c r="S699" s="254"/>
      <c r="T699" s="254"/>
      <c r="U699" s="254"/>
      <c r="V699" s="217"/>
      <c r="W699" s="217"/>
      <c r="X699" s="217"/>
      <c r="Y699" s="217"/>
      <c r="Z699" s="217"/>
      <c r="AA699" s="217"/>
    </row>
    <row r="700" ht="15.75" hidden="1" customHeight="1">
      <c r="A700" s="344"/>
      <c r="B700" s="344"/>
      <c r="C700" s="253"/>
      <c r="D700" s="253"/>
      <c r="E700" s="345"/>
      <c r="F700" s="253"/>
      <c r="G700" s="254"/>
      <c r="H700" s="254"/>
      <c r="I700" s="254"/>
      <c r="J700" s="254"/>
      <c r="K700" s="254"/>
      <c r="L700" s="254"/>
      <c r="M700" s="254"/>
      <c r="N700" s="254"/>
      <c r="O700" s="254"/>
      <c r="P700" s="254"/>
      <c r="Q700" s="254"/>
      <c r="R700" s="254"/>
      <c r="S700" s="254"/>
      <c r="T700" s="254"/>
      <c r="U700" s="254"/>
      <c r="V700" s="217"/>
      <c r="W700" s="217"/>
      <c r="X700" s="217"/>
      <c r="Y700" s="217"/>
      <c r="Z700" s="217"/>
      <c r="AA700" s="217"/>
    </row>
    <row r="701" ht="15.75" hidden="1" customHeight="1">
      <c r="A701" s="344"/>
      <c r="B701" s="344"/>
      <c r="C701" s="253"/>
      <c r="D701" s="253"/>
      <c r="E701" s="345"/>
      <c r="F701" s="253"/>
      <c r="G701" s="254"/>
      <c r="H701" s="254"/>
      <c r="I701" s="254"/>
      <c r="J701" s="254"/>
      <c r="K701" s="254"/>
      <c r="L701" s="254"/>
      <c r="M701" s="254"/>
      <c r="N701" s="254"/>
      <c r="O701" s="254"/>
      <c r="P701" s="254"/>
      <c r="Q701" s="254"/>
      <c r="R701" s="254"/>
      <c r="S701" s="254"/>
      <c r="T701" s="254"/>
      <c r="U701" s="254"/>
      <c r="V701" s="217"/>
      <c r="W701" s="217"/>
      <c r="X701" s="217"/>
      <c r="Y701" s="217"/>
      <c r="Z701" s="217"/>
      <c r="AA701" s="217"/>
    </row>
    <row r="702" ht="15.75" hidden="1" customHeight="1">
      <c r="A702" s="344"/>
      <c r="B702" s="344"/>
      <c r="C702" s="253"/>
      <c r="D702" s="253"/>
      <c r="E702" s="345"/>
      <c r="F702" s="253"/>
      <c r="G702" s="254"/>
      <c r="H702" s="254"/>
      <c r="I702" s="254"/>
      <c r="J702" s="254"/>
      <c r="K702" s="254"/>
      <c r="L702" s="254"/>
      <c r="M702" s="254"/>
      <c r="N702" s="254"/>
      <c r="O702" s="254"/>
      <c r="P702" s="254"/>
      <c r="Q702" s="254"/>
      <c r="R702" s="254"/>
      <c r="S702" s="254"/>
      <c r="T702" s="254"/>
      <c r="U702" s="254"/>
      <c r="V702" s="217"/>
      <c r="W702" s="217"/>
      <c r="X702" s="217"/>
      <c r="Y702" s="217"/>
      <c r="Z702" s="217"/>
      <c r="AA702" s="217"/>
    </row>
    <row r="703" ht="15.75" hidden="1" customHeight="1">
      <c r="A703" s="344"/>
      <c r="B703" s="344"/>
      <c r="C703" s="253"/>
      <c r="D703" s="253"/>
      <c r="E703" s="345"/>
      <c r="F703" s="253"/>
      <c r="G703" s="254"/>
      <c r="H703" s="254"/>
      <c r="I703" s="254"/>
      <c r="J703" s="254"/>
      <c r="K703" s="254"/>
      <c r="L703" s="254"/>
      <c r="M703" s="254"/>
      <c r="N703" s="254"/>
      <c r="O703" s="254"/>
      <c r="P703" s="254"/>
      <c r="Q703" s="254"/>
      <c r="R703" s="254"/>
      <c r="S703" s="254"/>
      <c r="T703" s="254"/>
      <c r="U703" s="254"/>
      <c r="V703" s="217"/>
      <c r="W703" s="217"/>
      <c r="X703" s="217"/>
      <c r="Y703" s="217"/>
      <c r="Z703" s="217"/>
      <c r="AA703" s="217"/>
    </row>
    <row r="704" ht="15.75" hidden="1" customHeight="1">
      <c r="A704" s="344"/>
      <c r="B704" s="344"/>
      <c r="C704" s="253"/>
      <c r="D704" s="253"/>
      <c r="E704" s="345"/>
      <c r="F704" s="253"/>
      <c r="G704" s="254"/>
      <c r="H704" s="254"/>
      <c r="I704" s="254"/>
      <c r="J704" s="254"/>
      <c r="K704" s="254"/>
      <c r="L704" s="254"/>
      <c r="M704" s="254"/>
      <c r="N704" s="254"/>
      <c r="O704" s="254"/>
      <c r="P704" s="254"/>
      <c r="Q704" s="254"/>
      <c r="R704" s="254"/>
      <c r="S704" s="254"/>
      <c r="T704" s="254"/>
      <c r="U704" s="254"/>
      <c r="V704" s="217"/>
      <c r="W704" s="217"/>
      <c r="X704" s="217"/>
      <c r="Y704" s="217"/>
      <c r="Z704" s="217"/>
      <c r="AA704" s="217"/>
    </row>
    <row r="705" ht="15.75" hidden="1" customHeight="1">
      <c r="A705" s="344"/>
      <c r="B705" s="344"/>
      <c r="C705" s="253"/>
      <c r="D705" s="253"/>
      <c r="E705" s="345"/>
      <c r="F705" s="253"/>
      <c r="G705" s="254"/>
      <c r="H705" s="254"/>
      <c r="I705" s="254"/>
      <c r="J705" s="254"/>
      <c r="K705" s="254"/>
      <c r="L705" s="254"/>
      <c r="M705" s="254"/>
      <c r="N705" s="254"/>
      <c r="O705" s="254"/>
      <c r="P705" s="254"/>
      <c r="Q705" s="254"/>
      <c r="R705" s="254"/>
      <c r="S705" s="254"/>
      <c r="T705" s="254"/>
      <c r="U705" s="254"/>
      <c r="V705" s="217"/>
      <c r="W705" s="217"/>
      <c r="X705" s="217"/>
      <c r="Y705" s="217"/>
      <c r="Z705" s="217"/>
      <c r="AA705" s="217"/>
    </row>
    <row r="706" ht="15.75" hidden="1" customHeight="1">
      <c r="A706" s="344"/>
      <c r="B706" s="344"/>
      <c r="C706" s="253"/>
      <c r="D706" s="253"/>
      <c r="E706" s="345"/>
      <c r="F706" s="253"/>
      <c r="G706" s="254"/>
      <c r="H706" s="254"/>
      <c r="I706" s="254"/>
      <c r="J706" s="254"/>
      <c r="K706" s="254"/>
      <c r="L706" s="254"/>
      <c r="M706" s="254"/>
      <c r="N706" s="254"/>
      <c r="O706" s="254"/>
      <c r="P706" s="254"/>
      <c r="Q706" s="254"/>
      <c r="R706" s="254"/>
      <c r="S706" s="254"/>
      <c r="T706" s="254"/>
      <c r="U706" s="254"/>
      <c r="V706" s="217"/>
      <c r="W706" s="217"/>
      <c r="X706" s="217"/>
      <c r="Y706" s="217"/>
      <c r="Z706" s="217"/>
      <c r="AA706" s="217"/>
    </row>
    <row r="707" ht="15.75" hidden="1" customHeight="1">
      <c r="A707" s="344"/>
      <c r="B707" s="344"/>
      <c r="C707" s="253"/>
      <c r="D707" s="253"/>
      <c r="E707" s="345"/>
      <c r="F707" s="253"/>
      <c r="G707" s="254"/>
      <c r="H707" s="254"/>
      <c r="I707" s="254"/>
      <c r="J707" s="254"/>
      <c r="K707" s="254"/>
      <c r="L707" s="254"/>
      <c r="M707" s="254"/>
      <c r="N707" s="254"/>
      <c r="O707" s="254"/>
      <c r="P707" s="254"/>
      <c r="Q707" s="254"/>
      <c r="R707" s="254"/>
      <c r="S707" s="254"/>
      <c r="T707" s="254"/>
      <c r="U707" s="254"/>
      <c r="V707" s="217"/>
      <c r="W707" s="217"/>
      <c r="X707" s="217"/>
      <c r="Y707" s="217"/>
      <c r="Z707" s="217"/>
      <c r="AA707" s="217"/>
    </row>
    <row r="708" ht="15.75" hidden="1" customHeight="1">
      <c r="A708" s="344"/>
      <c r="B708" s="344"/>
      <c r="C708" s="253"/>
      <c r="D708" s="253"/>
      <c r="E708" s="345"/>
      <c r="F708" s="253"/>
      <c r="G708" s="254"/>
      <c r="H708" s="254"/>
      <c r="I708" s="254"/>
      <c r="J708" s="254"/>
      <c r="K708" s="254"/>
      <c r="L708" s="254"/>
      <c r="M708" s="254"/>
      <c r="N708" s="254"/>
      <c r="O708" s="254"/>
      <c r="P708" s="254"/>
      <c r="Q708" s="254"/>
      <c r="R708" s="254"/>
      <c r="S708" s="254"/>
      <c r="T708" s="254"/>
      <c r="U708" s="254"/>
      <c r="V708" s="217"/>
      <c r="W708" s="217"/>
      <c r="X708" s="217"/>
      <c r="Y708" s="217"/>
      <c r="Z708" s="217"/>
      <c r="AA708" s="217"/>
    </row>
    <row r="709" ht="15.75" hidden="1" customHeight="1">
      <c r="A709" s="344"/>
      <c r="B709" s="344"/>
      <c r="C709" s="253"/>
      <c r="D709" s="253"/>
      <c r="E709" s="345"/>
      <c r="F709" s="253"/>
      <c r="G709" s="254"/>
      <c r="H709" s="254"/>
      <c r="I709" s="254"/>
      <c r="J709" s="254"/>
      <c r="K709" s="254"/>
      <c r="L709" s="254"/>
      <c r="M709" s="254"/>
      <c r="N709" s="254"/>
      <c r="O709" s="254"/>
      <c r="P709" s="254"/>
      <c r="Q709" s="254"/>
      <c r="R709" s="254"/>
      <c r="S709" s="254"/>
      <c r="T709" s="254"/>
      <c r="U709" s="254"/>
      <c r="V709" s="217"/>
      <c r="W709" s="217"/>
      <c r="X709" s="217"/>
      <c r="Y709" s="217"/>
      <c r="Z709" s="217"/>
      <c r="AA709" s="217"/>
    </row>
    <row r="710" ht="15.75" hidden="1" customHeight="1">
      <c r="A710" s="344"/>
      <c r="B710" s="344"/>
      <c r="C710" s="253"/>
      <c r="D710" s="253"/>
      <c r="E710" s="345"/>
      <c r="F710" s="253"/>
      <c r="G710" s="254"/>
      <c r="H710" s="254"/>
      <c r="I710" s="254"/>
      <c r="J710" s="254"/>
      <c r="K710" s="254"/>
      <c r="L710" s="254"/>
      <c r="M710" s="254"/>
      <c r="N710" s="254"/>
      <c r="O710" s="254"/>
      <c r="P710" s="254"/>
      <c r="Q710" s="254"/>
      <c r="R710" s="254"/>
      <c r="S710" s="254"/>
      <c r="T710" s="254"/>
      <c r="U710" s="254"/>
      <c r="V710" s="217"/>
      <c r="W710" s="217"/>
      <c r="X710" s="217"/>
      <c r="Y710" s="217"/>
      <c r="Z710" s="217"/>
      <c r="AA710" s="217"/>
    </row>
    <row r="711" ht="15.75" hidden="1" customHeight="1">
      <c r="A711" s="344"/>
      <c r="B711" s="344"/>
      <c r="C711" s="253"/>
      <c r="D711" s="253"/>
      <c r="E711" s="345"/>
      <c r="F711" s="253"/>
      <c r="G711" s="254"/>
      <c r="H711" s="254"/>
      <c r="I711" s="254"/>
      <c r="J711" s="254"/>
      <c r="K711" s="254"/>
      <c r="L711" s="254"/>
      <c r="M711" s="254"/>
      <c r="N711" s="254"/>
      <c r="O711" s="254"/>
      <c r="P711" s="254"/>
      <c r="Q711" s="254"/>
      <c r="R711" s="254"/>
      <c r="S711" s="254"/>
      <c r="T711" s="254"/>
      <c r="U711" s="254"/>
      <c r="V711" s="217"/>
      <c r="W711" s="217"/>
      <c r="X711" s="217"/>
      <c r="Y711" s="217"/>
      <c r="Z711" s="217"/>
      <c r="AA711" s="217"/>
    </row>
    <row r="712" ht="15.75" hidden="1" customHeight="1">
      <c r="A712" s="344"/>
      <c r="B712" s="344"/>
      <c r="C712" s="253"/>
      <c r="D712" s="253"/>
      <c r="E712" s="345"/>
      <c r="F712" s="253"/>
      <c r="G712" s="254"/>
      <c r="H712" s="254"/>
      <c r="I712" s="254"/>
      <c r="J712" s="254"/>
      <c r="K712" s="254"/>
      <c r="L712" s="254"/>
      <c r="M712" s="254"/>
      <c r="N712" s="254"/>
      <c r="O712" s="254"/>
      <c r="P712" s="254"/>
      <c r="Q712" s="254"/>
      <c r="R712" s="254"/>
      <c r="S712" s="254"/>
      <c r="T712" s="254"/>
      <c r="U712" s="254"/>
      <c r="V712" s="217"/>
      <c r="W712" s="217"/>
      <c r="X712" s="217"/>
      <c r="Y712" s="217"/>
      <c r="Z712" s="217"/>
      <c r="AA712" s="217"/>
    </row>
    <row r="713" ht="15.75" hidden="1" customHeight="1">
      <c r="A713" s="344"/>
      <c r="B713" s="344"/>
      <c r="C713" s="253"/>
      <c r="D713" s="253"/>
      <c r="E713" s="345"/>
      <c r="F713" s="253"/>
      <c r="G713" s="254"/>
      <c r="H713" s="254"/>
      <c r="I713" s="254"/>
      <c r="J713" s="254"/>
      <c r="K713" s="254"/>
      <c r="L713" s="254"/>
      <c r="M713" s="254"/>
      <c r="N713" s="254"/>
      <c r="O713" s="254"/>
      <c r="P713" s="254"/>
      <c r="Q713" s="254"/>
      <c r="R713" s="254"/>
      <c r="S713" s="254"/>
      <c r="T713" s="254"/>
      <c r="U713" s="254"/>
      <c r="V713" s="217"/>
      <c r="W713" s="217"/>
      <c r="X713" s="217"/>
      <c r="Y713" s="217"/>
      <c r="Z713" s="217"/>
      <c r="AA713" s="217"/>
    </row>
    <row r="714" ht="15.75" hidden="1" customHeight="1">
      <c r="A714" s="344"/>
      <c r="B714" s="344"/>
      <c r="C714" s="253"/>
      <c r="D714" s="253"/>
      <c r="E714" s="345"/>
      <c r="F714" s="253"/>
      <c r="G714" s="254"/>
      <c r="H714" s="254"/>
      <c r="I714" s="254"/>
      <c r="J714" s="254"/>
      <c r="K714" s="254"/>
      <c r="L714" s="254"/>
      <c r="M714" s="254"/>
      <c r="N714" s="254"/>
      <c r="O714" s="254"/>
      <c r="P714" s="254"/>
      <c r="Q714" s="254"/>
      <c r="R714" s="254"/>
      <c r="S714" s="254"/>
      <c r="T714" s="254"/>
      <c r="U714" s="254"/>
      <c r="V714" s="217"/>
      <c r="W714" s="217"/>
      <c r="X714" s="217"/>
      <c r="Y714" s="217"/>
      <c r="Z714" s="217"/>
      <c r="AA714" s="217"/>
    </row>
    <row r="715" ht="15.75" hidden="1" customHeight="1">
      <c r="A715" s="344"/>
      <c r="B715" s="344"/>
      <c r="C715" s="253"/>
      <c r="D715" s="253"/>
      <c r="E715" s="345"/>
      <c r="F715" s="253"/>
      <c r="G715" s="254"/>
      <c r="H715" s="254"/>
      <c r="I715" s="254"/>
      <c r="J715" s="254"/>
      <c r="K715" s="254"/>
      <c r="L715" s="254"/>
      <c r="M715" s="254"/>
      <c r="N715" s="254"/>
      <c r="O715" s="254"/>
      <c r="P715" s="254"/>
      <c r="Q715" s="254"/>
      <c r="R715" s="254"/>
      <c r="S715" s="254"/>
      <c r="T715" s="254"/>
      <c r="U715" s="254"/>
      <c r="V715" s="217"/>
      <c r="W715" s="217"/>
      <c r="X715" s="217"/>
      <c r="Y715" s="217"/>
      <c r="Z715" s="217"/>
      <c r="AA715" s="217"/>
    </row>
    <row r="716" ht="15.75" hidden="1" customHeight="1">
      <c r="A716" s="344"/>
      <c r="B716" s="344"/>
      <c r="C716" s="253"/>
      <c r="D716" s="253"/>
      <c r="E716" s="345"/>
      <c r="F716" s="253"/>
      <c r="G716" s="254"/>
      <c r="H716" s="254"/>
      <c r="I716" s="254"/>
      <c r="J716" s="254"/>
      <c r="K716" s="254"/>
      <c r="L716" s="254"/>
      <c r="M716" s="254"/>
      <c r="N716" s="254"/>
      <c r="O716" s="254"/>
      <c r="P716" s="254"/>
      <c r="Q716" s="254"/>
      <c r="R716" s="254"/>
      <c r="S716" s="254"/>
      <c r="T716" s="254"/>
      <c r="U716" s="254"/>
      <c r="V716" s="217"/>
      <c r="W716" s="217"/>
      <c r="X716" s="217"/>
      <c r="Y716" s="217"/>
      <c r="Z716" s="217"/>
      <c r="AA716" s="217"/>
    </row>
    <row r="717" ht="15.75" hidden="1" customHeight="1">
      <c r="A717" s="344"/>
      <c r="B717" s="344"/>
      <c r="C717" s="253"/>
      <c r="D717" s="253"/>
      <c r="E717" s="345"/>
      <c r="F717" s="253"/>
      <c r="G717" s="254"/>
      <c r="H717" s="254"/>
      <c r="I717" s="254"/>
      <c r="J717" s="254"/>
      <c r="K717" s="254"/>
      <c r="L717" s="254"/>
      <c r="M717" s="254"/>
      <c r="N717" s="254"/>
      <c r="O717" s="254"/>
      <c r="P717" s="254"/>
      <c r="Q717" s="254"/>
      <c r="R717" s="254"/>
      <c r="S717" s="254"/>
      <c r="T717" s="254"/>
      <c r="U717" s="254"/>
      <c r="V717" s="217"/>
      <c r="W717" s="217"/>
      <c r="X717" s="217"/>
      <c r="Y717" s="217"/>
      <c r="Z717" s="217"/>
      <c r="AA717" s="217"/>
    </row>
    <row r="718" ht="15.75" hidden="1" customHeight="1">
      <c r="A718" s="344"/>
      <c r="B718" s="344"/>
      <c r="C718" s="253"/>
      <c r="D718" s="253"/>
      <c r="E718" s="345"/>
      <c r="F718" s="253"/>
      <c r="G718" s="254"/>
      <c r="H718" s="254"/>
      <c r="I718" s="254"/>
      <c r="J718" s="254"/>
      <c r="K718" s="254"/>
      <c r="L718" s="254"/>
      <c r="M718" s="254"/>
      <c r="N718" s="254"/>
      <c r="O718" s="254"/>
      <c r="P718" s="254"/>
      <c r="Q718" s="254"/>
      <c r="R718" s="254"/>
      <c r="S718" s="254"/>
      <c r="T718" s="254"/>
      <c r="U718" s="254"/>
      <c r="V718" s="217"/>
      <c r="W718" s="217"/>
      <c r="X718" s="217"/>
      <c r="Y718" s="217"/>
      <c r="Z718" s="217"/>
      <c r="AA718" s="217"/>
    </row>
    <row r="719" ht="15.75" hidden="1" customHeight="1">
      <c r="A719" s="344"/>
      <c r="B719" s="344"/>
      <c r="C719" s="253"/>
      <c r="D719" s="253"/>
      <c r="E719" s="345"/>
      <c r="F719" s="253"/>
      <c r="G719" s="254"/>
      <c r="H719" s="254"/>
      <c r="I719" s="254"/>
      <c r="J719" s="254"/>
      <c r="K719" s="254"/>
      <c r="L719" s="254"/>
      <c r="M719" s="254"/>
      <c r="N719" s="254"/>
      <c r="O719" s="254"/>
      <c r="P719" s="254"/>
      <c r="Q719" s="254"/>
      <c r="R719" s="254"/>
      <c r="S719" s="254"/>
      <c r="T719" s="254"/>
      <c r="U719" s="254"/>
      <c r="V719" s="217"/>
      <c r="W719" s="217"/>
      <c r="X719" s="217"/>
      <c r="Y719" s="217"/>
      <c r="Z719" s="217"/>
      <c r="AA719" s="217"/>
    </row>
    <row r="720" ht="15.75" hidden="1" customHeight="1">
      <c r="A720" s="344"/>
      <c r="B720" s="344"/>
      <c r="C720" s="253"/>
      <c r="D720" s="253"/>
      <c r="E720" s="345"/>
      <c r="F720" s="253"/>
      <c r="G720" s="254"/>
      <c r="H720" s="254"/>
      <c r="I720" s="254"/>
      <c r="J720" s="254"/>
      <c r="K720" s="254"/>
      <c r="L720" s="254"/>
      <c r="M720" s="254"/>
      <c r="N720" s="254"/>
      <c r="O720" s="254"/>
      <c r="P720" s="254"/>
      <c r="Q720" s="254"/>
      <c r="R720" s="254"/>
      <c r="S720" s="254"/>
      <c r="T720" s="254"/>
      <c r="U720" s="254"/>
      <c r="V720" s="217"/>
      <c r="W720" s="217"/>
      <c r="X720" s="217"/>
      <c r="Y720" s="217"/>
      <c r="Z720" s="217"/>
      <c r="AA720" s="217"/>
    </row>
    <row r="721" ht="15.75" hidden="1" customHeight="1">
      <c r="A721" s="344"/>
      <c r="B721" s="344"/>
      <c r="C721" s="253"/>
      <c r="D721" s="253"/>
      <c r="E721" s="345"/>
      <c r="F721" s="253"/>
      <c r="G721" s="254"/>
      <c r="H721" s="254"/>
      <c r="I721" s="254"/>
      <c r="J721" s="254"/>
      <c r="K721" s="254"/>
      <c r="L721" s="254"/>
      <c r="M721" s="254"/>
      <c r="N721" s="254"/>
      <c r="O721" s="254"/>
      <c r="P721" s="254"/>
      <c r="Q721" s="254"/>
      <c r="R721" s="254"/>
      <c r="S721" s="254"/>
      <c r="T721" s="254"/>
      <c r="U721" s="254"/>
      <c r="V721" s="217"/>
      <c r="W721" s="217"/>
      <c r="X721" s="217"/>
      <c r="Y721" s="217"/>
      <c r="Z721" s="217"/>
      <c r="AA721" s="217"/>
    </row>
    <row r="722" ht="15.75" hidden="1" customHeight="1">
      <c r="A722" s="344"/>
      <c r="B722" s="344"/>
      <c r="C722" s="253"/>
      <c r="D722" s="253"/>
      <c r="E722" s="345"/>
      <c r="F722" s="253"/>
      <c r="G722" s="254"/>
      <c r="H722" s="254"/>
      <c r="I722" s="254"/>
      <c r="J722" s="254"/>
      <c r="K722" s="254"/>
      <c r="L722" s="254"/>
      <c r="M722" s="254"/>
      <c r="N722" s="254"/>
      <c r="O722" s="254"/>
      <c r="P722" s="254"/>
      <c r="Q722" s="254"/>
      <c r="R722" s="254"/>
      <c r="S722" s="254"/>
      <c r="T722" s="254"/>
      <c r="U722" s="254"/>
      <c r="V722" s="217"/>
      <c r="W722" s="217"/>
      <c r="X722" s="217"/>
      <c r="Y722" s="217"/>
      <c r="Z722" s="217"/>
      <c r="AA722" s="217"/>
    </row>
    <row r="723" ht="15.75" hidden="1" customHeight="1">
      <c r="A723" s="344"/>
      <c r="B723" s="344"/>
      <c r="C723" s="253"/>
      <c r="D723" s="253"/>
      <c r="E723" s="345"/>
      <c r="F723" s="253"/>
      <c r="G723" s="254"/>
      <c r="H723" s="254"/>
      <c r="I723" s="254"/>
      <c r="J723" s="254"/>
      <c r="K723" s="254"/>
      <c r="L723" s="254"/>
      <c r="M723" s="254"/>
      <c r="N723" s="254"/>
      <c r="O723" s="254"/>
      <c r="P723" s="254"/>
      <c r="Q723" s="254"/>
      <c r="R723" s="254"/>
      <c r="S723" s="254"/>
      <c r="T723" s="254"/>
      <c r="U723" s="254"/>
      <c r="V723" s="217"/>
      <c r="W723" s="217"/>
      <c r="X723" s="217"/>
      <c r="Y723" s="217"/>
      <c r="Z723" s="217"/>
      <c r="AA723" s="217"/>
    </row>
    <row r="724" ht="15.75" hidden="1" customHeight="1">
      <c r="A724" s="344"/>
      <c r="B724" s="344"/>
      <c r="C724" s="253"/>
      <c r="D724" s="253"/>
      <c r="E724" s="345"/>
      <c r="F724" s="253"/>
      <c r="G724" s="254"/>
      <c r="H724" s="254"/>
      <c r="I724" s="254"/>
      <c r="J724" s="254"/>
      <c r="K724" s="254"/>
      <c r="L724" s="254"/>
      <c r="M724" s="254"/>
      <c r="N724" s="254"/>
      <c r="O724" s="254"/>
      <c r="P724" s="254"/>
      <c r="Q724" s="254"/>
      <c r="R724" s="254"/>
      <c r="S724" s="254"/>
      <c r="T724" s="254"/>
      <c r="U724" s="254"/>
      <c r="V724" s="217"/>
      <c r="W724" s="217"/>
      <c r="X724" s="217"/>
      <c r="Y724" s="217"/>
      <c r="Z724" s="217"/>
      <c r="AA724" s="217"/>
    </row>
    <row r="725" ht="15.75" hidden="1" customHeight="1">
      <c r="A725" s="344"/>
      <c r="B725" s="344"/>
      <c r="C725" s="253"/>
      <c r="D725" s="253"/>
      <c r="E725" s="345"/>
      <c r="F725" s="253"/>
      <c r="G725" s="254"/>
      <c r="H725" s="254"/>
      <c r="I725" s="254"/>
      <c r="J725" s="254"/>
      <c r="K725" s="254"/>
      <c r="L725" s="254"/>
      <c r="M725" s="254"/>
      <c r="N725" s="254"/>
      <c r="O725" s="254"/>
      <c r="P725" s="254"/>
      <c r="Q725" s="254"/>
      <c r="R725" s="254"/>
      <c r="S725" s="254"/>
      <c r="T725" s="254"/>
      <c r="U725" s="254"/>
      <c r="V725" s="217"/>
      <c r="W725" s="217"/>
      <c r="X725" s="217"/>
      <c r="Y725" s="217"/>
      <c r="Z725" s="217"/>
      <c r="AA725" s="217"/>
    </row>
    <row r="726" ht="15.75" hidden="1" customHeight="1">
      <c r="A726" s="344"/>
      <c r="B726" s="344"/>
      <c r="C726" s="253"/>
      <c r="D726" s="253"/>
      <c r="E726" s="345"/>
      <c r="F726" s="253"/>
      <c r="G726" s="254"/>
      <c r="H726" s="254"/>
      <c r="I726" s="254"/>
      <c r="J726" s="254"/>
      <c r="K726" s="254"/>
      <c r="L726" s="254"/>
      <c r="M726" s="254"/>
      <c r="N726" s="254"/>
      <c r="O726" s="254"/>
      <c r="P726" s="254"/>
      <c r="Q726" s="254"/>
      <c r="R726" s="254"/>
      <c r="S726" s="254"/>
      <c r="T726" s="254"/>
      <c r="U726" s="254"/>
      <c r="V726" s="217"/>
      <c r="W726" s="217"/>
      <c r="X726" s="217"/>
      <c r="Y726" s="217"/>
      <c r="Z726" s="217"/>
      <c r="AA726" s="217"/>
    </row>
    <row r="727" ht="15.75" hidden="1" customHeight="1">
      <c r="A727" s="344"/>
      <c r="B727" s="344"/>
      <c r="C727" s="253"/>
      <c r="D727" s="253"/>
      <c r="E727" s="345"/>
      <c r="F727" s="253"/>
      <c r="G727" s="254"/>
      <c r="H727" s="254"/>
      <c r="I727" s="254"/>
      <c r="J727" s="254"/>
      <c r="K727" s="254"/>
      <c r="L727" s="254"/>
      <c r="M727" s="254"/>
      <c r="N727" s="254"/>
      <c r="O727" s="254"/>
      <c r="P727" s="254"/>
      <c r="Q727" s="254"/>
      <c r="R727" s="254"/>
      <c r="S727" s="254"/>
      <c r="T727" s="254"/>
      <c r="U727" s="254"/>
      <c r="V727" s="217"/>
      <c r="W727" s="217"/>
      <c r="X727" s="217"/>
      <c r="Y727" s="217"/>
      <c r="Z727" s="217"/>
      <c r="AA727" s="217"/>
    </row>
    <row r="728" ht="15.75" hidden="1" customHeight="1">
      <c r="A728" s="344"/>
      <c r="B728" s="344"/>
      <c r="C728" s="253"/>
      <c r="D728" s="253"/>
      <c r="E728" s="345"/>
      <c r="F728" s="253"/>
      <c r="G728" s="254"/>
      <c r="H728" s="254"/>
      <c r="I728" s="254"/>
      <c r="J728" s="254"/>
      <c r="K728" s="254"/>
      <c r="L728" s="254"/>
      <c r="M728" s="254"/>
      <c r="N728" s="254"/>
      <c r="O728" s="254"/>
      <c r="P728" s="254"/>
      <c r="Q728" s="254"/>
      <c r="R728" s="254"/>
      <c r="S728" s="254"/>
      <c r="T728" s="254"/>
      <c r="U728" s="254"/>
      <c r="V728" s="217"/>
      <c r="W728" s="217"/>
      <c r="X728" s="217"/>
      <c r="Y728" s="217"/>
      <c r="Z728" s="217"/>
      <c r="AA728" s="217"/>
    </row>
    <row r="729" ht="15.75" hidden="1" customHeight="1">
      <c r="A729" s="344"/>
      <c r="B729" s="344"/>
      <c r="C729" s="253"/>
      <c r="D729" s="253"/>
      <c r="E729" s="345"/>
      <c r="F729" s="253"/>
      <c r="G729" s="254"/>
      <c r="H729" s="254"/>
      <c r="I729" s="254"/>
      <c r="J729" s="254"/>
      <c r="K729" s="254"/>
      <c r="L729" s="254"/>
      <c r="M729" s="254"/>
      <c r="N729" s="254"/>
      <c r="O729" s="254"/>
      <c r="P729" s="254"/>
      <c r="Q729" s="254"/>
      <c r="R729" s="254"/>
      <c r="S729" s="254"/>
      <c r="T729" s="254"/>
      <c r="U729" s="254"/>
      <c r="V729" s="217"/>
      <c r="W729" s="217"/>
      <c r="X729" s="217"/>
      <c r="Y729" s="217"/>
      <c r="Z729" s="217"/>
      <c r="AA729" s="217"/>
    </row>
    <row r="730" ht="15.75" hidden="1" customHeight="1">
      <c r="A730" s="344"/>
      <c r="B730" s="344"/>
      <c r="C730" s="253"/>
      <c r="D730" s="253"/>
      <c r="E730" s="345"/>
      <c r="F730" s="253"/>
      <c r="G730" s="254"/>
      <c r="H730" s="254"/>
      <c r="I730" s="254"/>
      <c r="J730" s="254"/>
      <c r="K730" s="254"/>
      <c r="L730" s="254"/>
      <c r="M730" s="254"/>
      <c r="N730" s="254"/>
      <c r="O730" s="254"/>
      <c r="P730" s="254"/>
      <c r="Q730" s="254"/>
      <c r="R730" s="254"/>
      <c r="S730" s="254"/>
      <c r="T730" s="254"/>
      <c r="U730" s="254"/>
      <c r="V730" s="217"/>
      <c r="W730" s="217"/>
      <c r="X730" s="217"/>
      <c r="Y730" s="217"/>
      <c r="Z730" s="217"/>
      <c r="AA730" s="217"/>
    </row>
    <row r="731" ht="15.75" hidden="1" customHeight="1">
      <c r="A731" s="344"/>
      <c r="B731" s="344"/>
      <c r="C731" s="253"/>
      <c r="D731" s="253"/>
      <c r="E731" s="345"/>
      <c r="F731" s="253"/>
      <c r="G731" s="254"/>
      <c r="H731" s="254"/>
      <c r="I731" s="254"/>
      <c r="J731" s="254"/>
      <c r="K731" s="254"/>
      <c r="L731" s="254"/>
      <c r="M731" s="254"/>
      <c r="N731" s="254"/>
      <c r="O731" s="254"/>
      <c r="P731" s="254"/>
      <c r="Q731" s="254"/>
      <c r="R731" s="254"/>
      <c r="S731" s="254"/>
      <c r="T731" s="254"/>
      <c r="U731" s="254"/>
      <c r="V731" s="217"/>
      <c r="W731" s="217"/>
      <c r="X731" s="217"/>
      <c r="Y731" s="217"/>
      <c r="Z731" s="217"/>
      <c r="AA731" s="217"/>
    </row>
    <row r="732" ht="15.75" hidden="1" customHeight="1">
      <c r="A732" s="344"/>
      <c r="B732" s="344"/>
      <c r="C732" s="253"/>
      <c r="D732" s="253"/>
      <c r="E732" s="345"/>
      <c r="F732" s="253"/>
      <c r="G732" s="254"/>
      <c r="H732" s="254"/>
      <c r="I732" s="254"/>
      <c r="J732" s="254"/>
      <c r="K732" s="254"/>
      <c r="L732" s="254"/>
      <c r="M732" s="254"/>
      <c r="N732" s="254"/>
      <c r="O732" s="254"/>
      <c r="P732" s="254"/>
      <c r="Q732" s="254"/>
      <c r="R732" s="254"/>
      <c r="S732" s="254"/>
      <c r="T732" s="254"/>
      <c r="U732" s="254"/>
      <c r="V732" s="217"/>
      <c r="W732" s="217"/>
      <c r="X732" s="217"/>
      <c r="Y732" s="217"/>
      <c r="Z732" s="217"/>
      <c r="AA732" s="217"/>
    </row>
    <row r="733" ht="15.75" hidden="1" customHeight="1">
      <c r="A733" s="344"/>
      <c r="B733" s="344"/>
      <c r="C733" s="253"/>
      <c r="D733" s="253"/>
      <c r="E733" s="345"/>
      <c r="F733" s="253"/>
      <c r="G733" s="254"/>
      <c r="H733" s="254"/>
      <c r="I733" s="254"/>
      <c r="J733" s="254"/>
      <c r="K733" s="254"/>
      <c r="L733" s="254"/>
      <c r="M733" s="254"/>
      <c r="N733" s="254"/>
      <c r="O733" s="254"/>
      <c r="P733" s="254"/>
      <c r="Q733" s="254"/>
      <c r="R733" s="254"/>
      <c r="S733" s="254"/>
      <c r="T733" s="254"/>
      <c r="U733" s="254"/>
      <c r="V733" s="217"/>
      <c r="W733" s="217"/>
      <c r="X733" s="217"/>
      <c r="Y733" s="217"/>
      <c r="Z733" s="217"/>
      <c r="AA733" s="217"/>
    </row>
    <row r="734" ht="15.75" hidden="1" customHeight="1">
      <c r="A734" s="344"/>
      <c r="B734" s="344"/>
      <c r="C734" s="253"/>
      <c r="D734" s="253"/>
      <c r="E734" s="345"/>
      <c r="F734" s="253"/>
      <c r="G734" s="254"/>
      <c r="H734" s="254"/>
      <c r="I734" s="254"/>
      <c r="J734" s="254"/>
      <c r="K734" s="254"/>
      <c r="L734" s="254"/>
      <c r="M734" s="254"/>
      <c r="N734" s="254"/>
      <c r="O734" s="254"/>
      <c r="P734" s="254"/>
      <c r="Q734" s="254"/>
      <c r="R734" s="254"/>
      <c r="S734" s="254"/>
      <c r="T734" s="254"/>
      <c r="U734" s="254"/>
      <c r="V734" s="217"/>
      <c r="W734" s="217"/>
      <c r="X734" s="217"/>
      <c r="Y734" s="217"/>
      <c r="Z734" s="217"/>
      <c r="AA734" s="217"/>
    </row>
    <row r="735" ht="15.75" hidden="1" customHeight="1">
      <c r="A735" s="344"/>
      <c r="B735" s="344"/>
      <c r="C735" s="253"/>
      <c r="D735" s="253"/>
      <c r="E735" s="345"/>
      <c r="F735" s="253"/>
      <c r="G735" s="254"/>
      <c r="H735" s="254"/>
      <c r="I735" s="254"/>
      <c r="J735" s="254"/>
      <c r="K735" s="254"/>
      <c r="L735" s="254"/>
      <c r="M735" s="254"/>
      <c r="N735" s="254"/>
      <c r="O735" s="254"/>
      <c r="P735" s="254"/>
      <c r="Q735" s="254"/>
      <c r="R735" s="254"/>
      <c r="S735" s="254"/>
      <c r="T735" s="254"/>
      <c r="U735" s="254"/>
      <c r="V735" s="217"/>
      <c r="W735" s="217"/>
      <c r="X735" s="217"/>
      <c r="Y735" s="217"/>
      <c r="Z735" s="217"/>
      <c r="AA735" s="217"/>
    </row>
    <row r="736" ht="15.75" hidden="1" customHeight="1">
      <c r="A736" s="344"/>
      <c r="B736" s="344"/>
      <c r="C736" s="253"/>
      <c r="D736" s="253"/>
      <c r="E736" s="345"/>
      <c r="F736" s="253"/>
      <c r="G736" s="254"/>
      <c r="H736" s="254"/>
      <c r="I736" s="254"/>
      <c r="J736" s="254"/>
      <c r="K736" s="254"/>
      <c r="L736" s="254"/>
      <c r="M736" s="254"/>
      <c r="N736" s="254"/>
      <c r="O736" s="254"/>
      <c r="P736" s="254"/>
      <c r="Q736" s="254"/>
      <c r="R736" s="254"/>
      <c r="S736" s="254"/>
      <c r="T736" s="254"/>
      <c r="U736" s="254"/>
      <c r="V736" s="217"/>
      <c r="W736" s="217"/>
      <c r="X736" s="217"/>
      <c r="Y736" s="217"/>
      <c r="Z736" s="217"/>
      <c r="AA736" s="217"/>
    </row>
    <row r="737" ht="15.75" hidden="1" customHeight="1">
      <c r="A737" s="344"/>
      <c r="B737" s="344"/>
      <c r="C737" s="253"/>
      <c r="D737" s="253"/>
      <c r="E737" s="345"/>
      <c r="F737" s="253"/>
      <c r="G737" s="254"/>
      <c r="H737" s="254"/>
      <c r="I737" s="254"/>
      <c r="J737" s="254"/>
      <c r="K737" s="254"/>
      <c r="L737" s="254"/>
      <c r="M737" s="254"/>
      <c r="N737" s="254"/>
      <c r="O737" s="254"/>
      <c r="P737" s="254"/>
      <c r="Q737" s="254"/>
      <c r="R737" s="254"/>
      <c r="S737" s="254"/>
      <c r="T737" s="254"/>
      <c r="U737" s="254"/>
      <c r="V737" s="217"/>
      <c r="W737" s="217"/>
      <c r="X737" s="217"/>
      <c r="Y737" s="217"/>
      <c r="Z737" s="217"/>
      <c r="AA737" s="217"/>
    </row>
    <row r="738" ht="15.75" hidden="1" customHeight="1">
      <c r="A738" s="344"/>
      <c r="B738" s="344"/>
      <c r="C738" s="253"/>
      <c r="D738" s="253"/>
      <c r="E738" s="345"/>
      <c r="F738" s="253"/>
      <c r="G738" s="254"/>
      <c r="H738" s="254"/>
      <c r="I738" s="254"/>
      <c r="J738" s="254"/>
      <c r="K738" s="254"/>
      <c r="L738" s="254"/>
      <c r="M738" s="254"/>
      <c r="N738" s="254"/>
      <c r="O738" s="254"/>
      <c r="P738" s="254"/>
      <c r="Q738" s="254"/>
      <c r="R738" s="254"/>
      <c r="S738" s="254"/>
      <c r="T738" s="254"/>
      <c r="U738" s="254"/>
      <c r="V738" s="217"/>
      <c r="W738" s="217"/>
      <c r="X738" s="217"/>
      <c r="Y738" s="217"/>
      <c r="Z738" s="217"/>
      <c r="AA738" s="217"/>
    </row>
    <row r="739" ht="15.75" hidden="1" customHeight="1">
      <c r="A739" s="344"/>
      <c r="B739" s="344"/>
      <c r="C739" s="253"/>
      <c r="D739" s="253"/>
      <c r="E739" s="345"/>
      <c r="F739" s="253"/>
      <c r="G739" s="254"/>
      <c r="H739" s="254"/>
      <c r="I739" s="254"/>
      <c r="J739" s="254"/>
      <c r="K739" s="254"/>
      <c r="L739" s="254"/>
      <c r="M739" s="254"/>
      <c r="N739" s="254"/>
      <c r="O739" s="254"/>
      <c r="P739" s="254"/>
      <c r="Q739" s="254"/>
      <c r="R739" s="254"/>
      <c r="S739" s="254"/>
      <c r="T739" s="254"/>
      <c r="U739" s="254"/>
      <c r="V739" s="217"/>
      <c r="W739" s="217"/>
      <c r="X739" s="217"/>
      <c r="Y739" s="217"/>
      <c r="Z739" s="217"/>
      <c r="AA739" s="217"/>
    </row>
    <row r="740" ht="15.75" hidden="1" customHeight="1">
      <c r="A740" s="344"/>
      <c r="B740" s="344"/>
      <c r="C740" s="253"/>
      <c r="D740" s="253"/>
      <c r="E740" s="345"/>
      <c r="F740" s="253"/>
      <c r="G740" s="254"/>
      <c r="H740" s="254"/>
      <c r="I740" s="254"/>
      <c r="J740" s="254"/>
      <c r="K740" s="254"/>
      <c r="L740" s="254"/>
      <c r="M740" s="254"/>
      <c r="N740" s="254"/>
      <c r="O740" s="254"/>
      <c r="P740" s="254"/>
      <c r="Q740" s="254"/>
      <c r="R740" s="254"/>
      <c r="S740" s="254"/>
      <c r="T740" s="254"/>
      <c r="U740" s="254"/>
      <c r="V740" s="217"/>
      <c r="W740" s="217"/>
      <c r="X740" s="217"/>
      <c r="Y740" s="217"/>
      <c r="Z740" s="217"/>
      <c r="AA740" s="217"/>
    </row>
    <row r="741" ht="15.75" hidden="1" customHeight="1">
      <c r="A741" s="344"/>
      <c r="B741" s="344"/>
      <c r="C741" s="253"/>
      <c r="D741" s="253"/>
      <c r="E741" s="345"/>
      <c r="F741" s="253"/>
      <c r="G741" s="254"/>
      <c r="H741" s="254"/>
      <c r="I741" s="254"/>
      <c r="J741" s="254"/>
      <c r="K741" s="254"/>
      <c r="L741" s="254"/>
      <c r="M741" s="254"/>
      <c r="N741" s="254"/>
      <c r="O741" s="254"/>
      <c r="P741" s="254"/>
      <c r="Q741" s="254"/>
      <c r="R741" s="254"/>
      <c r="S741" s="254"/>
      <c r="T741" s="254"/>
      <c r="U741" s="254"/>
      <c r="V741" s="217"/>
      <c r="W741" s="217"/>
      <c r="X741" s="217"/>
      <c r="Y741" s="217"/>
      <c r="Z741" s="217"/>
      <c r="AA741" s="217"/>
    </row>
    <row r="742" ht="15.75" hidden="1" customHeight="1">
      <c r="A742" s="344"/>
      <c r="B742" s="344"/>
      <c r="C742" s="253"/>
      <c r="D742" s="253"/>
      <c r="E742" s="345"/>
      <c r="F742" s="253"/>
      <c r="G742" s="254"/>
      <c r="H742" s="254"/>
      <c r="I742" s="254"/>
      <c r="J742" s="254"/>
      <c r="K742" s="254"/>
      <c r="L742" s="254"/>
      <c r="M742" s="254"/>
      <c r="N742" s="254"/>
      <c r="O742" s="254"/>
      <c r="P742" s="254"/>
      <c r="Q742" s="254"/>
      <c r="R742" s="254"/>
      <c r="S742" s="254"/>
      <c r="T742" s="254"/>
      <c r="U742" s="254"/>
      <c r="V742" s="217"/>
      <c r="W742" s="217"/>
      <c r="X742" s="217"/>
      <c r="Y742" s="217"/>
      <c r="Z742" s="217"/>
      <c r="AA742" s="217"/>
    </row>
    <row r="743" ht="15.75" hidden="1" customHeight="1">
      <c r="A743" s="344"/>
      <c r="B743" s="344"/>
      <c r="C743" s="253"/>
      <c r="D743" s="253"/>
      <c r="E743" s="345"/>
      <c r="F743" s="253"/>
      <c r="G743" s="254"/>
      <c r="H743" s="254"/>
      <c r="I743" s="254"/>
      <c r="J743" s="254"/>
      <c r="K743" s="254"/>
      <c r="L743" s="254"/>
      <c r="M743" s="254"/>
      <c r="N743" s="254"/>
      <c r="O743" s="254"/>
      <c r="P743" s="254"/>
      <c r="Q743" s="254"/>
      <c r="R743" s="254"/>
      <c r="S743" s="254"/>
      <c r="T743" s="254"/>
      <c r="U743" s="254"/>
      <c r="V743" s="217"/>
      <c r="W743" s="217"/>
      <c r="X743" s="217"/>
      <c r="Y743" s="217"/>
      <c r="Z743" s="217"/>
      <c r="AA743" s="217"/>
    </row>
    <row r="744" ht="15.75" hidden="1" customHeight="1">
      <c r="A744" s="344"/>
      <c r="B744" s="344"/>
      <c r="C744" s="253"/>
      <c r="D744" s="253"/>
      <c r="E744" s="345"/>
      <c r="F744" s="253"/>
      <c r="G744" s="254"/>
      <c r="H744" s="254"/>
      <c r="I744" s="254"/>
      <c r="J744" s="254"/>
      <c r="K744" s="254"/>
      <c r="L744" s="254"/>
      <c r="M744" s="254"/>
      <c r="N744" s="254"/>
      <c r="O744" s="254"/>
      <c r="P744" s="254"/>
      <c r="Q744" s="254"/>
      <c r="R744" s="254"/>
      <c r="S744" s="254"/>
      <c r="T744" s="254"/>
      <c r="U744" s="254"/>
      <c r="V744" s="217"/>
      <c r="W744" s="217"/>
      <c r="X744" s="217"/>
      <c r="Y744" s="217"/>
      <c r="Z744" s="217"/>
      <c r="AA744" s="217"/>
    </row>
    <row r="745" ht="15.75" hidden="1" customHeight="1">
      <c r="A745" s="344"/>
      <c r="B745" s="344"/>
      <c r="C745" s="253"/>
      <c r="D745" s="253"/>
      <c r="E745" s="345"/>
      <c r="F745" s="253"/>
      <c r="G745" s="254"/>
      <c r="H745" s="254"/>
      <c r="I745" s="254"/>
      <c r="J745" s="254"/>
      <c r="K745" s="254"/>
      <c r="L745" s="254"/>
      <c r="M745" s="254"/>
      <c r="N745" s="254"/>
      <c r="O745" s="254"/>
      <c r="P745" s="254"/>
      <c r="Q745" s="254"/>
      <c r="R745" s="254"/>
      <c r="S745" s="254"/>
      <c r="T745" s="254"/>
      <c r="U745" s="254"/>
      <c r="V745" s="217"/>
      <c r="W745" s="217"/>
      <c r="X745" s="217"/>
      <c r="Y745" s="217"/>
      <c r="Z745" s="217"/>
      <c r="AA745" s="217"/>
    </row>
    <row r="746" ht="15.75" hidden="1" customHeight="1">
      <c r="A746" s="344"/>
      <c r="B746" s="344"/>
      <c r="C746" s="253"/>
      <c r="D746" s="253"/>
      <c r="E746" s="345"/>
      <c r="F746" s="253"/>
      <c r="G746" s="254"/>
      <c r="H746" s="254"/>
      <c r="I746" s="254"/>
      <c r="J746" s="254"/>
      <c r="K746" s="254"/>
      <c r="L746" s="254"/>
      <c r="M746" s="254"/>
      <c r="N746" s="254"/>
      <c r="O746" s="254"/>
      <c r="P746" s="254"/>
      <c r="Q746" s="254"/>
      <c r="R746" s="254"/>
      <c r="S746" s="254"/>
      <c r="T746" s="254"/>
      <c r="U746" s="254"/>
      <c r="V746" s="217"/>
      <c r="W746" s="217"/>
      <c r="X746" s="217"/>
      <c r="Y746" s="217"/>
      <c r="Z746" s="217"/>
      <c r="AA746" s="217"/>
    </row>
    <row r="747" ht="15.75" hidden="1" customHeight="1">
      <c r="A747" s="344"/>
      <c r="B747" s="344"/>
      <c r="C747" s="253"/>
      <c r="D747" s="253"/>
      <c r="E747" s="345"/>
      <c r="F747" s="253"/>
      <c r="G747" s="254"/>
      <c r="H747" s="254"/>
      <c r="I747" s="254"/>
      <c r="J747" s="254"/>
      <c r="K747" s="254"/>
      <c r="L747" s="254"/>
      <c r="M747" s="254"/>
      <c r="N747" s="254"/>
      <c r="O747" s="254"/>
      <c r="P747" s="254"/>
      <c r="Q747" s="254"/>
      <c r="R747" s="254"/>
      <c r="S747" s="254"/>
      <c r="T747" s="254"/>
      <c r="U747" s="254"/>
      <c r="V747" s="217"/>
      <c r="W747" s="217"/>
      <c r="X747" s="217"/>
      <c r="Y747" s="217"/>
      <c r="Z747" s="217"/>
      <c r="AA747" s="217"/>
    </row>
    <row r="748" ht="15.75" hidden="1" customHeight="1">
      <c r="A748" s="344"/>
      <c r="B748" s="344"/>
      <c r="C748" s="253"/>
      <c r="D748" s="253"/>
      <c r="E748" s="345"/>
      <c r="F748" s="253"/>
      <c r="G748" s="254"/>
      <c r="H748" s="254"/>
      <c r="I748" s="254"/>
      <c r="J748" s="254"/>
      <c r="K748" s="254"/>
      <c r="L748" s="254"/>
      <c r="M748" s="254"/>
      <c r="N748" s="254"/>
      <c r="O748" s="254"/>
      <c r="P748" s="254"/>
      <c r="Q748" s="254"/>
      <c r="R748" s="254"/>
      <c r="S748" s="254"/>
      <c r="T748" s="254"/>
      <c r="U748" s="254"/>
      <c r="V748" s="217"/>
      <c r="W748" s="217"/>
      <c r="X748" s="217"/>
      <c r="Y748" s="217"/>
      <c r="Z748" s="217"/>
      <c r="AA748" s="217"/>
    </row>
    <row r="749" ht="15.75" hidden="1" customHeight="1">
      <c r="A749" s="344"/>
      <c r="B749" s="344"/>
      <c r="C749" s="253"/>
      <c r="D749" s="253"/>
      <c r="E749" s="345"/>
      <c r="F749" s="253"/>
      <c r="G749" s="254"/>
      <c r="H749" s="254"/>
      <c r="I749" s="254"/>
      <c r="J749" s="254"/>
      <c r="K749" s="254"/>
      <c r="L749" s="254"/>
      <c r="M749" s="254"/>
      <c r="N749" s="254"/>
      <c r="O749" s="254"/>
      <c r="P749" s="254"/>
      <c r="Q749" s="254"/>
      <c r="R749" s="254"/>
      <c r="S749" s="254"/>
      <c r="T749" s="254"/>
      <c r="U749" s="254"/>
      <c r="V749" s="217"/>
      <c r="W749" s="217"/>
      <c r="X749" s="217"/>
      <c r="Y749" s="217"/>
      <c r="Z749" s="217"/>
      <c r="AA749" s="217"/>
    </row>
    <row r="750" ht="15.75" hidden="1" customHeight="1">
      <c r="A750" s="344"/>
      <c r="B750" s="344"/>
      <c r="C750" s="253"/>
      <c r="D750" s="253"/>
      <c r="E750" s="345"/>
      <c r="F750" s="253"/>
      <c r="G750" s="254"/>
      <c r="H750" s="254"/>
      <c r="I750" s="254"/>
      <c r="J750" s="254"/>
      <c r="K750" s="254"/>
      <c r="L750" s="254"/>
      <c r="M750" s="254"/>
      <c r="N750" s="254"/>
      <c r="O750" s="254"/>
      <c r="P750" s="254"/>
      <c r="Q750" s="254"/>
      <c r="R750" s="254"/>
      <c r="S750" s="254"/>
      <c r="T750" s="254"/>
      <c r="U750" s="254"/>
      <c r="V750" s="217"/>
      <c r="W750" s="217"/>
      <c r="X750" s="217"/>
      <c r="Y750" s="217"/>
      <c r="Z750" s="217"/>
      <c r="AA750" s="217"/>
    </row>
    <row r="751" ht="15.75" hidden="1" customHeight="1">
      <c r="A751" s="344"/>
      <c r="B751" s="344"/>
      <c r="C751" s="253"/>
      <c r="D751" s="253"/>
      <c r="E751" s="345"/>
      <c r="F751" s="253"/>
      <c r="G751" s="254"/>
      <c r="H751" s="254"/>
      <c r="I751" s="254"/>
      <c r="J751" s="254"/>
      <c r="K751" s="254"/>
      <c r="L751" s="254"/>
      <c r="M751" s="254"/>
      <c r="N751" s="254"/>
      <c r="O751" s="254"/>
      <c r="P751" s="254"/>
      <c r="Q751" s="254"/>
      <c r="R751" s="254"/>
      <c r="S751" s="254"/>
      <c r="T751" s="254"/>
      <c r="U751" s="254"/>
      <c r="V751" s="217"/>
      <c r="W751" s="217"/>
      <c r="X751" s="217"/>
      <c r="Y751" s="217"/>
      <c r="Z751" s="217"/>
      <c r="AA751" s="217"/>
    </row>
    <row r="752" ht="15.75" hidden="1" customHeight="1">
      <c r="A752" s="344"/>
      <c r="B752" s="344"/>
      <c r="C752" s="253"/>
      <c r="D752" s="253"/>
      <c r="E752" s="345"/>
      <c r="F752" s="253"/>
      <c r="G752" s="254"/>
      <c r="H752" s="254"/>
      <c r="I752" s="254"/>
      <c r="J752" s="254"/>
      <c r="K752" s="254"/>
      <c r="L752" s="254"/>
      <c r="M752" s="254"/>
      <c r="N752" s="254"/>
      <c r="O752" s="254"/>
      <c r="P752" s="254"/>
      <c r="Q752" s="254"/>
      <c r="R752" s="254"/>
      <c r="S752" s="254"/>
      <c r="T752" s="254"/>
      <c r="U752" s="254"/>
      <c r="V752" s="217"/>
      <c r="W752" s="217"/>
      <c r="X752" s="217"/>
      <c r="Y752" s="217"/>
      <c r="Z752" s="217"/>
      <c r="AA752" s="217"/>
    </row>
    <row r="753" ht="15.75" hidden="1" customHeight="1">
      <c r="A753" s="344"/>
      <c r="B753" s="344"/>
      <c r="C753" s="253"/>
      <c r="D753" s="253"/>
      <c r="E753" s="345"/>
      <c r="F753" s="253"/>
      <c r="G753" s="254"/>
      <c r="H753" s="254"/>
      <c r="I753" s="254"/>
      <c r="J753" s="254"/>
      <c r="K753" s="254"/>
      <c r="L753" s="254"/>
      <c r="M753" s="254"/>
      <c r="N753" s="254"/>
      <c r="O753" s="254"/>
      <c r="P753" s="254"/>
      <c r="Q753" s="254"/>
      <c r="R753" s="254"/>
      <c r="S753" s="254"/>
      <c r="T753" s="254"/>
      <c r="U753" s="254"/>
      <c r="V753" s="217"/>
      <c r="W753" s="217"/>
      <c r="X753" s="217"/>
      <c r="Y753" s="217"/>
      <c r="Z753" s="217"/>
      <c r="AA753" s="217"/>
    </row>
    <row r="754" ht="15.75" hidden="1" customHeight="1">
      <c r="A754" s="344"/>
      <c r="B754" s="344"/>
      <c r="C754" s="253"/>
      <c r="D754" s="253"/>
      <c r="E754" s="345"/>
      <c r="F754" s="253"/>
      <c r="G754" s="254"/>
      <c r="H754" s="254"/>
      <c r="I754" s="254"/>
      <c r="J754" s="254"/>
      <c r="K754" s="254"/>
      <c r="L754" s="254"/>
      <c r="M754" s="254"/>
      <c r="N754" s="254"/>
      <c r="O754" s="254"/>
      <c r="P754" s="254"/>
      <c r="Q754" s="254"/>
      <c r="R754" s="254"/>
      <c r="S754" s="254"/>
      <c r="T754" s="254"/>
      <c r="U754" s="254"/>
      <c r="V754" s="217"/>
      <c r="W754" s="217"/>
      <c r="X754" s="217"/>
      <c r="Y754" s="217"/>
      <c r="Z754" s="217"/>
      <c r="AA754" s="217"/>
    </row>
    <row r="755" ht="15.75" hidden="1" customHeight="1">
      <c r="A755" s="344"/>
      <c r="B755" s="344"/>
      <c r="C755" s="253"/>
      <c r="D755" s="253"/>
      <c r="E755" s="345"/>
      <c r="F755" s="253"/>
      <c r="G755" s="254"/>
      <c r="H755" s="254"/>
      <c r="I755" s="254"/>
      <c r="J755" s="254"/>
      <c r="K755" s="254"/>
      <c r="L755" s="254"/>
      <c r="M755" s="254"/>
      <c r="N755" s="254"/>
      <c r="O755" s="254"/>
      <c r="P755" s="254"/>
      <c r="Q755" s="254"/>
      <c r="R755" s="254"/>
      <c r="S755" s="254"/>
      <c r="T755" s="254"/>
      <c r="U755" s="254"/>
      <c r="V755" s="217"/>
      <c r="W755" s="217"/>
      <c r="X755" s="217"/>
      <c r="Y755" s="217"/>
      <c r="Z755" s="217"/>
      <c r="AA755" s="217"/>
    </row>
    <row r="756" ht="15.75" hidden="1" customHeight="1">
      <c r="A756" s="344"/>
      <c r="B756" s="344"/>
      <c r="C756" s="253"/>
      <c r="D756" s="253"/>
      <c r="E756" s="345"/>
      <c r="F756" s="253"/>
      <c r="G756" s="254"/>
      <c r="H756" s="254"/>
      <c r="I756" s="254"/>
      <c r="J756" s="254"/>
      <c r="K756" s="254"/>
      <c r="L756" s="254"/>
      <c r="M756" s="254"/>
      <c r="N756" s="254"/>
      <c r="O756" s="254"/>
      <c r="P756" s="254"/>
      <c r="Q756" s="254"/>
      <c r="R756" s="254"/>
      <c r="S756" s="254"/>
      <c r="T756" s="254"/>
      <c r="U756" s="254"/>
      <c r="V756" s="217"/>
      <c r="W756" s="217"/>
      <c r="X756" s="217"/>
      <c r="Y756" s="217"/>
      <c r="Z756" s="217"/>
      <c r="AA756" s="217"/>
    </row>
    <row r="757" ht="15.75" hidden="1" customHeight="1">
      <c r="A757" s="344"/>
      <c r="B757" s="344"/>
      <c r="C757" s="253"/>
      <c r="D757" s="253"/>
      <c r="E757" s="345"/>
      <c r="F757" s="253"/>
      <c r="G757" s="254"/>
      <c r="H757" s="254"/>
      <c r="I757" s="254"/>
      <c r="J757" s="254"/>
      <c r="K757" s="254"/>
      <c r="L757" s="254"/>
      <c r="M757" s="254"/>
      <c r="N757" s="254"/>
      <c r="O757" s="254"/>
      <c r="P757" s="254"/>
      <c r="Q757" s="254"/>
      <c r="R757" s="254"/>
      <c r="S757" s="254"/>
      <c r="T757" s="254"/>
      <c r="U757" s="254"/>
      <c r="V757" s="217"/>
      <c r="W757" s="217"/>
      <c r="X757" s="217"/>
      <c r="Y757" s="217"/>
      <c r="Z757" s="217"/>
      <c r="AA757" s="217"/>
    </row>
    <row r="758" ht="15.75" hidden="1" customHeight="1">
      <c r="A758" s="344"/>
      <c r="B758" s="344"/>
      <c r="C758" s="253"/>
      <c r="D758" s="253"/>
      <c r="E758" s="345"/>
      <c r="F758" s="253"/>
      <c r="G758" s="254"/>
      <c r="H758" s="254"/>
      <c r="I758" s="254"/>
      <c r="J758" s="254"/>
      <c r="K758" s="254"/>
      <c r="L758" s="254"/>
      <c r="M758" s="254"/>
      <c r="N758" s="254"/>
      <c r="O758" s="254"/>
      <c r="P758" s="254"/>
      <c r="Q758" s="254"/>
      <c r="R758" s="254"/>
      <c r="S758" s="254"/>
      <c r="T758" s="254"/>
      <c r="U758" s="254"/>
      <c r="V758" s="217"/>
      <c r="W758" s="217"/>
      <c r="X758" s="217"/>
      <c r="Y758" s="217"/>
      <c r="Z758" s="217"/>
      <c r="AA758" s="217"/>
    </row>
    <row r="759" ht="15.75" hidden="1" customHeight="1">
      <c r="A759" s="344"/>
      <c r="B759" s="344"/>
      <c r="C759" s="253"/>
      <c r="D759" s="253"/>
      <c r="E759" s="345"/>
      <c r="F759" s="253"/>
      <c r="G759" s="254"/>
      <c r="H759" s="254"/>
      <c r="I759" s="254"/>
      <c r="J759" s="254"/>
      <c r="K759" s="254"/>
      <c r="L759" s="254"/>
      <c r="M759" s="254"/>
      <c r="N759" s="254"/>
      <c r="O759" s="254"/>
      <c r="P759" s="254"/>
      <c r="Q759" s="254"/>
      <c r="R759" s="254"/>
      <c r="S759" s="254"/>
      <c r="T759" s="254"/>
      <c r="U759" s="254"/>
      <c r="V759" s="217"/>
      <c r="W759" s="217"/>
      <c r="X759" s="217"/>
      <c r="Y759" s="217"/>
      <c r="Z759" s="217"/>
      <c r="AA759" s="217"/>
    </row>
    <row r="760" ht="15.75" hidden="1" customHeight="1">
      <c r="A760" s="344"/>
      <c r="B760" s="344"/>
      <c r="C760" s="253"/>
      <c r="D760" s="253"/>
      <c r="E760" s="345"/>
      <c r="F760" s="253"/>
      <c r="G760" s="254"/>
      <c r="H760" s="254"/>
      <c r="I760" s="254"/>
      <c r="J760" s="254"/>
      <c r="K760" s="254"/>
      <c r="L760" s="254"/>
      <c r="M760" s="254"/>
      <c r="N760" s="254"/>
      <c r="O760" s="254"/>
      <c r="P760" s="254"/>
      <c r="Q760" s="254"/>
      <c r="R760" s="254"/>
      <c r="S760" s="254"/>
      <c r="T760" s="254"/>
      <c r="U760" s="254"/>
      <c r="V760" s="217"/>
      <c r="W760" s="217"/>
      <c r="X760" s="217"/>
      <c r="Y760" s="217"/>
      <c r="Z760" s="217"/>
      <c r="AA760" s="217"/>
    </row>
    <row r="761" ht="15.75" hidden="1" customHeight="1">
      <c r="A761" s="344"/>
      <c r="B761" s="344"/>
      <c r="C761" s="253"/>
      <c r="D761" s="253"/>
      <c r="E761" s="345"/>
      <c r="F761" s="253"/>
      <c r="G761" s="254"/>
      <c r="H761" s="254"/>
      <c r="I761" s="254"/>
      <c r="J761" s="254"/>
      <c r="K761" s="254"/>
      <c r="L761" s="254"/>
      <c r="M761" s="254"/>
      <c r="N761" s="254"/>
      <c r="O761" s="254"/>
      <c r="P761" s="254"/>
      <c r="Q761" s="254"/>
      <c r="R761" s="254"/>
      <c r="S761" s="254"/>
      <c r="T761" s="254"/>
      <c r="U761" s="254"/>
      <c r="V761" s="217"/>
      <c r="W761" s="217"/>
      <c r="X761" s="217"/>
      <c r="Y761" s="217"/>
      <c r="Z761" s="217"/>
      <c r="AA761" s="217"/>
    </row>
    <row r="762" ht="15.75" hidden="1" customHeight="1">
      <c r="A762" s="344"/>
      <c r="B762" s="344"/>
      <c r="C762" s="253"/>
      <c r="D762" s="253"/>
      <c r="E762" s="345"/>
      <c r="F762" s="253"/>
      <c r="G762" s="254"/>
      <c r="H762" s="254"/>
      <c r="I762" s="254"/>
      <c r="J762" s="254"/>
      <c r="K762" s="254"/>
      <c r="L762" s="254"/>
      <c r="M762" s="254"/>
      <c r="N762" s="254"/>
      <c r="O762" s="254"/>
      <c r="P762" s="254"/>
      <c r="Q762" s="254"/>
      <c r="R762" s="254"/>
      <c r="S762" s="254"/>
      <c r="T762" s="254"/>
      <c r="U762" s="254"/>
      <c r="V762" s="217"/>
      <c r="W762" s="217"/>
      <c r="X762" s="217"/>
      <c r="Y762" s="217"/>
      <c r="Z762" s="217"/>
      <c r="AA762" s="217"/>
    </row>
    <row r="763" ht="15.75" hidden="1" customHeight="1">
      <c r="A763" s="344"/>
      <c r="B763" s="344"/>
      <c r="C763" s="253"/>
      <c r="D763" s="253"/>
      <c r="E763" s="345"/>
      <c r="F763" s="253"/>
      <c r="G763" s="254"/>
      <c r="H763" s="254"/>
      <c r="I763" s="254"/>
      <c r="J763" s="254"/>
      <c r="K763" s="254"/>
      <c r="L763" s="254"/>
      <c r="M763" s="254"/>
      <c r="N763" s="254"/>
      <c r="O763" s="254"/>
      <c r="P763" s="254"/>
      <c r="Q763" s="254"/>
      <c r="R763" s="254"/>
      <c r="S763" s="254"/>
      <c r="T763" s="254"/>
      <c r="U763" s="254"/>
      <c r="V763" s="217"/>
      <c r="W763" s="217"/>
      <c r="X763" s="217"/>
      <c r="Y763" s="217"/>
      <c r="Z763" s="217"/>
      <c r="AA763" s="217"/>
    </row>
    <row r="764" ht="15.75" hidden="1" customHeight="1">
      <c r="A764" s="344"/>
      <c r="B764" s="344"/>
      <c r="C764" s="253"/>
      <c r="D764" s="253"/>
      <c r="E764" s="345"/>
      <c r="F764" s="253"/>
      <c r="G764" s="254"/>
      <c r="H764" s="254"/>
      <c r="I764" s="254"/>
      <c r="J764" s="254"/>
      <c r="K764" s="254"/>
      <c r="L764" s="254"/>
      <c r="M764" s="254"/>
      <c r="N764" s="254"/>
      <c r="O764" s="254"/>
      <c r="P764" s="254"/>
      <c r="Q764" s="254"/>
      <c r="R764" s="254"/>
      <c r="S764" s="254"/>
      <c r="T764" s="254"/>
      <c r="U764" s="254"/>
      <c r="V764" s="217"/>
      <c r="W764" s="217"/>
      <c r="X764" s="217"/>
      <c r="Y764" s="217"/>
      <c r="Z764" s="217"/>
      <c r="AA764" s="217"/>
    </row>
    <row r="765" ht="15.75" hidden="1" customHeight="1"/>
    <row r="766" ht="15.75" hidden="1" customHeight="1"/>
    <row r="767" ht="15.75" hidden="1" customHeight="1"/>
    <row r="768" ht="15.75" hidden="1" customHeight="1"/>
    <row r="769" ht="22.5" hidden="1" customHeight="1"/>
    <row r="770" ht="22.5" hidden="1" customHeight="1"/>
    <row r="771" ht="22.5" hidden="1" customHeight="1"/>
    <row r="772" ht="22.5" hidden="1" customHeight="1"/>
    <row r="773" ht="22.5" hidden="1" customHeight="1"/>
    <row r="774" ht="22.5" hidden="1" customHeight="1"/>
    <row r="775" ht="22.5" hidden="1" customHeight="1"/>
    <row r="776" ht="22.5" hidden="1" customHeight="1"/>
    <row r="777" ht="22.5" hidden="1" customHeight="1"/>
    <row r="778" ht="22.5" hidden="1" customHeight="1"/>
    <row r="779" ht="22.5" hidden="1" customHeight="1"/>
    <row r="780" ht="22.5" hidden="1" customHeight="1"/>
    <row r="781" ht="22.5" hidden="1" customHeight="1"/>
    <row r="782" ht="22.5" hidden="1" customHeight="1"/>
    <row r="783" ht="22.5" hidden="1" customHeight="1"/>
    <row r="784" ht="22.5" hidden="1" customHeight="1"/>
    <row r="785" ht="22.5" hidden="1" customHeight="1"/>
    <row r="786" ht="22.5" hidden="1" customHeight="1"/>
    <row r="787" ht="22.5" hidden="1" customHeight="1"/>
    <row r="788" ht="22.5" hidden="1" customHeight="1"/>
    <row r="789" ht="22.5" hidden="1" customHeight="1"/>
    <row r="790" ht="22.5" hidden="1" customHeight="1"/>
    <row r="791" ht="22.5" hidden="1" customHeight="1"/>
    <row r="792" ht="22.5" hidden="1" customHeight="1"/>
    <row r="793" ht="22.5" hidden="1" customHeight="1"/>
    <row r="794" ht="22.5" hidden="1" customHeight="1"/>
    <row r="795" ht="22.5" hidden="1" customHeight="1"/>
    <row r="796" ht="22.5" hidden="1" customHeight="1"/>
    <row r="797" ht="22.5" hidden="1" customHeight="1"/>
    <row r="798" ht="22.5" hidden="1" customHeight="1"/>
    <row r="799" ht="22.5" hidden="1" customHeight="1"/>
    <row r="800" ht="22.5" hidden="1" customHeight="1"/>
    <row r="801" ht="22.5" hidden="1" customHeight="1"/>
    <row r="802" ht="22.5" hidden="1" customHeight="1"/>
    <row r="803" ht="22.5" hidden="1" customHeight="1"/>
    <row r="804" ht="22.5" hidden="1" customHeight="1"/>
    <row r="805" ht="22.5" hidden="1" customHeight="1"/>
    <row r="806" ht="22.5" hidden="1" customHeight="1"/>
    <row r="807" ht="22.5" hidden="1" customHeight="1"/>
    <row r="808" ht="22.5" hidden="1" customHeight="1"/>
    <row r="809" ht="22.5" hidden="1" customHeight="1"/>
    <row r="810" ht="22.5" hidden="1" customHeight="1"/>
    <row r="811" ht="22.5" hidden="1" customHeight="1"/>
    <row r="812" ht="22.5" hidden="1" customHeight="1"/>
    <row r="813" ht="22.5" hidden="1" customHeight="1"/>
    <row r="814" ht="22.5" hidden="1" customHeight="1"/>
    <row r="815" ht="22.5" hidden="1" customHeight="1"/>
    <row r="816" ht="22.5" hidden="1" customHeight="1"/>
    <row r="817" ht="22.5" hidden="1" customHeight="1"/>
    <row r="818" ht="22.5" hidden="1" customHeight="1"/>
    <row r="819" ht="22.5" hidden="1" customHeight="1"/>
    <row r="820" ht="22.5" hidden="1" customHeight="1"/>
    <row r="821" ht="22.5" hidden="1" customHeight="1"/>
    <row r="822" ht="22.5" hidden="1" customHeight="1"/>
    <row r="823" ht="22.5" hidden="1" customHeight="1"/>
    <row r="824" ht="22.5" hidden="1" customHeight="1"/>
    <row r="825" ht="22.5" hidden="1" customHeight="1"/>
    <row r="826" ht="22.5" hidden="1" customHeight="1"/>
    <row r="827" ht="22.5" hidden="1" customHeight="1"/>
    <row r="828" ht="22.5" hidden="1" customHeight="1"/>
    <row r="829" ht="22.5" hidden="1" customHeight="1"/>
    <row r="830" ht="22.5" hidden="1" customHeight="1"/>
    <row r="831" ht="22.5" hidden="1" customHeight="1"/>
    <row r="832" ht="22.5" hidden="1" customHeight="1"/>
    <row r="833" ht="22.5" hidden="1" customHeight="1"/>
    <row r="834" ht="22.5" hidden="1" customHeight="1"/>
    <row r="835" ht="22.5" hidden="1" customHeight="1"/>
    <row r="836" ht="22.5" hidden="1" customHeight="1"/>
    <row r="837" ht="22.5" hidden="1" customHeight="1"/>
    <row r="838" ht="22.5" hidden="1" customHeight="1"/>
    <row r="839" ht="22.5" hidden="1" customHeight="1"/>
    <row r="840" ht="22.5" hidden="1" customHeight="1"/>
    <row r="841" ht="22.5" hidden="1" customHeight="1"/>
    <row r="842" ht="22.5" hidden="1" customHeight="1"/>
    <row r="843" ht="22.5" hidden="1" customHeight="1"/>
    <row r="844" ht="22.5" hidden="1" customHeight="1"/>
    <row r="845" ht="22.5" hidden="1" customHeight="1"/>
    <row r="846" ht="22.5" hidden="1" customHeight="1"/>
    <row r="847" ht="22.5" hidden="1" customHeight="1"/>
    <row r="848" ht="22.5" hidden="1" customHeight="1"/>
    <row r="849" ht="22.5" hidden="1" customHeight="1"/>
    <row r="850" ht="22.5" hidden="1" customHeight="1"/>
    <row r="851" ht="22.5" hidden="1" customHeight="1"/>
    <row r="852" ht="22.5" hidden="1" customHeight="1"/>
    <row r="853" ht="22.5" hidden="1" customHeight="1"/>
    <row r="854" ht="22.5" hidden="1" customHeight="1"/>
    <row r="855" ht="22.5" hidden="1" customHeight="1"/>
    <row r="856" ht="22.5" hidden="1" customHeight="1"/>
    <row r="857" ht="22.5" hidden="1" customHeight="1"/>
    <row r="858" ht="22.5" hidden="1" customHeight="1"/>
    <row r="859" ht="22.5" hidden="1" customHeight="1"/>
    <row r="860" ht="22.5" hidden="1" customHeight="1"/>
    <row r="861" ht="22.5" hidden="1" customHeight="1"/>
    <row r="862" ht="22.5" hidden="1" customHeight="1"/>
    <row r="863" ht="22.5" hidden="1" customHeight="1"/>
    <row r="864" ht="22.5" hidden="1" customHeight="1"/>
    <row r="865" ht="22.5" hidden="1" customHeight="1"/>
    <row r="866" ht="22.5" hidden="1" customHeight="1"/>
    <row r="867" ht="22.5" hidden="1" customHeight="1"/>
    <row r="868" ht="22.5" hidden="1" customHeight="1"/>
    <row r="869" ht="22.5" hidden="1" customHeight="1"/>
    <row r="870" ht="22.5" hidden="1" customHeight="1"/>
    <row r="871" ht="22.5" hidden="1" customHeight="1"/>
    <row r="872" ht="22.5" hidden="1" customHeight="1"/>
    <row r="873" ht="22.5" hidden="1" customHeight="1"/>
    <row r="874" ht="22.5" hidden="1" customHeight="1"/>
    <row r="875" ht="22.5" hidden="1" customHeight="1"/>
    <row r="876" ht="22.5" hidden="1" customHeight="1"/>
    <row r="877" ht="22.5" hidden="1" customHeight="1"/>
    <row r="878" ht="22.5" hidden="1" customHeight="1"/>
    <row r="879" ht="22.5" hidden="1" customHeight="1"/>
    <row r="880" ht="22.5" hidden="1" customHeight="1"/>
    <row r="881" ht="22.5" hidden="1" customHeight="1"/>
    <row r="882" ht="22.5" hidden="1" customHeight="1"/>
    <row r="883" ht="22.5" hidden="1" customHeight="1"/>
    <row r="884" ht="22.5" hidden="1" customHeight="1"/>
    <row r="885" ht="22.5" hidden="1" customHeight="1"/>
    <row r="886" ht="22.5" hidden="1" customHeight="1"/>
    <row r="887" ht="22.5" hidden="1" customHeight="1"/>
    <row r="888" ht="22.5" hidden="1" customHeight="1"/>
    <row r="889" ht="22.5" hidden="1" customHeight="1"/>
    <row r="890" ht="22.5" hidden="1" customHeight="1"/>
    <row r="891" ht="22.5" hidden="1" customHeight="1"/>
    <row r="892" ht="22.5" hidden="1" customHeight="1"/>
    <row r="893" ht="22.5" hidden="1" customHeight="1"/>
    <row r="894" ht="22.5" hidden="1" customHeight="1"/>
    <row r="895" ht="22.5" hidden="1" customHeight="1"/>
    <row r="896" ht="22.5" hidden="1" customHeight="1"/>
    <row r="897" ht="22.5" hidden="1" customHeight="1"/>
    <row r="898" ht="22.5" hidden="1" customHeight="1"/>
    <row r="899" ht="22.5" hidden="1" customHeight="1"/>
    <row r="900" ht="22.5" hidden="1" customHeight="1"/>
    <row r="901" ht="22.5" hidden="1" customHeight="1"/>
    <row r="902" ht="22.5" hidden="1" customHeight="1"/>
    <row r="903" ht="22.5" hidden="1" customHeight="1"/>
    <row r="904" ht="22.5" hidden="1" customHeight="1"/>
    <row r="905" ht="22.5" hidden="1" customHeight="1"/>
    <row r="906" ht="22.5" hidden="1" customHeight="1"/>
    <row r="907" ht="22.5" hidden="1" customHeight="1"/>
    <row r="908" ht="22.5" hidden="1" customHeight="1"/>
    <row r="909" ht="22.5" hidden="1" customHeight="1"/>
    <row r="910" ht="22.5" hidden="1" customHeight="1"/>
    <row r="911" ht="22.5" hidden="1" customHeight="1"/>
    <row r="912" ht="22.5" hidden="1" customHeight="1"/>
    <row r="913" ht="22.5" hidden="1" customHeight="1"/>
    <row r="914" ht="22.5" hidden="1" customHeight="1"/>
    <row r="915" ht="22.5" hidden="1" customHeight="1"/>
    <row r="916" ht="22.5" hidden="1" customHeight="1"/>
    <row r="917" ht="22.5" hidden="1" customHeight="1"/>
    <row r="918" ht="22.5" hidden="1" customHeight="1"/>
    <row r="919" ht="22.5" hidden="1" customHeight="1"/>
    <row r="920" ht="22.5" hidden="1" customHeight="1"/>
    <row r="921" ht="22.5" hidden="1" customHeight="1"/>
    <row r="922" ht="22.5" hidden="1" customHeight="1"/>
    <row r="923" ht="22.5" hidden="1" customHeight="1"/>
    <row r="924" ht="22.5" hidden="1" customHeight="1"/>
    <row r="925" ht="22.5" hidden="1" customHeight="1"/>
    <row r="926" ht="22.5" hidden="1" customHeight="1"/>
    <row r="927" ht="22.5" hidden="1" customHeight="1"/>
    <row r="928" ht="22.5" hidden="1" customHeight="1"/>
    <row r="929" ht="22.5" hidden="1" customHeight="1"/>
    <row r="930" ht="22.5" hidden="1" customHeight="1"/>
    <row r="931" ht="22.5" hidden="1" customHeight="1"/>
    <row r="932" ht="22.5" hidden="1" customHeight="1"/>
    <row r="933" ht="22.5" hidden="1" customHeight="1"/>
    <row r="934" ht="22.5" hidden="1" customHeight="1"/>
    <row r="935" ht="22.5" hidden="1" customHeight="1"/>
    <row r="936" ht="22.5" hidden="1" customHeight="1"/>
    <row r="937" ht="22.5" hidden="1" customHeight="1"/>
    <row r="938" ht="22.5" hidden="1" customHeight="1"/>
    <row r="939" ht="22.5" hidden="1" customHeight="1"/>
    <row r="940" ht="22.5" hidden="1" customHeight="1"/>
    <row r="941" ht="22.5" hidden="1" customHeight="1"/>
    <row r="942" ht="22.5" hidden="1" customHeight="1"/>
    <row r="943" ht="22.5" hidden="1" customHeight="1"/>
    <row r="944" ht="22.5" hidden="1" customHeight="1"/>
    <row r="945" ht="22.5" hidden="1" customHeight="1"/>
    <row r="946" ht="22.5" hidden="1" customHeight="1"/>
    <row r="947" ht="22.5" hidden="1" customHeight="1"/>
    <row r="948" ht="22.5" hidden="1" customHeight="1"/>
    <row r="949" ht="22.5" hidden="1" customHeight="1"/>
    <row r="950" ht="22.5" hidden="1" customHeight="1"/>
    <row r="951" ht="22.5" hidden="1" customHeight="1"/>
    <row r="952" ht="22.5" hidden="1" customHeight="1"/>
    <row r="953" ht="22.5" hidden="1" customHeight="1"/>
    <row r="954" ht="22.5" hidden="1" customHeight="1"/>
    <row r="955" ht="22.5" hidden="1" customHeight="1"/>
    <row r="956" ht="22.5" hidden="1" customHeight="1"/>
    <row r="957" ht="22.5" hidden="1" customHeight="1"/>
    <row r="958" ht="22.5" hidden="1" customHeight="1"/>
    <row r="959" ht="22.5" hidden="1" customHeight="1"/>
    <row r="960" ht="22.5" hidden="1" customHeight="1"/>
    <row r="961" ht="22.5" hidden="1" customHeight="1"/>
    <row r="962" ht="22.5" hidden="1" customHeight="1"/>
    <row r="963" ht="22.5" hidden="1" customHeight="1"/>
    <row r="964" ht="22.5" hidden="1" customHeight="1"/>
    <row r="965" ht="22.5" hidden="1" customHeight="1"/>
    <row r="966" ht="22.5" hidden="1" customHeight="1"/>
    <row r="967" ht="22.5" hidden="1" customHeight="1"/>
    <row r="968" ht="22.5" hidden="1" customHeight="1"/>
    <row r="969" ht="22.5" hidden="1" customHeight="1"/>
    <row r="970" ht="22.5" hidden="1" customHeight="1"/>
    <row r="971" ht="22.5" hidden="1" customHeight="1"/>
    <row r="972" ht="22.5" hidden="1" customHeight="1"/>
    <row r="973" ht="22.5" hidden="1" customHeight="1"/>
    <row r="974" ht="22.5" hidden="1" customHeight="1"/>
    <row r="975" ht="22.5" hidden="1" customHeight="1"/>
    <row r="976" ht="22.5" hidden="1" customHeight="1"/>
    <row r="977" ht="22.5" hidden="1" customHeight="1"/>
    <row r="978" ht="22.5" hidden="1" customHeight="1"/>
    <row r="979" ht="22.5" hidden="1" customHeight="1"/>
    <row r="980" ht="22.5" hidden="1" customHeight="1"/>
    <row r="981" ht="22.5" hidden="1" customHeight="1"/>
    <row r="982" ht="22.5" hidden="1" customHeight="1"/>
    <row r="983" ht="22.5" hidden="1" customHeight="1"/>
    <row r="984" ht="22.5" hidden="1" customHeight="1"/>
    <row r="985" ht="22.5" hidden="1" customHeight="1"/>
    <row r="986" ht="22.5" hidden="1" customHeight="1"/>
    <row r="987" ht="22.5" hidden="1" customHeight="1"/>
    <row r="988" ht="22.5" hidden="1" customHeight="1"/>
    <row r="989" ht="22.5" hidden="1" customHeight="1"/>
    <row r="990" ht="22.5" hidden="1" customHeight="1"/>
    <row r="991" ht="22.5" hidden="1" customHeight="1"/>
    <row r="992" ht="22.5" hidden="1" customHeight="1"/>
    <row r="993" ht="22.5" hidden="1" customHeight="1"/>
    <row r="994" ht="22.5" hidden="1" customHeight="1"/>
    <row r="995" ht="22.5" hidden="1" customHeight="1"/>
    <row r="996" ht="22.5" hidden="1" customHeight="1"/>
    <row r="997" ht="22.5" hidden="1" customHeight="1"/>
    <row r="998" ht="22.5" hidden="1" customHeight="1"/>
    <row r="999" ht="22.5" hidden="1" customHeight="1"/>
    <row r="1000" ht="22.5" hidden="1" customHeight="1"/>
  </sheetData>
  <printOptions horizontalCentered="1"/>
  <pageMargins bottom="0.75" footer="0.0" header="0.0" left="0.7" right="0.7" top="0.75"/>
  <pageSetup paperSize="5" orientation="portrait"/>
  <rowBreaks count="11" manualBreakCount="11">
    <brk id="517" man="1"/>
    <brk id="470" man="1"/>
    <brk id="423" man="1"/>
    <brk id="376" man="1"/>
    <brk id="329" man="1"/>
    <brk id="282" man="1"/>
    <brk id="235" man="1"/>
    <brk id="188" man="1"/>
    <brk id="141" man="1"/>
    <brk id="94" man="1"/>
    <brk id="47" man="1"/>
  </rowBreaks>
  <drawing r:id="rId1"/>
  <tableParts count="1">
    <tablePart r:id="rId3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13"/>
    <col customWidth="1" min="2" max="2" width="6.75"/>
    <col customWidth="1" min="5" max="5" width="25.88"/>
  </cols>
  <sheetData>
    <row r="1" ht="22.5" customHeight="1">
      <c r="A1" s="173" t="s">
        <v>9700</v>
      </c>
      <c r="B1" s="173" t="s">
        <v>9716</v>
      </c>
      <c r="C1" s="174" t="s">
        <v>9360</v>
      </c>
      <c r="D1" s="174" t="s">
        <v>9361</v>
      </c>
      <c r="E1" s="174" t="s">
        <v>9362</v>
      </c>
      <c r="F1" s="174" t="s">
        <v>9363</v>
      </c>
    </row>
    <row r="2" ht="22.5" hidden="1" customHeight="1">
      <c r="A2" s="346">
        <v>8.0</v>
      </c>
      <c r="B2" s="176"/>
      <c r="C2" s="177"/>
      <c r="D2" s="177"/>
      <c r="E2" s="177"/>
      <c r="F2" s="177"/>
    </row>
    <row r="3" ht="22.5" hidden="1" customHeight="1">
      <c r="A3" s="346">
        <v>9.0</v>
      </c>
      <c r="B3" s="176"/>
      <c r="C3" s="177"/>
      <c r="D3" s="177"/>
      <c r="E3" s="177"/>
      <c r="F3" s="177"/>
    </row>
    <row r="4" ht="22.5" hidden="1" customHeight="1">
      <c r="A4" s="347">
        <v>10.0</v>
      </c>
      <c r="B4" s="178"/>
      <c r="C4" s="177"/>
      <c r="D4" s="177"/>
      <c r="E4" s="177"/>
      <c r="F4" s="177"/>
    </row>
    <row r="5" ht="22.5" hidden="1" customHeight="1">
      <c r="A5" s="348">
        <v>11.0</v>
      </c>
      <c r="B5" s="179"/>
      <c r="C5" s="180"/>
      <c r="D5" s="180"/>
      <c r="E5" s="180"/>
      <c r="F5" s="180"/>
    </row>
    <row r="6" ht="22.5" hidden="1" customHeight="1">
      <c r="A6" s="349">
        <v>12.0</v>
      </c>
      <c r="B6" s="181"/>
      <c r="C6" s="181"/>
      <c r="D6" s="181"/>
      <c r="E6" s="181"/>
      <c r="F6" s="181"/>
    </row>
    <row r="7" ht="22.5" hidden="1" customHeight="1">
      <c r="A7" s="350">
        <v>13.0</v>
      </c>
      <c r="B7" s="182"/>
      <c r="C7" s="182"/>
      <c r="D7" s="182"/>
      <c r="E7" s="182"/>
      <c r="F7" s="182"/>
    </row>
    <row r="8" ht="22.5" hidden="1" customHeight="1">
      <c r="A8" s="350">
        <v>14.0</v>
      </c>
      <c r="B8" s="183"/>
      <c r="C8" s="183"/>
      <c r="D8" s="183"/>
      <c r="E8" s="183"/>
      <c r="F8" s="183"/>
    </row>
    <row r="9" ht="22.5" customHeight="1">
      <c r="A9" s="351">
        <v>15.0</v>
      </c>
      <c r="B9" s="184">
        <v>1.0</v>
      </c>
      <c r="C9" s="184">
        <v>2.3241003E8</v>
      </c>
      <c r="D9" s="184" t="s">
        <v>7703</v>
      </c>
      <c r="E9" s="185" t="s">
        <v>7704</v>
      </c>
      <c r="F9" s="184" t="s">
        <v>227</v>
      </c>
    </row>
    <row r="10" ht="22.5" customHeight="1">
      <c r="A10" s="351">
        <v>16.0</v>
      </c>
      <c r="B10" s="184">
        <v>2.0</v>
      </c>
      <c r="C10" s="184">
        <v>2.32410047E8</v>
      </c>
      <c r="D10" s="186" t="s">
        <v>7707</v>
      </c>
      <c r="E10" s="185" t="s">
        <v>7708</v>
      </c>
      <c r="F10" s="184" t="s">
        <v>227</v>
      </c>
    </row>
    <row r="11" ht="22.5" customHeight="1">
      <c r="A11" s="351">
        <v>17.0</v>
      </c>
      <c r="B11" s="184">
        <v>3.0</v>
      </c>
      <c r="C11" s="184">
        <v>2.32410054E8</v>
      </c>
      <c r="D11" s="184" t="s">
        <v>7709</v>
      </c>
      <c r="E11" s="185" t="s">
        <v>7710</v>
      </c>
      <c r="F11" s="184" t="s">
        <v>220</v>
      </c>
    </row>
    <row r="12" ht="22.5" customHeight="1">
      <c r="A12" s="351">
        <v>18.0</v>
      </c>
      <c r="B12" s="184">
        <v>4.0</v>
      </c>
      <c r="C12" s="184">
        <v>2.32410056E8</v>
      </c>
      <c r="D12" s="186" t="s">
        <v>7711</v>
      </c>
      <c r="E12" s="185" t="s">
        <v>7712</v>
      </c>
      <c r="F12" s="184" t="s">
        <v>227</v>
      </c>
    </row>
    <row r="13" ht="22.5" customHeight="1">
      <c r="A13" s="351">
        <v>19.0</v>
      </c>
      <c r="B13" s="184">
        <v>5.0</v>
      </c>
      <c r="C13" s="184">
        <v>2.32410066E8</v>
      </c>
      <c r="D13" s="186" t="s">
        <v>7713</v>
      </c>
      <c r="E13" s="185" t="s">
        <v>7714</v>
      </c>
      <c r="F13" s="184" t="s">
        <v>227</v>
      </c>
    </row>
    <row r="14" ht="22.5" customHeight="1">
      <c r="A14" s="351">
        <v>20.0</v>
      </c>
      <c r="B14" s="184">
        <v>6.0</v>
      </c>
      <c r="C14" s="184">
        <v>2.32410119E8</v>
      </c>
      <c r="D14" s="186" t="s">
        <v>7715</v>
      </c>
      <c r="E14" s="185" t="s">
        <v>7716</v>
      </c>
      <c r="F14" s="184" t="s">
        <v>227</v>
      </c>
    </row>
    <row r="15" ht="22.5" customHeight="1">
      <c r="A15" s="351">
        <v>21.0</v>
      </c>
      <c r="B15" s="184">
        <v>7.0</v>
      </c>
      <c r="C15" s="184">
        <v>2.32410122E8</v>
      </c>
      <c r="D15" s="186" t="s">
        <v>7717</v>
      </c>
      <c r="E15" s="185" t="s">
        <v>7718</v>
      </c>
      <c r="F15" s="184" t="s">
        <v>227</v>
      </c>
    </row>
    <row r="16" ht="22.5" customHeight="1">
      <c r="A16" s="351">
        <v>22.0</v>
      </c>
      <c r="B16" s="184">
        <v>8.0</v>
      </c>
      <c r="C16" s="184">
        <v>2.32410154E8</v>
      </c>
      <c r="D16" s="186" t="s">
        <v>7719</v>
      </c>
      <c r="E16" s="185" t="s">
        <v>7720</v>
      </c>
      <c r="F16" s="184" t="s">
        <v>227</v>
      </c>
    </row>
    <row r="17" ht="22.5" customHeight="1">
      <c r="A17" s="351">
        <v>23.0</v>
      </c>
      <c r="B17" s="184">
        <v>9.0</v>
      </c>
      <c r="C17" s="184">
        <v>2.32410178E8</v>
      </c>
      <c r="D17" s="186" t="s">
        <v>7721</v>
      </c>
      <c r="E17" s="185" t="s">
        <v>7722</v>
      </c>
      <c r="F17" s="184" t="s">
        <v>227</v>
      </c>
    </row>
    <row r="18" ht="22.5" customHeight="1">
      <c r="A18" s="351">
        <v>24.0</v>
      </c>
      <c r="B18" s="184">
        <v>10.0</v>
      </c>
      <c r="C18" s="184">
        <v>2.32410182E8</v>
      </c>
      <c r="D18" s="186" t="s">
        <v>7723</v>
      </c>
      <c r="E18" s="185" t="s">
        <v>7724</v>
      </c>
      <c r="F18" s="184" t="s">
        <v>227</v>
      </c>
    </row>
    <row r="19" ht="22.5" customHeight="1">
      <c r="A19" s="351">
        <v>25.0</v>
      </c>
      <c r="B19" s="184">
        <v>11.0</v>
      </c>
      <c r="C19" s="184">
        <v>2.32410209E8</v>
      </c>
      <c r="D19" s="186" t="s">
        <v>7725</v>
      </c>
      <c r="E19" s="185" t="s">
        <v>7726</v>
      </c>
      <c r="F19" s="184" t="s">
        <v>227</v>
      </c>
    </row>
    <row r="20" ht="22.5" customHeight="1">
      <c r="A20" s="351">
        <v>26.0</v>
      </c>
      <c r="B20" s="184">
        <v>12.0</v>
      </c>
      <c r="C20" s="184">
        <v>2.32410226E8</v>
      </c>
      <c r="D20" s="186" t="s">
        <v>7727</v>
      </c>
      <c r="E20" s="185" t="s">
        <v>7728</v>
      </c>
      <c r="F20" s="184" t="s">
        <v>227</v>
      </c>
    </row>
    <row r="21" ht="22.5" customHeight="1">
      <c r="A21" s="351">
        <v>27.0</v>
      </c>
      <c r="B21" s="184">
        <v>13.0</v>
      </c>
      <c r="C21" s="184">
        <v>2.32410227E8</v>
      </c>
      <c r="D21" s="186" t="s">
        <v>7729</v>
      </c>
      <c r="E21" s="185" t="s">
        <v>7730</v>
      </c>
      <c r="F21" s="184" t="s">
        <v>227</v>
      </c>
    </row>
    <row r="22" ht="22.5" customHeight="1">
      <c r="A22" s="351">
        <v>28.0</v>
      </c>
      <c r="B22" s="184">
        <v>14.0</v>
      </c>
      <c r="C22" s="184">
        <v>2.32410236E8</v>
      </c>
      <c r="D22" s="186" t="s">
        <v>7731</v>
      </c>
      <c r="E22" s="185" t="s">
        <v>7732</v>
      </c>
      <c r="F22" s="184" t="s">
        <v>220</v>
      </c>
    </row>
    <row r="23" ht="22.5" customHeight="1">
      <c r="A23" s="351">
        <v>29.0</v>
      </c>
      <c r="B23" s="184">
        <v>15.0</v>
      </c>
      <c r="C23" s="184">
        <v>2.32410229E8</v>
      </c>
      <c r="D23" s="186" t="s">
        <v>7733</v>
      </c>
      <c r="E23" s="185" t="s">
        <v>7734</v>
      </c>
      <c r="F23" s="184" t="s">
        <v>220</v>
      </c>
    </row>
    <row r="24" ht="22.5" customHeight="1">
      <c r="A24" s="351">
        <v>30.0</v>
      </c>
      <c r="B24" s="184">
        <v>16.0</v>
      </c>
      <c r="C24" s="184">
        <v>2.3241024E8</v>
      </c>
      <c r="D24" s="186" t="s">
        <v>7735</v>
      </c>
      <c r="E24" s="185" t="s">
        <v>7736</v>
      </c>
      <c r="F24" s="184" t="s">
        <v>220</v>
      </c>
    </row>
    <row r="25" ht="22.5" customHeight="1">
      <c r="A25" s="351">
        <v>31.0</v>
      </c>
      <c r="B25" s="184">
        <v>17.0</v>
      </c>
      <c r="C25" s="184">
        <v>2.32410228E8</v>
      </c>
      <c r="D25" s="184" t="s">
        <v>7737</v>
      </c>
      <c r="E25" s="185" t="s">
        <v>7738</v>
      </c>
      <c r="F25" s="184" t="s">
        <v>220</v>
      </c>
    </row>
    <row r="26" ht="22.5" customHeight="1">
      <c r="A26" s="351">
        <v>32.0</v>
      </c>
      <c r="B26" s="184">
        <v>18.0</v>
      </c>
      <c r="C26" s="184">
        <v>2.32410271E8</v>
      </c>
      <c r="D26" s="184" t="s">
        <v>7739</v>
      </c>
      <c r="E26" s="187" t="s">
        <v>7740</v>
      </c>
      <c r="F26" s="184" t="s">
        <v>227</v>
      </c>
    </row>
    <row r="27" ht="22.5" customHeight="1">
      <c r="A27" s="351">
        <v>33.0</v>
      </c>
      <c r="B27" s="184">
        <v>19.0</v>
      </c>
      <c r="C27" s="184">
        <v>2.32410273E8</v>
      </c>
      <c r="D27" s="184" t="s">
        <v>7741</v>
      </c>
      <c r="E27" s="185" t="s">
        <v>7742</v>
      </c>
      <c r="F27" s="184" t="s">
        <v>227</v>
      </c>
    </row>
    <row r="28" ht="22.5" customHeight="1">
      <c r="A28" s="351">
        <v>34.0</v>
      </c>
      <c r="B28" s="184">
        <v>20.0</v>
      </c>
      <c r="C28" s="184">
        <v>2.32410292E8</v>
      </c>
      <c r="D28" s="184" t="s">
        <v>7743</v>
      </c>
      <c r="E28" s="185" t="s">
        <v>7744</v>
      </c>
      <c r="F28" s="184" t="s">
        <v>227</v>
      </c>
    </row>
    <row r="29" ht="22.5" customHeight="1">
      <c r="A29" s="351">
        <v>35.0</v>
      </c>
      <c r="B29" s="184">
        <v>21.0</v>
      </c>
      <c r="C29" s="184">
        <v>2.32410299E8</v>
      </c>
      <c r="D29" s="184" t="s">
        <v>7745</v>
      </c>
      <c r="E29" s="185" t="s">
        <v>7746</v>
      </c>
      <c r="F29" s="184" t="s">
        <v>227</v>
      </c>
    </row>
    <row r="30" ht="22.5" customHeight="1">
      <c r="A30" s="351">
        <v>36.0</v>
      </c>
      <c r="B30" s="184">
        <v>22.0</v>
      </c>
      <c r="C30" s="184">
        <v>2.32410302E8</v>
      </c>
      <c r="D30" s="184" t="s">
        <v>7747</v>
      </c>
      <c r="E30" s="185" t="s">
        <v>7748</v>
      </c>
      <c r="F30" s="184" t="s">
        <v>227</v>
      </c>
    </row>
    <row r="31" ht="22.5" customHeight="1">
      <c r="A31" s="351">
        <v>37.0</v>
      </c>
      <c r="B31" s="184">
        <v>23.0</v>
      </c>
      <c r="C31" s="184">
        <v>2.32410306E8</v>
      </c>
      <c r="D31" s="184" t="s">
        <v>7749</v>
      </c>
      <c r="E31" s="185" t="s">
        <v>7750</v>
      </c>
      <c r="F31" s="184" t="s">
        <v>227</v>
      </c>
    </row>
    <row r="32" ht="22.5" customHeight="1">
      <c r="A32" s="351">
        <v>38.0</v>
      </c>
      <c r="B32" s="184">
        <v>24.0</v>
      </c>
      <c r="C32" s="184">
        <v>2.32410318E8</v>
      </c>
      <c r="D32" s="184" t="s">
        <v>7751</v>
      </c>
      <c r="E32" s="185" t="s">
        <v>7752</v>
      </c>
      <c r="F32" s="184" t="s">
        <v>227</v>
      </c>
    </row>
    <row r="33" ht="22.5" customHeight="1">
      <c r="A33" s="351">
        <v>39.0</v>
      </c>
      <c r="B33" s="184">
        <v>25.0</v>
      </c>
      <c r="C33" s="184">
        <v>2.32410322E8</v>
      </c>
      <c r="D33" s="184" t="s">
        <v>7753</v>
      </c>
      <c r="E33" s="185" t="s">
        <v>7754</v>
      </c>
      <c r="F33" s="184" t="s">
        <v>220</v>
      </c>
    </row>
    <row r="34" ht="22.5" customHeight="1">
      <c r="A34" s="351">
        <v>40.0</v>
      </c>
      <c r="B34" s="184">
        <v>26.0</v>
      </c>
      <c r="C34" s="184">
        <v>2.32410338E8</v>
      </c>
      <c r="D34" s="184" t="s">
        <v>7755</v>
      </c>
      <c r="E34" s="185" t="s">
        <v>7756</v>
      </c>
      <c r="F34" s="184" t="s">
        <v>227</v>
      </c>
    </row>
    <row r="35" ht="22.5" customHeight="1">
      <c r="A35" s="351">
        <v>41.0</v>
      </c>
      <c r="B35" s="184">
        <v>27.0</v>
      </c>
      <c r="C35" s="184">
        <v>2.32410357E8</v>
      </c>
      <c r="D35" s="184" t="s">
        <v>7757</v>
      </c>
      <c r="E35" s="185" t="s">
        <v>7758</v>
      </c>
      <c r="F35" s="184" t="s">
        <v>227</v>
      </c>
    </row>
    <row r="36" ht="22.5" customHeight="1">
      <c r="A36" s="351">
        <v>42.0</v>
      </c>
      <c r="B36" s="184">
        <v>28.0</v>
      </c>
      <c r="C36" s="184">
        <v>2.32410362E8</v>
      </c>
      <c r="D36" s="184" t="s">
        <v>7759</v>
      </c>
      <c r="E36" s="185" t="s">
        <v>7760</v>
      </c>
      <c r="F36" s="184" t="s">
        <v>227</v>
      </c>
    </row>
    <row r="37" ht="22.5" customHeight="1">
      <c r="A37" s="351">
        <v>43.0</v>
      </c>
      <c r="B37" s="184">
        <v>29.0</v>
      </c>
      <c r="C37" s="184">
        <v>2.32410378E8</v>
      </c>
      <c r="D37" s="184" t="s">
        <v>7761</v>
      </c>
      <c r="E37" s="185" t="s">
        <v>7762</v>
      </c>
      <c r="F37" s="184" t="s">
        <v>227</v>
      </c>
    </row>
    <row r="38" ht="22.5" customHeight="1">
      <c r="A38" s="351">
        <v>55.0</v>
      </c>
      <c r="B38" s="184">
        <v>30.0</v>
      </c>
      <c r="C38" s="184">
        <v>2.32410379E8</v>
      </c>
      <c r="D38" s="184" t="s">
        <v>7763</v>
      </c>
      <c r="E38" s="185" t="s">
        <v>7764</v>
      </c>
      <c r="F38" s="184" t="s">
        <v>227</v>
      </c>
    </row>
    <row r="39" ht="22.5" customHeight="1">
      <c r="A39" s="351">
        <v>56.0</v>
      </c>
      <c r="B39" s="184">
        <v>31.0</v>
      </c>
      <c r="C39" s="184">
        <v>2.32410382E8</v>
      </c>
      <c r="D39" s="184" t="s">
        <v>7765</v>
      </c>
      <c r="E39" s="185" t="s">
        <v>7766</v>
      </c>
      <c r="F39" s="184" t="s">
        <v>227</v>
      </c>
    </row>
    <row r="40" ht="22.5" customHeight="1">
      <c r="A40" s="351">
        <v>57.0</v>
      </c>
      <c r="B40" s="184">
        <v>32.0</v>
      </c>
      <c r="C40" s="184">
        <v>2.32410384E8</v>
      </c>
      <c r="D40" s="186" t="s">
        <v>7767</v>
      </c>
      <c r="E40" s="185" t="s">
        <v>7768</v>
      </c>
      <c r="F40" s="184" t="s">
        <v>227</v>
      </c>
    </row>
    <row r="41" ht="22.5" customHeight="1">
      <c r="A41" s="351">
        <v>58.0</v>
      </c>
      <c r="B41" s="184">
        <v>33.0</v>
      </c>
      <c r="C41" s="184">
        <v>2.32410386E8</v>
      </c>
      <c r="D41" s="186" t="s">
        <v>7769</v>
      </c>
      <c r="E41" s="185" t="s">
        <v>7770</v>
      </c>
      <c r="F41" s="184" t="s">
        <v>220</v>
      </c>
    </row>
    <row r="42" ht="22.5" customHeight="1">
      <c r="A42" s="351">
        <v>59.0</v>
      </c>
      <c r="B42" s="184">
        <v>34.0</v>
      </c>
      <c r="C42" s="184">
        <v>2.32410395E8</v>
      </c>
      <c r="D42" s="184" t="s">
        <v>7771</v>
      </c>
      <c r="E42" s="185" t="s">
        <v>7772</v>
      </c>
      <c r="F42" s="184" t="s">
        <v>227</v>
      </c>
    </row>
    <row r="43" ht="22.5" customHeight="1">
      <c r="A43" s="351">
        <v>60.0</v>
      </c>
      <c r="B43" s="184">
        <v>35.0</v>
      </c>
      <c r="C43" s="184">
        <v>2.32410398E8</v>
      </c>
      <c r="D43" s="184" t="s">
        <v>7773</v>
      </c>
      <c r="E43" s="185" t="s">
        <v>7774</v>
      </c>
      <c r="F43" s="184" t="s">
        <v>220</v>
      </c>
    </row>
    <row r="44" ht="22.5" customHeight="1">
      <c r="A44" s="351">
        <v>61.0</v>
      </c>
      <c r="B44" s="184">
        <v>36.0</v>
      </c>
      <c r="C44" s="184" t="s">
        <v>9368</v>
      </c>
      <c r="D44" s="184" t="s">
        <v>7775</v>
      </c>
      <c r="E44" s="185" t="s">
        <v>7776</v>
      </c>
      <c r="F44" s="184" t="s">
        <v>220</v>
      </c>
    </row>
    <row r="45" ht="22.5" hidden="1" customHeight="1">
      <c r="A45" s="352">
        <v>62.0</v>
      </c>
      <c r="B45" s="188"/>
      <c r="C45" s="190"/>
      <c r="D45" s="188"/>
      <c r="E45" s="190"/>
      <c r="F45" s="188"/>
    </row>
    <row r="46" ht="22.5" hidden="1" customHeight="1">
      <c r="A46" s="352">
        <v>63.0</v>
      </c>
      <c r="B46" s="188"/>
      <c r="C46" s="190"/>
      <c r="D46" s="188"/>
      <c r="E46" s="190"/>
      <c r="F46" s="188"/>
    </row>
    <row r="47" ht="22.5" hidden="1" customHeight="1">
      <c r="A47" s="352">
        <v>64.0</v>
      </c>
      <c r="B47" s="188"/>
      <c r="C47" s="190"/>
      <c r="D47" s="188"/>
      <c r="E47" s="190"/>
      <c r="F47" s="188"/>
    </row>
    <row r="48" ht="22.5" hidden="1" customHeight="1">
      <c r="A48" s="352">
        <v>65.0</v>
      </c>
      <c r="B48" s="188"/>
      <c r="C48" s="188"/>
      <c r="D48" s="188"/>
      <c r="E48" s="188"/>
      <c r="F48" s="188"/>
    </row>
    <row r="49" ht="22.5" hidden="1" customHeight="1">
      <c r="A49" s="353">
        <v>66.0</v>
      </c>
      <c r="B49" s="191"/>
      <c r="C49" s="192"/>
      <c r="D49" s="192"/>
      <c r="E49" s="192"/>
      <c r="F49" s="192"/>
    </row>
    <row r="50" ht="22.5" hidden="1" customHeight="1">
      <c r="A50" s="346">
        <v>67.0</v>
      </c>
      <c r="B50" s="193"/>
      <c r="C50" s="194"/>
      <c r="D50" s="194"/>
      <c r="E50" s="194"/>
      <c r="F50" s="194"/>
    </row>
    <row r="51" ht="22.5" hidden="1" customHeight="1">
      <c r="A51" s="346">
        <v>68.0</v>
      </c>
      <c r="B51" s="176"/>
      <c r="C51" s="177"/>
      <c r="D51" s="177"/>
      <c r="E51" s="177"/>
      <c r="F51" s="177"/>
    </row>
    <row r="52" ht="22.5" hidden="1" customHeight="1">
      <c r="A52" s="347">
        <v>69.0</v>
      </c>
      <c r="B52" s="178"/>
      <c r="C52" s="177"/>
      <c r="D52" s="177"/>
      <c r="E52" s="177"/>
      <c r="F52" s="177"/>
    </row>
    <row r="53" ht="22.5" hidden="1" customHeight="1">
      <c r="A53" s="348">
        <v>70.0</v>
      </c>
      <c r="B53" s="179"/>
      <c r="C53" s="180"/>
      <c r="D53" s="180"/>
      <c r="E53" s="180"/>
      <c r="F53" s="180"/>
    </row>
    <row r="54" ht="22.5" hidden="1" customHeight="1">
      <c r="A54" s="349">
        <v>71.0</v>
      </c>
      <c r="B54" s="181"/>
      <c r="C54" s="181"/>
      <c r="D54" s="181"/>
      <c r="E54" s="181"/>
      <c r="F54" s="181"/>
    </row>
    <row r="55" ht="22.5" hidden="1" customHeight="1">
      <c r="A55" s="350">
        <v>72.0</v>
      </c>
      <c r="B55" s="182"/>
      <c r="C55" s="182"/>
      <c r="D55" s="182"/>
      <c r="E55" s="182"/>
      <c r="F55" s="182"/>
    </row>
    <row r="56" ht="22.5" hidden="1" customHeight="1">
      <c r="A56" s="350">
        <v>73.0</v>
      </c>
      <c r="B56" s="183"/>
      <c r="C56" s="183"/>
      <c r="D56" s="183"/>
      <c r="E56" s="183"/>
      <c r="F56" s="183"/>
    </row>
    <row r="57" ht="22.5" customHeight="1">
      <c r="A57" s="351">
        <v>74.0</v>
      </c>
      <c r="B57" s="184">
        <v>1.0</v>
      </c>
      <c r="C57" s="184">
        <v>2.32410073E8</v>
      </c>
      <c r="D57" s="186" t="s">
        <v>7777</v>
      </c>
      <c r="E57" s="185" t="s">
        <v>7778</v>
      </c>
      <c r="F57" s="184" t="s">
        <v>227</v>
      </c>
    </row>
    <row r="58" ht="22.5" customHeight="1">
      <c r="A58" s="351">
        <v>75.0</v>
      </c>
      <c r="B58" s="184">
        <v>2.0</v>
      </c>
      <c r="C58" s="184">
        <v>2.3241009E8</v>
      </c>
      <c r="D58" s="184" t="s">
        <v>7780</v>
      </c>
      <c r="E58" s="185" t="s">
        <v>7781</v>
      </c>
      <c r="F58" s="184" t="s">
        <v>227</v>
      </c>
    </row>
    <row r="59" ht="22.5" customHeight="1">
      <c r="A59" s="351">
        <v>76.0</v>
      </c>
      <c r="B59" s="184">
        <v>3.0</v>
      </c>
      <c r="C59" s="184">
        <v>2.32410092E8</v>
      </c>
      <c r="D59" s="186" t="s">
        <v>7782</v>
      </c>
      <c r="E59" s="185" t="s">
        <v>7783</v>
      </c>
      <c r="F59" s="184" t="s">
        <v>227</v>
      </c>
    </row>
    <row r="60" ht="22.5" customHeight="1">
      <c r="A60" s="351">
        <v>77.0</v>
      </c>
      <c r="B60" s="184">
        <v>4.0</v>
      </c>
      <c r="C60" s="184">
        <v>2.32410095E8</v>
      </c>
      <c r="D60" s="186" t="s">
        <v>7784</v>
      </c>
      <c r="E60" s="185" t="s">
        <v>7785</v>
      </c>
      <c r="F60" s="184" t="s">
        <v>220</v>
      </c>
    </row>
    <row r="61" ht="22.5" customHeight="1">
      <c r="A61" s="351">
        <v>78.0</v>
      </c>
      <c r="B61" s="184">
        <v>5.0</v>
      </c>
      <c r="C61" s="184">
        <v>2.32410108E8</v>
      </c>
      <c r="D61" s="186" t="s">
        <v>7786</v>
      </c>
      <c r="E61" s="185" t="s">
        <v>7787</v>
      </c>
      <c r="F61" s="184" t="s">
        <v>220</v>
      </c>
    </row>
    <row r="62" ht="22.5" customHeight="1">
      <c r="A62" s="351">
        <v>79.0</v>
      </c>
      <c r="B62" s="184">
        <v>6.0</v>
      </c>
      <c r="C62" s="184">
        <v>2.3241011E8</v>
      </c>
      <c r="D62" s="186" t="s">
        <v>7788</v>
      </c>
      <c r="E62" s="185" t="s">
        <v>7789</v>
      </c>
      <c r="F62" s="184" t="s">
        <v>227</v>
      </c>
    </row>
    <row r="63" ht="22.5" customHeight="1">
      <c r="A63" s="351">
        <v>80.0</v>
      </c>
      <c r="B63" s="184">
        <v>7.0</v>
      </c>
      <c r="C63" s="184">
        <v>2.32410118E8</v>
      </c>
      <c r="D63" s="184" t="s">
        <v>7790</v>
      </c>
      <c r="E63" s="185" t="s">
        <v>7791</v>
      </c>
      <c r="F63" s="184" t="s">
        <v>227</v>
      </c>
    </row>
    <row r="64" ht="22.5" customHeight="1">
      <c r="A64" s="351">
        <v>81.0</v>
      </c>
      <c r="B64" s="184">
        <v>8.0</v>
      </c>
      <c r="C64" s="184">
        <v>2.3241013E8</v>
      </c>
      <c r="D64" s="184" t="s">
        <v>7792</v>
      </c>
      <c r="E64" s="185" t="s">
        <v>7793</v>
      </c>
      <c r="F64" s="184" t="s">
        <v>220</v>
      </c>
    </row>
    <row r="65" ht="22.5" customHeight="1">
      <c r="A65" s="351">
        <v>82.0</v>
      </c>
      <c r="B65" s="184">
        <v>9.0</v>
      </c>
      <c r="C65" s="184">
        <v>2.32410147E8</v>
      </c>
      <c r="D65" s="184" t="s">
        <v>7794</v>
      </c>
      <c r="E65" s="185" t="s">
        <v>7795</v>
      </c>
      <c r="F65" s="184" t="s">
        <v>227</v>
      </c>
    </row>
    <row r="66" ht="22.5" customHeight="1">
      <c r="A66" s="351">
        <v>83.0</v>
      </c>
      <c r="B66" s="184">
        <v>10.0</v>
      </c>
      <c r="C66" s="184">
        <v>2.32410152E8</v>
      </c>
      <c r="D66" s="184" t="s">
        <v>7796</v>
      </c>
      <c r="E66" s="185" t="s">
        <v>7797</v>
      </c>
      <c r="F66" s="184" t="s">
        <v>220</v>
      </c>
    </row>
    <row r="67" ht="22.5" customHeight="1">
      <c r="A67" s="351">
        <v>84.0</v>
      </c>
      <c r="B67" s="184">
        <v>11.0</v>
      </c>
      <c r="C67" s="184">
        <v>2.32410157E8</v>
      </c>
      <c r="D67" s="186" t="s">
        <v>7798</v>
      </c>
      <c r="E67" s="185" t="s">
        <v>7799</v>
      </c>
      <c r="F67" s="184" t="s">
        <v>227</v>
      </c>
    </row>
    <row r="68" ht="22.5" customHeight="1">
      <c r="A68" s="351">
        <v>85.0</v>
      </c>
      <c r="B68" s="184">
        <v>12.0</v>
      </c>
      <c r="C68" s="184">
        <v>2.32410165E8</v>
      </c>
      <c r="D68" s="186" t="s">
        <v>7800</v>
      </c>
      <c r="E68" s="185" t="s">
        <v>7801</v>
      </c>
      <c r="F68" s="184" t="s">
        <v>220</v>
      </c>
    </row>
    <row r="69" ht="22.5" customHeight="1">
      <c r="A69" s="351">
        <v>86.0</v>
      </c>
      <c r="B69" s="184">
        <v>13.0</v>
      </c>
      <c r="C69" s="184">
        <v>2.32410189E8</v>
      </c>
      <c r="D69" s="195" t="s">
        <v>7802</v>
      </c>
      <c r="E69" s="185" t="s">
        <v>7803</v>
      </c>
      <c r="F69" s="184" t="s">
        <v>220</v>
      </c>
    </row>
    <row r="70" ht="22.5" customHeight="1">
      <c r="A70" s="351">
        <v>87.0</v>
      </c>
      <c r="B70" s="184">
        <v>14.0</v>
      </c>
      <c r="C70" s="184">
        <v>2.32410194E8</v>
      </c>
      <c r="D70" s="186" t="s">
        <v>7804</v>
      </c>
      <c r="E70" s="185" t="s">
        <v>7805</v>
      </c>
      <c r="F70" s="184" t="s">
        <v>227</v>
      </c>
    </row>
    <row r="71" ht="22.5" customHeight="1">
      <c r="A71" s="351">
        <v>88.0</v>
      </c>
      <c r="B71" s="184">
        <v>15.0</v>
      </c>
      <c r="C71" s="184">
        <v>2.32410246E8</v>
      </c>
      <c r="D71" s="186" t="s">
        <v>7806</v>
      </c>
      <c r="E71" s="185" t="s">
        <v>7807</v>
      </c>
      <c r="F71" s="184" t="s">
        <v>220</v>
      </c>
    </row>
    <row r="72" ht="22.5" customHeight="1">
      <c r="A72" s="351">
        <v>89.0</v>
      </c>
      <c r="B72" s="184">
        <v>16.0</v>
      </c>
      <c r="C72" s="184">
        <v>2.02107217E8</v>
      </c>
      <c r="D72" s="186" t="s">
        <v>7808</v>
      </c>
      <c r="E72" s="185" t="s">
        <v>7809</v>
      </c>
      <c r="F72" s="184" t="s">
        <v>227</v>
      </c>
    </row>
    <row r="73" ht="22.5" customHeight="1">
      <c r="A73" s="351">
        <v>90.0</v>
      </c>
      <c r="B73" s="184">
        <v>17.0</v>
      </c>
      <c r="C73" s="184">
        <v>2.32410021E8</v>
      </c>
      <c r="D73" s="186" t="s">
        <v>7810</v>
      </c>
      <c r="E73" s="185" t="s">
        <v>7811</v>
      </c>
      <c r="F73" s="184" t="s">
        <v>227</v>
      </c>
    </row>
    <row r="74" ht="22.5" customHeight="1">
      <c r="A74" s="351">
        <v>102.0</v>
      </c>
      <c r="B74" s="184">
        <v>18.0</v>
      </c>
      <c r="C74" s="184">
        <v>2.32410282E8</v>
      </c>
      <c r="D74" s="186" t="s">
        <v>7812</v>
      </c>
      <c r="E74" s="185" t="s">
        <v>7813</v>
      </c>
      <c r="F74" s="184" t="s">
        <v>227</v>
      </c>
    </row>
    <row r="75" ht="22.5" customHeight="1">
      <c r="A75" s="351">
        <v>103.0</v>
      </c>
      <c r="B75" s="184">
        <v>19.0</v>
      </c>
      <c r="C75" s="184">
        <v>2.32410283E8</v>
      </c>
      <c r="D75" s="186" t="s">
        <v>7814</v>
      </c>
      <c r="E75" s="185" t="s">
        <v>7815</v>
      </c>
      <c r="F75" s="184" t="s">
        <v>227</v>
      </c>
    </row>
    <row r="76" ht="22.5" customHeight="1">
      <c r="A76" s="351">
        <v>104.0</v>
      </c>
      <c r="B76" s="184">
        <v>20.0</v>
      </c>
      <c r="C76" s="184">
        <v>2.32410284E8</v>
      </c>
      <c r="D76" s="186" t="s">
        <v>7816</v>
      </c>
      <c r="E76" s="185" t="s">
        <v>7817</v>
      </c>
      <c r="F76" s="184" t="s">
        <v>220</v>
      </c>
    </row>
    <row r="77" ht="22.5" customHeight="1">
      <c r="A77" s="351">
        <v>105.0</v>
      </c>
      <c r="B77" s="184">
        <v>21.0</v>
      </c>
      <c r="C77" s="184">
        <v>2.32410287E8</v>
      </c>
      <c r="D77" s="186" t="s">
        <v>7818</v>
      </c>
      <c r="E77" s="185" t="s">
        <v>7819</v>
      </c>
      <c r="F77" s="184" t="s">
        <v>227</v>
      </c>
    </row>
    <row r="78" ht="22.5" customHeight="1">
      <c r="A78" s="351">
        <v>106.0</v>
      </c>
      <c r="B78" s="184">
        <v>22.0</v>
      </c>
      <c r="C78" s="196">
        <v>2.32410293E8</v>
      </c>
      <c r="D78" s="186" t="s">
        <v>7820</v>
      </c>
      <c r="E78" s="185" t="s">
        <v>7821</v>
      </c>
      <c r="F78" s="184" t="s">
        <v>227</v>
      </c>
    </row>
    <row r="79" ht="22.5" customHeight="1">
      <c r="A79" s="351">
        <v>107.0</v>
      </c>
      <c r="B79" s="184">
        <v>23.0</v>
      </c>
      <c r="C79" s="196">
        <v>2.32410296E8</v>
      </c>
      <c r="D79" s="186" t="s">
        <v>7822</v>
      </c>
      <c r="E79" s="185" t="s">
        <v>7823</v>
      </c>
      <c r="F79" s="184" t="s">
        <v>227</v>
      </c>
    </row>
    <row r="80" ht="22.5" customHeight="1">
      <c r="A80" s="351">
        <v>108.0</v>
      </c>
      <c r="B80" s="184">
        <v>24.0</v>
      </c>
      <c r="C80" s="184" t="s">
        <v>9371</v>
      </c>
      <c r="D80" s="186" t="s">
        <v>7824</v>
      </c>
      <c r="E80" s="185" t="s">
        <v>7825</v>
      </c>
      <c r="F80" s="184" t="s">
        <v>227</v>
      </c>
    </row>
    <row r="81" ht="22.5" customHeight="1">
      <c r="A81" s="351">
        <v>109.0</v>
      </c>
      <c r="B81" s="184">
        <v>25.0</v>
      </c>
      <c r="C81" s="184">
        <v>2.32410308E8</v>
      </c>
      <c r="D81" s="186" t="s">
        <v>7826</v>
      </c>
      <c r="E81" s="185" t="s">
        <v>7827</v>
      </c>
      <c r="F81" s="184" t="s">
        <v>227</v>
      </c>
    </row>
    <row r="82" ht="22.5" customHeight="1">
      <c r="A82" s="351">
        <v>110.0</v>
      </c>
      <c r="B82" s="184">
        <v>26.0</v>
      </c>
      <c r="C82" s="184">
        <v>2.32410315E8</v>
      </c>
      <c r="D82" s="186" t="s">
        <v>7828</v>
      </c>
      <c r="E82" s="185" t="s">
        <v>7829</v>
      </c>
      <c r="F82" s="184" t="s">
        <v>227</v>
      </c>
    </row>
    <row r="83" ht="22.5" customHeight="1">
      <c r="A83" s="351">
        <v>111.0</v>
      </c>
      <c r="B83" s="184">
        <v>27.0</v>
      </c>
      <c r="C83" s="184">
        <v>2.32410325E8</v>
      </c>
      <c r="D83" s="186" t="s">
        <v>7830</v>
      </c>
      <c r="E83" s="185" t="s">
        <v>7831</v>
      </c>
      <c r="F83" s="184" t="s">
        <v>227</v>
      </c>
    </row>
    <row r="84" ht="22.5" customHeight="1">
      <c r="A84" s="351">
        <v>112.0</v>
      </c>
      <c r="B84" s="184">
        <v>28.0</v>
      </c>
      <c r="C84" s="184">
        <v>2.32410345E8</v>
      </c>
      <c r="D84" s="186" t="s">
        <v>7832</v>
      </c>
      <c r="E84" s="185" t="s">
        <v>7833</v>
      </c>
      <c r="F84" s="184" t="s">
        <v>227</v>
      </c>
    </row>
    <row r="85" ht="22.5" customHeight="1">
      <c r="A85" s="351">
        <v>113.0</v>
      </c>
      <c r="B85" s="184">
        <v>29.0</v>
      </c>
      <c r="C85" s="184">
        <v>2.32410353E8</v>
      </c>
      <c r="D85" s="186" t="s">
        <v>7834</v>
      </c>
      <c r="E85" s="185" t="s">
        <v>7835</v>
      </c>
      <c r="F85" s="184" t="s">
        <v>227</v>
      </c>
    </row>
    <row r="86" ht="22.5" customHeight="1">
      <c r="A86" s="351">
        <v>114.0</v>
      </c>
      <c r="B86" s="184">
        <v>30.0</v>
      </c>
      <c r="C86" s="184">
        <v>2.32410361E8</v>
      </c>
      <c r="D86" s="184" t="s">
        <v>7836</v>
      </c>
      <c r="E86" s="185" t="s">
        <v>7837</v>
      </c>
      <c r="F86" s="184" t="s">
        <v>227</v>
      </c>
    </row>
    <row r="87" ht="22.5" customHeight="1">
      <c r="A87" s="351">
        <v>115.0</v>
      </c>
      <c r="B87" s="184">
        <v>31.0</v>
      </c>
      <c r="C87" s="184">
        <v>2.32410388E8</v>
      </c>
      <c r="D87" s="186" t="s">
        <v>7838</v>
      </c>
      <c r="E87" s="185" t="s">
        <v>7839</v>
      </c>
      <c r="F87" s="184" t="s">
        <v>227</v>
      </c>
    </row>
    <row r="88" ht="22.5" customHeight="1">
      <c r="A88" s="351">
        <v>116.0</v>
      </c>
      <c r="B88" s="184">
        <v>32.0</v>
      </c>
      <c r="C88" s="184">
        <v>2.32410394E8</v>
      </c>
      <c r="D88" s="186" t="s">
        <v>7840</v>
      </c>
      <c r="E88" s="185" t="s">
        <v>7841</v>
      </c>
      <c r="F88" s="184" t="s">
        <v>227</v>
      </c>
    </row>
    <row r="89" ht="22.5" customHeight="1">
      <c r="A89" s="351">
        <v>117.0</v>
      </c>
      <c r="B89" s="184">
        <v>33.0</v>
      </c>
      <c r="C89" s="184">
        <v>2.02107907E8</v>
      </c>
      <c r="D89" s="186" t="s">
        <v>7842</v>
      </c>
      <c r="E89" s="185" t="s">
        <v>7843</v>
      </c>
      <c r="F89" s="184" t="s">
        <v>227</v>
      </c>
    </row>
    <row r="90" ht="22.5" customHeight="1">
      <c r="A90" s="351">
        <v>118.0</v>
      </c>
      <c r="B90" s="184">
        <v>34.0</v>
      </c>
      <c r="C90" s="184">
        <v>2.32410422E8</v>
      </c>
      <c r="D90" s="186" t="s">
        <v>7844</v>
      </c>
      <c r="E90" s="185" t="s">
        <v>7845</v>
      </c>
      <c r="F90" s="184" t="s">
        <v>227</v>
      </c>
    </row>
    <row r="91" ht="22.5" customHeight="1">
      <c r="A91" s="351">
        <v>119.0</v>
      </c>
      <c r="B91" s="184">
        <v>35.0</v>
      </c>
      <c r="C91" s="184">
        <v>2.32410423E8</v>
      </c>
      <c r="D91" s="186" t="s">
        <v>7846</v>
      </c>
      <c r="E91" s="185" t="s">
        <v>7847</v>
      </c>
      <c r="F91" s="184" t="s">
        <v>227</v>
      </c>
    </row>
    <row r="92" ht="22.5" customHeight="1">
      <c r="A92" s="351">
        <v>120.0</v>
      </c>
      <c r="B92" s="184">
        <v>36.0</v>
      </c>
      <c r="C92" s="197"/>
      <c r="D92" s="197"/>
      <c r="E92" s="197"/>
      <c r="F92" s="197"/>
    </row>
    <row r="93" ht="22.5" hidden="1" customHeight="1">
      <c r="A93" s="352">
        <v>121.0</v>
      </c>
      <c r="B93" s="188"/>
      <c r="C93" s="190"/>
      <c r="D93" s="188"/>
      <c r="E93" s="190"/>
      <c r="F93" s="188"/>
    </row>
    <row r="94" ht="22.5" hidden="1" customHeight="1">
      <c r="A94" s="352">
        <v>122.0</v>
      </c>
      <c r="B94" s="188"/>
      <c r="C94" s="190"/>
      <c r="D94" s="188"/>
      <c r="E94" s="190"/>
      <c r="F94" s="188"/>
    </row>
    <row r="95" ht="22.5" hidden="1" customHeight="1">
      <c r="A95" s="352">
        <v>123.0</v>
      </c>
      <c r="B95" s="188"/>
      <c r="C95" s="190"/>
      <c r="D95" s="188"/>
      <c r="E95" s="190"/>
      <c r="F95" s="188"/>
    </row>
    <row r="96" ht="22.5" hidden="1" customHeight="1">
      <c r="A96" s="352">
        <v>124.0</v>
      </c>
      <c r="B96" s="188"/>
      <c r="C96" s="188"/>
      <c r="D96" s="188"/>
      <c r="E96" s="188"/>
      <c r="F96" s="188"/>
    </row>
    <row r="97" ht="22.5" hidden="1" customHeight="1">
      <c r="A97" s="353">
        <v>125.0</v>
      </c>
      <c r="B97" s="191"/>
      <c r="C97" s="192"/>
      <c r="D97" s="192"/>
      <c r="E97" s="192"/>
      <c r="F97" s="192"/>
    </row>
    <row r="98" ht="22.5" hidden="1" customHeight="1">
      <c r="A98" s="346">
        <v>126.0</v>
      </c>
      <c r="B98" s="193"/>
      <c r="C98" s="194"/>
      <c r="D98" s="194"/>
      <c r="E98" s="194"/>
      <c r="F98" s="194"/>
    </row>
    <row r="99" ht="22.5" hidden="1" customHeight="1">
      <c r="A99" s="346">
        <v>127.0</v>
      </c>
      <c r="B99" s="176"/>
      <c r="C99" s="177"/>
      <c r="D99" s="177"/>
      <c r="E99" s="177"/>
      <c r="F99" s="177"/>
    </row>
    <row r="100" ht="22.5" hidden="1" customHeight="1">
      <c r="A100" s="347">
        <v>128.0</v>
      </c>
      <c r="B100" s="178"/>
      <c r="C100" s="177"/>
      <c r="D100" s="177"/>
      <c r="E100" s="177"/>
      <c r="F100" s="177"/>
    </row>
    <row r="101" ht="22.5" hidden="1" customHeight="1">
      <c r="A101" s="348">
        <v>129.0</v>
      </c>
      <c r="B101" s="179"/>
      <c r="C101" s="180"/>
      <c r="D101" s="180"/>
      <c r="E101" s="180"/>
      <c r="F101" s="180"/>
    </row>
    <row r="102" ht="22.5" hidden="1" customHeight="1">
      <c r="A102" s="349">
        <v>130.0</v>
      </c>
      <c r="B102" s="181"/>
      <c r="C102" s="181"/>
      <c r="D102" s="181"/>
      <c r="E102" s="181"/>
      <c r="F102" s="181"/>
    </row>
    <row r="103" ht="22.5" hidden="1" customHeight="1">
      <c r="A103" s="350">
        <v>131.0</v>
      </c>
      <c r="B103" s="182"/>
      <c r="C103" s="182"/>
      <c r="D103" s="182"/>
      <c r="E103" s="182"/>
      <c r="F103" s="182"/>
    </row>
    <row r="104" ht="22.5" hidden="1" customHeight="1">
      <c r="A104" s="350">
        <v>132.0</v>
      </c>
      <c r="B104" s="183"/>
      <c r="C104" s="183"/>
      <c r="D104" s="183"/>
      <c r="E104" s="183"/>
      <c r="F104" s="183"/>
    </row>
    <row r="105" ht="22.5" customHeight="1">
      <c r="A105" s="351">
        <v>133.0</v>
      </c>
      <c r="B105" s="184">
        <v>1.0</v>
      </c>
      <c r="C105" s="184">
        <v>2.32410004E8</v>
      </c>
      <c r="D105" s="186" t="s">
        <v>7848</v>
      </c>
      <c r="E105" s="185" t="s">
        <v>7849</v>
      </c>
      <c r="F105" s="184" t="s">
        <v>220</v>
      </c>
    </row>
    <row r="106" ht="22.5" customHeight="1">
      <c r="A106" s="351">
        <v>134.0</v>
      </c>
      <c r="B106" s="184">
        <v>2.0</v>
      </c>
      <c r="C106" s="184">
        <v>2.32410007E8</v>
      </c>
      <c r="D106" s="186" t="s">
        <v>7851</v>
      </c>
      <c r="E106" s="185" t="s">
        <v>7852</v>
      </c>
      <c r="F106" s="184" t="s">
        <v>220</v>
      </c>
    </row>
    <row r="107" ht="22.5" customHeight="1">
      <c r="A107" s="351">
        <v>135.0</v>
      </c>
      <c r="B107" s="184">
        <v>3.0</v>
      </c>
      <c r="C107" s="184">
        <v>2.32410022E8</v>
      </c>
      <c r="D107" s="186" t="s">
        <v>7853</v>
      </c>
      <c r="E107" s="185" t="s">
        <v>7854</v>
      </c>
      <c r="F107" s="184" t="s">
        <v>227</v>
      </c>
    </row>
    <row r="108" ht="22.5" customHeight="1">
      <c r="A108" s="351">
        <v>136.0</v>
      </c>
      <c r="B108" s="184">
        <v>4.0</v>
      </c>
      <c r="C108" s="184" t="s">
        <v>9374</v>
      </c>
      <c r="D108" s="186" t="s">
        <v>7855</v>
      </c>
      <c r="E108" s="185" t="s">
        <v>7856</v>
      </c>
      <c r="F108" s="184" t="s">
        <v>220</v>
      </c>
    </row>
    <row r="109" ht="22.5" customHeight="1">
      <c r="A109" s="351">
        <v>137.0</v>
      </c>
      <c r="B109" s="184">
        <v>5.0</v>
      </c>
      <c r="C109" s="184">
        <v>2.32410089E8</v>
      </c>
      <c r="D109" s="186" t="s">
        <v>7857</v>
      </c>
      <c r="E109" s="185" t="s">
        <v>7858</v>
      </c>
      <c r="F109" s="184" t="s">
        <v>227</v>
      </c>
    </row>
    <row r="110" ht="22.5" customHeight="1">
      <c r="A110" s="351">
        <v>149.0</v>
      </c>
      <c r="B110" s="184">
        <v>6.0</v>
      </c>
      <c r="C110" s="184">
        <v>2.32410109E8</v>
      </c>
      <c r="D110" s="186" t="s">
        <v>7786</v>
      </c>
      <c r="E110" s="185" t="s">
        <v>7859</v>
      </c>
      <c r="F110" s="184" t="s">
        <v>220</v>
      </c>
    </row>
    <row r="111" ht="22.5" customHeight="1">
      <c r="A111" s="351">
        <v>150.0</v>
      </c>
      <c r="B111" s="184">
        <v>7.0</v>
      </c>
      <c r="C111" s="184">
        <v>2.32410138E8</v>
      </c>
      <c r="D111" s="184" t="s">
        <v>7860</v>
      </c>
      <c r="E111" s="185" t="s">
        <v>7861</v>
      </c>
      <c r="F111" s="184" t="s">
        <v>220</v>
      </c>
    </row>
    <row r="112" ht="22.5" customHeight="1">
      <c r="A112" s="351">
        <v>151.0</v>
      </c>
      <c r="B112" s="184">
        <v>8.0</v>
      </c>
      <c r="C112" s="184">
        <v>2.3241016E8</v>
      </c>
      <c r="D112" s="186" t="s">
        <v>7862</v>
      </c>
      <c r="E112" s="185" t="s">
        <v>7863</v>
      </c>
      <c r="F112" s="184" t="s">
        <v>220</v>
      </c>
    </row>
    <row r="113" ht="22.5" customHeight="1">
      <c r="A113" s="351">
        <v>152.0</v>
      </c>
      <c r="B113" s="184">
        <v>9.0</v>
      </c>
      <c r="C113" s="184">
        <v>2.32410166E8</v>
      </c>
      <c r="D113" s="186" t="s">
        <v>7864</v>
      </c>
      <c r="E113" s="185" t="s">
        <v>7865</v>
      </c>
      <c r="F113" s="184" t="s">
        <v>220</v>
      </c>
    </row>
    <row r="114" ht="22.5" customHeight="1">
      <c r="A114" s="351">
        <v>153.0</v>
      </c>
      <c r="B114" s="184">
        <v>10.0</v>
      </c>
      <c r="C114" s="184">
        <v>2.32410173E8</v>
      </c>
      <c r="D114" s="186" t="s">
        <v>7866</v>
      </c>
      <c r="E114" s="185" t="s">
        <v>7867</v>
      </c>
      <c r="F114" s="184" t="s">
        <v>227</v>
      </c>
    </row>
    <row r="115" ht="22.5" customHeight="1">
      <c r="A115" s="351">
        <v>154.0</v>
      </c>
      <c r="B115" s="184">
        <v>11.0</v>
      </c>
      <c r="C115" s="184">
        <v>2.32410177E8</v>
      </c>
      <c r="D115" s="184" t="s">
        <v>7868</v>
      </c>
      <c r="E115" s="185" t="s">
        <v>7869</v>
      </c>
      <c r="F115" s="184" t="s">
        <v>220</v>
      </c>
    </row>
    <row r="116" ht="22.5" customHeight="1">
      <c r="A116" s="351">
        <v>155.0</v>
      </c>
      <c r="B116" s="184">
        <v>12.0</v>
      </c>
      <c r="C116" s="184">
        <v>2.3241019E8</v>
      </c>
      <c r="D116" s="186" t="s">
        <v>7870</v>
      </c>
      <c r="E116" s="185" t="s">
        <v>7871</v>
      </c>
      <c r="F116" s="184" t="s">
        <v>227</v>
      </c>
    </row>
    <row r="117" ht="22.5" customHeight="1">
      <c r="A117" s="351">
        <v>156.0</v>
      </c>
      <c r="B117" s="184">
        <v>13.0</v>
      </c>
      <c r="C117" s="184">
        <v>2.32410191E8</v>
      </c>
      <c r="D117" s="186" t="s">
        <v>7872</v>
      </c>
      <c r="E117" s="185" t="s">
        <v>7873</v>
      </c>
      <c r="F117" s="184" t="s">
        <v>227</v>
      </c>
    </row>
    <row r="118" ht="22.5" customHeight="1">
      <c r="A118" s="351">
        <v>157.0</v>
      </c>
      <c r="B118" s="184">
        <v>14.0</v>
      </c>
      <c r="C118" s="184">
        <v>2.32410214E8</v>
      </c>
      <c r="D118" s="186" t="s">
        <v>7874</v>
      </c>
      <c r="E118" s="185" t="s">
        <v>7875</v>
      </c>
      <c r="F118" s="184" t="s">
        <v>227</v>
      </c>
    </row>
    <row r="119" ht="22.5" customHeight="1">
      <c r="A119" s="351">
        <v>158.0</v>
      </c>
      <c r="B119" s="184">
        <v>15.0</v>
      </c>
      <c r="C119" s="184">
        <v>2.3241022E8</v>
      </c>
      <c r="D119" s="184" t="s">
        <v>7876</v>
      </c>
      <c r="E119" s="185" t="s">
        <v>7877</v>
      </c>
      <c r="F119" s="184" t="s">
        <v>220</v>
      </c>
    </row>
    <row r="120" ht="22.5" customHeight="1">
      <c r="A120" s="351">
        <v>159.0</v>
      </c>
      <c r="B120" s="184">
        <v>16.0</v>
      </c>
      <c r="C120" s="184">
        <v>2.32410222E8</v>
      </c>
      <c r="D120" s="186" t="s">
        <v>7878</v>
      </c>
      <c r="E120" s="185" t="s">
        <v>7879</v>
      </c>
      <c r="F120" s="184" t="s">
        <v>227</v>
      </c>
    </row>
    <row r="121" ht="22.5" customHeight="1">
      <c r="A121" s="351">
        <v>160.0</v>
      </c>
      <c r="B121" s="184">
        <v>17.0</v>
      </c>
      <c r="C121" s="198">
        <v>2.4251244E8</v>
      </c>
      <c r="D121" s="199" t="s">
        <v>7880</v>
      </c>
      <c r="E121" s="200" t="s">
        <v>7881</v>
      </c>
      <c r="F121" s="201" t="s">
        <v>220</v>
      </c>
    </row>
    <row r="122" ht="22.5" customHeight="1">
      <c r="A122" s="351">
        <v>161.0</v>
      </c>
      <c r="B122" s="184">
        <v>18.0</v>
      </c>
      <c r="C122" s="184">
        <v>2.32410241E8</v>
      </c>
      <c r="D122" s="186" t="s">
        <v>7882</v>
      </c>
      <c r="E122" s="185" t="s">
        <v>7883</v>
      </c>
      <c r="F122" s="184" t="s">
        <v>220</v>
      </c>
    </row>
    <row r="123" ht="22.5" customHeight="1">
      <c r="A123" s="351">
        <v>162.0</v>
      </c>
      <c r="B123" s="184">
        <v>19.0</v>
      </c>
      <c r="C123" s="184">
        <v>2.32410257E8</v>
      </c>
      <c r="D123" s="184" t="s">
        <v>7884</v>
      </c>
      <c r="E123" s="185" t="s">
        <v>7885</v>
      </c>
      <c r="F123" s="184" t="s">
        <v>227</v>
      </c>
    </row>
    <row r="124" ht="22.5" customHeight="1">
      <c r="A124" s="351">
        <v>163.0</v>
      </c>
      <c r="B124" s="184">
        <v>20.0</v>
      </c>
      <c r="C124" s="184">
        <v>2.32410266E8</v>
      </c>
      <c r="D124" s="189" t="s">
        <v>7886</v>
      </c>
      <c r="E124" s="185" t="s">
        <v>7887</v>
      </c>
      <c r="F124" s="184" t="s">
        <v>227</v>
      </c>
    </row>
    <row r="125" ht="22.5" customHeight="1">
      <c r="A125" s="351">
        <v>164.0</v>
      </c>
      <c r="B125" s="184">
        <v>21.0</v>
      </c>
      <c r="C125" s="184">
        <v>2.32410268E8</v>
      </c>
      <c r="D125" s="184" t="s">
        <v>7888</v>
      </c>
      <c r="E125" s="185" t="s">
        <v>7889</v>
      </c>
      <c r="F125" s="184" t="s">
        <v>227</v>
      </c>
    </row>
    <row r="126" ht="22.5" customHeight="1">
      <c r="A126" s="351">
        <v>165.0</v>
      </c>
      <c r="B126" s="184">
        <v>22.0</v>
      </c>
      <c r="C126" s="184">
        <v>2.32410274E8</v>
      </c>
      <c r="D126" s="186" t="s">
        <v>7890</v>
      </c>
      <c r="E126" s="185" t="s">
        <v>7891</v>
      </c>
      <c r="F126" s="184" t="s">
        <v>227</v>
      </c>
    </row>
    <row r="127" ht="22.5" customHeight="1">
      <c r="A127" s="351">
        <v>166.0</v>
      </c>
      <c r="B127" s="184">
        <v>23.0</v>
      </c>
      <c r="C127" s="184">
        <v>2.32410278E8</v>
      </c>
      <c r="D127" s="186" t="s">
        <v>7892</v>
      </c>
      <c r="E127" s="185" t="s">
        <v>7893</v>
      </c>
      <c r="F127" s="184" t="s">
        <v>227</v>
      </c>
    </row>
    <row r="128" ht="22.5" customHeight="1">
      <c r="A128" s="351">
        <v>167.0</v>
      </c>
      <c r="B128" s="184">
        <v>24.0</v>
      </c>
      <c r="C128" s="184">
        <v>2.32410303E8</v>
      </c>
      <c r="D128" s="186" t="s">
        <v>7894</v>
      </c>
      <c r="E128" s="185" t="s">
        <v>7895</v>
      </c>
      <c r="F128" s="184" t="s">
        <v>220</v>
      </c>
    </row>
    <row r="129" ht="22.5" customHeight="1">
      <c r="A129" s="351">
        <v>168.0</v>
      </c>
      <c r="B129" s="184">
        <v>25.0</v>
      </c>
      <c r="C129" s="184">
        <v>2.32410305E8</v>
      </c>
      <c r="D129" s="186" t="s">
        <v>7896</v>
      </c>
      <c r="E129" s="202" t="s">
        <v>7897</v>
      </c>
      <c r="F129" s="184" t="s">
        <v>220</v>
      </c>
    </row>
    <row r="130" ht="22.5" customHeight="1">
      <c r="A130" s="351">
        <v>169.0</v>
      </c>
      <c r="B130" s="184">
        <v>26.0</v>
      </c>
      <c r="C130" s="184">
        <v>2.32410323E8</v>
      </c>
      <c r="D130" s="186" t="s">
        <v>7898</v>
      </c>
      <c r="E130" s="202" t="s">
        <v>7899</v>
      </c>
      <c r="F130" s="184" t="s">
        <v>227</v>
      </c>
    </row>
    <row r="131" ht="22.5" customHeight="1">
      <c r="A131" s="351">
        <v>170.0</v>
      </c>
      <c r="B131" s="184">
        <v>27.0</v>
      </c>
      <c r="C131" s="184">
        <v>2.32410328E8</v>
      </c>
      <c r="D131" s="186" t="s">
        <v>7900</v>
      </c>
      <c r="E131" s="185" t="s">
        <v>7901</v>
      </c>
      <c r="F131" s="184" t="s">
        <v>220</v>
      </c>
    </row>
    <row r="132" ht="22.5" customHeight="1">
      <c r="A132" s="351">
        <v>171.0</v>
      </c>
      <c r="B132" s="184">
        <v>28.0</v>
      </c>
      <c r="C132" s="184">
        <v>2.32410346E8</v>
      </c>
      <c r="D132" s="186" t="s">
        <v>7902</v>
      </c>
      <c r="E132" s="185" t="s">
        <v>7903</v>
      </c>
      <c r="F132" s="184" t="s">
        <v>220</v>
      </c>
    </row>
    <row r="133" ht="22.5" customHeight="1">
      <c r="A133" s="351">
        <v>172.0</v>
      </c>
      <c r="B133" s="184">
        <v>29.0</v>
      </c>
      <c r="C133" s="184">
        <v>2.32410356E8</v>
      </c>
      <c r="D133" s="186" t="s">
        <v>7904</v>
      </c>
      <c r="E133" s="185" t="s">
        <v>7905</v>
      </c>
      <c r="F133" s="184" t="s">
        <v>220</v>
      </c>
    </row>
    <row r="134" ht="22.5" customHeight="1">
      <c r="A134" s="351">
        <v>173.0</v>
      </c>
      <c r="B134" s="184">
        <v>30.0</v>
      </c>
      <c r="C134" s="184">
        <v>2.32410359E8</v>
      </c>
      <c r="D134" s="184" t="s">
        <v>7906</v>
      </c>
      <c r="E134" s="185" t="s">
        <v>7907</v>
      </c>
      <c r="F134" s="184" t="s">
        <v>227</v>
      </c>
    </row>
    <row r="135" ht="22.5" customHeight="1">
      <c r="A135" s="351">
        <v>174.0</v>
      </c>
      <c r="B135" s="184">
        <v>31.0</v>
      </c>
      <c r="C135" s="184">
        <v>2.32410372E8</v>
      </c>
      <c r="D135" s="186" t="s">
        <v>7908</v>
      </c>
      <c r="E135" s="185" t="s">
        <v>7909</v>
      </c>
      <c r="F135" s="184" t="s">
        <v>227</v>
      </c>
    </row>
    <row r="136" ht="22.5" customHeight="1">
      <c r="A136" s="351">
        <v>175.0</v>
      </c>
      <c r="B136" s="184">
        <v>32.0</v>
      </c>
      <c r="C136" s="184">
        <v>2.32410376E8</v>
      </c>
      <c r="D136" s="184" t="s">
        <v>7910</v>
      </c>
      <c r="E136" s="185" t="s">
        <v>7911</v>
      </c>
      <c r="F136" s="184" t="s">
        <v>227</v>
      </c>
    </row>
    <row r="137" ht="22.5" customHeight="1">
      <c r="A137" s="351">
        <v>176.0</v>
      </c>
      <c r="B137" s="184">
        <v>33.0</v>
      </c>
      <c r="C137" s="184">
        <v>2.32410401E8</v>
      </c>
      <c r="D137" s="184" t="s">
        <v>7912</v>
      </c>
      <c r="E137" s="185" t="s">
        <v>7913</v>
      </c>
      <c r="F137" s="184" t="s">
        <v>220</v>
      </c>
    </row>
    <row r="138" ht="22.5" customHeight="1">
      <c r="A138" s="351">
        <v>177.0</v>
      </c>
      <c r="B138" s="184">
        <v>34.0</v>
      </c>
      <c r="C138" s="184" t="s">
        <v>9375</v>
      </c>
      <c r="D138" s="186" t="s">
        <v>7914</v>
      </c>
      <c r="E138" s="185" t="s">
        <v>7915</v>
      </c>
      <c r="F138" s="184" t="s">
        <v>227</v>
      </c>
    </row>
    <row r="139" ht="22.5" customHeight="1">
      <c r="A139" s="351">
        <v>178.0</v>
      </c>
      <c r="B139" s="184">
        <v>35.0</v>
      </c>
      <c r="C139" s="184" t="s">
        <v>9376</v>
      </c>
      <c r="D139" s="186" t="s">
        <v>7916</v>
      </c>
      <c r="E139" s="185" t="s">
        <v>7917</v>
      </c>
      <c r="F139" s="184" t="s">
        <v>227</v>
      </c>
    </row>
    <row r="140" ht="22.5" customHeight="1">
      <c r="A140" s="351">
        <v>179.0</v>
      </c>
      <c r="B140" s="184">
        <v>36.0</v>
      </c>
      <c r="C140" s="184" t="s">
        <v>9377</v>
      </c>
      <c r="D140" s="186" t="s">
        <v>7918</v>
      </c>
      <c r="E140" s="185" t="s">
        <v>7919</v>
      </c>
      <c r="F140" s="184" t="s">
        <v>227</v>
      </c>
    </row>
    <row r="141" ht="22.5" hidden="1" customHeight="1">
      <c r="A141" s="352">
        <v>180.0</v>
      </c>
      <c r="B141" s="188"/>
      <c r="C141" s="190"/>
      <c r="D141" s="188"/>
      <c r="E141" s="190"/>
      <c r="F141" s="188"/>
    </row>
    <row r="142" ht="22.5" hidden="1" customHeight="1">
      <c r="A142" s="352">
        <v>181.0</v>
      </c>
      <c r="B142" s="188"/>
      <c r="C142" s="190"/>
      <c r="D142" s="188"/>
      <c r="E142" s="190"/>
      <c r="F142" s="188"/>
    </row>
    <row r="143" ht="22.5" hidden="1" customHeight="1">
      <c r="A143" s="352">
        <v>182.0</v>
      </c>
      <c r="B143" s="188"/>
      <c r="C143" s="190"/>
      <c r="D143" s="188"/>
      <c r="E143" s="190"/>
      <c r="F143" s="188"/>
    </row>
    <row r="144" ht="22.5" hidden="1" customHeight="1">
      <c r="A144" s="352">
        <v>183.0</v>
      </c>
      <c r="B144" s="188"/>
      <c r="C144" s="188"/>
      <c r="D144" s="188"/>
      <c r="E144" s="188"/>
      <c r="F144" s="188"/>
    </row>
    <row r="145" ht="22.5" hidden="1" customHeight="1">
      <c r="A145" s="353">
        <v>184.0</v>
      </c>
      <c r="B145" s="191"/>
      <c r="C145" s="192"/>
      <c r="D145" s="192"/>
      <c r="E145" s="192"/>
      <c r="F145" s="192"/>
    </row>
    <row r="146" ht="22.5" hidden="1" customHeight="1">
      <c r="A146" s="346">
        <v>196.0</v>
      </c>
      <c r="B146" s="193"/>
      <c r="C146" s="194"/>
      <c r="D146" s="194"/>
      <c r="E146" s="194"/>
      <c r="F146" s="194"/>
    </row>
    <row r="147" ht="22.5" hidden="1" customHeight="1">
      <c r="A147" s="346">
        <v>197.0</v>
      </c>
      <c r="B147" s="176"/>
      <c r="C147" s="177"/>
      <c r="D147" s="177"/>
      <c r="E147" s="177"/>
      <c r="F147" s="177"/>
    </row>
    <row r="148" ht="22.5" hidden="1" customHeight="1">
      <c r="A148" s="347">
        <v>198.0</v>
      </c>
      <c r="B148" s="178"/>
      <c r="C148" s="177"/>
      <c r="D148" s="177"/>
      <c r="E148" s="177"/>
      <c r="F148" s="177"/>
    </row>
    <row r="149" ht="22.5" hidden="1" customHeight="1">
      <c r="A149" s="348">
        <v>199.0</v>
      </c>
      <c r="B149" s="179"/>
      <c r="C149" s="180"/>
      <c r="D149" s="180"/>
      <c r="E149" s="180"/>
      <c r="F149" s="180"/>
    </row>
    <row r="150" ht="22.5" hidden="1" customHeight="1">
      <c r="A150" s="349">
        <v>200.0</v>
      </c>
      <c r="B150" s="181"/>
      <c r="C150" s="181"/>
      <c r="D150" s="181"/>
      <c r="E150" s="181"/>
      <c r="F150" s="181"/>
    </row>
    <row r="151" ht="22.5" hidden="1" customHeight="1">
      <c r="A151" s="350">
        <v>201.0</v>
      </c>
      <c r="B151" s="182"/>
      <c r="C151" s="182"/>
      <c r="D151" s="182"/>
      <c r="E151" s="182"/>
      <c r="F151" s="182"/>
    </row>
    <row r="152" ht="22.5" hidden="1" customHeight="1">
      <c r="A152" s="350">
        <v>202.0</v>
      </c>
      <c r="B152" s="203"/>
      <c r="C152" s="183"/>
      <c r="D152" s="183"/>
      <c r="E152" s="183"/>
      <c r="F152" s="183"/>
    </row>
    <row r="153" ht="22.5" customHeight="1">
      <c r="A153" s="351">
        <v>203.0</v>
      </c>
      <c r="B153" s="204">
        <v>1.0</v>
      </c>
      <c r="C153" s="184">
        <v>2.32410002E8</v>
      </c>
      <c r="D153" s="184" t="s">
        <v>7920</v>
      </c>
      <c r="E153" s="185" t="s">
        <v>7921</v>
      </c>
      <c r="F153" s="184" t="s">
        <v>220</v>
      </c>
    </row>
    <row r="154" ht="22.5" customHeight="1">
      <c r="A154" s="351">
        <v>204.0</v>
      </c>
      <c r="B154" s="184">
        <v>2.0</v>
      </c>
      <c r="C154" s="184">
        <v>2.32410011E8</v>
      </c>
      <c r="D154" s="186" t="s">
        <v>7923</v>
      </c>
      <c r="E154" s="185" t="s">
        <v>7924</v>
      </c>
      <c r="F154" s="184" t="s">
        <v>220</v>
      </c>
    </row>
    <row r="155" ht="22.5" customHeight="1">
      <c r="A155" s="351">
        <v>205.0</v>
      </c>
      <c r="B155" s="204">
        <v>3.0</v>
      </c>
      <c r="C155" s="184">
        <v>2.32410032E8</v>
      </c>
      <c r="D155" s="186" t="s">
        <v>7925</v>
      </c>
      <c r="E155" s="185" t="s">
        <v>7926</v>
      </c>
      <c r="F155" s="184" t="s">
        <v>227</v>
      </c>
    </row>
    <row r="156" ht="22.5" customHeight="1">
      <c r="A156" s="351">
        <v>206.0</v>
      </c>
      <c r="B156" s="184">
        <v>4.0</v>
      </c>
      <c r="C156" s="184">
        <v>2.32410043E8</v>
      </c>
      <c r="D156" s="184" t="s">
        <v>7927</v>
      </c>
      <c r="E156" s="185" t="s">
        <v>7928</v>
      </c>
      <c r="F156" s="184" t="s">
        <v>227</v>
      </c>
    </row>
    <row r="157" ht="22.5" customHeight="1">
      <c r="A157" s="351">
        <v>207.0</v>
      </c>
      <c r="B157" s="204">
        <v>5.0</v>
      </c>
      <c r="C157" s="184">
        <v>2.32410045E8</v>
      </c>
      <c r="D157" s="184" t="s">
        <v>7929</v>
      </c>
      <c r="E157" s="185" t="s">
        <v>7930</v>
      </c>
      <c r="F157" s="184" t="s">
        <v>227</v>
      </c>
    </row>
    <row r="158" ht="22.5" customHeight="1">
      <c r="A158" s="351">
        <v>208.0</v>
      </c>
      <c r="B158" s="184">
        <v>6.0</v>
      </c>
      <c r="C158" s="184">
        <v>2.32410052E8</v>
      </c>
      <c r="D158" s="184" t="s">
        <v>7931</v>
      </c>
      <c r="E158" s="185" t="s">
        <v>7932</v>
      </c>
      <c r="F158" s="184" t="s">
        <v>220</v>
      </c>
    </row>
    <row r="159" ht="22.5" customHeight="1">
      <c r="A159" s="351">
        <v>209.0</v>
      </c>
      <c r="B159" s="204">
        <v>7.0</v>
      </c>
      <c r="C159" s="184">
        <v>2.32410062E8</v>
      </c>
      <c r="D159" s="184" t="s">
        <v>7933</v>
      </c>
      <c r="E159" s="185" t="s">
        <v>7934</v>
      </c>
      <c r="F159" s="184" t="s">
        <v>227</v>
      </c>
    </row>
    <row r="160" ht="22.5" customHeight="1">
      <c r="A160" s="351">
        <v>210.0</v>
      </c>
      <c r="B160" s="184">
        <v>8.0</v>
      </c>
      <c r="C160" s="184" t="s">
        <v>9380</v>
      </c>
      <c r="D160" s="205" t="s">
        <v>7935</v>
      </c>
      <c r="E160" s="185" t="s">
        <v>7936</v>
      </c>
      <c r="F160" s="184" t="s">
        <v>220</v>
      </c>
    </row>
    <row r="161" ht="22.5" customHeight="1">
      <c r="A161" s="351">
        <v>211.0</v>
      </c>
      <c r="B161" s="204">
        <v>9.0</v>
      </c>
      <c r="C161" s="184">
        <v>2.324101E8</v>
      </c>
      <c r="D161" s="184" t="s">
        <v>7935</v>
      </c>
      <c r="E161" s="185" t="s">
        <v>7937</v>
      </c>
      <c r="F161" s="184" t="s">
        <v>220</v>
      </c>
    </row>
    <row r="162" ht="22.5" customHeight="1">
      <c r="A162" s="351">
        <v>212.0</v>
      </c>
      <c r="B162" s="184">
        <v>10.0</v>
      </c>
      <c r="C162" s="184">
        <v>2.32410111E8</v>
      </c>
      <c r="D162" s="186" t="s">
        <v>7938</v>
      </c>
      <c r="E162" s="185" t="s">
        <v>7939</v>
      </c>
      <c r="F162" s="184" t="s">
        <v>227</v>
      </c>
    </row>
    <row r="163" ht="22.5" customHeight="1">
      <c r="A163" s="351">
        <v>213.0</v>
      </c>
      <c r="B163" s="204">
        <v>11.0</v>
      </c>
      <c r="C163" s="206">
        <v>2.32410436E8</v>
      </c>
      <c r="D163" s="186" t="s">
        <v>7940</v>
      </c>
      <c r="E163" s="185" t="s">
        <v>7941</v>
      </c>
      <c r="F163" s="184" t="s">
        <v>220</v>
      </c>
    </row>
    <row r="164" ht="22.5" customHeight="1">
      <c r="A164" s="351">
        <v>214.0</v>
      </c>
      <c r="B164" s="184">
        <v>12.0</v>
      </c>
      <c r="C164" s="184" t="s">
        <v>9381</v>
      </c>
      <c r="D164" s="184" t="s">
        <v>7942</v>
      </c>
      <c r="E164" s="185" t="s">
        <v>7943</v>
      </c>
      <c r="F164" s="184" t="s">
        <v>220</v>
      </c>
    </row>
    <row r="165" ht="22.5" customHeight="1">
      <c r="A165" s="351">
        <v>215.0</v>
      </c>
      <c r="B165" s="204">
        <v>13.0</v>
      </c>
      <c r="C165" s="184" t="s">
        <v>9382</v>
      </c>
      <c r="D165" s="184" t="s">
        <v>7944</v>
      </c>
      <c r="E165" s="185" t="s">
        <v>7945</v>
      </c>
      <c r="F165" s="184" t="s">
        <v>227</v>
      </c>
    </row>
    <row r="166" ht="22.5" customHeight="1">
      <c r="A166" s="351">
        <v>216.0</v>
      </c>
      <c r="B166" s="184">
        <v>14.0</v>
      </c>
      <c r="C166" s="184" t="s">
        <v>9383</v>
      </c>
      <c r="D166" s="184" t="s">
        <v>7946</v>
      </c>
      <c r="E166" s="185" t="s">
        <v>7947</v>
      </c>
      <c r="F166" s="184" t="s">
        <v>220</v>
      </c>
    </row>
    <row r="167" ht="22.5" customHeight="1">
      <c r="A167" s="351">
        <v>217.0</v>
      </c>
      <c r="B167" s="204">
        <v>15.0</v>
      </c>
      <c r="C167" s="184" t="s">
        <v>9384</v>
      </c>
      <c r="D167" s="184" t="s">
        <v>7948</v>
      </c>
      <c r="E167" s="185" t="s">
        <v>7949</v>
      </c>
      <c r="F167" s="184" t="s">
        <v>227</v>
      </c>
    </row>
    <row r="168" ht="22.5" customHeight="1">
      <c r="A168" s="351">
        <v>218.0</v>
      </c>
      <c r="B168" s="184">
        <v>16.0</v>
      </c>
      <c r="C168" s="184" t="s">
        <v>9385</v>
      </c>
      <c r="D168" s="184" t="s">
        <v>7950</v>
      </c>
      <c r="E168" s="185" t="s">
        <v>7951</v>
      </c>
      <c r="F168" s="184" t="s">
        <v>220</v>
      </c>
    </row>
    <row r="169" ht="22.5" customHeight="1">
      <c r="A169" s="351">
        <v>219.0</v>
      </c>
      <c r="B169" s="204">
        <v>17.0</v>
      </c>
      <c r="C169" s="184" t="s">
        <v>9386</v>
      </c>
      <c r="D169" s="186" t="s">
        <v>7952</v>
      </c>
      <c r="E169" s="185" t="s">
        <v>7953</v>
      </c>
      <c r="F169" s="184" t="s">
        <v>227</v>
      </c>
    </row>
    <row r="170" ht="22.5" customHeight="1">
      <c r="A170" s="351">
        <v>220.0</v>
      </c>
      <c r="B170" s="184">
        <v>18.0</v>
      </c>
      <c r="C170" s="184" t="s">
        <v>9387</v>
      </c>
      <c r="D170" s="186" t="s">
        <v>7954</v>
      </c>
      <c r="E170" s="185" t="s">
        <v>7955</v>
      </c>
      <c r="F170" s="184" t="s">
        <v>227</v>
      </c>
    </row>
    <row r="171" ht="22.5" customHeight="1">
      <c r="A171" s="351">
        <v>221.0</v>
      </c>
      <c r="B171" s="204">
        <v>19.0</v>
      </c>
      <c r="C171" s="184" t="s">
        <v>9388</v>
      </c>
      <c r="D171" s="186" t="s">
        <v>7956</v>
      </c>
      <c r="E171" s="185" t="s">
        <v>7957</v>
      </c>
      <c r="F171" s="184" t="s">
        <v>227</v>
      </c>
    </row>
    <row r="172" ht="22.5" customHeight="1">
      <c r="A172" s="351">
        <v>222.0</v>
      </c>
      <c r="B172" s="184">
        <v>20.0</v>
      </c>
      <c r="C172" s="184" t="s">
        <v>9389</v>
      </c>
      <c r="D172" s="184" t="s">
        <v>7958</v>
      </c>
      <c r="E172" s="185" t="s">
        <v>7959</v>
      </c>
      <c r="F172" s="184" t="s">
        <v>220</v>
      </c>
    </row>
    <row r="173" ht="22.5" customHeight="1">
      <c r="A173" s="351">
        <v>223.0</v>
      </c>
      <c r="B173" s="204">
        <v>21.0</v>
      </c>
      <c r="C173" s="184" t="s">
        <v>9390</v>
      </c>
      <c r="D173" s="184" t="s">
        <v>7960</v>
      </c>
      <c r="E173" s="185" t="s">
        <v>7961</v>
      </c>
      <c r="F173" s="184" t="s">
        <v>227</v>
      </c>
    </row>
    <row r="174" ht="22.5" customHeight="1">
      <c r="A174" s="351">
        <v>224.0</v>
      </c>
      <c r="B174" s="184">
        <v>22.0</v>
      </c>
      <c r="C174" s="184" t="s">
        <v>9391</v>
      </c>
      <c r="D174" s="184" t="s">
        <v>7962</v>
      </c>
      <c r="E174" s="185" t="s">
        <v>7963</v>
      </c>
      <c r="F174" s="184" t="s">
        <v>220</v>
      </c>
    </row>
    <row r="175" ht="22.5" customHeight="1">
      <c r="A175" s="351">
        <v>225.0</v>
      </c>
      <c r="B175" s="204">
        <v>23.0</v>
      </c>
      <c r="C175" s="201" t="s">
        <v>9392</v>
      </c>
      <c r="D175" s="201" t="s">
        <v>7964</v>
      </c>
      <c r="E175" s="185" t="s">
        <v>7965</v>
      </c>
      <c r="F175" s="184" t="s">
        <v>227</v>
      </c>
    </row>
    <row r="176" ht="22.5" customHeight="1">
      <c r="A176" s="351">
        <v>226.0</v>
      </c>
      <c r="B176" s="184">
        <v>24.0</v>
      </c>
      <c r="C176" s="184" t="s">
        <v>9393</v>
      </c>
      <c r="D176" s="184" t="s">
        <v>7966</v>
      </c>
      <c r="E176" s="185" t="s">
        <v>7967</v>
      </c>
      <c r="F176" s="184" t="s">
        <v>220</v>
      </c>
    </row>
    <row r="177" ht="22.5" customHeight="1">
      <c r="A177" s="351">
        <v>227.0</v>
      </c>
      <c r="B177" s="204">
        <v>25.0</v>
      </c>
      <c r="C177" s="184" t="s">
        <v>9394</v>
      </c>
      <c r="D177" s="184" t="s">
        <v>7968</v>
      </c>
      <c r="E177" s="185" t="s">
        <v>7969</v>
      </c>
      <c r="F177" s="184" t="s">
        <v>227</v>
      </c>
    </row>
    <row r="178" ht="22.5" customHeight="1">
      <c r="A178" s="351">
        <v>228.0</v>
      </c>
      <c r="B178" s="184">
        <v>26.0</v>
      </c>
      <c r="C178" s="184" t="s">
        <v>9395</v>
      </c>
      <c r="D178" s="184" t="s">
        <v>7970</v>
      </c>
      <c r="E178" s="185" t="s">
        <v>7971</v>
      </c>
      <c r="F178" s="184" t="s">
        <v>227</v>
      </c>
    </row>
    <row r="179" ht="22.5" customHeight="1">
      <c r="A179" s="351">
        <v>229.0</v>
      </c>
      <c r="B179" s="204">
        <v>27.0</v>
      </c>
      <c r="C179" s="184" t="s">
        <v>9396</v>
      </c>
      <c r="D179" s="184" t="s">
        <v>7972</v>
      </c>
      <c r="E179" s="185" t="s">
        <v>7973</v>
      </c>
      <c r="F179" s="184" t="s">
        <v>227</v>
      </c>
    </row>
    <row r="180" ht="22.5" customHeight="1">
      <c r="A180" s="351">
        <v>230.0</v>
      </c>
      <c r="B180" s="184">
        <v>28.0</v>
      </c>
      <c r="C180" s="184" t="s">
        <v>9397</v>
      </c>
      <c r="D180" s="184" t="s">
        <v>7974</v>
      </c>
      <c r="E180" s="185" t="s">
        <v>7975</v>
      </c>
      <c r="F180" s="184" t="s">
        <v>220</v>
      </c>
    </row>
    <row r="181" ht="22.5" customHeight="1">
      <c r="A181" s="351">
        <v>231.0</v>
      </c>
      <c r="B181" s="204">
        <v>29.0</v>
      </c>
      <c r="C181" s="184" t="s">
        <v>9398</v>
      </c>
      <c r="D181" s="184" t="s">
        <v>7976</v>
      </c>
      <c r="E181" s="185" t="s">
        <v>7977</v>
      </c>
      <c r="F181" s="184" t="s">
        <v>220</v>
      </c>
    </row>
    <row r="182" ht="22.5" customHeight="1">
      <c r="A182" s="351">
        <v>243.0</v>
      </c>
      <c r="B182" s="184">
        <v>30.0</v>
      </c>
      <c r="C182" s="184" t="s">
        <v>9399</v>
      </c>
      <c r="D182" s="184" t="s">
        <v>7978</v>
      </c>
      <c r="E182" s="185" t="s">
        <v>7979</v>
      </c>
      <c r="F182" s="184" t="s">
        <v>227</v>
      </c>
    </row>
    <row r="183" ht="22.5" customHeight="1">
      <c r="A183" s="351">
        <v>244.0</v>
      </c>
      <c r="B183" s="204">
        <v>31.0</v>
      </c>
      <c r="C183" s="184" t="s">
        <v>9400</v>
      </c>
      <c r="D183" s="184" t="s">
        <v>7980</v>
      </c>
      <c r="E183" s="185" t="s">
        <v>7981</v>
      </c>
      <c r="F183" s="184" t="s">
        <v>227</v>
      </c>
    </row>
    <row r="184" ht="22.5" customHeight="1">
      <c r="A184" s="351">
        <v>245.0</v>
      </c>
      <c r="B184" s="184">
        <v>32.0</v>
      </c>
      <c r="C184" s="184" t="s">
        <v>9401</v>
      </c>
      <c r="D184" s="184" t="s">
        <v>7982</v>
      </c>
      <c r="E184" s="185" t="s">
        <v>7983</v>
      </c>
      <c r="F184" s="184" t="s">
        <v>227</v>
      </c>
    </row>
    <row r="185" ht="22.5" customHeight="1">
      <c r="A185" s="351">
        <v>246.0</v>
      </c>
      <c r="B185" s="204">
        <v>33.0</v>
      </c>
      <c r="C185" s="184" t="s">
        <v>9402</v>
      </c>
      <c r="D185" s="184" t="s">
        <v>7984</v>
      </c>
      <c r="E185" s="185" t="s">
        <v>7985</v>
      </c>
      <c r="F185" s="184" t="s">
        <v>227</v>
      </c>
    </row>
    <row r="186" ht="22.5" customHeight="1">
      <c r="A186" s="351">
        <v>247.0</v>
      </c>
      <c r="B186" s="184">
        <v>34.0</v>
      </c>
      <c r="C186" s="184" t="s">
        <v>9403</v>
      </c>
      <c r="D186" s="186" t="s">
        <v>7986</v>
      </c>
      <c r="E186" s="185" t="s">
        <v>7987</v>
      </c>
      <c r="F186" s="184" t="s">
        <v>227</v>
      </c>
    </row>
    <row r="187" ht="22.5" customHeight="1">
      <c r="A187" s="351">
        <v>248.0</v>
      </c>
      <c r="B187" s="204">
        <v>35.0</v>
      </c>
      <c r="C187" s="184" t="s">
        <v>9404</v>
      </c>
      <c r="D187" s="186" t="s">
        <v>7988</v>
      </c>
      <c r="E187" s="185" t="s">
        <v>7989</v>
      </c>
      <c r="F187" s="184" t="s">
        <v>220</v>
      </c>
    </row>
    <row r="188" ht="22.5" customHeight="1">
      <c r="A188" s="351">
        <v>249.0</v>
      </c>
      <c r="B188" s="184">
        <v>36.0</v>
      </c>
      <c r="C188" s="184" t="s">
        <v>9405</v>
      </c>
      <c r="D188" s="186" t="s">
        <v>7990</v>
      </c>
      <c r="E188" s="185" t="s">
        <v>7991</v>
      </c>
      <c r="F188" s="184" t="s">
        <v>227</v>
      </c>
    </row>
    <row r="189" ht="22.5" hidden="1" customHeight="1">
      <c r="A189" s="352">
        <v>250.0</v>
      </c>
      <c r="B189" s="188"/>
      <c r="C189" s="190"/>
      <c r="D189" s="188"/>
      <c r="E189" s="190"/>
      <c r="F189" s="188"/>
    </row>
    <row r="190" ht="22.5" hidden="1" customHeight="1">
      <c r="A190" s="352">
        <v>251.0</v>
      </c>
      <c r="B190" s="188"/>
      <c r="C190" s="190"/>
      <c r="D190" s="188"/>
      <c r="E190" s="190"/>
      <c r="F190" s="188"/>
    </row>
    <row r="191" ht="22.5" hidden="1" customHeight="1">
      <c r="A191" s="352">
        <v>252.0</v>
      </c>
      <c r="B191" s="188"/>
      <c r="C191" s="190"/>
      <c r="D191" s="188"/>
      <c r="E191" s="190"/>
      <c r="F191" s="188"/>
    </row>
    <row r="192" ht="22.5" hidden="1" customHeight="1">
      <c r="A192" s="352">
        <v>253.0</v>
      </c>
      <c r="B192" s="188"/>
      <c r="C192" s="188"/>
      <c r="D192" s="188"/>
      <c r="E192" s="188"/>
      <c r="F192" s="188"/>
    </row>
    <row r="193" ht="22.5" hidden="1" customHeight="1">
      <c r="A193" s="353">
        <v>254.0</v>
      </c>
      <c r="B193" s="191"/>
      <c r="C193" s="192"/>
      <c r="D193" s="192"/>
      <c r="E193" s="192"/>
      <c r="F193" s="192"/>
    </row>
    <row r="194" ht="22.5" hidden="1" customHeight="1">
      <c r="A194" s="346">
        <v>255.0</v>
      </c>
      <c r="B194" s="193"/>
      <c r="C194" s="194"/>
      <c r="D194" s="194"/>
      <c r="E194" s="194"/>
      <c r="F194" s="194"/>
    </row>
    <row r="195" ht="22.5" hidden="1" customHeight="1">
      <c r="A195" s="346">
        <v>256.0</v>
      </c>
      <c r="B195" s="176"/>
      <c r="C195" s="177"/>
      <c r="D195" s="177"/>
      <c r="E195" s="177"/>
      <c r="F195" s="177"/>
    </row>
    <row r="196" ht="22.5" hidden="1" customHeight="1">
      <c r="A196" s="347">
        <v>257.0</v>
      </c>
      <c r="B196" s="178"/>
      <c r="C196" s="177"/>
      <c r="D196" s="177"/>
      <c r="E196" s="177"/>
      <c r="F196" s="177"/>
    </row>
    <row r="197" ht="22.5" hidden="1" customHeight="1">
      <c r="A197" s="348">
        <v>258.0</v>
      </c>
      <c r="B197" s="179"/>
      <c r="C197" s="180"/>
      <c r="D197" s="180"/>
      <c r="E197" s="180"/>
      <c r="F197" s="180"/>
    </row>
    <row r="198" ht="22.5" hidden="1" customHeight="1">
      <c r="A198" s="349">
        <v>259.0</v>
      </c>
      <c r="B198" s="181"/>
      <c r="C198" s="181"/>
      <c r="D198" s="181"/>
      <c r="E198" s="181"/>
      <c r="F198" s="181"/>
    </row>
    <row r="199" ht="22.5" hidden="1" customHeight="1">
      <c r="A199" s="350">
        <v>260.0</v>
      </c>
      <c r="B199" s="182"/>
      <c r="C199" s="182"/>
      <c r="D199" s="182"/>
      <c r="E199" s="182"/>
      <c r="F199" s="182"/>
    </row>
    <row r="200" ht="22.5" hidden="1" customHeight="1">
      <c r="A200" s="350">
        <v>261.0</v>
      </c>
      <c r="B200" s="183"/>
      <c r="C200" s="183"/>
      <c r="D200" s="183"/>
      <c r="E200" s="183"/>
      <c r="F200" s="183"/>
    </row>
    <row r="201" ht="22.5" customHeight="1">
      <c r="A201" s="351">
        <v>262.0</v>
      </c>
      <c r="B201" s="184">
        <v>1.0</v>
      </c>
      <c r="C201" s="186" t="s">
        <v>9408</v>
      </c>
      <c r="D201" s="184" t="s">
        <v>7992</v>
      </c>
      <c r="E201" s="185" t="s">
        <v>7993</v>
      </c>
      <c r="F201" s="184" t="s">
        <v>220</v>
      </c>
    </row>
    <row r="202" ht="22.5" customHeight="1">
      <c r="A202" s="351">
        <v>263.0</v>
      </c>
      <c r="B202" s="184">
        <v>2.0</v>
      </c>
      <c r="C202" s="184" t="s">
        <v>9409</v>
      </c>
      <c r="D202" s="184" t="s">
        <v>7996</v>
      </c>
      <c r="E202" s="185" t="s">
        <v>7997</v>
      </c>
      <c r="F202" s="184" t="s">
        <v>227</v>
      </c>
    </row>
    <row r="203" ht="22.5" customHeight="1">
      <c r="A203" s="351">
        <v>264.0</v>
      </c>
      <c r="B203" s="184">
        <v>3.0</v>
      </c>
      <c r="C203" s="184" t="s">
        <v>9410</v>
      </c>
      <c r="D203" s="186" t="s">
        <v>7998</v>
      </c>
      <c r="E203" s="202" t="s">
        <v>7999</v>
      </c>
      <c r="F203" s="184" t="s">
        <v>227</v>
      </c>
    </row>
    <row r="204" ht="22.5" customHeight="1">
      <c r="A204" s="351">
        <v>265.0</v>
      </c>
      <c r="B204" s="184">
        <v>4.0</v>
      </c>
      <c r="C204" s="184" t="s">
        <v>9411</v>
      </c>
      <c r="D204" s="184" t="s">
        <v>8000</v>
      </c>
      <c r="E204" s="185" t="s">
        <v>8001</v>
      </c>
      <c r="F204" s="184" t="s">
        <v>220</v>
      </c>
    </row>
    <row r="205" ht="22.5" customHeight="1">
      <c r="A205" s="351">
        <v>266.0</v>
      </c>
      <c r="B205" s="184">
        <v>5.0</v>
      </c>
      <c r="C205" s="184" t="s">
        <v>9412</v>
      </c>
      <c r="D205" s="186" t="s">
        <v>8002</v>
      </c>
      <c r="E205" s="185" t="s">
        <v>8003</v>
      </c>
      <c r="F205" s="184" t="s">
        <v>227</v>
      </c>
    </row>
    <row r="206" ht="22.5" customHeight="1">
      <c r="A206" s="351">
        <v>267.0</v>
      </c>
      <c r="B206" s="184">
        <v>6.0</v>
      </c>
      <c r="C206" s="184" t="s">
        <v>9413</v>
      </c>
      <c r="D206" s="184" t="s">
        <v>8004</v>
      </c>
      <c r="E206" s="185" t="s">
        <v>8005</v>
      </c>
      <c r="F206" s="184" t="s">
        <v>220</v>
      </c>
    </row>
    <row r="207" ht="22.5" customHeight="1">
      <c r="A207" s="351">
        <v>268.0</v>
      </c>
      <c r="B207" s="184">
        <v>7.0</v>
      </c>
      <c r="C207" s="184" t="s">
        <v>9414</v>
      </c>
      <c r="D207" s="184" t="s">
        <v>8006</v>
      </c>
      <c r="E207" s="185" t="s">
        <v>8007</v>
      </c>
      <c r="F207" s="184" t="s">
        <v>227</v>
      </c>
    </row>
    <row r="208" ht="22.5" customHeight="1">
      <c r="A208" s="351">
        <v>269.0</v>
      </c>
      <c r="B208" s="184">
        <v>8.0</v>
      </c>
      <c r="C208" s="184" t="s">
        <v>9415</v>
      </c>
      <c r="D208" s="184" t="s">
        <v>8008</v>
      </c>
      <c r="E208" s="185" t="s">
        <v>8009</v>
      </c>
      <c r="F208" s="184" t="s">
        <v>220</v>
      </c>
    </row>
    <row r="209" ht="22.5" customHeight="1">
      <c r="A209" s="351">
        <v>270.0</v>
      </c>
      <c r="B209" s="184">
        <v>9.0</v>
      </c>
      <c r="C209" s="184" t="s">
        <v>9416</v>
      </c>
      <c r="D209" s="184" t="s">
        <v>8010</v>
      </c>
      <c r="E209" s="185" t="s">
        <v>8011</v>
      </c>
      <c r="F209" s="184" t="s">
        <v>220</v>
      </c>
    </row>
    <row r="210" ht="22.5" customHeight="1">
      <c r="A210" s="351">
        <v>271.0</v>
      </c>
      <c r="B210" s="184">
        <v>10.0</v>
      </c>
      <c r="C210" s="184" t="s">
        <v>9417</v>
      </c>
      <c r="D210" s="184" t="s">
        <v>8012</v>
      </c>
      <c r="E210" s="185" t="s">
        <v>8013</v>
      </c>
      <c r="F210" s="184" t="s">
        <v>220</v>
      </c>
    </row>
    <row r="211" ht="22.5" customHeight="1">
      <c r="A211" s="351">
        <v>272.0</v>
      </c>
      <c r="B211" s="184">
        <v>11.0</v>
      </c>
      <c r="C211" s="184" t="s">
        <v>9418</v>
      </c>
      <c r="D211" s="184" t="s">
        <v>8014</v>
      </c>
      <c r="E211" s="185" t="s">
        <v>8015</v>
      </c>
      <c r="F211" s="184" t="s">
        <v>220</v>
      </c>
    </row>
    <row r="212" ht="22.5" customHeight="1">
      <c r="A212" s="351">
        <v>273.0</v>
      </c>
      <c r="B212" s="184">
        <v>12.0</v>
      </c>
      <c r="C212" s="184" t="s">
        <v>9419</v>
      </c>
      <c r="D212" s="186" t="s">
        <v>8016</v>
      </c>
      <c r="E212" s="202" t="s">
        <v>8017</v>
      </c>
      <c r="F212" s="184" t="s">
        <v>220</v>
      </c>
    </row>
    <row r="213" ht="22.5" customHeight="1">
      <c r="A213" s="351">
        <v>274.0</v>
      </c>
      <c r="B213" s="184">
        <v>13.0</v>
      </c>
      <c r="C213" s="184" t="s">
        <v>9420</v>
      </c>
      <c r="D213" s="184" t="s">
        <v>8018</v>
      </c>
      <c r="E213" s="185" t="s">
        <v>8019</v>
      </c>
      <c r="F213" s="184" t="s">
        <v>227</v>
      </c>
    </row>
    <row r="214" ht="22.5" customHeight="1">
      <c r="A214" s="351">
        <v>275.0</v>
      </c>
      <c r="B214" s="184">
        <v>14.0</v>
      </c>
      <c r="C214" s="184" t="s">
        <v>9421</v>
      </c>
      <c r="D214" s="184" t="s">
        <v>8020</v>
      </c>
      <c r="E214" s="185" t="s">
        <v>8021</v>
      </c>
      <c r="F214" s="184" t="s">
        <v>220</v>
      </c>
    </row>
    <row r="215" ht="22.5" customHeight="1">
      <c r="A215" s="351">
        <v>276.0</v>
      </c>
      <c r="B215" s="184">
        <v>15.0</v>
      </c>
      <c r="C215" s="184" t="s">
        <v>9422</v>
      </c>
      <c r="D215" s="184" t="s">
        <v>8022</v>
      </c>
      <c r="E215" s="185" t="s">
        <v>8023</v>
      </c>
      <c r="F215" s="184" t="s">
        <v>220</v>
      </c>
    </row>
    <row r="216" ht="22.5" customHeight="1">
      <c r="A216" s="351">
        <v>277.0</v>
      </c>
      <c r="B216" s="184">
        <v>16.0</v>
      </c>
      <c r="C216" s="184" t="s">
        <v>9423</v>
      </c>
      <c r="D216" s="186" t="s">
        <v>8024</v>
      </c>
      <c r="E216" s="185" t="s">
        <v>8025</v>
      </c>
      <c r="F216" s="184" t="s">
        <v>220</v>
      </c>
    </row>
    <row r="217" ht="22.5" customHeight="1">
      <c r="A217" s="351">
        <v>278.0</v>
      </c>
      <c r="B217" s="184">
        <v>17.0</v>
      </c>
      <c r="C217" s="184" t="s">
        <v>9424</v>
      </c>
      <c r="D217" s="184" t="s">
        <v>8026</v>
      </c>
      <c r="E217" s="185" t="s">
        <v>8027</v>
      </c>
      <c r="F217" s="184" t="s">
        <v>227</v>
      </c>
    </row>
    <row r="218" ht="22.5" customHeight="1">
      <c r="A218" s="351">
        <v>290.0</v>
      </c>
      <c r="B218" s="184">
        <v>18.0</v>
      </c>
      <c r="C218" s="184" t="s">
        <v>9425</v>
      </c>
      <c r="D218" s="186" t="s">
        <v>8028</v>
      </c>
      <c r="E218" s="202" t="s">
        <v>8029</v>
      </c>
      <c r="F218" s="184" t="s">
        <v>227</v>
      </c>
    </row>
    <row r="219" ht="22.5" customHeight="1">
      <c r="A219" s="351">
        <v>291.0</v>
      </c>
      <c r="B219" s="184">
        <v>19.0</v>
      </c>
      <c r="C219" s="184" t="s">
        <v>9426</v>
      </c>
      <c r="D219" s="186" t="s">
        <v>8030</v>
      </c>
      <c r="E219" s="185" t="s">
        <v>8031</v>
      </c>
      <c r="F219" s="184" t="s">
        <v>227</v>
      </c>
    </row>
    <row r="220" ht="22.5" customHeight="1">
      <c r="A220" s="351">
        <v>292.0</v>
      </c>
      <c r="B220" s="184">
        <v>20.0</v>
      </c>
      <c r="C220" s="184" t="s">
        <v>9427</v>
      </c>
      <c r="D220" s="184" t="s">
        <v>8032</v>
      </c>
      <c r="E220" s="185" t="s">
        <v>8033</v>
      </c>
      <c r="F220" s="184" t="s">
        <v>227</v>
      </c>
    </row>
    <row r="221" ht="22.5" customHeight="1">
      <c r="A221" s="351">
        <v>293.0</v>
      </c>
      <c r="B221" s="184">
        <v>21.0</v>
      </c>
      <c r="C221" s="184" t="s">
        <v>9428</v>
      </c>
      <c r="D221" s="186" t="s">
        <v>8034</v>
      </c>
      <c r="E221" s="202" t="s">
        <v>8035</v>
      </c>
      <c r="F221" s="184" t="s">
        <v>220</v>
      </c>
    </row>
    <row r="222" ht="22.5" customHeight="1">
      <c r="A222" s="351">
        <v>294.0</v>
      </c>
      <c r="B222" s="184">
        <v>22.0</v>
      </c>
      <c r="C222" s="184">
        <v>2.32410212E8</v>
      </c>
      <c r="D222" s="186" t="s">
        <v>8036</v>
      </c>
      <c r="E222" s="185" t="s">
        <v>8037</v>
      </c>
      <c r="F222" s="184" t="s">
        <v>220</v>
      </c>
    </row>
    <row r="223" ht="22.5" customHeight="1">
      <c r="A223" s="351">
        <v>295.0</v>
      </c>
      <c r="B223" s="184">
        <v>23.0</v>
      </c>
      <c r="C223" s="184">
        <v>2.32410231E8</v>
      </c>
      <c r="D223" s="186" t="s">
        <v>8038</v>
      </c>
      <c r="E223" s="185" t="s">
        <v>8039</v>
      </c>
      <c r="F223" s="184" t="s">
        <v>220</v>
      </c>
    </row>
    <row r="224" ht="22.5" customHeight="1">
      <c r="A224" s="351">
        <v>296.0</v>
      </c>
      <c r="B224" s="184">
        <v>24.0</v>
      </c>
      <c r="C224" s="184" t="s">
        <v>9429</v>
      </c>
      <c r="D224" s="184" t="s">
        <v>8040</v>
      </c>
      <c r="E224" s="185" t="s">
        <v>8041</v>
      </c>
      <c r="F224" s="184" t="s">
        <v>220</v>
      </c>
    </row>
    <row r="225" ht="22.5" customHeight="1">
      <c r="A225" s="351">
        <v>297.0</v>
      </c>
      <c r="B225" s="184">
        <v>25.0</v>
      </c>
      <c r="C225" s="184" t="s">
        <v>9430</v>
      </c>
      <c r="D225" s="184" t="s">
        <v>8042</v>
      </c>
      <c r="E225" s="185" t="s">
        <v>8043</v>
      </c>
      <c r="F225" s="184" t="s">
        <v>220</v>
      </c>
    </row>
    <row r="226" ht="22.5" customHeight="1">
      <c r="A226" s="351">
        <v>298.0</v>
      </c>
      <c r="B226" s="184">
        <v>26.0</v>
      </c>
      <c r="C226" s="184" t="s">
        <v>9431</v>
      </c>
      <c r="D226" s="184" t="s">
        <v>8044</v>
      </c>
      <c r="E226" s="185" t="s">
        <v>8045</v>
      </c>
      <c r="F226" s="184" t="s">
        <v>220</v>
      </c>
    </row>
    <row r="227" ht="22.5" customHeight="1">
      <c r="A227" s="351">
        <v>299.0</v>
      </c>
      <c r="B227" s="184">
        <v>27.0</v>
      </c>
      <c r="C227" s="184">
        <v>2.32410441E8</v>
      </c>
      <c r="D227" s="186" t="s">
        <v>8046</v>
      </c>
      <c r="E227" s="185" t="s">
        <v>8047</v>
      </c>
      <c r="F227" s="184" t="s">
        <v>220</v>
      </c>
    </row>
    <row r="228" ht="22.5" customHeight="1">
      <c r="A228" s="351">
        <v>300.0</v>
      </c>
      <c r="B228" s="184">
        <v>28.0</v>
      </c>
      <c r="C228" s="184" t="s">
        <v>9432</v>
      </c>
      <c r="D228" s="184" t="s">
        <v>8048</v>
      </c>
      <c r="E228" s="185" t="s">
        <v>8049</v>
      </c>
      <c r="F228" s="184" t="s">
        <v>227</v>
      </c>
    </row>
    <row r="229" ht="22.5" customHeight="1">
      <c r="A229" s="351">
        <v>301.0</v>
      </c>
      <c r="B229" s="184">
        <v>29.0</v>
      </c>
      <c r="C229" s="184" t="s">
        <v>9433</v>
      </c>
      <c r="D229" s="186" t="s">
        <v>8050</v>
      </c>
      <c r="E229" s="202" t="s">
        <v>8051</v>
      </c>
      <c r="F229" s="184" t="s">
        <v>220</v>
      </c>
    </row>
    <row r="230" ht="22.5" customHeight="1">
      <c r="A230" s="351">
        <v>302.0</v>
      </c>
      <c r="B230" s="184">
        <v>30.0</v>
      </c>
      <c r="C230" s="184" t="s">
        <v>9434</v>
      </c>
      <c r="D230" s="184" t="s">
        <v>8052</v>
      </c>
      <c r="E230" s="185" t="s">
        <v>8053</v>
      </c>
      <c r="F230" s="184" t="s">
        <v>220</v>
      </c>
    </row>
    <row r="231" ht="22.5" customHeight="1">
      <c r="A231" s="351">
        <v>303.0</v>
      </c>
      <c r="B231" s="184">
        <v>31.0</v>
      </c>
      <c r="C231" s="184" t="s">
        <v>9435</v>
      </c>
      <c r="D231" s="186" t="s">
        <v>8054</v>
      </c>
      <c r="E231" s="185" t="s">
        <v>8055</v>
      </c>
      <c r="F231" s="184" t="s">
        <v>227</v>
      </c>
    </row>
    <row r="232" ht="22.5" customHeight="1">
      <c r="A232" s="351">
        <v>304.0</v>
      </c>
      <c r="B232" s="184">
        <v>32.0</v>
      </c>
      <c r="C232" s="184" t="s">
        <v>9436</v>
      </c>
      <c r="D232" s="184" t="s">
        <v>8056</v>
      </c>
      <c r="E232" s="185" t="s">
        <v>8057</v>
      </c>
      <c r="F232" s="184" t="s">
        <v>227</v>
      </c>
    </row>
    <row r="233" ht="22.5" customHeight="1">
      <c r="A233" s="351">
        <v>305.0</v>
      </c>
      <c r="B233" s="184">
        <v>33.0</v>
      </c>
      <c r="C233" s="184" t="s">
        <v>9437</v>
      </c>
      <c r="D233" s="186" t="s">
        <v>8058</v>
      </c>
      <c r="E233" s="185" t="s">
        <v>8059</v>
      </c>
      <c r="F233" s="184" t="s">
        <v>220</v>
      </c>
    </row>
    <row r="234" ht="22.5" customHeight="1">
      <c r="A234" s="351">
        <v>306.0</v>
      </c>
      <c r="B234" s="184">
        <v>34.0</v>
      </c>
      <c r="C234" s="184" t="s">
        <v>9438</v>
      </c>
      <c r="D234" s="186" t="s">
        <v>8060</v>
      </c>
      <c r="E234" s="185" t="s">
        <v>8061</v>
      </c>
      <c r="F234" s="184" t="s">
        <v>227</v>
      </c>
    </row>
    <row r="235" ht="22.5" customHeight="1">
      <c r="A235" s="351">
        <v>307.0</v>
      </c>
      <c r="B235" s="184">
        <v>35.0</v>
      </c>
      <c r="C235" s="184" t="s">
        <v>9439</v>
      </c>
      <c r="D235" s="207" t="s">
        <v>8062</v>
      </c>
      <c r="E235" s="185" t="s">
        <v>8063</v>
      </c>
      <c r="F235" s="184" t="s">
        <v>227</v>
      </c>
    </row>
    <row r="236" ht="22.5" customHeight="1">
      <c r="A236" s="351">
        <v>308.0</v>
      </c>
      <c r="B236" s="184">
        <v>36.0</v>
      </c>
      <c r="C236" s="186" t="s">
        <v>9440</v>
      </c>
      <c r="D236" s="186" t="s">
        <v>8064</v>
      </c>
      <c r="E236" s="185" t="s">
        <v>8065</v>
      </c>
      <c r="F236" s="184" t="s">
        <v>220</v>
      </c>
    </row>
    <row r="237" ht="22.5" customHeight="1">
      <c r="A237" s="351">
        <v>309.0</v>
      </c>
      <c r="B237" s="184">
        <v>37.0</v>
      </c>
      <c r="C237" s="197"/>
      <c r="D237" s="197"/>
      <c r="E237" s="197"/>
      <c r="F237" s="197"/>
    </row>
    <row r="238" ht="22.5" hidden="1" customHeight="1">
      <c r="A238" s="352">
        <v>310.0</v>
      </c>
      <c r="B238" s="188"/>
      <c r="C238" s="190"/>
      <c r="D238" s="188"/>
      <c r="E238" s="190"/>
      <c r="F238" s="188"/>
    </row>
    <row r="239" ht="22.5" hidden="1" customHeight="1">
      <c r="A239" s="352">
        <v>311.0</v>
      </c>
      <c r="B239" s="188"/>
      <c r="C239" s="190"/>
      <c r="D239" s="188"/>
      <c r="E239" s="190"/>
      <c r="F239" s="188"/>
    </row>
    <row r="240" ht="22.5" hidden="1" customHeight="1">
      <c r="A240" s="352">
        <v>312.0</v>
      </c>
      <c r="B240" s="188"/>
      <c r="C240" s="190"/>
      <c r="D240" s="188"/>
      <c r="E240" s="190"/>
      <c r="F240" s="188"/>
    </row>
    <row r="241" ht="22.5" hidden="1" customHeight="1">
      <c r="A241" s="352">
        <v>313.0</v>
      </c>
      <c r="B241" s="188"/>
      <c r="C241" s="188"/>
      <c r="D241" s="188"/>
      <c r="E241" s="188"/>
      <c r="F241" s="188"/>
    </row>
    <row r="242" ht="22.5" hidden="1" customHeight="1">
      <c r="A242" s="353">
        <v>314.0</v>
      </c>
      <c r="B242" s="191"/>
      <c r="C242" s="192"/>
      <c r="D242" s="192"/>
      <c r="E242" s="192"/>
      <c r="F242" s="192"/>
    </row>
    <row r="243" ht="22.5" hidden="1" customHeight="1">
      <c r="A243" s="346">
        <v>315.0</v>
      </c>
      <c r="B243" s="193"/>
      <c r="C243" s="194"/>
      <c r="D243" s="194"/>
      <c r="E243" s="194"/>
      <c r="F243" s="194"/>
    </row>
    <row r="244" ht="22.5" hidden="1" customHeight="1">
      <c r="A244" s="346">
        <v>316.0</v>
      </c>
      <c r="B244" s="176"/>
      <c r="C244" s="177"/>
      <c r="D244" s="177"/>
      <c r="E244" s="177"/>
      <c r="F244" s="177"/>
    </row>
    <row r="245" ht="22.5" hidden="1" customHeight="1">
      <c r="A245" s="347">
        <v>317.0</v>
      </c>
      <c r="B245" s="178"/>
      <c r="C245" s="177"/>
      <c r="D245" s="177"/>
      <c r="E245" s="177"/>
      <c r="F245" s="177"/>
    </row>
    <row r="246" ht="22.5" hidden="1" customHeight="1">
      <c r="A246" s="348">
        <v>318.0</v>
      </c>
      <c r="B246" s="179"/>
      <c r="C246" s="180"/>
      <c r="D246" s="180"/>
      <c r="E246" s="180"/>
      <c r="F246" s="180"/>
    </row>
    <row r="247" ht="22.5" hidden="1" customHeight="1">
      <c r="A247" s="349">
        <v>319.0</v>
      </c>
      <c r="B247" s="181"/>
      <c r="C247" s="181"/>
      <c r="D247" s="181"/>
      <c r="E247" s="181"/>
      <c r="F247" s="181"/>
    </row>
    <row r="248" ht="22.5" hidden="1" customHeight="1">
      <c r="A248" s="350">
        <v>320.0</v>
      </c>
      <c r="B248" s="182"/>
      <c r="C248" s="182"/>
      <c r="D248" s="182"/>
      <c r="E248" s="182"/>
      <c r="F248" s="182"/>
    </row>
    <row r="249" ht="22.5" hidden="1" customHeight="1">
      <c r="A249" s="350">
        <v>321.0</v>
      </c>
      <c r="B249" s="183"/>
      <c r="C249" s="183"/>
      <c r="D249" s="183"/>
      <c r="E249" s="183"/>
      <c r="F249" s="183"/>
    </row>
    <row r="250" ht="22.5" customHeight="1">
      <c r="A250" s="351">
        <v>322.0</v>
      </c>
      <c r="B250" s="184">
        <v>1.0</v>
      </c>
      <c r="C250" s="184" t="s">
        <v>9443</v>
      </c>
      <c r="D250" s="184" t="s">
        <v>8066</v>
      </c>
      <c r="E250" s="185" t="s">
        <v>8067</v>
      </c>
      <c r="F250" s="184" t="s">
        <v>220</v>
      </c>
    </row>
    <row r="251" ht="22.5" customHeight="1">
      <c r="A251" s="351">
        <v>323.0</v>
      </c>
      <c r="B251" s="184">
        <v>2.0</v>
      </c>
      <c r="C251" s="184" t="s">
        <v>9444</v>
      </c>
      <c r="D251" s="186" t="s">
        <v>8070</v>
      </c>
      <c r="E251" s="185" t="s">
        <v>8071</v>
      </c>
      <c r="F251" s="184" t="s">
        <v>227</v>
      </c>
    </row>
    <row r="252" ht="22.5" customHeight="1">
      <c r="A252" s="351">
        <v>324.0</v>
      </c>
      <c r="B252" s="184">
        <v>3.0</v>
      </c>
      <c r="C252" s="184" t="s">
        <v>9445</v>
      </c>
      <c r="D252" s="186" t="s">
        <v>8072</v>
      </c>
      <c r="E252" s="185" t="s">
        <v>8073</v>
      </c>
      <c r="F252" s="184" t="s">
        <v>227</v>
      </c>
    </row>
    <row r="253" ht="22.5" customHeight="1">
      <c r="A253" s="351">
        <v>325.0</v>
      </c>
      <c r="B253" s="184">
        <v>4.0</v>
      </c>
      <c r="C253" s="184" t="s">
        <v>9446</v>
      </c>
      <c r="D253" s="184" t="s">
        <v>8074</v>
      </c>
      <c r="E253" s="185" t="s">
        <v>8075</v>
      </c>
      <c r="F253" s="184" t="s">
        <v>220</v>
      </c>
    </row>
    <row r="254" ht="22.5" customHeight="1">
      <c r="A254" s="351">
        <v>337.0</v>
      </c>
      <c r="B254" s="184">
        <v>5.0</v>
      </c>
      <c r="C254" s="184" t="s">
        <v>9447</v>
      </c>
      <c r="D254" s="184" t="s">
        <v>8076</v>
      </c>
      <c r="E254" s="185" t="s">
        <v>8077</v>
      </c>
      <c r="F254" s="184" t="s">
        <v>220</v>
      </c>
    </row>
    <row r="255" ht="22.5" customHeight="1">
      <c r="A255" s="351">
        <v>338.0</v>
      </c>
      <c r="B255" s="184">
        <v>6.0</v>
      </c>
      <c r="C255" s="184" t="s">
        <v>9448</v>
      </c>
      <c r="D255" s="184" t="s">
        <v>8078</v>
      </c>
      <c r="E255" s="185" t="s">
        <v>8079</v>
      </c>
      <c r="F255" s="184" t="s">
        <v>227</v>
      </c>
    </row>
    <row r="256" ht="22.5" customHeight="1">
      <c r="A256" s="351">
        <v>339.0</v>
      </c>
      <c r="B256" s="184">
        <v>7.0</v>
      </c>
      <c r="C256" s="184" t="s">
        <v>9449</v>
      </c>
      <c r="D256" s="184" t="s">
        <v>8080</v>
      </c>
      <c r="E256" s="185" t="s">
        <v>8081</v>
      </c>
      <c r="F256" s="184" t="s">
        <v>227</v>
      </c>
    </row>
    <row r="257" ht="22.5" customHeight="1">
      <c r="A257" s="351">
        <v>340.0</v>
      </c>
      <c r="B257" s="184">
        <v>8.0</v>
      </c>
      <c r="C257" s="184" t="s">
        <v>9450</v>
      </c>
      <c r="D257" s="184" t="s">
        <v>8082</v>
      </c>
      <c r="E257" s="185" t="s">
        <v>8083</v>
      </c>
      <c r="F257" s="184" t="s">
        <v>227</v>
      </c>
    </row>
    <row r="258" ht="22.5" customHeight="1">
      <c r="A258" s="351">
        <v>341.0</v>
      </c>
      <c r="B258" s="184">
        <v>9.0</v>
      </c>
      <c r="C258" s="184" t="s">
        <v>9451</v>
      </c>
      <c r="D258" s="184" t="s">
        <v>8084</v>
      </c>
      <c r="E258" s="185" t="s">
        <v>8085</v>
      </c>
      <c r="F258" s="184" t="s">
        <v>227</v>
      </c>
    </row>
    <row r="259" ht="22.5" customHeight="1">
      <c r="A259" s="351">
        <v>342.0</v>
      </c>
      <c r="B259" s="184">
        <v>10.0</v>
      </c>
      <c r="C259" s="184" t="s">
        <v>9452</v>
      </c>
      <c r="D259" s="184" t="s">
        <v>8086</v>
      </c>
      <c r="E259" s="185" t="s">
        <v>8087</v>
      </c>
      <c r="F259" s="184" t="s">
        <v>227</v>
      </c>
    </row>
    <row r="260" ht="22.5" customHeight="1">
      <c r="A260" s="351">
        <v>343.0</v>
      </c>
      <c r="B260" s="184">
        <v>11.0</v>
      </c>
      <c r="C260" s="184" t="s">
        <v>9453</v>
      </c>
      <c r="D260" s="186" t="s">
        <v>8088</v>
      </c>
      <c r="E260" s="185" t="s">
        <v>8089</v>
      </c>
      <c r="F260" s="184" t="s">
        <v>220</v>
      </c>
    </row>
    <row r="261" ht="22.5" customHeight="1">
      <c r="A261" s="351">
        <v>344.0</v>
      </c>
      <c r="B261" s="184">
        <v>12.0</v>
      </c>
      <c r="C261" s="184" t="s">
        <v>9454</v>
      </c>
      <c r="D261" s="184" t="s">
        <v>8088</v>
      </c>
      <c r="E261" s="185" t="s">
        <v>8090</v>
      </c>
      <c r="F261" s="184" t="s">
        <v>220</v>
      </c>
    </row>
    <row r="262" ht="22.5" customHeight="1">
      <c r="A262" s="351">
        <v>345.0</v>
      </c>
      <c r="B262" s="184">
        <v>13.0</v>
      </c>
      <c r="C262" s="184" t="s">
        <v>9455</v>
      </c>
      <c r="D262" s="184" t="s">
        <v>8091</v>
      </c>
      <c r="E262" s="185" t="s">
        <v>8092</v>
      </c>
      <c r="F262" s="184" t="s">
        <v>227</v>
      </c>
    </row>
    <row r="263" ht="22.5" customHeight="1">
      <c r="A263" s="351">
        <v>346.0</v>
      </c>
      <c r="B263" s="184">
        <v>14.0</v>
      </c>
      <c r="C263" s="184" t="s">
        <v>9456</v>
      </c>
      <c r="D263" s="184" t="s">
        <v>8093</v>
      </c>
      <c r="E263" s="202" t="s">
        <v>8094</v>
      </c>
      <c r="F263" s="184" t="s">
        <v>220</v>
      </c>
    </row>
    <row r="264" ht="22.5" customHeight="1">
      <c r="A264" s="351">
        <v>347.0</v>
      </c>
      <c r="B264" s="184">
        <v>15.0</v>
      </c>
      <c r="C264" s="184" t="s">
        <v>9457</v>
      </c>
      <c r="D264" s="184" t="s">
        <v>8095</v>
      </c>
      <c r="E264" s="185" t="s">
        <v>8096</v>
      </c>
      <c r="F264" s="184" t="s">
        <v>220</v>
      </c>
    </row>
    <row r="265" ht="22.5" customHeight="1">
      <c r="A265" s="351">
        <v>348.0</v>
      </c>
      <c r="B265" s="184">
        <v>16.0</v>
      </c>
      <c r="C265" s="184" t="s">
        <v>9458</v>
      </c>
      <c r="D265" s="186" t="s">
        <v>8097</v>
      </c>
      <c r="E265" s="185" t="s">
        <v>8098</v>
      </c>
      <c r="F265" s="184" t="s">
        <v>227</v>
      </c>
    </row>
    <row r="266" ht="22.5" customHeight="1">
      <c r="A266" s="351">
        <v>349.0</v>
      </c>
      <c r="B266" s="184">
        <v>17.0</v>
      </c>
      <c r="C266" s="184" t="s">
        <v>9459</v>
      </c>
      <c r="D266" s="184" t="s">
        <v>8099</v>
      </c>
      <c r="E266" s="185" t="s">
        <v>8100</v>
      </c>
      <c r="F266" s="184" t="s">
        <v>227</v>
      </c>
    </row>
    <row r="267" ht="22.5" customHeight="1">
      <c r="A267" s="351">
        <v>350.0</v>
      </c>
      <c r="B267" s="184">
        <v>18.0</v>
      </c>
      <c r="C267" s="184" t="s">
        <v>9460</v>
      </c>
      <c r="D267" s="186" t="s">
        <v>8101</v>
      </c>
      <c r="E267" s="185" t="s">
        <v>8102</v>
      </c>
      <c r="F267" s="184" t="s">
        <v>227</v>
      </c>
    </row>
    <row r="268" ht="22.5" customHeight="1">
      <c r="A268" s="351">
        <v>351.0</v>
      </c>
      <c r="B268" s="184">
        <v>19.0</v>
      </c>
      <c r="C268" s="184" t="s">
        <v>9461</v>
      </c>
      <c r="D268" s="184" t="s">
        <v>8103</v>
      </c>
      <c r="E268" s="185" t="s">
        <v>8104</v>
      </c>
      <c r="F268" s="184" t="s">
        <v>220</v>
      </c>
    </row>
    <row r="269" ht="22.5" customHeight="1">
      <c r="A269" s="351">
        <v>352.0</v>
      </c>
      <c r="B269" s="184">
        <v>20.0</v>
      </c>
      <c r="C269" s="184" t="s">
        <v>9462</v>
      </c>
      <c r="D269" s="184" t="s">
        <v>8105</v>
      </c>
      <c r="E269" s="185" t="s">
        <v>8106</v>
      </c>
      <c r="F269" s="184" t="s">
        <v>227</v>
      </c>
    </row>
    <row r="270" ht="22.5" customHeight="1">
      <c r="A270" s="351">
        <v>353.0</v>
      </c>
      <c r="B270" s="184">
        <v>21.0</v>
      </c>
      <c r="C270" s="184" t="s">
        <v>9463</v>
      </c>
      <c r="D270" s="184" t="s">
        <v>8107</v>
      </c>
      <c r="E270" s="202" t="s">
        <v>8108</v>
      </c>
      <c r="F270" s="184" t="s">
        <v>220</v>
      </c>
    </row>
    <row r="271" ht="22.5" customHeight="1">
      <c r="A271" s="351">
        <v>354.0</v>
      </c>
      <c r="B271" s="184">
        <v>22.0</v>
      </c>
      <c r="C271" s="184" t="s">
        <v>9464</v>
      </c>
      <c r="D271" s="184" t="s">
        <v>8109</v>
      </c>
      <c r="E271" s="185" t="s">
        <v>8110</v>
      </c>
      <c r="F271" s="184" t="s">
        <v>220</v>
      </c>
    </row>
    <row r="272" ht="22.5" customHeight="1">
      <c r="A272" s="351">
        <v>355.0</v>
      </c>
      <c r="B272" s="184">
        <v>23.0</v>
      </c>
      <c r="C272" s="184" t="s">
        <v>9465</v>
      </c>
      <c r="D272" s="186" t="s">
        <v>8111</v>
      </c>
      <c r="E272" s="202" t="s">
        <v>8112</v>
      </c>
      <c r="F272" s="184" t="s">
        <v>220</v>
      </c>
    </row>
    <row r="273" ht="22.5" customHeight="1">
      <c r="A273" s="351">
        <v>356.0</v>
      </c>
      <c r="B273" s="184">
        <v>24.0</v>
      </c>
      <c r="C273" s="184" t="s">
        <v>9466</v>
      </c>
      <c r="D273" s="184" t="s">
        <v>8113</v>
      </c>
      <c r="E273" s="185" t="s">
        <v>8114</v>
      </c>
      <c r="F273" s="184" t="s">
        <v>220</v>
      </c>
    </row>
    <row r="274" ht="22.5" customHeight="1">
      <c r="A274" s="351">
        <v>357.0</v>
      </c>
      <c r="B274" s="184">
        <v>25.0</v>
      </c>
      <c r="C274" s="184" t="s">
        <v>9467</v>
      </c>
      <c r="D274" s="186" t="s">
        <v>8115</v>
      </c>
      <c r="E274" s="185" t="s">
        <v>8116</v>
      </c>
      <c r="F274" s="184" t="s">
        <v>220</v>
      </c>
    </row>
    <row r="275" ht="22.5" customHeight="1">
      <c r="A275" s="351">
        <v>358.0</v>
      </c>
      <c r="B275" s="184">
        <v>26.0</v>
      </c>
      <c r="C275" s="184" t="s">
        <v>9468</v>
      </c>
      <c r="D275" s="184" t="s">
        <v>8117</v>
      </c>
      <c r="E275" s="185" t="s">
        <v>8118</v>
      </c>
      <c r="F275" s="184" t="s">
        <v>220</v>
      </c>
    </row>
    <row r="276" ht="22.5" customHeight="1">
      <c r="A276" s="351">
        <v>359.0</v>
      </c>
      <c r="B276" s="184">
        <v>27.0</v>
      </c>
      <c r="C276" s="184" t="s">
        <v>9469</v>
      </c>
      <c r="D276" s="184" t="s">
        <v>8119</v>
      </c>
      <c r="E276" s="185" t="s">
        <v>8120</v>
      </c>
      <c r="F276" s="184" t="s">
        <v>220</v>
      </c>
    </row>
    <row r="277" ht="22.5" customHeight="1">
      <c r="A277" s="351">
        <v>360.0</v>
      </c>
      <c r="B277" s="184">
        <v>28.0</v>
      </c>
      <c r="C277" s="184" t="s">
        <v>9470</v>
      </c>
      <c r="D277" s="186" t="s">
        <v>8121</v>
      </c>
      <c r="E277" s="185" t="s">
        <v>8122</v>
      </c>
      <c r="F277" s="184" t="s">
        <v>227</v>
      </c>
    </row>
    <row r="278" ht="22.5" customHeight="1">
      <c r="A278" s="351">
        <v>361.0</v>
      </c>
      <c r="B278" s="184">
        <v>29.0</v>
      </c>
      <c r="C278" s="184" t="s">
        <v>9471</v>
      </c>
      <c r="D278" s="186" t="s">
        <v>8123</v>
      </c>
      <c r="E278" s="185" t="s">
        <v>8124</v>
      </c>
      <c r="F278" s="184" t="s">
        <v>220</v>
      </c>
    </row>
    <row r="279" ht="22.5" customHeight="1">
      <c r="A279" s="351">
        <v>362.0</v>
      </c>
      <c r="B279" s="184">
        <v>30.0</v>
      </c>
      <c r="C279" s="184" t="s">
        <v>9472</v>
      </c>
      <c r="D279" s="184" t="s">
        <v>8125</v>
      </c>
      <c r="E279" s="185" t="s">
        <v>8126</v>
      </c>
      <c r="F279" s="184" t="s">
        <v>227</v>
      </c>
    </row>
    <row r="280" ht="22.5" customHeight="1">
      <c r="A280" s="351">
        <v>363.0</v>
      </c>
      <c r="B280" s="184">
        <v>31.0</v>
      </c>
      <c r="C280" s="184" t="s">
        <v>9473</v>
      </c>
      <c r="D280" s="186" t="s">
        <v>8127</v>
      </c>
      <c r="E280" s="185" t="s">
        <v>8128</v>
      </c>
      <c r="F280" s="184" t="s">
        <v>220</v>
      </c>
    </row>
    <row r="281" ht="22.5" customHeight="1">
      <c r="A281" s="351">
        <v>364.0</v>
      </c>
      <c r="B281" s="184">
        <v>32.0</v>
      </c>
      <c r="C281" s="184" t="s">
        <v>9474</v>
      </c>
      <c r="D281" s="184" t="s">
        <v>8129</v>
      </c>
      <c r="E281" s="202" t="s">
        <v>8130</v>
      </c>
      <c r="F281" s="184" t="s">
        <v>220</v>
      </c>
    </row>
    <row r="282" ht="22.5" customHeight="1">
      <c r="A282" s="351">
        <v>365.0</v>
      </c>
      <c r="B282" s="184">
        <v>33.0</v>
      </c>
      <c r="C282" s="184" t="s">
        <v>9475</v>
      </c>
      <c r="D282" s="184" t="s">
        <v>8131</v>
      </c>
      <c r="E282" s="202" t="s">
        <v>8132</v>
      </c>
      <c r="F282" s="184" t="s">
        <v>227</v>
      </c>
    </row>
    <row r="283" ht="22.5" customHeight="1">
      <c r="A283" s="351">
        <v>366.0</v>
      </c>
      <c r="B283" s="184">
        <v>34.0</v>
      </c>
      <c r="C283" s="184" t="s">
        <v>9476</v>
      </c>
      <c r="D283" s="184" t="s">
        <v>8133</v>
      </c>
      <c r="E283" s="185" t="s">
        <v>8134</v>
      </c>
      <c r="F283" s="184" t="s">
        <v>227</v>
      </c>
    </row>
    <row r="284" ht="22.5" customHeight="1">
      <c r="A284" s="351">
        <v>367.0</v>
      </c>
      <c r="B284" s="184">
        <v>35.0</v>
      </c>
      <c r="C284" s="184" t="s">
        <v>9477</v>
      </c>
      <c r="D284" s="184" t="s">
        <v>8135</v>
      </c>
      <c r="E284" s="185" t="s">
        <v>8136</v>
      </c>
      <c r="F284" s="184" t="s">
        <v>220</v>
      </c>
    </row>
    <row r="285" ht="22.5" customHeight="1">
      <c r="A285" s="351">
        <v>368.0</v>
      </c>
      <c r="B285" s="184">
        <v>36.0</v>
      </c>
      <c r="C285" s="201" t="s">
        <v>9478</v>
      </c>
      <c r="D285" s="208" t="s">
        <v>8137</v>
      </c>
      <c r="E285" s="209" t="s">
        <v>8138</v>
      </c>
      <c r="F285" s="201" t="s">
        <v>220</v>
      </c>
    </row>
    <row r="286" ht="22.5" hidden="1" customHeight="1">
      <c r="A286" s="352">
        <v>369.0</v>
      </c>
      <c r="B286" s="188"/>
      <c r="C286" s="190"/>
      <c r="D286" s="188"/>
      <c r="E286" s="190"/>
      <c r="F286" s="188"/>
    </row>
    <row r="287" ht="22.5" hidden="1" customHeight="1">
      <c r="A287" s="352">
        <v>370.0</v>
      </c>
      <c r="B287" s="188"/>
      <c r="C287" s="190"/>
      <c r="D287" s="188"/>
      <c r="E287" s="190"/>
      <c r="F287" s="188"/>
    </row>
    <row r="288" ht="22.5" hidden="1" customHeight="1">
      <c r="A288" s="352">
        <v>371.0</v>
      </c>
      <c r="B288" s="188"/>
      <c r="C288" s="190"/>
      <c r="D288" s="188"/>
      <c r="E288" s="190"/>
      <c r="F288" s="188"/>
    </row>
    <row r="289" ht="22.5" hidden="1" customHeight="1">
      <c r="A289" s="352">
        <v>372.0</v>
      </c>
      <c r="B289" s="188"/>
      <c r="C289" s="188"/>
      <c r="D289" s="188"/>
      <c r="E289" s="188"/>
      <c r="F289" s="188"/>
    </row>
    <row r="290" ht="22.5" hidden="1" customHeight="1">
      <c r="A290" s="353">
        <v>384.0</v>
      </c>
      <c r="B290" s="191"/>
      <c r="C290" s="192"/>
      <c r="D290" s="192"/>
      <c r="E290" s="192"/>
      <c r="F290" s="192"/>
    </row>
    <row r="291" ht="22.5" hidden="1" customHeight="1">
      <c r="A291" s="346">
        <v>385.0</v>
      </c>
      <c r="B291" s="193"/>
      <c r="C291" s="194"/>
      <c r="D291" s="194"/>
      <c r="E291" s="194"/>
      <c r="F291" s="194"/>
    </row>
    <row r="292" ht="22.5" hidden="1" customHeight="1">
      <c r="A292" s="346">
        <v>386.0</v>
      </c>
      <c r="B292" s="176"/>
      <c r="C292" s="177"/>
      <c r="D292" s="177"/>
      <c r="E292" s="177"/>
      <c r="F292" s="177"/>
    </row>
    <row r="293" ht="22.5" hidden="1" customHeight="1">
      <c r="A293" s="347">
        <v>387.0</v>
      </c>
      <c r="B293" s="178"/>
      <c r="C293" s="177"/>
      <c r="D293" s="177"/>
      <c r="E293" s="177"/>
      <c r="F293" s="177"/>
    </row>
    <row r="294" ht="22.5" hidden="1" customHeight="1">
      <c r="A294" s="348">
        <v>388.0</v>
      </c>
      <c r="B294" s="179"/>
      <c r="C294" s="180"/>
      <c r="D294" s="180"/>
      <c r="E294" s="180"/>
      <c r="F294" s="180"/>
    </row>
    <row r="295" ht="22.5" hidden="1" customHeight="1">
      <c r="A295" s="349">
        <v>389.0</v>
      </c>
      <c r="B295" s="181"/>
      <c r="C295" s="181"/>
      <c r="D295" s="181"/>
      <c r="E295" s="181"/>
      <c r="F295" s="181"/>
    </row>
    <row r="296" ht="22.5" hidden="1" customHeight="1">
      <c r="A296" s="350">
        <v>390.0</v>
      </c>
      <c r="B296" s="182"/>
      <c r="C296" s="182"/>
      <c r="D296" s="182"/>
      <c r="E296" s="182"/>
      <c r="F296" s="182"/>
    </row>
    <row r="297" ht="22.5" hidden="1" customHeight="1">
      <c r="A297" s="350">
        <v>391.0</v>
      </c>
      <c r="B297" s="183"/>
      <c r="C297" s="183"/>
      <c r="D297" s="183"/>
      <c r="E297" s="183"/>
      <c r="F297" s="183"/>
    </row>
    <row r="298" ht="22.5" customHeight="1">
      <c r="A298" s="351">
        <v>392.0</v>
      </c>
      <c r="B298" s="184">
        <v>1.0</v>
      </c>
      <c r="C298" s="184" t="s">
        <v>9481</v>
      </c>
      <c r="D298" s="186" t="s">
        <v>8139</v>
      </c>
      <c r="E298" s="185" t="s">
        <v>8140</v>
      </c>
      <c r="F298" s="184" t="s">
        <v>220</v>
      </c>
    </row>
    <row r="299" ht="22.5" customHeight="1">
      <c r="A299" s="351">
        <v>393.0</v>
      </c>
      <c r="B299" s="184">
        <v>2.0</v>
      </c>
      <c r="C299" s="184" t="s">
        <v>9482</v>
      </c>
      <c r="D299" s="184" t="s">
        <v>8142</v>
      </c>
      <c r="E299" s="185" t="s">
        <v>8143</v>
      </c>
      <c r="F299" s="184" t="s">
        <v>227</v>
      </c>
    </row>
    <row r="300" ht="22.5" customHeight="1">
      <c r="A300" s="351">
        <v>394.0</v>
      </c>
      <c r="B300" s="184">
        <v>3.0</v>
      </c>
      <c r="C300" s="184" t="s">
        <v>9483</v>
      </c>
      <c r="D300" s="184" t="s">
        <v>8144</v>
      </c>
      <c r="E300" s="202" t="s">
        <v>8145</v>
      </c>
      <c r="F300" s="184" t="s">
        <v>227</v>
      </c>
    </row>
    <row r="301" ht="22.5" customHeight="1">
      <c r="A301" s="351">
        <v>395.0</v>
      </c>
      <c r="B301" s="184">
        <v>4.0</v>
      </c>
      <c r="C301" s="184" t="s">
        <v>9484</v>
      </c>
      <c r="D301" s="186" t="s">
        <v>8146</v>
      </c>
      <c r="E301" s="185" t="s">
        <v>8147</v>
      </c>
      <c r="F301" s="184" t="s">
        <v>227</v>
      </c>
    </row>
    <row r="302" ht="22.5" customHeight="1">
      <c r="A302" s="351">
        <v>396.0</v>
      </c>
      <c r="B302" s="184">
        <v>5.0</v>
      </c>
      <c r="C302" s="184" t="s">
        <v>9485</v>
      </c>
      <c r="D302" s="184" t="s">
        <v>8148</v>
      </c>
      <c r="E302" s="185" t="s">
        <v>8149</v>
      </c>
      <c r="F302" s="184" t="s">
        <v>227</v>
      </c>
    </row>
    <row r="303" ht="22.5" customHeight="1">
      <c r="A303" s="351">
        <v>397.0</v>
      </c>
      <c r="B303" s="184">
        <v>6.0</v>
      </c>
      <c r="C303" s="184" t="s">
        <v>9486</v>
      </c>
      <c r="D303" s="184" t="s">
        <v>8150</v>
      </c>
      <c r="E303" s="185" t="s">
        <v>8151</v>
      </c>
      <c r="F303" s="184" t="s">
        <v>227</v>
      </c>
    </row>
    <row r="304" ht="22.5" customHeight="1">
      <c r="A304" s="351">
        <v>398.0</v>
      </c>
      <c r="B304" s="184">
        <v>7.0</v>
      </c>
      <c r="C304" s="184" t="s">
        <v>9487</v>
      </c>
      <c r="D304" s="184" t="s">
        <v>8152</v>
      </c>
      <c r="E304" s="185" t="s">
        <v>8153</v>
      </c>
      <c r="F304" s="184" t="s">
        <v>227</v>
      </c>
    </row>
    <row r="305" ht="22.5" customHeight="1">
      <c r="A305" s="351">
        <v>399.0</v>
      </c>
      <c r="B305" s="184">
        <v>8.0</v>
      </c>
      <c r="C305" s="201" t="s">
        <v>9488</v>
      </c>
      <c r="D305" s="199" t="s">
        <v>8154</v>
      </c>
      <c r="E305" s="200" t="s">
        <v>8155</v>
      </c>
      <c r="F305" s="201" t="s">
        <v>227</v>
      </c>
    </row>
    <row r="306" ht="22.5" customHeight="1">
      <c r="A306" s="351">
        <v>400.0</v>
      </c>
      <c r="B306" s="184">
        <v>9.0</v>
      </c>
      <c r="C306" s="184" t="s">
        <v>9489</v>
      </c>
      <c r="D306" s="184" t="s">
        <v>8156</v>
      </c>
      <c r="E306" s="185" t="s">
        <v>8157</v>
      </c>
      <c r="F306" s="184" t="s">
        <v>220</v>
      </c>
    </row>
    <row r="307" ht="22.5" customHeight="1">
      <c r="A307" s="351">
        <v>401.0</v>
      </c>
      <c r="B307" s="184">
        <v>10.0</v>
      </c>
      <c r="C307" s="184" t="s">
        <v>9490</v>
      </c>
      <c r="D307" s="184" t="s">
        <v>8158</v>
      </c>
      <c r="E307" s="185" t="s">
        <v>8159</v>
      </c>
      <c r="F307" s="184" t="s">
        <v>227</v>
      </c>
    </row>
    <row r="308" ht="22.5" customHeight="1">
      <c r="A308" s="351">
        <v>402.0</v>
      </c>
      <c r="B308" s="184">
        <v>11.0</v>
      </c>
      <c r="C308" s="184" t="s">
        <v>9491</v>
      </c>
      <c r="D308" s="184" t="s">
        <v>8160</v>
      </c>
      <c r="E308" s="185" t="s">
        <v>8161</v>
      </c>
      <c r="F308" s="184" t="s">
        <v>227</v>
      </c>
    </row>
    <row r="309" ht="22.5" customHeight="1">
      <c r="A309" s="351">
        <v>403.0</v>
      </c>
      <c r="B309" s="184">
        <v>12.0</v>
      </c>
      <c r="C309" s="184" t="s">
        <v>9492</v>
      </c>
      <c r="D309" s="184" t="s">
        <v>8162</v>
      </c>
      <c r="E309" s="185" t="s">
        <v>8163</v>
      </c>
      <c r="F309" s="184" t="s">
        <v>220</v>
      </c>
    </row>
    <row r="310" ht="22.5" customHeight="1">
      <c r="A310" s="351">
        <v>404.0</v>
      </c>
      <c r="B310" s="184">
        <v>13.0</v>
      </c>
      <c r="C310" s="184" t="s">
        <v>9493</v>
      </c>
      <c r="D310" s="184" t="s">
        <v>8164</v>
      </c>
      <c r="E310" s="185" t="s">
        <v>8165</v>
      </c>
      <c r="F310" s="184" t="s">
        <v>220</v>
      </c>
    </row>
    <row r="311" ht="22.5" customHeight="1">
      <c r="A311" s="351">
        <v>405.0</v>
      </c>
      <c r="B311" s="184">
        <v>14.0</v>
      </c>
      <c r="C311" s="184" t="s">
        <v>9494</v>
      </c>
      <c r="D311" s="184" t="s">
        <v>8166</v>
      </c>
      <c r="E311" s="185" t="s">
        <v>8167</v>
      </c>
      <c r="F311" s="184" t="s">
        <v>220</v>
      </c>
    </row>
    <row r="312" ht="22.5" customHeight="1">
      <c r="A312" s="351">
        <v>406.0</v>
      </c>
      <c r="B312" s="184">
        <v>15.0</v>
      </c>
      <c r="C312" s="184" t="s">
        <v>9495</v>
      </c>
      <c r="D312" s="186" t="s">
        <v>8168</v>
      </c>
      <c r="E312" s="185" t="s">
        <v>8169</v>
      </c>
      <c r="F312" s="184" t="s">
        <v>227</v>
      </c>
    </row>
    <row r="313" ht="22.5" customHeight="1">
      <c r="A313" s="351">
        <v>407.0</v>
      </c>
      <c r="B313" s="184">
        <v>16.0</v>
      </c>
      <c r="C313" s="184" t="s">
        <v>9496</v>
      </c>
      <c r="D313" s="184" t="s">
        <v>8170</v>
      </c>
      <c r="E313" s="185" t="s">
        <v>8171</v>
      </c>
      <c r="F313" s="184" t="s">
        <v>220</v>
      </c>
    </row>
    <row r="314" ht="22.5" customHeight="1">
      <c r="A314" s="351">
        <v>408.0</v>
      </c>
      <c r="B314" s="184">
        <v>17.0</v>
      </c>
      <c r="C314" s="184" t="s">
        <v>9497</v>
      </c>
      <c r="D314" s="184" t="s">
        <v>8172</v>
      </c>
      <c r="E314" s="185" t="s">
        <v>8173</v>
      </c>
      <c r="F314" s="184" t="s">
        <v>227</v>
      </c>
    </row>
    <row r="315" ht="22.5" customHeight="1">
      <c r="A315" s="351">
        <v>409.0</v>
      </c>
      <c r="B315" s="184">
        <v>18.0</v>
      </c>
      <c r="C315" s="184" t="s">
        <v>9498</v>
      </c>
      <c r="D315" s="184" t="s">
        <v>8174</v>
      </c>
      <c r="E315" s="185" t="s">
        <v>8175</v>
      </c>
      <c r="F315" s="184" t="s">
        <v>220</v>
      </c>
    </row>
    <row r="316" ht="22.5" customHeight="1">
      <c r="A316" s="351">
        <v>410.0</v>
      </c>
      <c r="B316" s="184">
        <v>19.0</v>
      </c>
      <c r="C316" s="184" t="s">
        <v>9499</v>
      </c>
      <c r="D316" s="184" t="s">
        <v>8176</v>
      </c>
      <c r="E316" s="185" t="s">
        <v>8177</v>
      </c>
      <c r="F316" s="184" t="s">
        <v>227</v>
      </c>
    </row>
    <row r="317" ht="22.5" customHeight="1">
      <c r="A317" s="351">
        <v>411.0</v>
      </c>
      <c r="B317" s="184">
        <v>20.0</v>
      </c>
      <c r="C317" s="184" t="s">
        <v>9500</v>
      </c>
      <c r="D317" s="186" t="s">
        <v>8178</v>
      </c>
      <c r="E317" s="185" t="s">
        <v>8179</v>
      </c>
      <c r="F317" s="184" t="s">
        <v>227</v>
      </c>
    </row>
    <row r="318" ht="22.5" customHeight="1">
      <c r="A318" s="351">
        <v>412.0</v>
      </c>
      <c r="B318" s="184">
        <v>21.0</v>
      </c>
      <c r="C318" s="184" t="s">
        <v>9501</v>
      </c>
      <c r="D318" s="184" t="s">
        <v>8180</v>
      </c>
      <c r="E318" s="185" t="s">
        <v>8181</v>
      </c>
      <c r="F318" s="184" t="s">
        <v>227</v>
      </c>
    </row>
    <row r="319" ht="22.5" customHeight="1">
      <c r="A319" s="351">
        <v>413.0</v>
      </c>
      <c r="B319" s="184">
        <v>22.0</v>
      </c>
      <c r="C319" s="184" t="s">
        <v>9502</v>
      </c>
      <c r="D319" s="184" t="s">
        <v>8182</v>
      </c>
      <c r="E319" s="185" t="s">
        <v>8183</v>
      </c>
      <c r="F319" s="184" t="s">
        <v>227</v>
      </c>
    </row>
    <row r="320" ht="22.5" customHeight="1">
      <c r="A320" s="351">
        <v>414.0</v>
      </c>
      <c r="B320" s="184">
        <v>23.0</v>
      </c>
      <c r="C320" s="184" t="s">
        <v>9503</v>
      </c>
      <c r="D320" s="186" t="s">
        <v>8184</v>
      </c>
      <c r="E320" s="185" t="s">
        <v>8185</v>
      </c>
      <c r="F320" s="184" t="s">
        <v>227</v>
      </c>
    </row>
    <row r="321" ht="22.5" customHeight="1">
      <c r="A321" s="351">
        <v>415.0</v>
      </c>
      <c r="B321" s="184">
        <v>24.0</v>
      </c>
      <c r="C321" s="184" t="s">
        <v>9504</v>
      </c>
      <c r="D321" s="186" t="s">
        <v>8186</v>
      </c>
      <c r="E321" s="185" t="s">
        <v>8187</v>
      </c>
      <c r="F321" s="184" t="s">
        <v>227</v>
      </c>
    </row>
    <row r="322" ht="22.5" customHeight="1">
      <c r="A322" s="351">
        <v>416.0</v>
      </c>
      <c r="B322" s="184">
        <v>25.0</v>
      </c>
      <c r="C322" s="184" t="s">
        <v>9505</v>
      </c>
      <c r="D322" s="186" t="s">
        <v>8188</v>
      </c>
      <c r="E322" s="185" t="s">
        <v>8189</v>
      </c>
      <c r="F322" s="184" t="s">
        <v>220</v>
      </c>
    </row>
    <row r="323" ht="22.5" customHeight="1">
      <c r="A323" s="351">
        <v>417.0</v>
      </c>
      <c r="B323" s="184">
        <v>26.0</v>
      </c>
      <c r="C323" s="184" t="s">
        <v>9506</v>
      </c>
      <c r="D323" s="186" t="s">
        <v>8190</v>
      </c>
      <c r="E323" s="185" t="s">
        <v>8191</v>
      </c>
      <c r="F323" s="184" t="s">
        <v>220</v>
      </c>
    </row>
    <row r="324" ht="22.5" customHeight="1">
      <c r="A324" s="351">
        <v>418.0</v>
      </c>
      <c r="B324" s="184">
        <v>27.0</v>
      </c>
      <c r="C324" s="201" t="s">
        <v>8193</v>
      </c>
      <c r="D324" s="199" t="s">
        <v>8192</v>
      </c>
      <c r="E324" s="200" t="s">
        <v>8194</v>
      </c>
      <c r="F324" s="201" t="s">
        <v>220</v>
      </c>
    </row>
    <row r="325" ht="22.5" customHeight="1">
      <c r="A325" s="351">
        <v>419.0</v>
      </c>
      <c r="B325" s="184">
        <v>28.0</v>
      </c>
      <c r="C325" s="184" t="s">
        <v>9507</v>
      </c>
      <c r="D325" s="184" t="s">
        <v>8195</v>
      </c>
      <c r="E325" s="202" t="s">
        <v>8196</v>
      </c>
      <c r="F325" s="184" t="s">
        <v>227</v>
      </c>
    </row>
    <row r="326" ht="22.5" customHeight="1">
      <c r="A326" s="351">
        <v>431.0</v>
      </c>
      <c r="B326" s="184">
        <v>29.0</v>
      </c>
      <c r="C326" s="184" t="s">
        <v>9508</v>
      </c>
      <c r="D326" s="186" t="s">
        <v>8197</v>
      </c>
      <c r="E326" s="185" t="s">
        <v>8198</v>
      </c>
      <c r="F326" s="184" t="s">
        <v>220</v>
      </c>
    </row>
    <row r="327" ht="22.5" customHeight="1">
      <c r="A327" s="351">
        <v>432.0</v>
      </c>
      <c r="B327" s="184">
        <v>30.0</v>
      </c>
      <c r="C327" s="184" t="s">
        <v>9509</v>
      </c>
      <c r="D327" s="186" t="s">
        <v>8199</v>
      </c>
      <c r="E327" s="185" t="s">
        <v>8200</v>
      </c>
      <c r="F327" s="184" t="s">
        <v>227</v>
      </c>
    </row>
    <row r="328" ht="22.5" customHeight="1">
      <c r="A328" s="351">
        <v>433.0</v>
      </c>
      <c r="B328" s="184">
        <v>31.0</v>
      </c>
      <c r="C328" s="184" t="s">
        <v>9510</v>
      </c>
      <c r="D328" s="184" t="s">
        <v>8201</v>
      </c>
      <c r="E328" s="185" t="s">
        <v>8202</v>
      </c>
      <c r="F328" s="184" t="s">
        <v>227</v>
      </c>
    </row>
    <row r="329" ht="22.5" customHeight="1">
      <c r="A329" s="351">
        <v>434.0</v>
      </c>
      <c r="B329" s="184">
        <v>32.0</v>
      </c>
      <c r="C329" s="184" t="s">
        <v>9511</v>
      </c>
      <c r="D329" s="184" t="s">
        <v>8203</v>
      </c>
      <c r="E329" s="185" t="s">
        <v>8204</v>
      </c>
      <c r="F329" s="184" t="s">
        <v>227</v>
      </c>
    </row>
    <row r="330" ht="22.5" customHeight="1">
      <c r="A330" s="351">
        <v>435.0</v>
      </c>
      <c r="B330" s="184">
        <v>33.0</v>
      </c>
      <c r="C330" s="184" t="s">
        <v>9512</v>
      </c>
      <c r="D330" s="186" t="s">
        <v>8205</v>
      </c>
      <c r="E330" s="185" t="s">
        <v>8206</v>
      </c>
      <c r="F330" s="184" t="s">
        <v>220</v>
      </c>
    </row>
    <row r="331" ht="22.5" customHeight="1">
      <c r="A331" s="351">
        <v>436.0</v>
      </c>
      <c r="B331" s="184">
        <v>34.0</v>
      </c>
      <c r="C331" s="184" t="s">
        <v>9513</v>
      </c>
      <c r="D331" s="184" t="s">
        <v>8207</v>
      </c>
      <c r="E331" s="185" t="s">
        <v>8208</v>
      </c>
      <c r="F331" s="184" t="s">
        <v>227</v>
      </c>
    </row>
    <row r="332" ht="22.5" customHeight="1">
      <c r="A332" s="351">
        <v>437.0</v>
      </c>
      <c r="B332" s="184">
        <v>35.0</v>
      </c>
      <c r="C332" s="184" t="s">
        <v>9514</v>
      </c>
      <c r="D332" s="186" t="s">
        <v>8209</v>
      </c>
      <c r="E332" s="185" t="s">
        <v>8210</v>
      </c>
      <c r="F332" s="184" t="s">
        <v>227</v>
      </c>
    </row>
    <row r="333" ht="22.5" customHeight="1">
      <c r="A333" s="351">
        <v>438.0</v>
      </c>
      <c r="B333" s="184">
        <v>36.0</v>
      </c>
      <c r="C333" s="184">
        <v>2.32410412E8</v>
      </c>
      <c r="D333" s="186" t="s">
        <v>8211</v>
      </c>
      <c r="E333" s="185" t="s">
        <v>8212</v>
      </c>
      <c r="F333" s="184" t="s">
        <v>220</v>
      </c>
    </row>
    <row r="334" ht="22.5" hidden="1" customHeight="1">
      <c r="A334" s="352">
        <v>439.0</v>
      </c>
      <c r="B334" s="197"/>
      <c r="C334" s="197"/>
      <c r="D334" s="197"/>
      <c r="E334" s="197"/>
      <c r="F334" s="197"/>
    </row>
    <row r="335" ht="22.5" hidden="1" customHeight="1">
      <c r="A335" s="352">
        <v>440.0</v>
      </c>
      <c r="B335" s="188"/>
      <c r="C335" s="190"/>
      <c r="D335" s="188"/>
      <c r="E335" s="190"/>
      <c r="F335" s="188"/>
    </row>
    <row r="336" ht="22.5" hidden="1" customHeight="1">
      <c r="A336" s="352">
        <v>441.0</v>
      </c>
      <c r="B336" s="188"/>
      <c r="C336" s="190"/>
      <c r="D336" s="188"/>
      <c r="E336" s="190"/>
      <c r="F336" s="188"/>
    </row>
    <row r="337" ht="22.5" hidden="1" customHeight="1">
      <c r="A337" s="352">
        <v>442.0</v>
      </c>
      <c r="B337" s="188"/>
      <c r="C337" s="190"/>
      <c r="D337" s="188"/>
      <c r="E337" s="190"/>
      <c r="F337" s="188"/>
    </row>
    <row r="338" ht="22.5" hidden="1" customHeight="1">
      <c r="A338" s="352">
        <v>443.0</v>
      </c>
      <c r="B338" s="188"/>
      <c r="C338" s="188"/>
      <c r="D338" s="188"/>
      <c r="E338" s="188"/>
      <c r="F338" s="188"/>
    </row>
    <row r="339" ht="22.5" hidden="1" customHeight="1">
      <c r="A339" s="353">
        <v>444.0</v>
      </c>
      <c r="B339" s="191"/>
      <c r="C339" s="192"/>
      <c r="D339" s="192"/>
      <c r="E339" s="192"/>
      <c r="F339" s="192"/>
    </row>
    <row r="340" ht="22.5" hidden="1" customHeight="1">
      <c r="A340" s="346">
        <v>445.0</v>
      </c>
      <c r="B340" s="193"/>
      <c r="C340" s="194"/>
      <c r="D340" s="194"/>
      <c r="E340" s="194"/>
      <c r="F340" s="194"/>
    </row>
    <row r="341" ht="22.5" hidden="1" customHeight="1">
      <c r="A341" s="346">
        <v>446.0</v>
      </c>
      <c r="B341" s="176"/>
      <c r="C341" s="177"/>
      <c r="D341" s="177"/>
      <c r="E341" s="177"/>
      <c r="F341" s="177"/>
    </row>
    <row r="342" ht="22.5" hidden="1" customHeight="1">
      <c r="A342" s="347">
        <v>447.0</v>
      </c>
      <c r="B342" s="178"/>
      <c r="C342" s="177"/>
      <c r="D342" s="177"/>
      <c r="E342" s="177"/>
      <c r="F342" s="177"/>
    </row>
    <row r="343" ht="22.5" hidden="1" customHeight="1">
      <c r="A343" s="348">
        <v>448.0</v>
      </c>
      <c r="B343" s="179"/>
      <c r="C343" s="180"/>
      <c r="D343" s="180"/>
      <c r="E343" s="180"/>
      <c r="F343" s="180"/>
    </row>
    <row r="344" ht="22.5" hidden="1" customHeight="1">
      <c r="A344" s="349">
        <v>449.0</v>
      </c>
      <c r="B344" s="181"/>
      <c r="C344" s="181"/>
      <c r="D344" s="181"/>
      <c r="E344" s="181"/>
      <c r="F344" s="181"/>
    </row>
    <row r="345" ht="22.5" hidden="1" customHeight="1">
      <c r="A345" s="350">
        <v>450.0</v>
      </c>
      <c r="B345" s="182"/>
      <c r="C345" s="182"/>
      <c r="D345" s="182"/>
      <c r="E345" s="182"/>
      <c r="F345" s="182"/>
    </row>
    <row r="346" ht="22.5" hidden="1" customHeight="1">
      <c r="A346" s="350">
        <v>451.0</v>
      </c>
      <c r="B346" s="183"/>
      <c r="C346" s="183"/>
      <c r="D346" s="183"/>
      <c r="E346" s="183"/>
      <c r="F346" s="183"/>
    </row>
    <row r="347" ht="22.5" customHeight="1">
      <c r="A347" s="351">
        <v>452.0</v>
      </c>
      <c r="B347" s="184">
        <v>1.0</v>
      </c>
      <c r="C347" s="184" t="s">
        <v>9517</v>
      </c>
      <c r="D347" s="186" t="s">
        <v>8213</v>
      </c>
      <c r="E347" s="185" t="s">
        <v>8214</v>
      </c>
      <c r="F347" s="190" t="s">
        <v>220</v>
      </c>
    </row>
    <row r="348" ht="22.5" customHeight="1">
      <c r="A348" s="351">
        <v>453.0</v>
      </c>
      <c r="B348" s="184">
        <v>2.0</v>
      </c>
      <c r="C348" s="184" t="s">
        <v>9518</v>
      </c>
      <c r="D348" s="184" t="s">
        <v>8216</v>
      </c>
      <c r="E348" s="185" t="s">
        <v>8217</v>
      </c>
      <c r="F348" s="184" t="s">
        <v>227</v>
      </c>
    </row>
    <row r="349" ht="22.5" customHeight="1">
      <c r="A349" s="351">
        <v>454.0</v>
      </c>
      <c r="B349" s="184">
        <v>3.0</v>
      </c>
      <c r="C349" s="184">
        <v>2.32410034E8</v>
      </c>
      <c r="D349" s="186" t="s">
        <v>8218</v>
      </c>
      <c r="E349" s="185" t="s">
        <v>8219</v>
      </c>
      <c r="F349" s="184" t="s">
        <v>227</v>
      </c>
    </row>
    <row r="350" ht="22.5" customHeight="1">
      <c r="A350" s="351">
        <v>455.0</v>
      </c>
      <c r="B350" s="184">
        <v>4.0</v>
      </c>
      <c r="C350" s="184" t="s">
        <v>9519</v>
      </c>
      <c r="D350" s="184" t="s">
        <v>8220</v>
      </c>
      <c r="E350" s="185" t="s">
        <v>8221</v>
      </c>
      <c r="F350" s="184" t="s">
        <v>227</v>
      </c>
    </row>
    <row r="351" ht="22.5" customHeight="1">
      <c r="A351" s="351">
        <v>456.0</v>
      </c>
      <c r="B351" s="184">
        <v>5.0</v>
      </c>
      <c r="C351" s="184" t="s">
        <v>9520</v>
      </c>
      <c r="D351" s="184" t="s">
        <v>8222</v>
      </c>
      <c r="E351" s="185" t="s">
        <v>8223</v>
      </c>
      <c r="F351" s="184" t="s">
        <v>227</v>
      </c>
    </row>
    <row r="352" ht="22.5" customHeight="1">
      <c r="A352" s="351">
        <v>457.0</v>
      </c>
      <c r="B352" s="184">
        <v>6.0</v>
      </c>
      <c r="C352" s="184" t="s">
        <v>9521</v>
      </c>
      <c r="D352" s="184" t="s">
        <v>8224</v>
      </c>
      <c r="E352" s="185" t="s">
        <v>8225</v>
      </c>
      <c r="F352" s="184" t="s">
        <v>227</v>
      </c>
    </row>
    <row r="353" ht="22.5" customHeight="1">
      <c r="A353" s="351">
        <v>458.0</v>
      </c>
      <c r="B353" s="184">
        <v>7.0</v>
      </c>
      <c r="C353" s="184" t="s">
        <v>9522</v>
      </c>
      <c r="D353" s="186" t="s">
        <v>8226</v>
      </c>
      <c r="E353" s="185" t="s">
        <v>8227</v>
      </c>
      <c r="F353" s="184" t="s">
        <v>227</v>
      </c>
    </row>
    <row r="354" ht="22.5" customHeight="1">
      <c r="A354" s="351">
        <v>459.0</v>
      </c>
      <c r="B354" s="184">
        <v>8.0</v>
      </c>
      <c r="C354" s="184" t="s">
        <v>9523</v>
      </c>
      <c r="D354" s="186" t="s">
        <v>8228</v>
      </c>
      <c r="E354" s="185" t="s">
        <v>8230</v>
      </c>
      <c r="F354" s="184" t="s">
        <v>220</v>
      </c>
    </row>
    <row r="355" ht="22.5" customHeight="1">
      <c r="A355" s="351">
        <v>460.0</v>
      </c>
      <c r="B355" s="184">
        <v>9.0</v>
      </c>
      <c r="C355" s="184" t="s">
        <v>9524</v>
      </c>
      <c r="D355" s="186" t="s">
        <v>8231</v>
      </c>
      <c r="E355" s="185" t="s">
        <v>8232</v>
      </c>
      <c r="F355" s="184" t="s">
        <v>227</v>
      </c>
    </row>
    <row r="356" ht="22.5" customHeight="1">
      <c r="A356" s="351">
        <v>461.0</v>
      </c>
      <c r="B356" s="184">
        <v>10.0</v>
      </c>
      <c r="C356" s="184" t="s">
        <v>9525</v>
      </c>
      <c r="D356" s="186" t="s">
        <v>8233</v>
      </c>
      <c r="E356" s="185" t="s">
        <v>8234</v>
      </c>
      <c r="F356" s="184" t="s">
        <v>227</v>
      </c>
    </row>
    <row r="357" ht="22.5" customHeight="1">
      <c r="A357" s="351">
        <v>462.0</v>
      </c>
      <c r="B357" s="184">
        <v>11.0</v>
      </c>
      <c r="C357" s="184" t="s">
        <v>9526</v>
      </c>
      <c r="D357" s="210" t="s">
        <v>7790</v>
      </c>
      <c r="E357" s="185" t="s">
        <v>8235</v>
      </c>
      <c r="F357" s="184" t="s">
        <v>227</v>
      </c>
    </row>
    <row r="358" ht="22.5" customHeight="1">
      <c r="A358" s="351">
        <v>463.0</v>
      </c>
      <c r="B358" s="184">
        <v>12.0</v>
      </c>
      <c r="C358" s="184" t="s">
        <v>9527</v>
      </c>
      <c r="D358" s="186" t="s">
        <v>8236</v>
      </c>
      <c r="E358" s="185" t="s">
        <v>8237</v>
      </c>
      <c r="F358" s="184" t="s">
        <v>227</v>
      </c>
    </row>
    <row r="359" ht="22.5" customHeight="1">
      <c r="A359" s="351">
        <v>464.0</v>
      </c>
      <c r="B359" s="184">
        <v>13.0</v>
      </c>
      <c r="C359" s="184" t="s">
        <v>9528</v>
      </c>
      <c r="D359" s="186" t="s">
        <v>7715</v>
      </c>
      <c r="E359" s="185" t="s">
        <v>8238</v>
      </c>
      <c r="F359" s="184" t="s">
        <v>227</v>
      </c>
    </row>
    <row r="360" ht="22.5" customHeight="1">
      <c r="A360" s="351">
        <v>465.0</v>
      </c>
      <c r="B360" s="184">
        <v>14.0</v>
      </c>
      <c r="C360" s="184" t="s">
        <v>9529</v>
      </c>
      <c r="D360" s="184" t="s">
        <v>8239</v>
      </c>
      <c r="E360" s="185" t="s">
        <v>8240</v>
      </c>
      <c r="F360" s="184" t="s">
        <v>220</v>
      </c>
    </row>
    <row r="361" ht="22.5" customHeight="1">
      <c r="A361" s="351">
        <v>466.0</v>
      </c>
      <c r="B361" s="184">
        <v>15.0</v>
      </c>
      <c r="C361" s="184" t="s">
        <v>9530</v>
      </c>
      <c r="D361" s="186" t="s">
        <v>8241</v>
      </c>
      <c r="E361" s="185" t="s">
        <v>8242</v>
      </c>
      <c r="F361" s="184" t="s">
        <v>227</v>
      </c>
    </row>
    <row r="362" ht="22.5" customHeight="1">
      <c r="A362" s="351">
        <v>478.0</v>
      </c>
      <c r="B362" s="184">
        <v>16.0</v>
      </c>
      <c r="C362" s="184" t="s">
        <v>9531</v>
      </c>
      <c r="D362" s="186" t="s">
        <v>8243</v>
      </c>
      <c r="E362" s="185" t="s">
        <v>8244</v>
      </c>
      <c r="F362" s="184" t="s">
        <v>227</v>
      </c>
    </row>
    <row r="363" ht="22.5" customHeight="1">
      <c r="A363" s="351">
        <v>479.0</v>
      </c>
      <c r="B363" s="184">
        <v>17.0</v>
      </c>
      <c r="C363" s="184" t="s">
        <v>9532</v>
      </c>
      <c r="D363" s="184" t="s">
        <v>8245</v>
      </c>
      <c r="E363" s="185" t="s">
        <v>8246</v>
      </c>
      <c r="F363" s="184" t="s">
        <v>227</v>
      </c>
    </row>
    <row r="364" ht="22.5" customHeight="1">
      <c r="A364" s="351">
        <v>480.0</v>
      </c>
      <c r="B364" s="184">
        <v>18.0</v>
      </c>
      <c r="C364" s="184" t="s">
        <v>9533</v>
      </c>
      <c r="D364" s="186" t="s">
        <v>8247</v>
      </c>
      <c r="E364" s="185" t="s">
        <v>8248</v>
      </c>
      <c r="F364" s="184" t="s">
        <v>220</v>
      </c>
    </row>
    <row r="365" ht="22.5" customHeight="1">
      <c r="A365" s="351">
        <v>481.0</v>
      </c>
      <c r="B365" s="184">
        <v>19.0</v>
      </c>
      <c r="C365" s="184" t="s">
        <v>9534</v>
      </c>
      <c r="D365" s="186" t="s">
        <v>8249</v>
      </c>
      <c r="E365" s="185" t="s">
        <v>8250</v>
      </c>
      <c r="F365" s="184" t="s">
        <v>220</v>
      </c>
    </row>
    <row r="366" ht="22.5" customHeight="1">
      <c r="A366" s="351">
        <v>482.0</v>
      </c>
      <c r="B366" s="184">
        <v>20.0</v>
      </c>
      <c r="C366" s="184" t="s">
        <v>9535</v>
      </c>
      <c r="D366" s="186" t="s">
        <v>8251</v>
      </c>
      <c r="E366" s="185" t="s">
        <v>8252</v>
      </c>
      <c r="F366" s="184" t="s">
        <v>220</v>
      </c>
    </row>
    <row r="367" ht="22.5" customHeight="1">
      <c r="A367" s="351">
        <v>483.0</v>
      </c>
      <c r="B367" s="184">
        <v>21.0</v>
      </c>
      <c r="C367" s="184" t="s">
        <v>9536</v>
      </c>
      <c r="D367" s="186" t="s">
        <v>8253</v>
      </c>
      <c r="E367" s="185" t="s">
        <v>8254</v>
      </c>
      <c r="F367" s="184" t="s">
        <v>227</v>
      </c>
    </row>
    <row r="368" ht="22.5" customHeight="1">
      <c r="A368" s="351">
        <v>484.0</v>
      </c>
      <c r="B368" s="184">
        <v>22.0</v>
      </c>
      <c r="C368" s="184" t="s">
        <v>9537</v>
      </c>
      <c r="D368" s="186" t="s">
        <v>8255</v>
      </c>
      <c r="E368" s="185" t="s">
        <v>8256</v>
      </c>
      <c r="F368" s="184" t="s">
        <v>227</v>
      </c>
    </row>
    <row r="369" ht="22.5" customHeight="1">
      <c r="A369" s="351">
        <v>485.0</v>
      </c>
      <c r="B369" s="184">
        <v>23.0</v>
      </c>
      <c r="C369" s="184" t="s">
        <v>9538</v>
      </c>
      <c r="D369" s="186" t="s">
        <v>8257</v>
      </c>
      <c r="E369" s="185" t="s">
        <v>8258</v>
      </c>
      <c r="F369" s="184" t="s">
        <v>227</v>
      </c>
    </row>
    <row r="370" ht="22.5" customHeight="1">
      <c r="A370" s="351">
        <v>486.0</v>
      </c>
      <c r="B370" s="184">
        <v>24.0</v>
      </c>
      <c r="C370" s="184" t="s">
        <v>9539</v>
      </c>
      <c r="D370" s="186" t="s">
        <v>8259</v>
      </c>
      <c r="E370" s="185" t="s">
        <v>8260</v>
      </c>
      <c r="F370" s="184" t="s">
        <v>227</v>
      </c>
    </row>
    <row r="371" ht="22.5" customHeight="1">
      <c r="A371" s="351">
        <v>487.0</v>
      </c>
      <c r="B371" s="184">
        <v>25.0</v>
      </c>
      <c r="C371" s="184" t="s">
        <v>9540</v>
      </c>
      <c r="D371" s="186" t="s">
        <v>8261</v>
      </c>
      <c r="E371" s="185" t="s">
        <v>8262</v>
      </c>
      <c r="F371" s="184" t="s">
        <v>220</v>
      </c>
    </row>
    <row r="372" ht="22.5" customHeight="1">
      <c r="A372" s="351">
        <v>488.0</v>
      </c>
      <c r="B372" s="184">
        <v>26.0</v>
      </c>
      <c r="C372" s="184" t="s">
        <v>9541</v>
      </c>
      <c r="D372" s="184" t="s">
        <v>8263</v>
      </c>
      <c r="E372" s="185" t="s">
        <v>8264</v>
      </c>
      <c r="F372" s="184" t="s">
        <v>220</v>
      </c>
    </row>
    <row r="373" ht="22.5" customHeight="1">
      <c r="A373" s="351">
        <v>489.0</v>
      </c>
      <c r="B373" s="184">
        <v>27.0</v>
      </c>
      <c r="C373" s="184" t="s">
        <v>9542</v>
      </c>
      <c r="D373" s="186" t="s">
        <v>8265</v>
      </c>
      <c r="E373" s="185" t="s">
        <v>8266</v>
      </c>
      <c r="F373" s="184" t="s">
        <v>220</v>
      </c>
    </row>
    <row r="374" ht="22.5" customHeight="1">
      <c r="A374" s="351">
        <v>490.0</v>
      </c>
      <c r="B374" s="184">
        <v>28.0</v>
      </c>
      <c r="C374" s="184" t="s">
        <v>9543</v>
      </c>
      <c r="D374" s="184" t="s">
        <v>8267</v>
      </c>
      <c r="E374" s="185" t="s">
        <v>8268</v>
      </c>
      <c r="F374" s="184" t="s">
        <v>220</v>
      </c>
    </row>
    <row r="375" ht="22.5" customHeight="1">
      <c r="A375" s="351">
        <v>491.0</v>
      </c>
      <c r="B375" s="184">
        <v>29.0</v>
      </c>
      <c r="C375" s="184" t="s">
        <v>9544</v>
      </c>
      <c r="D375" s="186" t="s">
        <v>8269</v>
      </c>
      <c r="E375" s="185" t="s">
        <v>8270</v>
      </c>
      <c r="F375" s="184" t="s">
        <v>227</v>
      </c>
    </row>
    <row r="376" ht="22.5" customHeight="1">
      <c r="A376" s="351">
        <v>492.0</v>
      </c>
      <c r="B376" s="184">
        <v>30.0</v>
      </c>
      <c r="C376" s="184" t="s">
        <v>9545</v>
      </c>
      <c r="D376" s="186" t="s">
        <v>8271</v>
      </c>
      <c r="E376" s="185" t="s">
        <v>8272</v>
      </c>
      <c r="F376" s="184" t="s">
        <v>227</v>
      </c>
    </row>
    <row r="377" ht="22.5" customHeight="1">
      <c r="A377" s="351">
        <v>493.0</v>
      </c>
      <c r="B377" s="184">
        <v>31.0</v>
      </c>
      <c r="C377" s="184" t="s">
        <v>9546</v>
      </c>
      <c r="D377" s="186" t="s">
        <v>8273</v>
      </c>
      <c r="E377" s="185" t="s">
        <v>8274</v>
      </c>
      <c r="F377" s="184" t="s">
        <v>227</v>
      </c>
    </row>
    <row r="378" ht="22.5" customHeight="1">
      <c r="A378" s="351">
        <v>494.0</v>
      </c>
      <c r="B378" s="184">
        <v>32.0</v>
      </c>
      <c r="C378" s="184" t="s">
        <v>9547</v>
      </c>
      <c r="D378" s="186" t="s">
        <v>8275</v>
      </c>
      <c r="E378" s="185" t="s">
        <v>8276</v>
      </c>
      <c r="F378" s="184" t="s">
        <v>227</v>
      </c>
    </row>
    <row r="379" ht="22.5" customHeight="1">
      <c r="A379" s="351">
        <v>495.0</v>
      </c>
      <c r="B379" s="184">
        <v>33.0</v>
      </c>
      <c r="C379" s="184" t="s">
        <v>9548</v>
      </c>
      <c r="D379" s="186" t="s">
        <v>8277</v>
      </c>
      <c r="E379" s="185" t="s">
        <v>8278</v>
      </c>
      <c r="F379" s="184" t="s">
        <v>227</v>
      </c>
    </row>
    <row r="380" ht="22.5" customHeight="1">
      <c r="A380" s="351">
        <v>496.0</v>
      </c>
      <c r="B380" s="184">
        <v>34.0</v>
      </c>
      <c r="C380" s="184">
        <v>2.32410408E8</v>
      </c>
      <c r="D380" s="186" t="s">
        <v>8279</v>
      </c>
      <c r="E380" s="185" t="s">
        <v>8280</v>
      </c>
      <c r="F380" s="184" t="s">
        <v>220</v>
      </c>
    </row>
    <row r="381" ht="22.5" customHeight="1">
      <c r="A381" s="351">
        <v>497.0</v>
      </c>
      <c r="B381" s="184">
        <v>35.0</v>
      </c>
      <c r="C381" s="184" t="s">
        <v>9549</v>
      </c>
      <c r="D381" s="211" t="s">
        <v>8281</v>
      </c>
      <c r="E381" s="185" t="s">
        <v>8282</v>
      </c>
      <c r="F381" s="184" t="s">
        <v>227</v>
      </c>
    </row>
    <row r="382" ht="22.5" customHeight="1">
      <c r="A382" s="351">
        <v>498.0</v>
      </c>
      <c r="B382" s="184">
        <v>36.0</v>
      </c>
      <c r="C382" s="184" t="s">
        <v>9550</v>
      </c>
      <c r="D382" s="186" t="s">
        <v>8283</v>
      </c>
      <c r="E382" s="185" t="s">
        <v>8284</v>
      </c>
      <c r="F382" s="184" t="s">
        <v>227</v>
      </c>
    </row>
    <row r="383" ht="22.5" customHeight="1">
      <c r="A383" s="351">
        <v>499.0</v>
      </c>
      <c r="B383" s="184">
        <v>37.0</v>
      </c>
      <c r="C383" s="197"/>
      <c r="D383" s="197"/>
      <c r="E383" s="197"/>
      <c r="F383" s="197"/>
    </row>
    <row r="384" ht="22.5" hidden="1" customHeight="1">
      <c r="A384" s="352">
        <v>500.0</v>
      </c>
      <c r="B384" s="188"/>
      <c r="C384" s="190"/>
      <c r="D384" s="188"/>
      <c r="E384" s="190"/>
      <c r="F384" s="188"/>
    </row>
    <row r="385" ht="22.5" hidden="1" customHeight="1">
      <c r="A385" s="352">
        <v>501.0</v>
      </c>
      <c r="B385" s="188"/>
      <c r="C385" s="190"/>
      <c r="D385" s="188"/>
      <c r="E385" s="190"/>
      <c r="F385" s="188"/>
    </row>
    <row r="386" ht="22.5" hidden="1" customHeight="1">
      <c r="A386" s="352">
        <v>502.0</v>
      </c>
      <c r="B386" s="188"/>
      <c r="C386" s="190"/>
      <c r="D386" s="188"/>
      <c r="E386" s="190"/>
      <c r="F386" s="188"/>
    </row>
    <row r="387" ht="22.5" hidden="1" customHeight="1">
      <c r="A387" s="352">
        <v>503.0</v>
      </c>
      <c r="B387" s="188"/>
      <c r="C387" s="188"/>
      <c r="D387" s="188"/>
      <c r="E387" s="188"/>
      <c r="F387" s="188"/>
    </row>
    <row r="388" ht="22.5" hidden="1" customHeight="1">
      <c r="A388" s="353">
        <v>504.0</v>
      </c>
      <c r="B388" s="191"/>
      <c r="C388" s="192"/>
      <c r="D388" s="192"/>
      <c r="E388" s="192"/>
      <c r="F388" s="192"/>
    </row>
    <row r="389" ht="22.5" hidden="1" customHeight="1">
      <c r="A389" s="346">
        <v>505.0</v>
      </c>
      <c r="B389" s="193"/>
      <c r="C389" s="194"/>
      <c r="D389" s="194"/>
      <c r="E389" s="194"/>
      <c r="F389" s="194"/>
    </row>
    <row r="390" ht="22.5" hidden="1" customHeight="1">
      <c r="A390" s="346">
        <v>506.0</v>
      </c>
      <c r="B390" s="176"/>
      <c r="C390" s="177"/>
      <c r="D390" s="177"/>
      <c r="E390" s="177"/>
      <c r="F390" s="177"/>
    </row>
    <row r="391" ht="22.5" hidden="1" customHeight="1">
      <c r="A391" s="347">
        <v>507.0</v>
      </c>
      <c r="B391" s="178"/>
      <c r="C391" s="177"/>
      <c r="D391" s="177"/>
      <c r="E391" s="177"/>
      <c r="F391" s="177"/>
    </row>
    <row r="392" ht="22.5" hidden="1" customHeight="1">
      <c r="A392" s="348">
        <v>508.0</v>
      </c>
      <c r="B392" s="179"/>
      <c r="C392" s="180"/>
      <c r="D392" s="180"/>
      <c r="E392" s="180"/>
      <c r="F392" s="180"/>
    </row>
    <row r="393" ht="22.5" hidden="1" customHeight="1">
      <c r="A393" s="349">
        <v>509.0</v>
      </c>
      <c r="B393" s="181"/>
      <c r="C393" s="181"/>
      <c r="D393" s="181"/>
      <c r="E393" s="181"/>
      <c r="F393" s="181"/>
    </row>
    <row r="394" ht="22.5" hidden="1" customHeight="1">
      <c r="A394" s="350">
        <v>510.0</v>
      </c>
      <c r="B394" s="182"/>
      <c r="C394" s="182"/>
      <c r="D394" s="182"/>
      <c r="E394" s="182"/>
      <c r="F394" s="182"/>
    </row>
    <row r="395" ht="22.5" hidden="1" customHeight="1">
      <c r="A395" s="350">
        <v>511.0</v>
      </c>
      <c r="B395" s="183"/>
      <c r="C395" s="183"/>
      <c r="D395" s="183"/>
      <c r="E395" s="183"/>
      <c r="F395" s="183"/>
    </row>
    <row r="396" ht="22.5" customHeight="1">
      <c r="A396" s="351">
        <v>512.0</v>
      </c>
      <c r="B396" s="184">
        <v>1.0</v>
      </c>
      <c r="C396" s="184" t="s">
        <v>9553</v>
      </c>
      <c r="D396" s="184" t="s">
        <v>8285</v>
      </c>
      <c r="E396" s="185" t="s">
        <v>8286</v>
      </c>
      <c r="F396" s="184" t="s">
        <v>220</v>
      </c>
    </row>
    <row r="397" ht="22.5" customHeight="1">
      <c r="A397" s="351">
        <v>513.0</v>
      </c>
      <c r="B397" s="184">
        <v>2.0</v>
      </c>
      <c r="C397" s="184" t="s">
        <v>9554</v>
      </c>
      <c r="D397" s="195" t="s">
        <v>8289</v>
      </c>
      <c r="E397" s="185" t="s">
        <v>8290</v>
      </c>
      <c r="F397" s="184" t="s">
        <v>220</v>
      </c>
    </row>
    <row r="398" ht="22.5" customHeight="1">
      <c r="A398" s="351">
        <v>525.0</v>
      </c>
      <c r="B398" s="184">
        <v>3.0</v>
      </c>
      <c r="C398" s="184" t="s">
        <v>9555</v>
      </c>
      <c r="D398" s="184" t="s">
        <v>8291</v>
      </c>
      <c r="E398" s="185" t="s">
        <v>8292</v>
      </c>
      <c r="F398" s="184" t="s">
        <v>227</v>
      </c>
    </row>
    <row r="399" ht="22.5" customHeight="1">
      <c r="A399" s="351">
        <v>526.0</v>
      </c>
      <c r="B399" s="184">
        <v>4.0</v>
      </c>
      <c r="C399" s="184" t="s">
        <v>9556</v>
      </c>
      <c r="D399" s="184" t="s">
        <v>8293</v>
      </c>
      <c r="E399" s="185" t="s">
        <v>8294</v>
      </c>
      <c r="F399" s="184" t="s">
        <v>227</v>
      </c>
    </row>
    <row r="400" ht="22.5" customHeight="1">
      <c r="A400" s="351">
        <v>527.0</v>
      </c>
      <c r="B400" s="184">
        <v>5.0</v>
      </c>
      <c r="C400" s="184" t="s">
        <v>9557</v>
      </c>
      <c r="D400" s="186" t="s">
        <v>8295</v>
      </c>
      <c r="E400" s="185" t="s">
        <v>8296</v>
      </c>
      <c r="F400" s="184" t="s">
        <v>220</v>
      </c>
    </row>
    <row r="401" ht="22.5" customHeight="1">
      <c r="A401" s="351">
        <v>528.0</v>
      </c>
      <c r="B401" s="184">
        <v>6.0</v>
      </c>
      <c r="C401" s="184" t="s">
        <v>9558</v>
      </c>
      <c r="D401" s="184" t="s">
        <v>8297</v>
      </c>
      <c r="E401" s="185" t="s">
        <v>8298</v>
      </c>
      <c r="F401" s="184" t="s">
        <v>220</v>
      </c>
    </row>
    <row r="402" ht="22.5" customHeight="1">
      <c r="A402" s="351">
        <v>529.0</v>
      </c>
      <c r="B402" s="184">
        <v>7.0</v>
      </c>
      <c r="C402" s="184" t="s">
        <v>9559</v>
      </c>
      <c r="D402" s="186" t="s">
        <v>8084</v>
      </c>
      <c r="E402" s="185" t="s">
        <v>8299</v>
      </c>
      <c r="F402" s="184" t="s">
        <v>220</v>
      </c>
    </row>
    <row r="403" ht="22.5" customHeight="1">
      <c r="A403" s="351">
        <v>530.0</v>
      </c>
      <c r="B403" s="184">
        <v>8.0</v>
      </c>
      <c r="C403" s="184" t="s">
        <v>9560</v>
      </c>
      <c r="D403" s="184" t="s">
        <v>8300</v>
      </c>
      <c r="E403" s="185" t="s">
        <v>8301</v>
      </c>
      <c r="F403" s="184" t="s">
        <v>227</v>
      </c>
    </row>
    <row r="404" ht="22.5" customHeight="1">
      <c r="A404" s="351">
        <v>531.0</v>
      </c>
      <c r="B404" s="184">
        <v>9.0</v>
      </c>
      <c r="C404" s="184" t="s">
        <v>9561</v>
      </c>
      <c r="D404" s="186" t="s">
        <v>8302</v>
      </c>
      <c r="E404" s="185" t="s">
        <v>8303</v>
      </c>
      <c r="F404" s="184" t="s">
        <v>220</v>
      </c>
    </row>
    <row r="405" ht="22.5" customHeight="1">
      <c r="A405" s="351">
        <v>532.0</v>
      </c>
      <c r="B405" s="184">
        <v>10.0</v>
      </c>
      <c r="C405" s="184" t="s">
        <v>9562</v>
      </c>
      <c r="D405" s="184" t="s">
        <v>8304</v>
      </c>
      <c r="E405" s="185" t="s">
        <v>8305</v>
      </c>
      <c r="F405" s="184" t="s">
        <v>220</v>
      </c>
    </row>
    <row r="406" ht="22.5" customHeight="1">
      <c r="A406" s="351">
        <v>533.0</v>
      </c>
      <c r="B406" s="184">
        <v>11.0</v>
      </c>
      <c r="C406" s="184" t="s">
        <v>9563</v>
      </c>
      <c r="D406" s="186" t="s">
        <v>8306</v>
      </c>
      <c r="E406" s="185" t="s">
        <v>8307</v>
      </c>
      <c r="F406" s="184" t="s">
        <v>220</v>
      </c>
    </row>
    <row r="407" ht="22.5" customHeight="1">
      <c r="A407" s="351">
        <v>534.0</v>
      </c>
      <c r="B407" s="184">
        <v>12.0</v>
      </c>
      <c r="C407" s="184" t="s">
        <v>9564</v>
      </c>
      <c r="D407" s="186" t="s">
        <v>8308</v>
      </c>
      <c r="E407" s="185" t="s">
        <v>8309</v>
      </c>
      <c r="F407" s="184" t="s">
        <v>220</v>
      </c>
    </row>
    <row r="408" ht="22.5" customHeight="1">
      <c r="A408" s="351">
        <v>535.0</v>
      </c>
      <c r="B408" s="184">
        <v>13.0</v>
      </c>
      <c r="C408" s="184" t="s">
        <v>9565</v>
      </c>
      <c r="D408" s="184" t="s">
        <v>8310</v>
      </c>
      <c r="E408" s="185" t="s">
        <v>8311</v>
      </c>
      <c r="F408" s="184" t="s">
        <v>227</v>
      </c>
    </row>
    <row r="409" ht="22.5" customHeight="1">
      <c r="A409" s="351">
        <v>536.0</v>
      </c>
      <c r="B409" s="184">
        <v>14.0</v>
      </c>
      <c r="C409" s="184" t="s">
        <v>9566</v>
      </c>
      <c r="D409" s="184" t="s">
        <v>8312</v>
      </c>
      <c r="E409" s="185" t="s">
        <v>8313</v>
      </c>
      <c r="F409" s="184" t="s">
        <v>227</v>
      </c>
    </row>
    <row r="410" ht="22.5" customHeight="1">
      <c r="A410" s="351">
        <v>537.0</v>
      </c>
      <c r="B410" s="184">
        <v>15.0</v>
      </c>
      <c r="C410" s="184" t="s">
        <v>9567</v>
      </c>
      <c r="D410" s="186" t="s">
        <v>8314</v>
      </c>
      <c r="E410" s="202" t="s">
        <v>8315</v>
      </c>
      <c r="F410" s="184" t="s">
        <v>220</v>
      </c>
    </row>
    <row r="411" ht="22.5" customHeight="1">
      <c r="A411" s="351">
        <v>538.0</v>
      </c>
      <c r="B411" s="184">
        <v>16.0</v>
      </c>
      <c r="C411" s="184" t="s">
        <v>9568</v>
      </c>
      <c r="D411" s="186" t="s">
        <v>8316</v>
      </c>
      <c r="E411" s="185" t="s">
        <v>8317</v>
      </c>
      <c r="F411" s="184" t="s">
        <v>227</v>
      </c>
    </row>
    <row r="412" ht="22.5" customHeight="1">
      <c r="A412" s="351">
        <v>539.0</v>
      </c>
      <c r="B412" s="184">
        <v>17.0</v>
      </c>
      <c r="C412" s="184">
        <v>8.4177568E7</v>
      </c>
      <c r="D412" s="184" t="s">
        <v>9569</v>
      </c>
      <c r="E412" s="185" t="s">
        <v>8319</v>
      </c>
      <c r="F412" s="184" t="s">
        <v>220</v>
      </c>
    </row>
    <row r="413" ht="22.5" customHeight="1">
      <c r="A413" s="351">
        <v>540.0</v>
      </c>
      <c r="B413" s="184">
        <v>18.0</v>
      </c>
      <c r="C413" s="184" t="s">
        <v>9570</v>
      </c>
      <c r="D413" s="184" t="s">
        <v>8320</v>
      </c>
      <c r="E413" s="185" t="s">
        <v>8321</v>
      </c>
      <c r="F413" s="184" t="s">
        <v>227</v>
      </c>
    </row>
    <row r="414" ht="22.5" customHeight="1">
      <c r="A414" s="351">
        <v>541.0</v>
      </c>
      <c r="B414" s="184">
        <v>19.0</v>
      </c>
      <c r="C414" s="201" t="s">
        <v>9571</v>
      </c>
      <c r="D414" s="201" t="s">
        <v>8322</v>
      </c>
      <c r="E414" s="185" t="s">
        <v>8323</v>
      </c>
      <c r="F414" s="184" t="s">
        <v>227</v>
      </c>
    </row>
    <row r="415" ht="22.5" customHeight="1">
      <c r="A415" s="351">
        <v>542.0</v>
      </c>
      <c r="B415" s="184">
        <v>20.0</v>
      </c>
      <c r="C415" s="184" t="s">
        <v>9572</v>
      </c>
      <c r="D415" s="186" t="s">
        <v>8324</v>
      </c>
      <c r="E415" s="202" t="s">
        <v>8325</v>
      </c>
      <c r="F415" s="184" t="s">
        <v>220</v>
      </c>
    </row>
    <row r="416" ht="22.5" customHeight="1">
      <c r="A416" s="351">
        <v>543.0</v>
      </c>
      <c r="B416" s="184">
        <v>21.0</v>
      </c>
      <c r="C416" s="184" t="s">
        <v>9573</v>
      </c>
      <c r="D416" s="186" t="s">
        <v>8326</v>
      </c>
      <c r="E416" s="185" t="s">
        <v>8327</v>
      </c>
      <c r="F416" s="184" t="s">
        <v>227</v>
      </c>
    </row>
    <row r="417" ht="22.5" customHeight="1">
      <c r="A417" s="351">
        <v>544.0</v>
      </c>
      <c r="B417" s="184">
        <v>22.0</v>
      </c>
      <c r="C417" s="184" t="s">
        <v>9574</v>
      </c>
      <c r="D417" s="184">
        <v>3.082660397E9</v>
      </c>
      <c r="E417" s="185" t="s">
        <v>8328</v>
      </c>
      <c r="F417" s="184" t="s">
        <v>227</v>
      </c>
    </row>
    <row r="418" ht="22.5" customHeight="1">
      <c r="A418" s="351">
        <v>545.0</v>
      </c>
      <c r="B418" s="184">
        <v>23.0</v>
      </c>
      <c r="C418" s="184" t="s">
        <v>9575</v>
      </c>
      <c r="D418" s="184" t="s">
        <v>8329</v>
      </c>
      <c r="E418" s="185" t="s">
        <v>8330</v>
      </c>
      <c r="F418" s="184" t="s">
        <v>227</v>
      </c>
    </row>
    <row r="419" ht="22.5" customHeight="1">
      <c r="A419" s="351">
        <v>546.0</v>
      </c>
      <c r="B419" s="184">
        <v>24.0</v>
      </c>
      <c r="C419" s="184" t="s">
        <v>9576</v>
      </c>
      <c r="D419" s="184" t="s">
        <v>8331</v>
      </c>
      <c r="E419" s="185" t="s">
        <v>8332</v>
      </c>
      <c r="F419" s="184" t="s">
        <v>227</v>
      </c>
    </row>
    <row r="420" ht="22.5" customHeight="1">
      <c r="A420" s="351">
        <v>547.0</v>
      </c>
      <c r="B420" s="184">
        <v>25.0</v>
      </c>
      <c r="C420" s="184" t="s">
        <v>9577</v>
      </c>
      <c r="D420" s="184" t="s">
        <v>8333</v>
      </c>
      <c r="E420" s="185" t="s">
        <v>8334</v>
      </c>
      <c r="F420" s="184" t="s">
        <v>220</v>
      </c>
    </row>
    <row r="421" ht="22.5" customHeight="1">
      <c r="A421" s="351">
        <v>548.0</v>
      </c>
      <c r="B421" s="184">
        <v>26.0</v>
      </c>
      <c r="C421" s="184" t="s">
        <v>9578</v>
      </c>
      <c r="D421" s="184" t="s">
        <v>8335</v>
      </c>
      <c r="E421" s="185" t="s">
        <v>8336</v>
      </c>
      <c r="F421" s="184" t="s">
        <v>220</v>
      </c>
    </row>
    <row r="422" ht="22.5" customHeight="1">
      <c r="A422" s="351">
        <v>549.0</v>
      </c>
      <c r="B422" s="184">
        <v>27.0</v>
      </c>
      <c r="C422" s="184" t="s">
        <v>9579</v>
      </c>
      <c r="D422" s="184" t="s">
        <v>8337</v>
      </c>
      <c r="E422" s="185" t="s">
        <v>8338</v>
      </c>
      <c r="F422" s="184" t="s">
        <v>220</v>
      </c>
    </row>
    <row r="423" ht="22.5" customHeight="1">
      <c r="A423" s="351">
        <v>550.0</v>
      </c>
      <c r="B423" s="184">
        <v>28.0</v>
      </c>
      <c r="C423" s="184" t="s">
        <v>9580</v>
      </c>
      <c r="D423" s="186" t="s">
        <v>8339</v>
      </c>
      <c r="E423" s="185" t="s">
        <v>8340</v>
      </c>
      <c r="F423" s="184" t="s">
        <v>220</v>
      </c>
    </row>
    <row r="424" ht="22.5" customHeight="1">
      <c r="A424" s="351">
        <v>551.0</v>
      </c>
      <c r="B424" s="184">
        <v>29.0</v>
      </c>
      <c r="C424" s="184" t="s">
        <v>9581</v>
      </c>
      <c r="D424" s="184" t="s">
        <v>8341</v>
      </c>
      <c r="E424" s="185" t="s">
        <v>8342</v>
      </c>
      <c r="F424" s="184" t="s">
        <v>227</v>
      </c>
    </row>
    <row r="425" ht="22.5" customHeight="1">
      <c r="A425" s="351">
        <v>552.0</v>
      </c>
      <c r="B425" s="184">
        <v>30.0</v>
      </c>
      <c r="C425" s="184" t="s">
        <v>9582</v>
      </c>
      <c r="D425" s="184" t="s">
        <v>8343</v>
      </c>
      <c r="E425" s="185" t="s">
        <v>8344</v>
      </c>
      <c r="F425" s="184" t="s">
        <v>227</v>
      </c>
    </row>
    <row r="426" ht="22.5" customHeight="1">
      <c r="A426" s="351">
        <v>553.0</v>
      </c>
      <c r="B426" s="184">
        <v>31.0</v>
      </c>
      <c r="C426" s="184" t="s">
        <v>9583</v>
      </c>
      <c r="D426" s="184" t="s">
        <v>8345</v>
      </c>
      <c r="E426" s="185" t="s">
        <v>8346</v>
      </c>
      <c r="F426" s="184" t="s">
        <v>227</v>
      </c>
    </row>
    <row r="427" ht="22.5" customHeight="1">
      <c r="A427" s="351">
        <v>554.0</v>
      </c>
      <c r="B427" s="184">
        <v>32.0</v>
      </c>
      <c r="C427" s="184">
        <v>2.42511437E8</v>
      </c>
      <c r="D427" s="186" t="s">
        <v>8347</v>
      </c>
      <c r="E427" s="197" t="s">
        <v>8348</v>
      </c>
      <c r="F427" s="212" t="s">
        <v>227</v>
      </c>
    </row>
    <row r="428" ht="22.5" customHeight="1">
      <c r="A428" s="351">
        <v>555.0</v>
      </c>
      <c r="B428" s="184">
        <v>33.0</v>
      </c>
      <c r="C428" s="184" t="s">
        <v>9584</v>
      </c>
      <c r="D428" s="184">
        <v>3.073656051E9</v>
      </c>
      <c r="E428" s="185" t="s">
        <v>8349</v>
      </c>
      <c r="F428" s="184" t="s">
        <v>220</v>
      </c>
    </row>
    <row r="429" ht="22.5" customHeight="1">
      <c r="A429" s="351">
        <v>556.0</v>
      </c>
      <c r="B429" s="184">
        <v>34.0</v>
      </c>
      <c r="C429" s="184" t="s">
        <v>9585</v>
      </c>
      <c r="D429" s="184" t="s">
        <v>8350</v>
      </c>
      <c r="E429" s="185" t="s">
        <v>8351</v>
      </c>
      <c r="F429" s="184" t="s">
        <v>227</v>
      </c>
    </row>
    <row r="430" ht="22.5" customHeight="1">
      <c r="A430" s="351">
        <v>557.0</v>
      </c>
      <c r="B430" s="184">
        <v>35.0</v>
      </c>
      <c r="C430" s="184" t="s">
        <v>9586</v>
      </c>
      <c r="D430" s="186" t="s">
        <v>8352</v>
      </c>
      <c r="E430" s="185" t="s">
        <v>8353</v>
      </c>
      <c r="F430" s="184" t="s">
        <v>220</v>
      </c>
    </row>
    <row r="431" ht="22.5" hidden="1" customHeight="1">
      <c r="A431" s="352">
        <v>558.0</v>
      </c>
      <c r="B431" s="188"/>
      <c r="C431" s="190"/>
      <c r="D431" s="188"/>
      <c r="E431" s="190"/>
      <c r="F431" s="188"/>
    </row>
    <row r="432" ht="22.5" hidden="1" customHeight="1">
      <c r="A432" s="352">
        <v>559.0</v>
      </c>
      <c r="B432" s="188"/>
      <c r="C432" s="190"/>
      <c r="D432" s="188"/>
      <c r="E432" s="190"/>
      <c r="F432" s="188"/>
    </row>
    <row r="433" ht="22.5" hidden="1" customHeight="1">
      <c r="A433" s="352">
        <v>560.0</v>
      </c>
      <c r="B433" s="188"/>
      <c r="C433" s="190"/>
      <c r="D433" s="188"/>
      <c r="E433" s="190"/>
      <c r="F433" s="188"/>
    </row>
    <row r="434" ht="22.5" hidden="1" customHeight="1">
      <c r="A434" s="352">
        <v>561.0</v>
      </c>
      <c r="B434" s="188"/>
      <c r="C434" s="188"/>
      <c r="D434" s="188"/>
      <c r="E434" s="188"/>
      <c r="F434" s="188"/>
    </row>
    <row r="435" ht="22.5" hidden="1" customHeight="1">
      <c r="A435" s="352">
        <v>562.0</v>
      </c>
      <c r="B435" s="191"/>
      <c r="C435" s="192"/>
      <c r="D435" s="192"/>
      <c r="E435" s="192"/>
      <c r="F435" s="192"/>
    </row>
    <row r="436" ht="22.5" hidden="1" customHeight="1">
      <c r="A436" s="352">
        <v>563.0</v>
      </c>
      <c r="B436" s="193"/>
      <c r="C436" s="194"/>
      <c r="D436" s="194"/>
      <c r="E436" s="194"/>
      <c r="F436" s="194"/>
    </row>
    <row r="437" ht="22.5" hidden="1" customHeight="1">
      <c r="A437" s="352">
        <v>564.0</v>
      </c>
      <c r="B437" s="176"/>
      <c r="C437" s="177"/>
      <c r="D437" s="177"/>
      <c r="E437" s="177"/>
      <c r="F437" s="177"/>
    </row>
    <row r="438" ht="22.5" hidden="1" customHeight="1">
      <c r="A438" s="352">
        <v>565.0</v>
      </c>
      <c r="B438" s="178"/>
      <c r="C438" s="177"/>
      <c r="D438" s="177"/>
      <c r="E438" s="177"/>
      <c r="F438" s="177"/>
    </row>
    <row r="439" ht="22.5" hidden="1" customHeight="1">
      <c r="A439" s="352">
        <v>566.0</v>
      </c>
      <c r="B439" s="179"/>
      <c r="C439" s="180"/>
      <c r="D439" s="180"/>
      <c r="E439" s="180"/>
      <c r="F439" s="180"/>
    </row>
    <row r="440" ht="22.5" hidden="1" customHeight="1">
      <c r="A440" s="352">
        <v>567.0</v>
      </c>
      <c r="B440" s="181"/>
      <c r="C440" s="181"/>
      <c r="D440" s="181"/>
      <c r="E440" s="181"/>
      <c r="F440" s="181"/>
    </row>
    <row r="441" ht="22.5" hidden="1" customHeight="1">
      <c r="A441" s="352">
        <v>568.0</v>
      </c>
      <c r="B441" s="182"/>
      <c r="C441" s="182"/>
      <c r="D441" s="182"/>
      <c r="E441" s="182"/>
      <c r="F441" s="182"/>
    </row>
    <row r="442" ht="22.5" hidden="1" customHeight="1">
      <c r="A442" s="352">
        <v>569.0</v>
      </c>
      <c r="B442" s="183"/>
      <c r="C442" s="183"/>
      <c r="D442" s="183"/>
      <c r="E442" s="183"/>
      <c r="F442" s="183"/>
    </row>
    <row r="443" ht="22.5" customHeight="1">
      <c r="A443" s="352">
        <v>570.0</v>
      </c>
      <c r="B443" s="184">
        <v>1.0</v>
      </c>
      <c r="C443" s="184" t="s">
        <v>9588</v>
      </c>
      <c r="D443" s="186" t="s">
        <v>8354</v>
      </c>
      <c r="E443" s="185" t="s">
        <v>8355</v>
      </c>
      <c r="F443" s="184" t="s">
        <v>227</v>
      </c>
    </row>
    <row r="444" ht="22.5" customHeight="1">
      <c r="A444" s="352">
        <v>571.0</v>
      </c>
      <c r="B444" s="184">
        <v>2.0</v>
      </c>
      <c r="C444" s="184" t="s">
        <v>9589</v>
      </c>
      <c r="D444" s="184" t="s">
        <v>8358</v>
      </c>
      <c r="E444" s="185" t="s">
        <v>8359</v>
      </c>
      <c r="F444" s="184" t="s">
        <v>227</v>
      </c>
    </row>
    <row r="445" ht="22.5" customHeight="1">
      <c r="A445" s="352">
        <v>572.0</v>
      </c>
      <c r="B445" s="184">
        <v>3.0</v>
      </c>
      <c r="C445" s="201" t="s">
        <v>9590</v>
      </c>
      <c r="D445" s="201" t="s">
        <v>8360</v>
      </c>
      <c r="E445" s="200" t="s">
        <v>8361</v>
      </c>
      <c r="F445" s="201" t="s">
        <v>220</v>
      </c>
    </row>
    <row r="446" ht="22.5" customHeight="1">
      <c r="A446" s="352">
        <v>573.0</v>
      </c>
      <c r="B446" s="184">
        <v>4.0</v>
      </c>
      <c r="C446" s="184" t="s">
        <v>9591</v>
      </c>
      <c r="D446" s="184" t="s">
        <v>8362</v>
      </c>
      <c r="E446" s="185" t="s">
        <v>8363</v>
      </c>
      <c r="F446" s="184" t="s">
        <v>227</v>
      </c>
    </row>
    <row r="447" ht="22.5" customHeight="1">
      <c r="A447" s="352">
        <v>574.0</v>
      </c>
      <c r="B447" s="184">
        <v>5.0</v>
      </c>
      <c r="C447" s="184" t="s">
        <v>9592</v>
      </c>
      <c r="D447" s="186" t="s">
        <v>8364</v>
      </c>
      <c r="E447" s="185" t="s">
        <v>8365</v>
      </c>
      <c r="F447" s="184" t="s">
        <v>220</v>
      </c>
    </row>
    <row r="448" ht="22.5" customHeight="1">
      <c r="A448" s="352">
        <v>575.0</v>
      </c>
      <c r="B448" s="184">
        <v>6.0</v>
      </c>
      <c r="C448" s="184" t="s">
        <v>9593</v>
      </c>
      <c r="D448" s="184" t="s">
        <v>8366</v>
      </c>
      <c r="E448" s="185" t="s">
        <v>8367</v>
      </c>
      <c r="F448" s="184" t="s">
        <v>227</v>
      </c>
    </row>
    <row r="449" ht="22.5" customHeight="1">
      <c r="A449" s="352">
        <v>576.0</v>
      </c>
      <c r="B449" s="184">
        <v>7.0</v>
      </c>
      <c r="C449" s="184" t="s">
        <v>9594</v>
      </c>
      <c r="D449" s="184" t="s">
        <v>8368</v>
      </c>
      <c r="E449" s="185" t="s">
        <v>8369</v>
      </c>
      <c r="F449" s="184" t="s">
        <v>227</v>
      </c>
    </row>
    <row r="450" ht="22.5" customHeight="1">
      <c r="A450" s="352">
        <v>577.0</v>
      </c>
      <c r="B450" s="184">
        <v>8.0</v>
      </c>
      <c r="C450" s="184" t="s">
        <v>9595</v>
      </c>
      <c r="D450" s="184" t="s">
        <v>8370</v>
      </c>
      <c r="E450" s="185" t="s">
        <v>8371</v>
      </c>
      <c r="F450" s="184" t="s">
        <v>227</v>
      </c>
    </row>
    <row r="451" ht="22.5" customHeight="1">
      <c r="A451" s="352">
        <v>578.0</v>
      </c>
      <c r="B451" s="184">
        <v>9.0</v>
      </c>
      <c r="C451" s="184" t="s">
        <v>9596</v>
      </c>
      <c r="D451" s="184" t="s">
        <v>8372</v>
      </c>
      <c r="E451" s="185" t="s">
        <v>8373</v>
      </c>
      <c r="F451" s="184" t="s">
        <v>227</v>
      </c>
    </row>
    <row r="452" ht="22.5" customHeight="1">
      <c r="A452" s="352">
        <v>579.0</v>
      </c>
      <c r="B452" s="184">
        <v>10.0</v>
      </c>
      <c r="C452" s="184" t="s">
        <v>9597</v>
      </c>
      <c r="D452" s="184" t="s">
        <v>8374</v>
      </c>
      <c r="E452" s="185" t="s">
        <v>8375</v>
      </c>
      <c r="F452" s="184" t="s">
        <v>227</v>
      </c>
    </row>
    <row r="453" ht="22.5" customHeight="1">
      <c r="A453" s="352">
        <v>580.0</v>
      </c>
      <c r="B453" s="184">
        <v>11.0</v>
      </c>
      <c r="C453" s="184" t="s">
        <v>9598</v>
      </c>
      <c r="D453" s="184" t="s">
        <v>8376</v>
      </c>
      <c r="E453" s="185" t="s">
        <v>8377</v>
      </c>
      <c r="F453" s="184" t="s">
        <v>227</v>
      </c>
    </row>
    <row r="454" ht="22.5" customHeight="1">
      <c r="A454" s="352">
        <v>581.0</v>
      </c>
      <c r="B454" s="184">
        <v>12.0</v>
      </c>
      <c r="C454" s="184" t="s">
        <v>9599</v>
      </c>
      <c r="D454" s="186" t="s">
        <v>8378</v>
      </c>
      <c r="E454" s="185" t="s">
        <v>8379</v>
      </c>
      <c r="F454" s="184" t="s">
        <v>220</v>
      </c>
    </row>
    <row r="455" ht="22.5" customHeight="1">
      <c r="A455" s="352">
        <v>582.0</v>
      </c>
      <c r="B455" s="184">
        <v>13.0</v>
      </c>
      <c r="C455" s="184" t="s">
        <v>9600</v>
      </c>
      <c r="D455" s="184" t="s">
        <v>8380</v>
      </c>
      <c r="E455" s="185" t="s">
        <v>8381</v>
      </c>
      <c r="F455" s="184" t="s">
        <v>227</v>
      </c>
    </row>
    <row r="456" ht="22.5" customHeight="1">
      <c r="A456" s="352">
        <v>583.0</v>
      </c>
      <c r="B456" s="184">
        <v>14.0</v>
      </c>
      <c r="C456" s="184" t="s">
        <v>9601</v>
      </c>
      <c r="D456" s="184" t="s">
        <v>8382</v>
      </c>
      <c r="E456" s="185" t="s">
        <v>8383</v>
      </c>
      <c r="F456" s="184" t="s">
        <v>227</v>
      </c>
    </row>
    <row r="457" ht="22.5" customHeight="1">
      <c r="A457" s="352">
        <v>584.0</v>
      </c>
      <c r="B457" s="184">
        <v>15.0</v>
      </c>
      <c r="C457" s="184" t="s">
        <v>9602</v>
      </c>
      <c r="D457" s="184" t="s">
        <v>8384</v>
      </c>
      <c r="E457" s="202" t="s">
        <v>8385</v>
      </c>
      <c r="F457" s="184" t="s">
        <v>227</v>
      </c>
    </row>
    <row r="458" ht="22.5" customHeight="1">
      <c r="A458" s="352">
        <v>585.0</v>
      </c>
      <c r="B458" s="184">
        <v>16.0</v>
      </c>
      <c r="C458" s="184" t="s">
        <v>9603</v>
      </c>
      <c r="D458" s="184" t="s">
        <v>8386</v>
      </c>
      <c r="E458" s="202" t="s">
        <v>8387</v>
      </c>
      <c r="F458" s="184" t="s">
        <v>227</v>
      </c>
    </row>
    <row r="459" ht="22.5" customHeight="1">
      <c r="A459" s="352">
        <v>586.0</v>
      </c>
      <c r="B459" s="184">
        <v>17.0</v>
      </c>
      <c r="C459" s="184" t="s">
        <v>9604</v>
      </c>
      <c r="D459" s="184" t="s">
        <v>8388</v>
      </c>
      <c r="E459" s="185" t="s">
        <v>8389</v>
      </c>
      <c r="F459" s="184" t="s">
        <v>220</v>
      </c>
    </row>
    <row r="460" ht="22.5" customHeight="1">
      <c r="A460" s="352">
        <v>587.0</v>
      </c>
      <c r="B460" s="184">
        <v>18.0</v>
      </c>
      <c r="C460" s="184" t="s">
        <v>9605</v>
      </c>
      <c r="D460" s="184" t="s">
        <v>8390</v>
      </c>
      <c r="E460" s="202" t="s">
        <v>8391</v>
      </c>
      <c r="F460" s="184" t="s">
        <v>220</v>
      </c>
    </row>
    <row r="461" ht="22.5" customHeight="1">
      <c r="A461" s="352">
        <v>588.0</v>
      </c>
      <c r="B461" s="184">
        <v>19.0</v>
      </c>
      <c r="C461" s="184" t="s">
        <v>9606</v>
      </c>
      <c r="D461" s="184" t="s">
        <v>8392</v>
      </c>
      <c r="E461" s="185" t="s">
        <v>8393</v>
      </c>
      <c r="F461" s="184" t="s">
        <v>227</v>
      </c>
    </row>
    <row r="462" ht="22.5" customHeight="1">
      <c r="A462" s="352">
        <v>589.0</v>
      </c>
      <c r="B462" s="184">
        <v>20.0</v>
      </c>
      <c r="C462" s="184" t="s">
        <v>9607</v>
      </c>
      <c r="D462" s="184" t="s">
        <v>8394</v>
      </c>
      <c r="E462" s="197" t="s">
        <v>8395</v>
      </c>
      <c r="F462" s="184" t="s">
        <v>220</v>
      </c>
    </row>
    <row r="463" ht="22.5" customHeight="1">
      <c r="A463" s="352">
        <v>590.0</v>
      </c>
      <c r="B463" s="184">
        <v>21.0</v>
      </c>
      <c r="C463" s="184" t="s">
        <v>9608</v>
      </c>
      <c r="D463" s="184" t="s">
        <v>8396</v>
      </c>
      <c r="E463" s="185" t="s">
        <v>8397</v>
      </c>
      <c r="F463" s="184" t="s">
        <v>227</v>
      </c>
    </row>
    <row r="464" ht="22.5" customHeight="1">
      <c r="A464" s="352">
        <v>591.0</v>
      </c>
      <c r="B464" s="184">
        <v>22.0</v>
      </c>
      <c r="C464" s="184" t="s">
        <v>9609</v>
      </c>
      <c r="D464" s="184" t="s">
        <v>8398</v>
      </c>
      <c r="E464" s="185" t="s">
        <v>8399</v>
      </c>
      <c r="F464" s="184" t="s">
        <v>220</v>
      </c>
    </row>
    <row r="465" ht="22.5" customHeight="1">
      <c r="A465" s="352">
        <v>592.0</v>
      </c>
      <c r="B465" s="184">
        <v>23.0</v>
      </c>
      <c r="C465" s="184" t="s">
        <v>9610</v>
      </c>
      <c r="D465" s="184" t="s">
        <v>8400</v>
      </c>
      <c r="E465" s="185" t="s">
        <v>8401</v>
      </c>
      <c r="F465" s="184" t="s">
        <v>227</v>
      </c>
    </row>
    <row r="466" ht="22.5" customHeight="1">
      <c r="A466" s="352">
        <v>593.0</v>
      </c>
      <c r="B466" s="184">
        <v>24.0</v>
      </c>
      <c r="C466" s="184" t="s">
        <v>9611</v>
      </c>
      <c r="D466" s="184" t="s">
        <v>8402</v>
      </c>
      <c r="E466" s="185" t="s">
        <v>8403</v>
      </c>
      <c r="F466" s="184" t="s">
        <v>227</v>
      </c>
    </row>
    <row r="467" ht="22.5" customHeight="1">
      <c r="A467" s="352">
        <v>594.0</v>
      </c>
      <c r="B467" s="184">
        <v>25.0</v>
      </c>
      <c r="C467" s="184" t="s">
        <v>9612</v>
      </c>
      <c r="D467" s="184" t="s">
        <v>8404</v>
      </c>
      <c r="E467" s="185" t="s">
        <v>8405</v>
      </c>
      <c r="F467" s="184" t="s">
        <v>227</v>
      </c>
    </row>
    <row r="468" ht="22.5" customHeight="1">
      <c r="A468" s="352">
        <v>595.0</v>
      </c>
      <c r="B468" s="184">
        <v>26.0</v>
      </c>
      <c r="C468" s="184" t="s">
        <v>9613</v>
      </c>
      <c r="D468" s="184" t="s">
        <v>8406</v>
      </c>
      <c r="E468" s="202" t="s">
        <v>8407</v>
      </c>
      <c r="F468" s="184" t="s">
        <v>220</v>
      </c>
    </row>
    <row r="469" ht="22.5" customHeight="1">
      <c r="A469" s="352">
        <v>596.0</v>
      </c>
      <c r="B469" s="184">
        <v>27.0</v>
      </c>
      <c r="C469" s="184" t="s">
        <v>9614</v>
      </c>
      <c r="D469" s="184" t="s">
        <v>8408</v>
      </c>
      <c r="E469" s="202" t="s">
        <v>8409</v>
      </c>
      <c r="F469" s="184" t="s">
        <v>220</v>
      </c>
    </row>
    <row r="470" ht="22.5" customHeight="1">
      <c r="A470" s="352">
        <v>597.0</v>
      </c>
      <c r="B470" s="184">
        <v>28.0</v>
      </c>
      <c r="C470" s="184" t="s">
        <v>9615</v>
      </c>
      <c r="D470" s="184" t="s">
        <v>8410</v>
      </c>
      <c r="E470" s="185" t="s">
        <v>8411</v>
      </c>
      <c r="F470" s="184" t="s">
        <v>227</v>
      </c>
    </row>
    <row r="471" ht="22.5" customHeight="1">
      <c r="A471" s="352">
        <v>598.0</v>
      </c>
      <c r="B471" s="184">
        <v>29.0</v>
      </c>
      <c r="C471" s="184" t="s">
        <v>9616</v>
      </c>
      <c r="D471" s="184" t="s">
        <v>8412</v>
      </c>
      <c r="E471" s="185" t="s">
        <v>8413</v>
      </c>
      <c r="F471" s="184" t="s">
        <v>220</v>
      </c>
    </row>
    <row r="472" ht="22.5" customHeight="1">
      <c r="A472" s="352">
        <v>599.0</v>
      </c>
      <c r="B472" s="184">
        <v>30.0</v>
      </c>
      <c r="C472" s="184" t="s">
        <v>9617</v>
      </c>
      <c r="D472" s="184" t="s">
        <v>8414</v>
      </c>
      <c r="E472" s="185" t="s">
        <v>8415</v>
      </c>
      <c r="F472" s="184" t="s">
        <v>227</v>
      </c>
    </row>
    <row r="473" ht="22.5" customHeight="1">
      <c r="A473" s="352">
        <v>600.0</v>
      </c>
      <c r="B473" s="184">
        <v>31.0</v>
      </c>
      <c r="C473" s="184" t="s">
        <v>9618</v>
      </c>
      <c r="D473" s="184" t="s">
        <v>8416</v>
      </c>
      <c r="E473" s="185" t="s">
        <v>8417</v>
      </c>
      <c r="F473" s="184" t="s">
        <v>220</v>
      </c>
    </row>
    <row r="474" ht="22.5" customHeight="1">
      <c r="A474" s="352">
        <v>601.0</v>
      </c>
      <c r="B474" s="184">
        <v>32.0</v>
      </c>
      <c r="C474" s="201" t="s">
        <v>9619</v>
      </c>
      <c r="D474" s="201" t="s">
        <v>8418</v>
      </c>
      <c r="E474" s="200" t="s">
        <v>8419</v>
      </c>
      <c r="F474" s="201" t="s">
        <v>227</v>
      </c>
    </row>
    <row r="475" ht="22.5" customHeight="1">
      <c r="A475" s="352">
        <v>602.0</v>
      </c>
      <c r="B475" s="184">
        <v>33.0</v>
      </c>
      <c r="C475" s="184" t="s">
        <v>9620</v>
      </c>
      <c r="D475" s="184" t="s">
        <v>8420</v>
      </c>
      <c r="E475" s="185" t="s">
        <v>8421</v>
      </c>
      <c r="F475" s="184" t="s">
        <v>227</v>
      </c>
    </row>
    <row r="476" ht="22.5" customHeight="1">
      <c r="A476" s="352">
        <v>603.0</v>
      </c>
      <c r="B476" s="184">
        <v>34.0</v>
      </c>
      <c r="C476" s="184" t="s">
        <v>9621</v>
      </c>
      <c r="D476" s="184" t="s">
        <v>8422</v>
      </c>
      <c r="E476" s="202" t="s">
        <v>8423</v>
      </c>
      <c r="F476" s="184" t="s">
        <v>220</v>
      </c>
    </row>
    <row r="477" ht="22.5" customHeight="1">
      <c r="A477" s="352">
        <v>604.0</v>
      </c>
      <c r="B477" s="184">
        <v>35.0</v>
      </c>
      <c r="C477" s="184" t="s">
        <v>9622</v>
      </c>
      <c r="D477" s="184" t="s">
        <v>8424</v>
      </c>
      <c r="E477" s="202" t="s">
        <v>8425</v>
      </c>
      <c r="F477" s="184" t="s">
        <v>227</v>
      </c>
    </row>
    <row r="478" ht="22.5" customHeight="1">
      <c r="A478" s="352">
        <v>605.0</v>
      </c>
      <c r="B478" s="184">
        <v>36.0</v>
      </c>
      <c r="C478" s="184" t="s">
        <v>9623</v>
      </c>
      <c r="D478" s="184" t="s">
        <v>8426</v>
      </c>
      <c r="E478" s="185" t="s">
        <v>8427</v>
      </c>
      <c r="F478" s="184" t="s">
        <v>227</v>
      </c>
    </row>
    <row r="479" ht="22.5" hidden="1" customHeight="1">
      <c r="A479" s="352">
        <v>606.0</v>
      </c>
      <c r="B479" s="188"/>
      <c r="C479" s="190"/>
      <c r="D479" s="188"/>
      <c r="E479" s="190"/>
      <c r="F479" s="188"/>
    </row>
    <row r="480" ht="22.5" hidden="1" customHeight="1">
      <c r="A480" s="352">
        <v>607.0</v>
      </c>
      <c r="B480" s="188"/>
      <c r="C480" s="190"/>
      <c r="D480" s="188"/>
      <c r="E480" s="190"/>
      <c r="F480" s="188"/>
    </row>
    <row r="481" ht="22.5" hidden="1" customHeight="1">
      <c r="A481" s="352">
        <v>608.0</v>
      </c>
      <c r="B481" s="188"/>
      <c r="C481" s="190"/>
      <c r="D481" s="188"/>
      <c r="E481" s="190"/>
      <c r="F481" s="188"/>
    </row>
    <row r="482" ht="22.5" hidden="1" customHeight="1">
      <c r="A482" s="352">
        <v>609.0</v>
      </c>
      <c r="B482" s="188"/>
      <c r="C482" s="188"/>
      <c r="D482" s="188"/>
      <c r="E482" s="188"/>
      <c r="F482" s="188"/>
    </row>
    <row r="483" ht="22.5" hidden="1" customHeight="1">
      <c r="A483" s="352">
        <v>610.0</v>
      </c>
      <c r="B483" s="191"/>
      <c r="C483" s="192"/>
      <c r="D483" s="192"/>
      <c r="E483" s="192"/>
      <c r="F483" s="192"/>
    </row>
    <row r="484" ht="22.5" hidden="1" customHeight="1">
      <c r="A484" s="352">
        <v>611.0</v>
      </c>
      <c r="B484" s="193"/>
      <c r="C484" s="194"/>
      <c r="D484" s="194"/>
      <c r="E484" s="194"/>
      <c r="F484" s="194"/>
    </row>
    <row r="485" ht="22.5" hidden="1" customHeight="1">
      <c r="A485" s="352">
        <v>612.0</v>
      </c>
      <c r="B485" s="176"/>
      <c r="C485" s="177"/>
      <c r="D485" s="177"/>
      <c r="E485" s="177"/>
      <c r="F485" s="177"/>
    </row>
    <row r="486" ht="22.5" hidden="1" customHeight="1">
      <c r="A486" s="352">
        <v>613.0</v>
      </c>
      <c r="B486" s="178"/>
      <c r="C486" s="177"/>
      <c r="D486" s="177"/>
      <c r="E486" s="177"/>
      <c r="F486" s="177"/>
    </row>
    <row r="487" ht="22.5" hidden="1" customHeight="1">
      <c r="A487" s="352">
        <v>614.0</v>
      </c>
      <c r="B487" s="179"/>
      <c r="C487" s="180"/>
      <c r="D487" s="180"/>
      <c r="E487" s="180"/>
      <c r="F487" s="180"/>
    </row>
    <row r="488" ht="22.5" hidden="1" customHeight="1">
      <c r="A488" s="352">
        <v>615.0</v>
      </c>
      <c r="B488" s="181"/>
      <c r="C488" s="181"/>
      <c r="D488" s="181"/>
      <c r="E488" s="181"/>
      <c r="F488" s="181"/>
    </row>
    <row r="489" ht="22.5" hidden="1" customHeight="1">
      <c r="A489" s="352">
        <v>616.0</v>
      </c>
      <c r="B489" s="182"/>
      <c r="C489" s="182"/>
      <c r="D489" s="182"/>
      <c r="E489" s="182"/>
      <c r="F489" s="182"/>
    </row>
    <row r="490" ht="22.5" hidden="1" customHeight="1">
      <c r="A490" s="352">
        <v>617.0</v>
      </c>
      <c r="B490" s="203"/>
      <c r="C490" s="183"/>
      <c r="D490" s="183"/>
      <c r="E490" s="183"/>
      <c r="F490" s="183"/>
    </row>
    <row r="491" ht="22.5" customHeight="1">
      <c r="A491" s="352">
        <v>618.0</v>
      </c>
      <c r="B491" s="204">
        <v>1.0</v>
      </c>
      <c r="C491" s="184" t="s">
        <v>9625</v>
      </c>
      <c r="D491" s="184" t="s">
        <v>8428</v>
      </c>
      <c r="E491" s="185" t="s">
        <v>8429</v>
      </c>
      <c r="F491" s="184" t="s">
        <v>220</v>
      </c>
    </row>
    <row r="492" ht="22.5" customHeight="1">
      <c r="A492" s="352">
        <v>619.0</v>
      </c>
      <c r="B492" s="184">
        <v>2.0</v>
      </c>
      <c r="C492" s="184" t="s">
        <v>9626</v>
      </c>
      <c r="D492" s="184" t="s">
        <v>8432</v>
      </c>
      <c r="E492" s="185" t="s">
        <v>8433</v>
      </c>
      <c r="F492" s="184" t="s">
        <v>227</v>
      </c>
    </row>
    <row r="493" ht="22.5" customHeight="1">
      <c r="A493" s="352">
        <v>620.0</v>
      </c>
      <c r="B493" s="204">
        <v>3.0</v>
      </c>
      <c r="C493" s="201">
        <v>2.42511439E8</v>
      </c>
      <c r="D493" s="199" t="s">
        <v>8434</v>
      </c>
      <c r="E493" s="200" t="s">
        <v>8435</v>
      </c>
      <c r="F493" s="201" t="s">
        <v>220</v>
      </c>
    </row>
    <row r="494" ht="22.5" customHeight="1">
      <c r="A494" s="352">
        <v>621.0</v>
      </c>
      <c r="B494" s="184">
        <v>4.0</v>
      </c>
      <c r="C494" s="184" t="s">
        <v>9627</v>
      </c>
      <c r="D494" s="184" t="s">
        <v>8436</v>
      </c>
      <c r="E494" s="185" t="s">
        <v>8437</v>
      </c>
      <c r="F494" s="184" t="s">
        <v>220</v>
      </c>
    </row>
    <row r="495" ht="22.5" customHeight="1">
      <c r="A495" s="352">
        <v>622.0</v>
      </c>
      <c r="B495" s="204">
        <v>5.0</v>
      </c>
      <c r="C495" s="184" t="s">
        <v>9628</v>
      </c>
      <c r="D495" s="184" t="s">
        <v>8438</v>
      </c>
      <c r="E495" s="185" t="s">
        <v>8439</v>
      </c>
      <c r="F495" s="184" t="s">
        <v>227</v>
      </c>
    </row>
    <row r="496" ht="22.5" customHeight="1">
      <c r="A496" s="352">
        <v>623.0</v>
      </c>
      <c r="B496" s="184">
        <v>6.0</v>
      </c>
      <c r="C496" s="184" t="s">
        <v>9629</v>
      </c>
      <c r="D496" s="186" t="s">
        <v>8440</v>
      </c>
      <c r="E496" s="185" t="s">
        <v>8441</v>
      </c>
      <c r="F496" s="184" t="s">
        <v>227</v>
      </c>
    </row>
    <row r="497" ht="22.5" customHeight="1">
      <c r="A497" s="352">
        <v>624.0</v>
      </c>
      <c r="B497" s="204">
        <v>7.0</v>
      </c>
      <c r="C497" s="184" t="s">
        <v>9630</v>
      </c>
      <c r="D497" s="186" t="s">
        <v>8442</v>
      </c>
      <c r="E497" s="185" t="s">
        <v>8443</v>
      </c>
      <c r="F497" s="184" t="s">
        <v>227</v>
      </c>
    </row>
    <row r="498" ht="22.5" customHeight="1">
      <c r="A498" s="352">
        <v>625.0</v>
      </c>
      <c r="B498" s="184">
        <v>8.0</v>
      </c>
      <c r="C498" s="184" t="s">
        <v>9631</v>
      </c>
      <c r="D498" s="186" t="s">
        <v>8444</v>
      </c>
      <c r="E498" s="202" t="s">
        <v>8445</v>
      </c>
      <c r="F498" s="184" t="s">
        <v>227</v>
      </c>
    </row>
    <row r="499" ht="22.5" customHeight="1">
      <c r="A499" s="352">
        <v>626.0</v>
      </c>
      <c r="B499" s="204">
        <v>9.0</v>
      </c>
      <c r="C499" s="184" t="s">
        <v>9632</v>
      </c>
      <c r="D499" s="186" t="s">
        <v>8446</v>
      </c>
      <c r="E499" s="185" t="s">
        <v>8447</v>
      </c>
      <c r="F499" s="184" t="s">
        <v>227</v>
      </c>
    </row>
    <row r="500" ht="22.5" customHeight="1">
      <c r="A500" s="352">
        <v>627.0</v>
      </c>
      <c r="B500" s="184">
        <v>10.0</v>
      </c>
      <c r="C500" s="184" t="s">
        <v>9633</v>
      </c>
      <c r="D500" s="210" t="s">
        <v>8448</v>
      </c>
      <c r="E500" s="185" t="s">
        <v>8449</v>
      </c>
      <c r="F500" s="184" t="s">
        <v>227</v>
      </c>
    </row>
    <row r="501" ht="22.5" customHeight="1">
      <c r="A501" s="352">
        <v>628.0</v>
      </c>
      <c r="B501" s="204">
        <v>11.0</v>
      </c>
      <c r="C501" s="184" t="s">
        <v>9634</v>
      </c>
      <c r="D501" s="184" t="s">
        <v>8306</v>
      </c>
      <c r="E501" s="185" t="s">
        <v>8450</v>
      </c>
      <c r="F501" s="184" t="s">
        <v>227</v>
      </c>
    </row>
    <row r="502" ht="22.5" customHeight="1">
      <c r="A502" s="352">
        <v>629.0</v>
      </c>
      <c r="B502" s="184">
        <v>12.0</v>
      </c>
      <c r="C502" s="184" t="s">
        <v>9635</v>
      </c>
      <c r="D502" s="184" t="s">
        <v>8451</v>
      </c>
      <c r="E502" s="185" t="s">
        <v>8452</v>
      </c>
      <c r="F502" s="184" t="s">
        <v>227</v>
      </c>
    </row>
    <row r="503" ht="22.5" customHeight="1">
      <c r="A503" s="352">
        <v>630.0</v>
      </c>
      <c r="B503" s="204">
        <v>13.0</v>
      </c>
      <c r="C503" s="184" t="s">
        <v>9636</v>
      </c>
      <c r="D503" s="184" t="s">
        <v>8453</v>
      </c>
      <c r="E503" s="185" t="s">
        <v>8454</v>
      </c>
      <c r="F503" s="184" t="s">
        <v>227</v>
      </c>
    </row>
    <row r="504" ht="22.5" customHeight="1">
      <c r="A504" s="352">
        <v>631.0</v>
      </c>
      <c r="B504" s="184">
        <v>14.0</v>
      </c>
      <c r="C504" s="184" t="s">
        <v>9637</v>
      </c>
      <c r="D504" s="184" t="s">
        <v>8455</v>
      </c>
      <c r="E504" s="185" t="s">
        <v>8456</v>
      </c>
      <c r="F504" s="184" t="s">
        <v>220</v>
      </c>
    </row>
    <row r="505" ht="22.5" customHeight="1">
      <c r="A505" s="352">
        <v>632.0</v>
      </c>
      <c r="B505" s="204">
        <v>15.0</v>
      </c>
      <c r="C505" s="201" t="s">
        <v>9638</v>
      </c>
      <c r="D505" s="201" t="s">
        <v>8457</v>
      </c>
      <c r="E505" s="200" t="s">
        <v>8458</v>
      </c>
      <c r="F505" s="201" t="s">
        <v>227</v>
      </c>
    </row>
    <row r="506" ht="22.5" customHeight="1">
      <c r="A506" s="352">
        <v>633.0</v>
      </c>
      <c r="B506" s="184">
        <v>16.0</v>
      </c>
      <c r="C506" s="201" t="s">
        <v>9639</v>
      </c>
      <c r="D506" s="201" t="s">
        <v>8459</v>
      </c>
      <c r="E506" s="200" t="s">
        <v>8460</v>
      </c>
      <c r="F506" s="201" t="s">
        <v>220</v>
      </c>
    </row>
    <row r="507" ht="22.5" customHeight="1">
      <c r="A507" s="352">
        <v>634.0</v>
      </c>
      <c r="B507" s="204">
        <v>17.0</v>
      </c>
      <c r="C507" s="184" t="s">
        <v>9640</v>
      </c>
      <c r="D507" s="184" t="s">
        <v>8461</v>
      </c>
      <c r="E507" s="185" t="s">
        <v>8462</v>
      </c>
      <c r="F507" s="184" t="s">
        <v>220</v>
      </c>
    </row>
    <row r="508" ht="22.5" customHeight="1">
      <c r="A508" s="352">
        <v>635.0</v>
      </c>
      <c r="B508" s="184">
        <v>18.0</v>
      </c>
      <c r="C508" s="184" t="s">
        <v>9641</v>
      </c>
      <c r="D508" s="184" t="s">
        <v>8463</v>
      </c>
      <c r="E508" s="185" t="s">
        <v>8464</v>
      </c>
      <c r="F508" s="184" t="s">
        <v>220</v>
      </c>
    </row>
    <row r="509" ht="22.5" customHeight="1">
      <c r="A509" s="352">
        <v>636.0</v>
      </c>
      <c r="B509" s="204">
        <v>19.0</v>
      </c>
      <c r="C509" s="184" t="s">
        <v>9642</v>
      </c>
      <c r="D509" s="184" t="s">
        <v>8465</v>
      </c>
      <c r="E509" s="185" t="s">
        <v>8466</v>
      </c>
      <c r="F509" s="184" t="s">
        <v>220</v>
      </c>
    </row>
    <row r="510" ht="22.5" customHeight="1">
      <c r="A510" s="352">
        <v>637.0</v>
      </c>
      <c r="B510" s="184">
        <v>20.0</v>
      </c>
      <c r="C510" s="184" t="s">
        <v>9643</v>
      </c>
      <c r="D510" s="184" t="s">
        <v>8467</v>
      </c>
      <c r="E510" s="185" t="s">
        <v>8468</v>
      </c>
      <c r="F510" s="184" t="s">
        <v>227</v>
      </c>
    </row>
    <row r="511" ht="22.5" customHeight="1">
      <c r="A511" s="352">
        <v>638.0</v>
      </c>
      <c r="B511" s="204">
        <v>21.0</v>
      </c>
      <c r="C511" s="184" t="s">
        <v>9644</v>
      </c>
      <c r="D511" s="184" t="s">
        <v>8469</v>
      </c>
      <c r="E511" s="185" t="s">
        <v>8470</v>
      </c>
      <c r="F511" s="184" t="s">
        <v>227</v>
      </c>
    </row>
    <row r="512" ht="22.5" customHeight="1">
      <c r="A512" s="352">
        <v>639.0</v>
      </c>
      <c r="B512" s="184">
        <v>22.0</v>
      </c>
      <c r="C512" s="184" t="s">
        <v>9645</v>
      </c>
      <c r="D512" s="184" t="s">
        <v>8471</v>
      </c>
      <c r="E512" s="185" t="s">
        <v>8472</v>
      </c>
      <c r="F512" s="184" t="s">
        <v>227</v>
      </c>
    </row>
    <row r="513" ht="22.5" customHeight="1">
      <c r="A513" s="352">
        <v>640.0</v>
      </c>
      <c r="B513" s="204">
        <v>23.0</v>
      </c>
      <c r="C513" s="184" t="s">
        <v>9646</v>
      </c>
      <c r="D513" s="184" t="s">
        <v>8473</v>
      </c>
      <c r="E513" s="185" t="s">
        <v>8474</v>
      </c>
      <c r="F513" s="184" t="s">
        <v>227</v>
      </c>
    </row>
    <row r="514" ht="22.5" customHeight="1">
      <c r="A514" s="352">
        <v>641.0</v>
      </c>
      <c r="B514" s="184">
        <v>24.0</v>
      </c>
      <c r="C514" s="184" t="s">
        <v>9647</v>
      </c>
      <c r="D514" s="184" t="s">
        <v>8475</v>
      </c>
      <c r="E514" s="202" t="s">
        <v>8476</v>
      </c>
      <c r="F514" s="184" t="s">
        <v>227</v>
      </c>
    </row>
    <row r="515" ht="22.5" customHeight="1">
      <c r="A515" s="352">
        <v>642.0</v>
      </c>
      <c r="B515" s="204">
        <v>25.0</v>
      </c>
      <c r="C515" s="184" t="s">
        <v>9648</v>
      </c>
      <c r="D515" s="184" t="s">
        <v>8477</v>
      </c>
      <c r="E515" s="185" t="s">
        <v>8478</v>
      </c>
      <c r="F515" s="184" t="s">
        <v>220</v>
      </c>
    </row>
    <row r="516" ht="22.5" customHeight="1">
      <c r="A516" s="352">
        <v>643.0</v>
      </c>
      <c r="B516" s="184">
        <v>26.0</v>
      </c>
      <c r="C516" s="184" t="s">
        <v>9649</v>
      </c>
      <c r="D516" s="186" t="s">
        <v>8479</v>
      </c>
      <c r="E516" s="185" t="s">
        <v>8480</v>
      </c>
      <c r="F516" s="184" t="s">
        <v>220</v>
      </c>
    </row>
    <row r="517" ht="22.5" customHeight="1">
      <c r="A517" s="352">
        <v>644.0</v>
      </c>
      <c r="B517" s="204">
        <v>27.0</v>
      </c>
      <c r="C517" s="184" t="s">
        <v>9650</v>
      </c>
      <c r="D517" s="184" t="s">
        <v>8481</v>
      </c>
      <c r="E517" s="185" t="s">
        <v>8482</v>
      </c>
      <c r="F517" s="184" t="s">
        <v>227</v>
      </c>
    </row>
    <row r="518" ht="22.5" customHeight="1">
      <c r="A518" s="352">
        <v>645.0</v>
      </c>
      <c r="B518" s="184">
        <v>28.0</v>
      </c>
      <c r="C518" s="184">
        <v>2.32410363E8</v>
      </c>
      <c r="D518" s="186" t="s">
        <v>8483</v>
      </c>
      <c r="E518" s="185" t="s">
        <v>8484</v>
      </c>
      <c r="F518" s="184" t="s">
        <v>227</v>
      </c>
    </row>
    <row r="519" ht="22.5" customHeight="1">
      <c r="A519" s="352">
        <v>646.0</v>
      </c>
      <c r="B519" s="204">
        <v>29.0</v>
      </c>
      <c r="C519" s="184" t="s">
        <v>9651</v>
      </c>
      <c r="D519" s="184" t="s">
        <v>8485</v>
      </c>
      <c r="E519" s="185" t="s">
        <v>8486</v>
      </c>
      <c r="F519" s="184" t="s">
        <v>227</v>
      </c>
    </row>
    <row r="520" ht="22.5" customHeight="1">
      <c r="A520" s="352">
        <v>647.0</v>
      </c>
      <c r="B520" s="184">
        <v>30.0</v>
      </c>
      <c r="C520" s="184" t="s">
        <v>9652</v>
      </c>
      <c r="D520" s="184" t="s">
        <v>8487</v>
      </c>
      <c r="E520" s="185" t="s">
        <v>8488</v>
      </c>
      <c r="F520" s="184" t="s">
        <v>220</v>
      </c>
    </row>
    <row r="521" ht="22.5" customHeight="1">
      <c r="A521" s="352">
        <v>648.0</v>
      </c>
      <c r="B521" s="204">
        <v>31.0</v>
      </c>
      <c r="C521" s="184" t="s">
        <v>9653</v>
      </c>
      <c r="D521" s="184" t="s">
        <v>8489</v>
      </c>
      <c r="E521" s="185" t="s">
        <v>8490</v>
      </c>
      <c r="F521" s="184" t="s">
        <v>227</v>
      </c>
    </row>
    <row r="522" ht="22.5" customHeight="1">
      <c r="A522" s="352">
        <v>649.0</v>
      </c>
      <c r="B522" s="184">
        <v>32.0</v>
      </c>
      <c r="C522" s="184" t="s">
        <v>9654</v>
      </c>
      <c r="D522" s="184" t="s">
        <v>8491</v>
      </c>
      <c r="E522" s="185" t="s">
        <v>8492</v>
      </c>
      <c r="F522" s="184" t="s">
        <v>220</v>
      </c>
    </row>
    <row r="523" ht="22.5" customHeight="1">
      <c r="A523" s="352">
        <v>650.0</v>
      </c>
      <c r="B523" s="204">
        <v>33.0</v>
      </c>
      <c r="C523" s="184" t="s">
        <v>9655</v>
      </c>
      <c r="D523" s="184" t="s">
        <v>8493</v>
      </c>
      <c r="E523" s="185" t="s">
        <v>8494</v>
      </c>
      <c r="F523" s="184" t="s">
        <v>227</v>
      </c>
    </row>
    <row r="524" ht="22.5" customHeight="1">
      <c r="A524" s="352">
        <v>651.0</v>
      </c>
      <c r="B524" s="184">
        <v>34.0</v>
      </c>
      <c r="C524" s="184" t="s">
        <v>9656</v>
      </c>
      <c r="D524" s="184" t="s">
        <v>8495</v>
      </c>
      <c r="E524" s="185" t="s">
        <v>8496</v>
      </c>
      <c r="F524" s="184" t="s">
        <v>227</v>
      </c>
    </row>
    <row r="525" ht="22.5" customHeight="1">
      <c r="A525" s="352">
        <v>652.0</v>
      </c>
      <c r="B525" s="204">
        <v>35.0</v>
      </c>
      <c r="C525" s="184" t="s">
        <v>9657</v>
      </c>
      <c r="D525" s="184" t="s">
        <v>8497</v>
      </c>
      <c r="E525" s="185" t="s">
        <v>8498</v>
      </c>
      <c r="F525" s="184" t="s">
        <v>227</v>
      </c>
    </row>
    <row r="526" ht="22.5" customHeight="1">
      <c r="A526" s="352">
        <v>653.0</v>
      </c>
      <c r="B526" s="184">
        <v>36.0</v>
      </c>
      <c r="C526" s="184" t="s">
        <v>9658</v>
      </c>
      <c r="D526" s="184" t="s">
        <v>8499</v>
      </c>
      <c r="E526" s="185" t="s">
        <v>8500</v>
      </c>
      <c r="F526" s="184" t="s">
        <v>220</v>
      </c>
    </row>
    <row r="527" ht="22.5" customHeight="1">
      <c r="A527" s="352">
        <v>654.0</v>
      </c>
      <c r="B527" s="204">
        <v>37.0</v>
      </c>
      <c r="C527" s="184" t="s">
        <v>9659</v>
      </c>
      <c r="D527" s="184" t="s">
        <v>8501</v>
      </c>
      <c r="E527" s="185" t="s">
        <v>8502</v>
      </c>
      <c r="F527" s="184" t="s">
        <v>227</v>
      </c>
    </row>
    <row r="528" ht="22.5" hidden="1" customHeight="1">
      <c r="A528" s="352">
        <v>655.0</v>
      </c>
      <c r="B528" s="188"/>
      <c r="C528" s="190"/>
      <c r="D528" s="188"/>
      <c r="E528" s="190"/>
      <c r="F528" s="188"/>
    </row>
    <row r="529" ht="22.5" hidden="1" customHeight="1">
      <c r="A529" s="352">
        <v>656.0</v>
      </c>
      <c r="B529" s="188"/>
      <c r="C529" s="190"/>
      <c r="D529" s="188"/>
      <c r="E529" s="190"/>
      <c r="F529" s="188"/>
    </row>
    <row r="530" ht="22.5" hidden="1" customHeight="1">
      <c r="A530" s="352">
        <v>657.0</v>
      </c>
      <c r="B530" s="188"/>
      <c r="C530" s="190"/>
      <c r="D530" s="188"/>
      <c r="E530" s="190"/>
      <c r="F530" s="188"/>
    </row>
    <row r="531" ht="22.5" hidden="1" customHeight="1">
      <c r="A531" s="352">
        <v>658.0</v>
      </c>
      <c r="B531" s="188"/>
      <c r="C531" s="188"/>
      <c r="D531" s="188"/>
      <c r="E531" s="188"/>
      <c r="F531" s="188"/>
    </row>
    <row r="532" ht="22.5" hidden="1" customHeight="1">
      <c r="A532" s="352">
        <v>659.0</v>
      </c>
      <c r="B532" s="191"/>
      <c r="C532" s="192"/>
      <c r="D532" s="192"/>
      <c r="E532" s="192"/>
      <c r="F532" s="192"/>
    </row>
    <row r="533" ht="22.5" hidden="1" customHeight="1">
      <c r="A533" s="352">
        <v>660.0</v>
      </c>
      <c r="B533" s="193"/>
      <c r="C533" s="194"/>
      <c r="D533" s="194"/>
      <c r="E533" s="194"/>
      <c r="F533" s="194"/>
    </row>
    <row r="534" ht="22.5" hidden="1" customHeight="1">
      <c r="A534" s="352">
        <v>661.0</v>
      </c>
      <c r="B534" s="176"/>
      <c r="C534" s="177"/>
      <c r="D534" s="177"/>
      <c r="E534" s="177"/>
      <c r="F534" s="177"/>
    </row>
    <row r="535" ht="22.5" hidden="1" customHeight="1">
      <c r="A535" s="352">
        <v>662.0</v>
      </c>
      <c r="B535" s="178"/>
      <c r="C535" s="177"/>
      <c r="D535" s="177"/>
      <c r="E535" s="177"/>
      <c r="F535" s="177"/>
    </row>
    <row r="536" ht="22.5" hidden="1" customHeight="1">
      <c r="A536" s="352">
        <v>663.0</v>
      </c>
      <c r="B536" s="179"/>
      <c r="C536" s="180"/>
      <c r="D536" s="180"/>
      <c r="E536" s="180"/>
      <c r="F536" s="180"/>
    </row>
    <row r="537" ht="22.5" hidden="1" customHeight="1">
      <c r="A537" s="352">
        <v>664.0</v>
      </c>
      <c r="B537" s="181"/>
      <c r="C537" s="181"/>
      <c r="D537" s="181"/>
      <c r="E537" s="181"/>
      <c r="F537" s="181"/>
    </row>
    <row r="538" ht="22.5" hidden="1" customHeight="1">
      <c r="A538" s="352">
        <v>665.0</v>
      </c>
      <c r="B538" s="182"/>
      <c r="C538" s="182"/>
      <c r="D538" s="182"/>
      <c r="E538" s="182"/>
      <c r="F538" s="182"/>
    </row>
    <row r="539" ht="22.5" hidden="1" customHeight="1">
      <c r="A539" s="352">
        <v>666.0</v>
      </c>
      <c r="B539" s="183"/>
      <c r="C539" s="183"/>
      <c r="D539" s="183"/>
      <c r="E539" s="183"/>
      <c r="F539" s="183"/>
    </row>
    <row r="540" ht="22.5" customHeight="1">
      <c r="A540" s="352">
        <v>667.0</v>
      </c>
      <c r="B540" s="184">
        <v>1.0</v>
      </c>
      <c r="C540" s="184" t="s">
        <v>9662</v>
      </c>
      <c r="D540" s="184" t="s">
        <v>8503</v>
      </c>
      <c r="E540" s="185" t="s">
        <v>8504</v>
      </c>
      <c r="F540" s="184" t="s">
        <v>227</v>
      </c>
    </row>
    <row r="541" ht="22.5" customHeight="1">
      <c r="A541" s="352">
        <v>668.0</v>
      </c>
      <c r="B541" s="184">
        <v>2.0</v>
      </c>
      <c r="C541" s="184" t="s">
        <v>9663</v>
      </c>
      <c r="D541" s="186" t="s">
        <v>8507</v>
      </c>
      <c r="E541" s="185" t="s">
        <v>8508</v>
      </c>
      <c r="F541" s="184" t="s">
        <v>227</v>
      </c>
    </row>
    <row r="542" ht="22.5" customHeight="1">
      <c r="A542" s="352">
        <v>669.0</v>
      </c>
      <c r="B542" s="184">
        <v>3.0</v>
      </c>
      <c r="C542" s="184" t="s">
        <v>9664</v>
      </c>
      <c r="D542" s="184" t="s">
        <v>8509</v>
      </c>
      <c r="E542" s="202" t="s">
        <v>8510</v>
      </c>
      <c r="F542" s="184" t="s">
        <v>227</v>
      </c>
    </row>
    <row r="543" ht="22.5" customHeight="1">
      <c r="A543" s="352">
        <v>670.0</v>
      </c>
      <c r="B543" s="184">
        <v>4.0</v>
      </c>
      <c r="C543" s="184" t="s">
        <v>9665</v>
      </c>
      <c r="D543" s="184" t="s">
        <v>8511</v>
      </c>
      <c r="E543" s="202" t="s">
        <v>8512</v>
      </c>
      <c r="F543" s="184" t="s">
        <v>220</v>
      </c>
    </row>
    <row r="544" ht="22.5" customHeight="1">
      <c r="A544" s="352">
        <v>671.0</v>
      </c>
      <c r="B544" s="184">
        <v>5.0</v>
      </c>
      <c r="C544" s="184" t="s">
        <v>9666</v>
      </c>
      <c r="D544" s="184" t="s">
        <v>8513</v>
      </c>
      <c r="E544" s="185" t="s">
        <v>8514</v>
      </c>
      <c r="F544" s="184" t="s">
        <v>227</v>
      </c>
    </row>
    <row r="545" ht="22.5" customHeight="1">
      <c r="A545" s="352">
        <v>672.0</v>
      </c>
      <c r="B545" s="184">
        <v>6.0</v>
      </c>
      <c r="C545" s="184" t="s">
        <v>9667</v>
      </c>
      <c r="D545" s="186" t="s">
        <v>8515</v>
      </c>
      <c r="E545" s="185" t="s">
        <v>8516</v>
      </c>
      <c r="F545" s="184" t="s">
        <v>220</v>
      </c>
    </row>
    <row r="546" ht="22.5" customHeight="1">
      <c r="A546" s="352">
        <v>673.0</v>
      </c>
      <c r="B546" s="184">
        <v>7.0</v>
      </c>
      <c r="C546" s="184" t="s">
        <v>9668</v>
      </c>
      <c r="D546" s="184" t="s">
        <v>8517</v>
      </c>
      <c r="E546" s="185" t="s">
        <v>8518</v>
      </c>
      <c r="F546" s="184" t="s">
        <v>227</v>
      </c>
    </row>
    <row r="547" ht="22.5" customHeight="1">
      <c r="A547" s="352">
        <v>674.0</v>
      </c>
      <c r="B547" s="184">
        <v>8.0</v>
      </c>
      <c r="C547" s="184" t="s">
        <v>9669</v>
      </c>
      <c r="D547" s="184" t="s">
        <v>8231</v>
      </c>
      <c r="E547" s="185" t="s">
        <v>8519</v>
      </c>
      <c r="F547" s="184" t="s">
        <v>220</v>
      </c>
    </row>
    <row r="548" ht="22.5" customHeight="1">
      <c r="A548" s="352">
        <v>675.0</v>
      </c>
      <c r="B548" s="184">
        <v>9.0</v>
      </c>
      <c r="C548" s="184" t="s">
        <v>9670</v>
      </c>
      <c r="D548" s="184" t="s">
        <v>7938</v>
      </c>
      <c r="E548" s="185" t="s">
        <v>8520</v>
      </c>
      <c r="F548" s="184" t="s">
        <v>220</v>
      </c>
    </row>
    <row r="549" ht="22.5" customHeight="1">
      <c r="A549" s="352">
        <v>676.0</v>
      </c>
      <c r="B549" s="184">
        <v>10.0</v>
      </c>
      <c r="C549" s="184" t="s">
        <v>9671</v>
      </c>
      <c r="D549" s="184" t="s">
        <v>8521</v>
      </c>
      <c r="E549" s="200" t="s">
        <v>8522</v>
      </c>
      <c r="F549" s="184" t="s">
        <v>227</v>
      </c>
    </row>
    <row r="550" ht="22.5" customHeight="1">
      <c r="A550" s="352">
        <v>677.0</v>
      </c>
      <c r="B550" s="184">
        <v>11.0</v>
      </c>
      <c r="C550" s="184" t="s">
        <v>9672</v>
      </c>
      <c r="D550" s="184" t="s">
        <v>8523</v>
      </c>
      <c r="E550" s="185" t="s">
        <v>8524</v>
      </c>
      <c r="F550" s="184" t="s">
        <v>227</v>
      </c>
    </row>
    <row r="551" ht="22.5" customHeight="1">
      <c r="A551" s="352">
        <v>678.0</v>
      </c>
      <c r="B551" s="184">
        <v>12.0</v>
      </c>
      <c r="C551" s="184" t="s">
        <v>9673</v>
      </c>
      <c r="D551" s="184" t="s">
        <v>8525</v>
      </c>
      <c r="E551" s="185" t="s">
        <v>8526</v>
      </c>
      <c r="F551" s="184" t="s">
        <v>220</v>
      </c>
    </row>
    <row r="552" ht="22.5" customHeight="1">
      <c r="A552" s="352">
        <v>679.0</v>
      </c>
      <c r="B552" s="184">
        <v>13.0</v>
      </c>
      <c r="C552" s="184" t="s">
        <v>9674</v>
      </c>
      <c r="D552" s="184" t="s">
        <v>8527</v>
      </c>
      <c r="E552" s="185" t="s">
        <v>8528</v>
      </c>
      <c r="F552" s="184" t="s">
        <v>227</v>
      </c>
    </row>
    <row r="553" ht="22.5" customHeight="1">
      <c r="A553" s="352">
        <v>680.0</v>
      </c>
      <c r="B553" s="184">
        <v>14.0</v>
      </c>
      <c r="C553" s="184" t="s">
        <v>9675</v>
      </c>
      <c r="D553" s="184" t="s">
        <v>8529</v>
      </c>
      <c r="E553" s="185" t="s">
        <v>8530</v>
      </c>
      <c r="F553" s="184" t="s">
        <v>227</v>
      </c>
    </row>
    <row r="554" ht="22.5" customHeight="1">
      <c r="A554" s="352">
        <v>681.0</v>
      </c>
      <c r="B554" s="184">
        <v>15.0</v>
      </c>
      <c r="C554" s="184" t="s">
        <v>9676</v>
      </c>
      <c r="D554" s="184" t="s">
        <v>8531</v>
      </c>
      <c r="E554" s="185" t="s">
        <v>8532</v>
      </c>
      <c r="F554" s="184" t="s">
        <v>227</v>
      </c>
    </row>
    <row r="555" ht="22.5" customHeight="1">
      <c r="A555" s="352">
        <v>682.0</v>
      </c>
      <c r="B555" s="184">
        <v>16.0</v>
      </c>
      <c r="C555" s="184" t="s">
        <v>9677</v>
      </c>
      <c r="D555" s="184" t="s">
        <v>8533</v>
      </c>
      <c r="E555" s="185" t="s">
        <v>8534</v>
      </c>
      <c r="F555" s="184" t="s">
        <v>220</v>
      </c>
    </row>
    <row r="556" ht="22.5" customHeight="1">
      <c r="A556" s="352">
        <v>683.0</v>
      </c>
      <c r="B556" s="184">
        <v>17.0</v>
      </c>
      <c r="C556" s="184" t="s">
        <v>9678</v>
      </c>
      <c r="D556" s="184" t="s">
        <v>8535</v>
      </c>
      <c r="E556" s="185" t="s">
        <v>8536</v>
      </c>
      <c r="F556" s="184" t="s">
        <v>227</v>
      </c>
    </row>
    <row r="557" ht="22.5" customHeight="1">
      <c r="A557" s="352">
        <v>684.0</v>
      </c>
      <c r="B557" s="184">
        <v>18.0</v>
      </c>
      <c r="C557" s="184" t="s">
        <v>9679</v>
      </c>
      <c r="D557" s="184" t="s">
        <v>8537</v>
      </c>
      <c r="E557" s="185" t="s">
        <v>8538</v>
      </c>
      <c r="F557" s="184" t="s">
        <v>220</v>
      </c>
    </row>
    <row r="558" ht="22.5" customHeight="1">
      <c r="A558" s="352">
        <v>685.0</v>
      </c>
      <c r="B558" s="184">
        <v>19.0</v>
      </c>
      <c r="C558" s="184" t="s">
        <v>9680</v>
      </c>
      <c r="D558" s="184" t="s">
        <v>8539</v>
      </c>
      <c r="E558" s="185" t="s">
        <v>8540</v>
      </c>
      <c r="F558" s="184" t="s">
        <v>220</v>
      </c>
    </row>
    <row r="559" ht="22.5" customHeight="1">
      <c r="A559" s="352">
        <v>686.0</v>
      </c>
      <c r="B559" s="184">
        <v>20.0</v>
      </c>
      <c r="C559" s="184" t="s">
        <v>9681</v>
      </c>
      <c r="D559" s="184" t="s">
        <v>8541</v>
      </c>
      <c r="E559" s="185" t="s">
        <v>8542</v>
      </c>
      <c r="F559" s="184" t="s">
        <v>227</v>
      </c>
    </row>
    <row r="560" ht="22.5" customHeight="1">
      <c r="A560" s="352">
        <v>687.0</v>
      </c>
      <c r="B560" s="184">
        <v>21.0</v>
      </c>
      <c r="C560" s="184" t="s">
        <v>9682</v>
      </c>
      <c r="D560" s="184" t="s">
        <v>8543</v>
      </c>
      <c r="E560" s="185" t="s">
        <v>8544</v>
      </c>
      <c r="F560" s="184" t="s">
        <v>227</v>
      </c>
    </row>
    <row r="561" ht="22.5" customHeight="1">
      <c r="A561" s="352">
        <v>688.0</v>
      </c>
      <c r="B561" s="184">
        <v>22.0</v>
      </c>
      <c r="C561" s="184" t="s">
        <v>9683</v>
      </c>
      <c r="D561" s="184" t="s">
        <v>8545</v>
      </c>
      <c r="E561" s="202" t="s">
        <v>8546</v>
      </c>
      <c r="F561" s="184" t="s">
        <v>220</v>
      </c>
    </row>
    <row r="562" ht="22.5" customHeight="1">
      <c r="A562" s="352">
        <v>689.0</v>
      </c>
      <c r="B562" s="184">
        <v>23.0</v>
      </c>
      <c r="C562" s="184" t="s">
        <v>9684</v>
      </c>
      <c r="D562" s="184" t="s">
        <v>8547</v>
      </c>
      <c r="E562" s="185" t="s">
        <v>8548</v>
      </c>
      <c r="F562" s="184" t="s">
        <v>227</v>
      </c>
    </row>
    <row r="563" ht="22.5" customHeight="1">
      <c r="A563" s="352">
        <v>690.0</v>
      </c>
      <c r="B563" s="184">
        <v>24.0</v>
      </c>
      <c r="C563" s="184" t="s">
        <v>9685</v>
      </c>
      <c r="D563" s="184" t="s">
        <v>8549</v>
      </c>
      <c r="E563" s="185" t="s">
        <v>8550</v>
      </c>
      <c r="F563" s="184" t="s">
        <v>227</v>
      </c>
    </row>
    <row r="564" ht="22.5" customHeight="1">
      <c r="A564" s="352">
        <v>691.0</v>
      </c>
      <c r="B564" s="184">
        <v>25.0</v>
      </c>
      <c r="C564" s="184" t="s">
        <v>9686</v>
      </c>
      <c r="D564" s="184" t="s">
        <v>8551</v>
      </c>
      <c r="E564" s="185" t="s">
        <v>8552</v>
      </c>
      <c r="F564" s="184" t="s">
        <v>227</v>
      </c>
    </row>
    <row r="565" ht="22.5" customHeight="1">
      <c r="A565" s="352">
        <v>692.0</v>
      </c>
      <c r="B565" s="184">
        <v>26.0</v>
      </c>
      <c r="C565" s="213" t="s">
        <v>9687</v>
      </c>
      <c r="D565" s="184" t="s">
        <v>8553</v>
      </c>
      <c r="E565" s="202" t="s">
        <v>8554</v>
      </c>
      <c r="F565" s="184" t="s">
        <v>227</v>
      </c>
    </row>
    <row r="566" ht="22.5" customHeight="1">
      <c r="A566" s="352">
        <v>693.0</v>
      </c>
      <c r="B566" s="214">
        <v>27.0</v>
      </c>
      <c r="C566" s="201" t="s">
        <v>9688</v>
      </c>
      <c r="D566" s="215" t="s">
        <v>8555</v>
      </c>
      <c r="E566" s="200" t="s">
        <v>8556</v>
      </c>
      <c r="F566" s="201" t="s">
        <v>220</v>
      </c>
    </row>
    <row r="567" ht="22.5" customHeight="1">
      <c r="A567" s="352">
        <v>694.0</v>
      </c>
      <c r="B567" s="184">
        <v>28.0</v>
      </c>
      <c r="C567" s="204" t="s">
        <v>9689</v>
      </c>
      <c r="D567" s="184" t="s">
        <v>8557</v>
      </c>
      <c r="E567" s="185" t="s">
        <v>8558</v>
      </c>
      <c r="F567" s="184" t="s">
        <v>227</v>
      </c>
    </row>
    <row r="568" ht="22.5" customHeight="1">
      <c r="A568" s="352">
        <v>695.0</v>
      </c>
      <c r="B568" s="184">
        <v>29.0</v>
      </c>
      <c r="C568" s="184" t="s">
        <v>9690</v>
      </c>
      <c r="D568" s="184" t="s">
        <v>8559</v>
      </c>
      <c r="E568" s="185" t="s">
        <v>8560</v>
      </c>
      <c r="F568" s="184" t="s">
        <v>227</v>
      </c>
    </row>
    <row r="569" ht="22.5" customHeight="1">
      <c r="A569" s="352">
        <v>696.0</v>
      </c>
      <c r="B569" s="184">
        <v>30.0</v>
      </c>
      <c r="C569" s="184" t="s">
        <v>9691</v>
      </c>
      <c r="D569" s="186" t="s">
        <v>8561</v>
      </c>
      <c r="E569" s="185" t="s">
        <v>8562</v>
      </c>
      <c r="F569" s="184" t="s">
        <v>220</v>
      </c>
    </row>
    <row r="570" ht="22.5" customHeight="1">
      <c r="A570" s="352">
        <v>697.0</v>
      </c>
      <c r="B570" s="184">
        <v>31.0</v>
      </c>
      <c r="C570" s="184" t="s">
        <v>9692</v>
      </c>
      <c r="D570" s="184" t="s">
        <v>8563</v>
      </c>
      <c r="E570" s="185" t="s">
        <v>8564</v>
      </c>
      <c r="F570" s="184" t="s">
        <v>227</v>
      </c>
    </row>
    <row r="571" ht="22.5" customHeight="1">
      <c r="A571" s="352">
        <v>698.0</v>
      </c>
      <c r="B571" s="184">
        <v>32.0</v>
      </c>
      <c r="C571" s="184" t="s">
        <v>9693</v>
      </c>
      <c r="D571" s="184" t="s">
        <v>8565</v>
      </c>
      <c r="E571" s="185" t="s">
        <v>8566</v>
      </c>
      <c r="F571" s="184" t="s">
        <v>227</v>
      </c>
    </row>
    <row r="572" ht="22.5" customHeight="1">
      <c r="A572" s="352">
        <v>699.0</v>
      </c>
      <c r="B572" s="184">
        <v>33.0</v>
      </c>
      <c r="C572" s="184" t="s">
        <v>9694</v>
      </c>
      <c r="D572" s="184" t="s">
        <v>8567</v>
      </c>
      <c r="E572" s="185" t="s">
        <v>8568</v>
      </c>
      <c r="F572" s="184" t="s">
        <v>227</v>
      </c>
    </row>
    <row r="573" ht="22.5" customHeight="1">
      <c r="A573" s="352">
        <v>700.0</v>
      </c>
      <c r="B573" s="184">
        <v>34.0</v>
      </c>
      <c r="C573" s="184" t="s">
        <v>9695</v>
      </c>
      <c r="D573" s="184" t="s">
        <v>8569</v>
      </c>
      <c r="E573" s="185" t="s">
        <v>8570</v>
      </c>
      <c r="F573" s="184" t="s">
        <v>220</v>
      </c>
    </row>
    <row r="574" ht="22.5" customHeight="1">
      <c r="A574" s="352">
        <v>701.0</v>
      </c>
      <c r="B574" s="184">
        <v>35.0</v>
      </c>
      <c r="C574" s="184" t="s">
        <v>9696</v>
      </c>
      <c r="D574" s="184" t="s">
        <v>8571</v>
      </c>
      <c r="E574" s="185" t="s">
        <v>8572</v>
      </c>
      <c r="F574" s="184" t="s">
        <v>220</v>
      </c>
    </row>
    <row r="575" ht="22.5" customHeight="1">
      <c r="A575" s="352">
        <v>702.0</v>
      </c>
      <c r="B575" s="184">
        <v>36.0</v>
      </c>
      <c r="C575" s="184" t="s">
        <v>9697</v>
      </c>
      <c r="D575" s="184" t="s">
        <v>8573</v>
      </c>
      <c r="E575" s="197" t="s">
        <v>8574</v>
      </c>
      <c r="F575" s="184" t="s">
        <v>227</v>
      </c>
    </row>
    <row r="576" ht="22.5" customHeight="1">
      <c r="A576" s="352">
        <v>703.0</v>
      </c>
      <c r="B576" s="184">
        <v>37.0</v>
      </c>
      <c r="C576" s="184" t="s">
        <v>9698</v>
      </c>
      <c r="D576" s="184" t="s">
        <v>8575</v>
      </c>
      <c r="E576" s="197" t="s">
        <v>8576</v>
      </c>
      <c r="F576" s="184" t="s">
        <v>227</v>
      </c>
    </row>
    <row r="577" ht="22.5" hidden="1" customHeight="1">
      <c r="A577" s="352">
        <v>704.0</v>
      </c>
      <c r="B577" s="188"/>
      <c r="C577" s="190"/>
      <c r="D577" s="188"/>
      <c r="E577" s="190"/>
      <c r="F577" s="188"/>
    </row>
    <row r="578" ht="22.5" hidden="1" customHeight="1">
      <c r="A578" s="352">
        <v>705.0</v>
      </c>
      <c r="B578" s="188"/>
      <c r="C578" s="190"/>
      <c r="D578" s="188"/>
      <c r="E578" s="190"/>
      <c r="F578" s="188"/>
    </row>
    <row r="579" ht="22.5" hidden="1" customHeight="1">
      <c r="A579" s="352">
        <v>706.0</v>
      </c>
      <c r="B579" s="188"/>
      <c r="C579" s="190"/>
      <c r="D579" s="188"/>
      <c r="E579" s="190"/>
      <c r="F579" s="188"/>
    </row>
    <row r="580" ht="22.5" hidden="1" customHeight="1">
      <c r="A580" s="352"/>
      <c r="B580" s="188"/>
      <c r="C580" s="188"/>
      <c r="D580" s="188"/>
      <c r="E580" s="188"/>
      <c r="F580" s="188"/>
    </row>
    <row r="581" ht="22.5" hidden="1" customHeight="1">
      <c r="A581" s="352"/>
      <c r="B581" s="188"/>
      <c r="C581" s="188"/>
      <c r="D581" s="188"/>
      <c r="E581" s="188"/>
      <c r="F581" s="188"/>
    </row>
    <row r="582" ht="22.5" hidden="1" customHeight="1">
      <c r="A582" s="352"/>
      <c r="B582" s="188"/>
      <c r="C582" s="188"/>
      <c r="D582" s="188"/>
      <c r="E582" s="188"/>
      <c r="F582" s="188"/>
    </row>
    <row r="583" ht="22.5" hidden="1" customHeight="1">
      <c r="A583" s="352"/>
      <c r="B583" s="188"/>
      <c r="C583" s="188"/>
      <c r="D583" s="188"/>
      <c r="E583" s="188"/>
      <c r="F583" s="188"/>
    </row>
    <row r="584" ht="22.5" hidden="1" customHeight="1">
      <c r="A584" s="352"/>
      <c r="B584" s="188"/>
      <c r="C584" s="188"/>
      <c r="D584" s="188"/>
      <c r="E584" s="188"/>
      <c r="F584" s="188"/>
    </row>
    <row r="585" ht="22.5" hidden="1" customHeight="1">
      <c r="A585" s="352"/>
      <c r="B585" s="188"/>
      <c r="C585" s="188"/>
      <c r="D585" s="188"/>
      <c r="E585" s="188"/>
      <c r="F585" s="188"/>
    </row>
    <row r="586" ht="22.5" hidden="1" customHeight="1">
      <c r="A586" s="352"/>
      <c r="B586" s="188"/>
      <c r="C586" s="188"/>
      <c r="D586" s="188"/>
      <c r="E586" s="188"/>
      <c r="F586" s="188"/>
    </row>
    <row r="587" ht="22.5" hidden="1" customHeight="1">
      <c r="A587" s="352"/>
      <c r="B587" s="188"/>
      <c r="C587" s="188"/>
      <c r="D587" s="188"/>
      <c r="E587" s="188"/>
      <c r="F587" s="188"/>
    </row>
    <row r="588" ht="22.5" hidden="1" customHeight="1">
      <c r="A588" s="352"/>
      <c r="B588" s="188"/>
      <c r="C588" s="188"/>
      <c r="D588" s="188"/>
      <c r="E588" s="188"/>
      <c r="F588" s="188"/>
    </row>
    <row r="589" ht="22.5" hidden="1" customHeight="1">
      <c r="A589" s="352"/>
      <c r="B589" s="188"/>
      <c r="C589" s="188"/>
      <c r="D589" s="188"/>
      <c r="E589" s="188"/>
      <c r="F589" s="188"/>
    </row>
    <row r="590" ht="22.5" hidden="1" customHeight="1">
      <c r="A590" s="352"/>
      <c r="B590" s="188"/>
      <c r="C590" s="188"/>
      <c r="D590" s="188"/>
      <c r="E590" s="188"/>
      <c r="F590" s="188"/>
    </row>
    <row r="591" ht="22.5" hidden="1" customHeight="1">
      <c r="A591" s="352"/>
      <c r="B591" s="188"/>
      <c r="C591" s="188"/>
      <c r="D591" s="188"/>
      <c r="E591" s="188"/>
      <c r="F591" s="188"/>
    </row>
    <row r="592" ht="22.5" hidden="1" customHeight="1">
      <c r="A592" s="352"/>
      <c r="B592" s="188"/>
      <c r="C592" s="188"/>
      <c r="D592" s="188"/>
      <c r="E592" s="188"/>
      <c r="F592" s="188"/>
    </row>
    <row r="593" ht="22.5" hidden="1" customHeight="1">
      <c r="A593" s="352"/>
      <c r="B593" s="188"/>
      <c r="C593" s="188"/>
      <c r="D593" s="188"/>
      <c r="E593" s="188"/>
      <c r="F593" s="188"/>
    </row>
    <row r="594" ht="22.5" hidden="1" customHeight="1">
      <c r="A594" s="188"/>
      <c r="B594" s="188"/>
      <c r="C594" s="188"/>
      <c r="D594" s="188"/>
      <c r="E594" s="188"/>
      <c r="F594" s="188"/>
    </row>
    <row r="595" ht="22.5" hidden="1" customHeight="1">
      <c r="A595" s="188"/>
      <c r="B595" s="188"/>
      <c r="C595" s="188"/>
      <c r="D595" s="188"/>
      <c r="E595" s="188"/>
      <c r="F595" s="188"/>
    </row>
    <row r="596" ht="22.5" hidden="1" customHeight="1">
      <c r="A596" s="188"/>
      <c r="B596" s="188"/>
      <c r="C596" s="188"/>
      <c r="D596" s="188"/>
      <c r="E596" s="188"/>
      <c r="F596" s="188"/>
    </row>
    <row r="597" ht="22.5" hidden="1" customHeight="1">
      <c r="A597" s="188"/>
      <c r="B597" s="188"/>
      <c r="C597" s="188"/>
      <c r="D597" s="188"/>
      <c r="E597" s="188"/>
      <c r="F597" s="188"/>
    </row>
    <row r="598" ht="22.5" hidden="1" customHeight="1">
      <c r="A598" s="188"/>
      <c r="B598" s="188"/>
      <c r="C598" s="188"/>
      <c r="D598" s="188"/>
      <c r="E598" s="188"/>
      <c r="F598" s="188"/>
    </row>
    <row r="599" ht="22.5" hidden="1" customHeight="1">
      <c r="A599" s="188"/>
      <c r="B599" s="188"/>
      <c r="C599" s="188"/>
      <c r="D599" s="188"/>
      <c r="E599" s="188"/>
      <c r="F599" s="188"/>
    </row>
    <row r="600" ht="22.5" hidden="1" customHeight="1">
      <c r="A600" s="188"/>
      <c r="B600" s="188"/>
      <c r="C600" s="188"/>
      <c r="D600" s="188"/>
      <c r="E600" s="188"/>
      <c r="F600" s="188"/>
    </row>
    <row r="601" ht="22.5" hidden="1" customHeight="1">
      <c r="A601" s="188"/>
      <c r="B601" s="188"/>
      <c r="C601" s="188"/>
      <c r="D601" s="188"/>
      <c r="E601" s="188"/>
      <c r="F601" s="188"/>
    </row>
    <row r="602" ht="22.5" hidden="1" customHeight="1">
      <c r="A602" s="188"/>
      <c r="B602" s="188"/>
      <c r="C602" s="188"/>
      <c r="D602" s="188"/>
      <c r="E602" s="188"/>
      <c r="F602" s="188"/>
    </row>
    <row r="603" ht="22.5" hidden="1" customHeight="1">
      <c r="A603" s="188"/>
      <c r="B603" s="188"/>
      <c r="C603" s="188"/>
      <c r="D603" s="188"/>
      <c r="E603" s="188"/>
      <c r="F603" s="188"/>
    </row>
    <row r="604" ht="22.5" hidden="1" customHeight="1">
      <c r="A604" s="188"/>
      <c r="B604" s="188"/>
      <c r="C604" s="188"/>
      <c r="D604" s="188"/>
      <c r="E604" s="188"/>
      <c r="F604" s="188"/>
    </row>
    <row r="605" ht="22.5" hidden="1" customHeight="1">
      <c r="A605" s="188"/>
      <c r="B605" s="188"/>
      <c r="C605" s="188"/>
      <c r="D605" s="188"/>
      <c r="E605" s="188"/>
      <c r="F605" s="188"/>
    </row>
    <row r="606" ht="22.5" hidden="1" customHeight="1">
      <c r="A606" s="188"/>
      <c r="B606" s="188"/>
      <c r="C606" s="188"/>
      <c r="D606" s="188"/>
      <c r="E606" s="188"/>
      <c r="F606" s="188"/>
    </row>
    <row r="607" ht="22.5" hidden="1" customHeight="1">
      <c r="A607" s="188"/>
      <c r="B607" s="188"/>
      <c r="C607" s="188"/>
      <c r="D607" s="188"/>
      <c r="E607" s="188"/>
      <c r="F607" s="188"/>
    </row>
    <row r="608" ht="22.5" hidden="1" customHeight="1">
      <c r="A608" s="188"/>
      <c r="B608" s="188"/>
      <c r="C608" s="188"/>
      <c r="D608" s="188"/>
      <c r="E608" s="188"/>
      <c r="F608" s="188"/>
    </row>
    <row r="609" ht="22.5" hidden="1" customHeight="1">
      <c r="A609" s="188"/>
      <c r="B609" s="188"/>
      <c r="C609" s="188"/>
      <c r="D609" s="188"/>
      <c r="E609" s="188"/>
      <c r="F609" s="188"/>
    </row>
    <row r="610" ht="22.5" hidden="1" customHeight="1">
      <c r="A610" s="188"/>
      <c r="B610" s="188"/>
      <c r="C610" s="188"/>
      <c r="D610" s="188"/>
      <c r="E610" s="188"/>
      <c r="F610" s="188"/>
    </row>
    <row r="611" ht="22.5" hidden="1" customHeight="1">
      <c r="A611" s="188"/>
      <c r="B611" s="188"/>
      <c r="C611" s="188"/>
      <c r="D611" s="188"/>
      <c r="E611" s="188"/>
      <c r="F611" s="188"/>
    </row>
    <row r="612" ht="22.5" hidden="1" customHeight="1">
      <c r="A612" s="188"/>
      <c r="B612" s="188"/>
      <c r="C612" s="188"/>
      <c r="D612" s="188"/>
      <c r="E612" s="188"/>
      <c r="F612" s="188"/>
    </row>
    <row r="613" ht="22.5" hidden="1" customHeight="1">
      <c r="A613" s="188"/>
      <c r="B613" s="188"/>
      <c r="C613" s="188"/>
      <c r="D613" s="188"/>
      <c r="E613" s="188"/>
      <c r="F613" s="188"/>
    </row>
    <row r="614" ht="22.5" hidden="1" customHeight="1">
      <c r="A614" s="188"/>
      <c r="B614" s="188"/>
      <c r="C614" s="188"/>
      <c r="D614" s="188"/>
      <c r="E614" s="188"/>
      <c r="F614" s="188"/>
    </row>
    <row r="615" ht="22.5" hidden="1" customHeight="1">
      <c r="A615" s="188"/>
      <c r="B615" s="188"/>
      <c r="C615" s="188"/>
      <c r="D615" s="188"/>
      <c r="E615" s="188"/>
      <c r="F615" s="188"/>
    </row>
    <row r="616" ht="22.5" hidden="1" customHeight="1">
      <c r="A616" s="188"/>
      <c r="B616" s="188"/>
      <c r="C616" s="188"/>
      <c r="D616" s="188"/>
      <c r="E616" s="188"/>
      <c r="F616" s="188"/>
    </row>
    <row r="617" ht="22.5" hidden="1" customHeight="1">
      <c r="A617" s="188"/>
      <c r="B617" s="188"/>
      <c r="C617" s="188"/>
      <c r="D617" s="188"/>
      <c r="E617" s="188"/>
      <c r="F617" s="188"/>
    </row>
    <row r="618" ht="22.5" hidden="1" customHeight="1">
      <c r="A618" s="188"/>
      <c r="B618" s="188"/>
      <c r="C618" s="188"/>
      <c r="D618" s="188"/>
      <c r="E618" s="188"/>
      <c r="F618" s="188"/>
    </row>
    <row r="619" ht="22.5" hidden="1" customHeight="1">
      <c r="A619" s="188"/>
      <c r="B619" s="188"/>
      <c r="C619" s="188"/>
      <c r="D619" s="188"/>
      <c r="E619" s="188"/>
      <c r="F619" s="188"/>
    </row>
    <row r="620" ht="22.5" hidden="1" customHeight="1">
      <c r="A620" s="188"/>
      <c r="B620" s="188"/>
      <c r="C620" s="188"/>
      <c r="D620" s="188"/>
      <c r="E620" s="188"/>
      <c r="F620" s="188"/>
    </row>
    <row r="621" ht="22.5" hidden="1" customHeight="1">
      <c r="A621" s="188"/>
      <c r="B621" s="188"/>
      <c r="C621" s="188"/>
      <c r="D621" s="188"/>
      <c r="E621" s="188"/>
      <c r="F621" s="188"/>
    </row>
    <row r="622" ht="22.5" hidden="1" customHeight="1">
      <c r="A622" s="188"/>
      <c r="B622" s="188"/>
      <c r="C622" s="188"/>
      <c r="D622" s="188"/>
      <c r="E622" s="188"/>
      <c r="F622" s="188"/>
    </row>
    <row r="623" ht="22.5" hidden="1" customHeight="1">
      <c r="A623" s="188"/>
      <c r="B623" s="188"/>
      <c r="C623" s="188"/>
      <c r="D623" s="188"/>
      <c r="E623" s="188"/>
      <c r="F623" s="188"/>
    </row>
    <row r="624" ht="22.5" hidden="1" customHeight="1">
      <c r="A624" s="188"/>
      <c r="B624" s="188"/>
      <c r="C624" s="188"/>
      <c r="D624" s="188"/>
      <c r="E624" s="188"/>
      <c r="F624" s="188"/>
    </row>
    <row r="625" ht="22.5" hidden="1" customHeight="1">
      <c r="A625" s="188"/>
      <c r="B625" s="188"/>
      <c r="C625" s="188"/>
      <c r="D625" s="188"/>
      <c r="E625" s="188"/>
      <c r="F625" s="188"/>
    </row>
    <row r="626" ht="22.5" hidden="1" customHeight="1">
      <c r="A626" s="188"/>
      <c r="B626" s="188"/>
      <c r="C626" s="188"/>
      <c r="D626" s="188"/>
      <c r="E626" s="188"/>
      <c r="F626" s="188"/>
    </row>
    <row r="627" ht="22.5" hidden="1" customHeight="1">
      <c r="A627" s="188"/>
      <c r="B627" s="188"/>
      <c r="C627" s="188"/>
      <c r="D627" s="188"/>
      <c r="E627" s="188"/>
      <c r="F627" s="188"/>
    </row>
    <row r="628" ht="22.5" hidden="1" customHeight="1">
      <c r="A628" s="188"/>
      <c r="B628" s="188"/>
      <c r="C628" s="188"/>
      <c r="D628" s="188"/>
      <c r="E628" s="188"/>
      <c r="F628" s="188"/>
    </row>
    <row r="629" ht="22.5" hidden="1" customHeight="1">
      <c r="A629" s="188"/>
      <c r="B629" s="188"/>
      <c r="C629" s="188"/>
      <c r="D629" s="188"/>
      <c r="E629" s="188"/>
      <c r="F629" s="188"/>
    </row>
    <row r="630" ht="22.5" hidden="1" customHeight="1">
      <c r="A630" s="188"/>
      <c r="B630" s="188"/>
      <c r="C630" s="188"/>
      <c r="D630" s="188"/>
      <c r="E630" s="188"/>
      <c r="F630" s="188"/>
    </row>
    <row r="631" ht="22.5" hidden="1" customHeight="1">
      <c r="A631" s="188"/>
      <c r="B631" s="188"/>
      <c r="C631" s="188"/>
      <c r="D631" s="188"/>
      <c r="E631" s="188"/>
      <c r="F631" s="188"/>
    </row>
    <row r="632" ht="22.5" hidden="1" customHeight="1">
      <c r="A632" s="188"/>
      <c r="B632" s="188"/>
      <c r="C632" s="188"/>
      <c r="D632" s="188"/>
      <c r="E632" s="188"/>
      <c r="F632" s="188"/>
    </row>
    <row r="633" ht="22.5" hidden="1" customHeight="1">
      <c r="A633" s="188"/>
      <c r="B633" s="188"/>
      <c r="C633" s="188"/>
      <c r="D633" s="188"/>
      <c r="E633" s="188"/>
      <c r="F633" s="188"/>
    </row>
    <row r="634" ht="22.5" hidden="1" customHeight="1">
      <c r="A634" s="188"/>
      <c r="B634" s="188"/>
      <c r="C634" s="188"/>
      <c r="D634" s="188"/>
      <c r="E634" s="188"/>
      <c r="F634" s="188"/>
    </row>
    <row r="635" ht="22.5" hidden="1" customHeight="1">
      <c r="A635" s="188"/>
      <c r="B635" s="188"/>
      <c r="C635" s="188"/>
      <c r="D635" s="188"/>
      <c r="E635" s="188"/>
      <c r="F635" s="188"/>
    </row>
    <row r="636" ht="22.5" hidden="1" customHeight="1">
      <c r="A636" s="188"/>
      <c r="B636" s="188"/>
      <c r="C636" s="188"/>
      <c r="D636" s="188"/>
      <c r="E636" s="188"/>
      <c r="F636" s="188"/>
    </row>
    <row r="637" ht="22.5" hidden="1" customHeight="1">
      <c r="A637" s="188"/>
      <c r="B637" s="188"/>
      <c r="C637" s="188"/>
      <c r="D637" s="188"/>
      <c r="E637" s="188"/>
      <c r="F637" s="188"/>
    </row>
    <row r="638" ht="22.5" hidden="1" customHeight="1">
      <c r="A638" s="188"/>
      <c r="B638" s="188"/>
      <c r="C638" s="188"/>
      <c r="D638" s="188"/>
      <c r="E638" s="188"/>
      <c r="F638" s="188"/>
    </row>
    <row r="639" ht="22.5" hidden="1" customHeight="1">
      <c r="A639" s="188"/>
      <c r="B639" s="188"/>
      <c r="C639" s="188"/>
      <c r="D639" s="188"/>
      <c r="E639" s="188"/>
      <c r="F639" s="188"/>
    </row>
    <row r="640" ht="22.5" hidden="1" customHeight="1">
      <c r="A640" s="188"/>
      <c r="B640" s="188"/>
      <c r="C640" s="188"/>
      <c r="D640" s="188"/>
      <c r="E640" s="188"/>
      <c r="F640" s="188"/>
    </row>
    <row r="641" ht="22.5" hidden="1" customHeight="1">
      <c r="A641" s="188"/>
      <c r="B641" s="188"/>
      <c r="C641" s="188"/>
      <c r="D641" s="188"/>
      <c r="E641" s="188"/>
      <c r="F641" s="188"/>
    </row>
    <row r="642" ht="22.5" hidden="1" customHeight="1">
      <c r="A642" s="188"/>
      <c r="B642" s="188"/>
      <c r="C642" s="188"/>
      <c r="D642" s="188"/>
      <c r="E642" s="188"/>
      <c r="F642" s="188"/>
    </row>
    <row r="643" ht="22.5" hidden="1" customHeight="1">
      <c r="A643" s="188"/>
      <c r="B643" s="188"/>
      <c r="C643" s="188"/>
      <c r="D643" s="188"/>
      <c r="E643" s="188"/>
      <c r="F643" s="188"/>
    </row>
    <row r="644" ht="22.5" hidden="1" customHeight="1">
      <c r="A644" s="188"/>
      <c r="B644" s="188"/>
      <c r="C644" s="188"/>
      <c r="D644" s="188"/>
      <c r="E644" s="188"/>
      <c r="F644" s="188"/>
    </row>
    <row r="645" ht="22.5" hidden="1" customHeight="1">
      <c r="A645" s="188"/>
      <c r="B645" s="188"/>
      <c r="C645" s="188"/>
      <c r="D645" s="188"/>
      <c r="E645" s="188"/>
      <c r="F645" s="188"/>
    </row>
    <row r="646" ht="22.5" hidden="1" customHeight="1">
      <c r="A646" s="188"/>
      <c r="B646" s="188"/>
      <c r="C646" s="188"/>
      <c r="D646" s="188"/>
      <c r="E646" s="188"/>
      <c r="F646" s="188"/>
    </row>
    <row r="647" ht="22.5" hidden="1" customHeight="1">
      <c r="A647" s="188"/>
      <c r="B647" s="188"/>
      <c r="C647" s="188"/>
      <c r="D647" s="188"/>
      <c r="E647" s="188"/>
      <c r="F647" s="188"/>
    </row>
    <row r="648" ht="22.5" hidden="1" customHeight="1">
      <c r="A648" s="188"/>
      <c r="B648" s="188"/>
      <c r="C648" s="188"/>
      <c r="D648" s="188"/>
      <c r="E648" s="188"/>
      <c r="F648" s="188"/>
    </row>
    <row r="649" ht="22.5" hidden="1" customHeight="1">
      <c r="A649" s="188"/>
      <c r="B649" s="188"/>
      <c r="C649" s="188"/>
      <c r="D649" s="188"/>
      <c r="E649" s="188"/>
      <c r="F649" s="188"/>
    </row>
    <row r="650" ht="22.5" hidden="1" customHeight="1">
      <c r="A650" s="188"/>
      <c r="B650" s="188"/>
      <c r="C650" s="188"/>
      <c r="D650" s="188"/>
      <c r="E650" s="188"/>
      <c r="F650" s="188"/>
    </row>
    <row r="651" ht="22.5" hidden="1" customHeight="1">
      <c r="A651" s="188"/>
      <c r="B651" s="188"/>
      <c r="C651" s="188"/>
      <c r="D651" s="188"/>
      <c r="E651" s="188"/>
      <c r="F651" s="188"/>
    </row>
    <row r="652" ht="22.5" hidden="1" customHeight="1">
      <c r="A652" s="188"/>
      <c r="B652" s="188"/>
      <c r="C652" s="188"/>
      <c r="D652" s="188"/>
      <c r="E652" s="188"/>
      <c r="F652" s="188"/>
    </row>
    <row r="653" ht="22.5" hidden="1" customHeight="1">
      <c r="A653" s="188"/>
      <c r="B653" s="188"/>
      <c r="C653" s="188"/>
      <c r="D653" s="188"/>
      <c r="E653" s="188"/>
      <c r="F653" s="188"/>
    </row>
    <row r="654" ht="22.5" hidden="1" customHeight="1">
      <c r="A654" s="188"/>
      <c r="B654" s="188"/>
      <c r="C654" s="188"/>
      <c r="D654" s="188"/>
      <c r="E654" s="188"/>
      <c r="F654" s="188"/>
    </row>
    <row r="655" ht="22.5" hidden="1" customHeight="1">
      <c r="A655" s="188"/>
      <c r="B655" s="188"/>
      <c r="C655" s="188"/>
      <c r="D655" s="188"/>
      <c r="E655" s="188"/>
      <c r="F655" s="188"/>
    </row>
    <row r="656" ht="22.5" hidden="1" customHeight="1">
      <c r="A656" s="188"/>
      <c r="B656" s="188"/>
      <c r="C656" s="188"/>
      <c r="D656" s="188"/>
      <c r="E656" s="188"/>
      <c r="F656" s="188"/>
    </row>
    <row r="657" ht="22.5" hidden="1" customHeight="1">
      <c r="A657" s="188"/>
      <c r="B657" s="188"/>
      <c r="C657" s="188"/>
      <c r="D657" s="188"/>
      <c r="E657" s="188"/>
      <c r="F657" s="188"/>
    </row>
    <row r="658" ht="22.5" hidden="1" customHeight="1">
      <c r="A658" s="188"/>
      <c r="B658" s="188"/>
      <c r="C658" s="188"/>
      <c r="D658" s="188"/>
      <c r="E658" s="188"/>
      <c r="F658" s="188"/>
    </row>
    <row r="659" ht="22.5" hidden="1" customHeight="1">
      <c r="A659" s="188"/>
      <c r="B659" s="188"/>
      <c r="C659" s="188"/>
      <c r="D659" s="188"/>
      <c r="E659" s="188"/>
      <c r="F659" s="188"/>
    </row>
    <row r="660" ht="22.5" hidden="1" customHeight="1">
      <c r="A660" s="188"/>
      <c r="B660" s="188"/>
      <c r="C660" s="188"/>
      <c r="D660" s="188"/>
      <c r="E660" s="188"/>
      <c r="F660" s="188"/>
    </row>
    <row r="661" ht="22.5" hidden="1" customHeight="1">
      <c r="A661" s="188"/>
      <c r="B661" s="188"/>
      <c r="C661" s="188"/>
      <c r="D661" s="188"/>
      <c r="E661" s="188"/>
      <c r="F661" s="188"/>
    </row>
    <row r="662" ht="22.5" hidden="1" customHeight="1">
      <c r="A662" s="188"/>
      <c r="B662" s="188"/>
      <c r="C662" s="188"/>
      <c r="D662" s="188"/>
      <c r="E662" s="188"/>
      <c r="F662" s="188"/>
    </row>
    <row r="663" ht="22.5" hidden="1" customHeight="1">
      <c r="A663" s="188"/>
      <c r="B663" s="188"/>
      <c r="C663" s="188"/>
      <c r="D663" s="188"/>
      <c r="E663" s="188"/>
      <c r="F663" s="188"/>
    </row>
    <row r="664" ht="22.5" hidden="1" customHeight="1">
      <c r="A664" s="188"/>
      <c r="B664" s="188"/>
      <c r="C664" s="188"/>
      <c r="D664" s="188"/>
      <c r="E664" s="188"/>
      <c r="F664" s="188"/>
    </row>
    <row r="665" ht="22.5" hidden="1" customHeight="1">
      <c r="A665" s="188"/>
      <c r="B665" s="188"/>
      <c r="C665" s="188"/>
      <c r="D665" s="188"/>
      <c r="E665" s="188"/>
      <c r="F665" s="188"/>
    </row>
    <row r="666" ht="22.5" hidden="1" customHeight="1">
      <c r="A666" s="188"/>
      <c r="B666" s="188"/>
      <c r="C666" s="188"/>
      <c r="D666" s="188"/>
      <c r="E666" s="188"/>
      <c r="F666" s="188"/>
    </row>
    <row r="667" ht="22.5" hidden="1" customHeight="1">
      <c r="A667" s="188"/>
      <c r="B667" s="188"/>
      <c r="C667" s="188"/>
      <c r="D667" s="188"/>
      <c r="E667" s="188"/>
      <c r="F667" s="188"/>
    </row>
    <row r="668" ht="22.5" hidden="1" customHeight="1">
      <c r="A668" s="188"/>
      <c r="B668" s="188"/>
      <c r="C668" s="188"/>
      <c r="D668" s="188"/>
      <c r="E668" s="188"/>
      <c r="F668" s="188"/>
    </row>
    <row r="669" ht="22.5" hidden="1" customHeight="1">
      <c r="A669" s="188"/>
      <c r="B669" s="188"/>
      <c r="C669" s="188"/>
      <c r="D669" s="188"/>
      <c r="E669" s="188"/>
      <c r="F669" s="188"/>
    </row>
    <row r="670" ht="22.5" hidden="1" customHeight="1">
      <c r="A670" s="188"/>
      <c r="B670" s="188"/>
      <c r="C670" s="188"/>
      <c r="D670" s="188"/>
      <c r="E670" s="188"/>
      <c r="F670" s="188"/>
    </row>
    <row r="671" ht="22.5" hidden="1" customHeight="1">
      <c r="A671" s="188"/>
      <c r="B671" s="188"/>
      <c r="C671" s="188"/>
      <c r="D671" s="188"/>
      <c r="E671" s="188"/>
      <c r="F671" s="188"/>
    </row>
    <row r="672" ht="22.5" hidden="1" customHeight="1">
      <c r="A672" s="188"/>
      <c r="B672" s="188"/>
      <c r="C672" s="188"/>
      <c r="D672" s="188"/>
      <c r="E672" s="188"/>
      <c r="F672" s="188"/>
    </row>
    <row r="673" ht="22.5" hidden="1" customHeight="1">
      <c r="A673" s="188"/>
      <c r="B673" s="188"/>
      <c r="C673" s="188"/>
      <c r="D673" s="188"/>
      <c r="E673" s="188"/>
      <c r="F673" s="188"/>
    </row>
    <row r="674" ht="22.5" hidden="1" customHeight="1">
      <c r="A674" s="188"/>
      <c r="B674" s="188"/>
      <c r="C674" s="188"/>
      <c r="D674" s="188"/>
      <c r="E674" s="188"/>
      <c r="F674" s="188"/>
    </row>
    <row r="675" ht="22.5" hidden="1" customHeight="1">
      <c r="A675" s="188"/>
      <c r="B675" s="188"/>
      <c r="C675" s="188"/>
      <c r="D675" s="188"/>
      <c r="E675" s="188"/>
      <c r="F675" s="188"/>
    </row>
    <row r="676" ht="22.5" hidden="1" customHeight="1">
      <c r="A676" s="188"/>
      <c r="B676" s="188"/>
      <c r="C676" s="188"/>
      <c r="D676" s="188"/>
      <c r="E676" s="188"/>
      <c r="F676" s="188"/>
    </row>
    <row r="677" ht="22.5" hidden="1" customHeight="1">
      <c r="A677" s="188"/>
      <c r="B677" s="188"/>
      <c r="C677" s="188"/>
      <c r="D677" s="188"/>
      <c r="E677" s="188"/>
      <c r="F677" s="188"/>
    </row>
    <row r="678" ht="22.5" hidden="1" customHeight="1">
      <c r="A678" s="188"/>
      <c r="B678" s="188"/>
      <c r="C678" s="188"/>
      <c r="D678" s="188"/>
      <c r="E678" s="188"/>
      <c r="F678" s="188"/>
    </row>
    <row r="679" ht="22.5" hidden="1" customHeight="1">
      <c r="A679" s="188"/>
      <c r="B679" s="188"/>
      <c r="C679" s="188"/>
      <c r="D679" s="188"/>
      <c r="E679" s="188"/>
      <c r="F679" s="188"/>
    </row>
    <row r="680" ht="22.5" hidden="1" customHeight="1">
      <c r="A680" s="188"/>
      <c r="B680" s="188"/>
      <c r="C680" s="188"/>
      <c r="D680" s="188"/>
      <c r="E680" s="188"/>
      <c r="F680" s="188"/>
    </row>
    <row r="681" ht="22.5" hidden="1" customHeight="1">
      <c r="A681" s="188"/>
      <c r="B681" s="188"/>
      <c r="C681" s="188"/>
      <c r="D681" s="188"/>
      <c r="E681" s="188"/>
      <c r="F681" s="188"/>
    </row>
    <row r="682" ht="22.5" hidden="1" customHeight="1">
      <c r="A682" s="188"/>
      <c r="B682" s="188"/>
      <c r="C682" s="188"/>
      <c r="D682" s="188"/>
      <c r="E682" s="188"/>
      <c r="F682" s="188"/>
    </row>
    <row r="683" ht="22.5" hidden="1" customHeight="1">
      <c r="A683" s="188"/>
      <c r="B683" s="188"/>
      <c r="C683" s="188"/>
      <c r="D683" s="188"/>
      <c r="E683" s="188"/>
      <c r="F683" s="188"/>
    </row>
    <row r="684" ht="22.5" hidden="1" customHeight="1">
      <c r="A684" s="188"/>
      <c r="B684" s="188"/>
      <c r="C684" s="188"/>
      <c r="D684" s="188"/>
      <c r="E684" s="188"/>
      <c r="F684" s="188"/>
    </row>
    <row r="685" ht="22.5" hidden="1" customHeight="1">
      <c r="A685" s="188"/>
      <c r="B685" s="188"/>
      <c r="C685" s="188"/>
      <c r="D685" s="188"/>
      <c r="E685" s="188"/>
      <c r="F685" s="188"/>
    </row>
    <row r="686" ht="22.5" hidden="1" customHeight="1">
      <c r="A686" s="188"/>
      <c r="B686" s="188"/>
      <c r="C686" s="188"/>
      <c r="D686" s="188"/>
      <c r="E686" s="188"/>
      <c r="F686" s="188"/>
    </row>
    <row r="687" ht="22.5" hidden="1" customHeight="1">
      <c r="A687" s="188"/>
      <c r="B687" s="188"/>
      <c r="C687" s="188"/>
      <c r="D687" s="188"/>
      <c r="E687" s="188"/>
      <c r="F687" s="188"/>
    </row>
    <row r="688" ht="22.5" hidden="1" customHeight="1">
      <c r="A688" s="188"/>
      <c r="B688" s="188"/>
      <c r="C688" s="188"/>
      <c r="D688" s="188"/>
      <c r="E688" s="188"/>
      <c r="F688" s="188"/>
    </row>
    <row r="689" ht="22.5" hidden="1" customHeight="1">
      <c r="A689" s="188"/>
      <c r="B689" s="188"/>
      <c r="C689" s="188"/>
      <c r="D689" s="188"/>
      <c r="E689" s="188"/>
      <c r="F689" s="188"/>
    </row>
    <row r="690" ht="22.5" hidden="1" customHeight="1">
      <c r="A690" s="188"/>
      <c r="B690" s="188"/>
      <c r="C690" s="188"/>
      <c r="D690" s="188"/>
      <c r="E690" s="188"/>
      <c r="F690" s="188"/>
    </row>
    <row r="691" ht="22.5" hidden="1" customHeight="1">
      <c r="A691" s="188"/>
      <c r="B691" s="188"/>
      <c r="C691" s="188"/>
      <c r="D691" s="188"/>
      <c r="E691" s="188"/>
      <c r="F691" s="188"/>
    </row>
    <row r="692" ht="22.5" hidden="1" customHeight="1">
      <c r="A692" s="188"/>
      <c r="B692" s="188"/>
      <c r="C692" s="188"/>
      <c r="D692" s="188"/>
      <c r="E692" s="188"/>
      <c r="F692" s="188"/>
    </row>
    <row r="693" ht="22.5" hidden="1" customHeight="1">
      <c r="A693" s="188"/>
      <c r="B693" s="188"/>
      <c r="C693" s="188"/>
      <c r="D693" s="188"/>
      <c r="E693" s="188"/>
      <c r="F693" s="188"/>
    </row>
    <row r="694" ht="22.5" hidden="1" customHeight="1">
      <c r="A694" s="188"/>
      <c r="B694" s="188"/>
      <c r="C694" s="188"/>
      <c r="D694" s="188"/>
      <c r="E694" s="188"/>
      <c r="F694" s="188"/>
    </row>
    <row r="695" ht="22.5" hidden="1" customHeight="1">
      <c r="A695" s="188"/>
      <c r="B695" s="188"/>
      <c r="C695" s="188"/>
      <c r="D695" s="188"/>
      <c r="E695" s="188"/>
      <c r="F695" s="188"/>
    </row>
    <row r="696" ht="22.5" hidden="1" customHeight="1">
      <c r="A696" s="188"/>
      <c r="B696" s="188"/>
      <c r="C696" s="188"/>
      <c r="D696" s="188"/>
      <c r="E696" s="188"/>
      <c r="F696" s="188"/>
    </row>
    <row r="697" ht="22.5" hidden="1" customHeight="1">
      <c r="A697" s="188"/>
      <c r="B697" s="188"/>
      <c r="C697" s="188"/>
      <c r="D697" s="188"/>
      <c r="E697" s="188"/>
      <c r="F697" s="188"/>
    </row>
    <row r="698" ht="22.5" hidden="1" customHeight="1">
      <c r="A698" s="188"/>
      <c r="B698" s="188"/>
      <c r="C698" s="188"/>
      <c r="D698" s="188"/>
      <c r="E698" s="188"/>
      <c r="F698" s="188"/>
    </row>
    <row r="699" ht="22.5" hidden="1" customHeight="1">
      <c r="A699" s="188"/>
      <c r="B699" s="188"/>
      <c r="C699" s="188"/>
      <c r="D699" s="188"/>
      <c r="E699" s="188"/>
      <c r="F699" s="188"/>
    </row>
    <row r="700" ht="22.5" hidden="1" customHeight="1">
      <c r="A700" s="188"/>
      <c r="B700" s="188"/>
      <c r="C700" s="188"/>
      <c r="D700" s="188"/>
      <c r="E700" s="188"/>
      <c r="F700" s="188"/>
    </row>
    <row r="701" ht="22.5" hidden="1" customHeight="1">
      <c r="A701" s="188"/>
      <c r="B701" s="188"/>
      <c r="C701" s="188"/>
      <c r="D701" s="188"/>
      <c r="E701" s="188"/>
      <c r="F701" s="188"/>
    </row>
    <row r="702" ht="22.5" hidden="1" customHeight="1">
      <c r="A702" s="188"/>
      <c r="B702" s="188"/>
      <c r="C702" s="188"/>
      <c r="D702" s="188"/>
      <c r="E702" s="188"/>
      <c r="F702" s="188"/>
    </row>
    <row r="703" ht="22.5" hidden="1" customHeight="1">
      <c r="A703" s="188"/>
      <c r="B703" s="188"/>
      <c r="C703" s="188"/>
      <c r="D703" s="188"/>
      <c r="E703" s="188"/>
      <c r="F703" s="188"/>
    </row>
    <row r="704" ht="22.5" hidden="1" customHeight="1">
      <c r="A704" s="188"/>
      <c r="B704" s="188"/>
      <c r="C704" s="188"/>
      <c r="D704" s="188"/>
      <c r="E704" s="188"/>
      <c r="F704" s="188"/>
    </row>
    <row r="705" ht="22.5" hidden="1" customHeight="1">
      <c r="A705" s="188"/>
      <c r="B705" s="188"/>
      <c r="C705" s="188"/>
      <c r="D705" s="188"/>
      <c r="E705" s="188"/>
      <c r="F705" s="188"/>
    </row>
    <row r="706" ht="22.5" hidden="1" customHeight="1">
      <c r="A706" s="188"/>
      <c r="B706" s="188"/>
      <c r="C706" s="188"/>
      <c r="D706" s="188"/>
      <c r="E706" s="188"/>
      <c r="F706" s="188"/>
    </row>
    <row r="707" ht="22.5" hidden="1" customHeight="1">
      <c r="A707" s="188"/>
      <c r="B707" s="188"/>
      <c r="C707" s="188"/>
      <c r="D707" s="188"/>
      <c r="E707" s="188"/>
      <c r="F707" s="188"/>
    </row>
    <row r="708" ht="22.5" hidden="1" customHeight="1">
      <c r="A708" s="188"/>
      <c r="B708" s="188"/>
      <c r="C708" s="188"/>
      <c r="D708" s="188"/>
      <c r="E708" s="188"/>
      <c r="F708" s="188"/>
    </row>
    <row r="709" ht="22.5" hidden="1" customHeight="1">
      <c r="A709" s="188"/>
      <c r="B709" s="188"/>
      <c r="C709" s="188"/>
      <c r="D709" s="188"/>
      <c r="E709" s="188"/>
      <c r="F709" s="188"/>
    </row>
    <row r="710" ht="22.5" hidden="1" customHeight="1">
      <c r="A710" s="188"/>
      <c r="B710" s="188"/>
      <c r="C710" s="188"/>
      <c r="D710" s="188"/>
      <c r="E710" s="188"/>
      <c r="F710" s="188"/>
    </row>
    <row r="711" ht="22.5" hidden="1" customHeight="1">
      <c r="A711" s="188"/>
      <c r="B711" s="188"/>
      <c r="C711" s="188"/>
      <c r="D711" s="188"/>
      <c r="E711" s="188"/>
      <c r="F711" s="188"/>
    </row>
    <row r="712" ht="22.5" hidden="1" customHeight="1">
      <c r="A712" s="188"/>
      <c r="B712" s="188"/>
      <c r="C712" s="188"/>
      <c r="D712" s="188"/>
      <c r="E712" s="188"/>
      <c r="F712" s="188"/>
    </row>
    <row r="713" ht="22.5" hidden="1" customHeight="1">
      <c r="A713" s="188"/>
      <c r="B713" s="188"/>
      <c r="C713" s="188"/>
      <c r="D713" s="188"/>
      <c r="E713" s="188"/>
      <c r="F713" s="188"/>
    </row>
    <row r="714" ht="22.5" hidden="1" customHeight="1">
      <c r="A714" s="188"/>
      <c r="B714" s="188"/>
      <c r="C714" s="188"/>
      <c r="D714" s="188"/>
      <c r="E714" s="188"/>
      <c r="F714" s="188"/>
    </row>
    <row r="715" ht="22.5" hidden="1" customHeight="1">
      <c r="A715" s="188"/>
      <c r="B715" s="188"/>
      <c r="C715" s="188"/>
      <c r="D715" s="188"/>
      <c r="E715" s="188"/>
      <c r="F715" s="188"/>
    </row>
    <row r="716" ht="22.5" hidden="1" customHeight="1">
      <c r="A716" s="188"/>
      <c r="B716" s="188"/>
      <c r="C716" s="188"/>
      <c r="D716" s="188"/>
      <c r="E716" s="188"/>
      <c r="F716" s="188"/>
    </row>
    <row r="717" ht="22.5" hidden="1" customHeight="1">
      <c r="A717" s="188"/>
      <c r="B717" s="188"/>
      <c r="C717" s="188"/>
      <c r="D717" s="188"/>
      <c r="E717" s="188"/>
      <c r="F717" s="188"/>
    </row>
    <row r="718" ht="22.5" hidden="1" customHeight="1">
      <c r="A718" s="188"/>
      <c r="B718" s="188"/>
      <c r="C718" s="188"/>
      <c r="D718" s="188"/>
      <c r="E718" s="188"/>
      <c r="F718" s="188"/>
    </row>
    <row r="719" ht="22.5" hidden="1" customHeight="1">
      <c r="A719" s="188"/>
      <c r="B719" s="188"/>
      <c r="C719" s="188"/>
      <c r="D719" s="188"/>
      <c r="E719" s="188"/>
      <c r="F719" s="188"/>
    </row>
    <row r="720" ht="22.5" hidden="1" customHeight="1">
      <c r="A720" s="188"/>
      <c r="B720" s="188"/>
      <c r="C720" s="188"/>
      <c r="D720" s="188"/>
      <c r="E720" s="188"/>
      <c r="F720" s="188"/>
    </row>
    <row r="721" ht="22.5" hidden="1" customHeight="1">
      <c r="A721" s="188"/>
      <c r="B721" s="188"/>
      <c r="C721" s="188"/>
      <c r="D721" s="188"/>
      <c r="E721" s="188"/>
      <c r="F721" s="188"/>
    </row>
    <row r="722" ht="22.5" hidden="1" customHeight="1">
      <c r="A722" s="188"/>
      <c r="B722" s="188"/>
      <c r="C722" s="188"/>
      <c r="D722" s="188"/>
      <c r="E722" s="188"/>
      <c r="F722" s="188"/>
    </row>
    <row r="723" ht="22.5" hidden="1" customHeight="1">
      <c r="A723" s="188"/>
      <c r="B723" s="188"/>
      <c r="C723" s="188"/>
      <c r="D723" s="188"/>
      <c r="E723" s="188"/>
      <c r="F723" s="188"/>
    </row>
    <row r="724" ht="22.5" hidden="1" customHeight="1">
      <c r="A724" s="188"/>
      <c r="B724" s="188"/>
      <c r="C724" s="188"/>
      <c r="D724" s="188"/>
      <c r="E724" s="188"/>
      <c r="F724" s="188"/>
    </row>
    <row r="725" ht="22.5" hidden="1" customHeight="1">
      <c r="A725" s="188"/>
      <c r="B725" s="188"/>
      <c r="C725" s="188"/>
      <c r="D725" s="188"/>
      <c r="E725" s="188"/>
      <c r="F725" s="188"/>
    </row>
    <row r="726" ht="22.5" hidden="1" customHeight="1">
      <c r="A726" s="188"/>
      <c r="B726" s="188"/>
      <c r="C726" s="188"/>
      <c r="D726" s="188"/>
      <c r="E726" s="188"/>
      <c r="F726" s="188"/>
    </row>
    <row r="727" ht="22.5" hidden="1" customHeight="1">
      <c r="A727" s="188"/>
      <c r="B727" s="188"/>
      <c r="C727" s="188"/>
      <c r="D727" s="188"/>
      <c r="E727" s="188"/>
      <c r="F727" s="188"/>
    </row>
    <row r="728" ht="22.5" hidden="1" customHeight="1">
      <c r="A728" s="188"/>
      <c r="B728" s="188"/>
      <c r="C728" s="188"/>
      <c r="D728" s="188"/>
      <c r="E728" s="188"/>
      <c r="F728" s="188"/>
    </row>
    <row r="729" ht="22.5" hidden="1" customHeight="1">
      <c r="A729" s="188"/>
      <c r="B729" s="188"/>
      <c r="C729" s="188"/>
      <c r="D729" s="188"/>
      <c r="E729" s="188"/>
      <c r="F729" s="188"/>
    </row>
    <row r="730" ht="22.5" hidden="1" customHeight="1">
      <c r="A730" s="188"/>
      <c r="B730" s="188"/>
      <c r="C730" s="188"/>
      <c r="D730" s="188"/>
      <c r="E730" s="188"/>
      <c r="F730" s="188"/>
    </row>
    <row r="731" ht="22.5" hidden="1" customHeight="1">
      <c r="A731" s="188"/>
      <c r="B731" s="188"/>
      <c r="C731" s="188"/>
      <c r="D731" s="188"/>
      <c r="E731" s="188"/>
      <c r="F731" s="188"/>
    </row>
    <row r="732" ht="22.5" hidden="1" customHeight="1">
      <c r="A732" s="188"/>
      <c r="B732" s="188"/>
      <c r="C732" s="188"/>
      <c r="D732" s="188"/>
      <c r="E732" s="188"/>
      <c r="F732" s="188"/>
    </row>
    <row r="733" ht="22.5" hidden="1" customHeight="1">
      <c r="A733" s="188"/>
      <c r="B733" s="188"/>
      <c r="C733" s="188"/>
      <c r="D733" s="188"/>
      <c r="E733" s="188"/>
      <c r="F733" s="188"/>
    </row>
    <row r="734" ht="22.5" hidden="1" customHeight="1">
      <c r="A734" s="188"/>
      <c r="B734" s="188"/>
      <c r="C734" s="188"/>
      <c r="D734" s="188"/>
      <c r="E734" s="188"/>
      <c r="F734" s="188"/>
    </row>
    <row r="735" ht="22.5" hidden="1" customHeight="1">
      <c r="A735" s="188"/>
      <c r="B735" s="188"/>
      <c r="C735" s="188"/>
      <c r="D735" s="188"/>
      <c r="E735" s="188"/>
      <c r="F735" s="188"/>
    </row>
    <row r="736" ht="22.5" hidden="1" customHeight="1">
      <c r="A736" s="188"/>
      <c r="B736" s="188"/>
      <c r="C736" s="188"/>
      <c r="D736" s="188"/>
      <c r="E736" s="188"/>
      <c r="F736" s="188"/>
    </row>
    <row r="737" ht="22.5" hidden="1" customHeight="1">
      <c r="A737" s="188"/>
      <c r="B737" s="188"/>
      <c r="C737" s="188"/>
      <c r="D737" s="188"/>
      <c r="E737" s="188"/>
      <c r="F737" s="188"/>
    </row>
    <row r="738" ht="22.5" hidden="1" customHeight="1">
      <c r="A738" s="188"/>
      <c r="B738" s="188"/>
      <c r="C738" s="188"/>
      <c r="D738" s="188"/>
      <c r="E738" s="188"/>
      <c r="F738" s="188"/>
    </row>
    <row r="739" ht="22.5" hidden="1" customHeight="1">
      <c r="A739" s="188"/>
      <c r="B739" s="188"/>
      <c r="C739" s="188"/>
      <c r="D739" s="188"/>
      <c r="E739" s="188"/>
      <c r="F739" s="188"/>
    </row>
    <row r="740" ht="22.5" hidden="1" customHeight="1">
      <c r="A740" s="188"/>
      <c r="B740" s="188"/>
      <c r="C740" s="188"/>
      <c r="D740" s="188"/>
      <c r="E740" s="188"/>
      <c r="F740" s="188"/>
    </row>
    <row r="741" ht="22.5" hidden="1" customHeight="1">
      <c r="A741" s="188"/>
      <c r="B741" s="188"/>
      <c r="C741" s="188"/>
      <c r="D741" s="188"/>
      <c r="E741" s="188"/>
      <c r="F741" s="188"/>
    </row>
    <row r="742" ht="22.5" hidden="1" customHeight="1">
      <c r="A742" s="188"/>
      <c r="B742" s="188"/>
      <c r="C742" s="188"/>
      <c r="D742" s="188"/>
      <c r="E742" s="188"/>
      <c r="F742" s="188"/>
    </row>
    <row r="743" ht="22.5" hidden="1" customHeight="1">
      <c r="A743" s="188"/>
      <c r="B743" s="188"/>
      <c r="C743" s="188"/>
      <c r="D743" s="188"/>
      <c r="E743" s="188"/>
      <c r="F743" s="188"/>
    </row>
    <row r="744" ht="22.5" hidden="1" customHeight="1">
      <c r="A744" s="188"/>
      <c r="B744" s="188"/>
      <c r="C744" s="188"/>
      <c r="D744" s="188"/>
      <c r="E744" s="188"/>
      <c r="F744" s="188"/>
    </row>
    <row r="745" ht="22.5" hidden="1" customHeight="1">
      <c r="A745" s="188"/>
      <c r="B745" s="188"/>
      <c r="C745" s="188"/>
      <c r="D745" s="188"/>
      <c r="E745" s="188"/>
      <c r="F745" s="188"/>
    </row>
    <row r="746" ht="22.5" hidden="1" customHeight="1">
      <c r="A746" s="188"/>
      <c r="B746" s="188"/>
      <c r="C746" s="188"/>
      <c r="D746" s="188"/>
      <c r="E746" s="188"/>
      <c r="F746" s="188"/>
    </row>
    <row r="747" ht="22.5" hidden="1" customHeight="1">
      <c r="A747" s="188"/>
      <c r="B747" s="188"/>
      <c r="C747" s="188"/>
      <c r="D747" s="188"/>
      <c r="E747" s="188"/>
      <c r="F747" s="188"/>
    </row>
    <row r="748" ht="22.5" hidden="1" customHeight="1">
      <c r="A748" s="188"/>
      <c r="B748" s="188"/>
      <c r="C748" s="188"/>
      <c r="D748" s="188"/>
      <c r="E748" s="188"/>
      <c r="F748" s="188"/>
    </row>
    <row r="749" ht="22.5" hidden="1" customHeight="1">
      <c r="A749" s="188"/>
      <c r="B749" s="188"/>
      <c r="C749" s="188"/>
      <c r="D749" s="188"/>
      <c r="E749" s="188"/>
      <c r="F749" s="188"/>
    </row>
    <row r="750" ht="22.5" hidden="1" customHeight="1">
      <c r="A750" s="188"/>
      <c r="B750" s="188"/>
      <c r="C750" s="188"/>
      <c r="D750" s="188"/>
      <c r="E750" s="188"/>
      <c r="F750" s="188"/>
    </row>
    <row r="751" ht="22.5" hidden="1" customHeight="1">
      <c r="A751" s="188"/>
      <c r="B751" s="188"/>
      <c r="C751" s="188"/>
      <c r="D751" s="188"/>
      <c r="E751" s="188"/>
      <c r="F751" s="188"/>
    </row>
    <row r="752" ht="22.5" hidden="1" customHeight="1">
      <c r="A752" s="188"/>
      <c r="B752" s="188"/>
      <c r="C752" s="188"/>
      <c r="D752" s="188"/>
      <c r="E752" s="188"/>
      <c r="F752" s="188"/>
    </row>
    <row r="753" ht="22.5" hidden="1" customHeight="1">
      <c r="A753" s="188"/>
      <c r="B753" s="188"/>
      <c r="C753" s="188"/>
      <c r="D753" s="188"/>
      <c r="E753" s="188"/>
      <c r="F753" s="188"/>
    </row>
    <row r="754" ht="22.5" hidden="1" customHeight="1">
      <c r="A754" s="188"/>
      <c r="B754" s="188"/>
      <c r="C754" s="188"/>
      <c r="D754" s="188"/>
      <c r="E754" s="188"/>
      <c r="F754" s="188"/>
    </row>
    <row r="755" ht="22.5" hidden="1" customHeight="1">
      <c r="A755" s="188"/>
      <c r="B755" s="188"/>
      <c r="C755" s="188"/>
      <c r="D755" s="188"/>
      <c r="E755" s="188"/>
      <c r="F755" s="188"/>
    </row>
    <row r="756" ht="22.5" hidden="1" customHeight="1">
      <c r="A756" s="188"/>
      <c r="B756" s="188"/>
      <c r="C756" s="188"/>
      <c r="D756" s="188"/>
      <c r="E756" s="188"/>
      <c r="F756" s="188"/>
    </row>
    <row r="757" ht="22.5" hidden="1" customHeight="1">
      <c r="A757" s="188"/>
      <c r="B757" s="188"/>
      <c r="C757" s="188"/>
      <c r="D757" s="188"/>
      <c r="E757" s="188"/>
      <c r="F757" s="188"/>
    </row>
    <row r="758" ht="22.5" hidden="1" customHeight="1">
      <c r="A758" s="188"/>
      <c r="B758" s="188"/>
      <c r="C758" s="188"/>
      <c r="D758" s="188"/>
      <c r="E758" s="188"/>
      <c r="F758" s="188"/>
    </row>
    <row r="759" ht="22.5" hidden="1" customHeight="1">
      <c r="A759" s="188"/>
      <c r="B759" s="188"/>
      <c r="C759" s="188"/>
      <c r="D759" s="188"/>
      <c r="E759" s="188"/>
      <c r="F759" s="188"/>
    </row>
    <row r="760" ht="22.5" hidden="1" customHeight="1">
      <c r="A760" s="188"/>
      <c r="B760" s="188"/>
      <c r="C760" s="188"/>
      <c r="D760" s="188"/>
      <c r="E760" s="188"/>
      <c r="F760" s="188"/>
    </row>
    <row r="761" ht="22.5" hidden="1" customHeight="1">
      <c r="A761" s="188"/>
      <c r="B761" s="188"/>
      <c r="C761" s="188"/>
      <c r="D761" s="188"/>
      <c r="E761" s="188"/>
      <c r="F761" s="188"/>
    </row>
    <row r="762" ht="22.5" hidden="1" customHeight="1">
      <c r="A762" s="188"/>
      <c r="B762" s="188"/>
      <c r="C762" s="188"/>
      <c r="D762" s="188"/>
      <c r="E762" s="188"/>
      <c r="F762" s="188"/>
    </row>
    <row r="763" ht="22.5" hidden="1" customHeight="1">
      <c r="A763" s="188"/>
      <c r="B763" s="188"/>
      <c r="C763" s="188"/>
      <c r="D763" s="188"/>
      <c r="E763" s="188"/>
      <c r="F763" s="188"/>
    </row>
    <row r="764" ht="22.5" hidden="1" customHeight="1">
      <c r="A764" s="188"/>
      <c r="B764" s="188"/>
      <c r="C764" s="188"/>
      <c r="D764" s="188"/>
      <c r="E764" s="188"/>
      <c r="F764" s="188"/>
    </row>
    <row r="765" ht="22.5" hidden="1" customHeight="1">
      <c r="A765" s="188"/>
      <c r="B765" s="188"/>
      <c r="C765" s="188"/>
      <c r="D765" s="188"/>
      <c r="E765" s="188"/>
      <c r="F765" s="188"/>
    </row>
    <row r="766" ht="22.5" hidden="1" customHeight="1">
      <c r="A766" s="188"/>
      <c r="B766" s="188"/>
      <c r="C766" s="188"/>
      <c r="D766" s="188"/>
      <c r="E766" s="188"/>
      <c r="F766" s="188"/>
    </row>
    <row r="767" ht="22.5" hidden="1" customHeight="1">
      <c r="A767" s="188"/>
      <c r="B767" s="188"/>
      <c r="C767" s="188"/>
      <c r="D767" s="188"/>
      <c r="E767" s="188"/>
      <c r="F767" s="188"/>
    </row>
    <row r="768" ht="22.5" hidden="1" customHeight="1">
      <c r="A768" s="188"/>
      <c r="B768" s="188"/>
      <c r="C768" s="188"/>
      <c r="D768" s="188"/>
      <c r="E768" s="188"/>
      <c r="F768" s="188"/>
    </row>
    <row r="769" ht="22.5" hidden="1" customHeight="1">
      <c r="A769" s="188"/>
      <c r="B769" s="188"/>
      <c r="C769" s="188"/>
      <c r="D769" s="188"/>
      <c r="E769" s="188"/>
      <c r="F769" s="188"/>
    </row>
    <row r="770" ht="22.5" hidden="1" customHeight="1">
      <c r="A770" s="188"/>
      <c r="B770" s="188"/>
      <c r="C770" s="188"/>
      <c r="D770" s="188"/>
      <c r="E770" s="188"/>
      <c r="F770" s="188"/>
    </row>
    <row r="771" ht="22.5" hidden="1" customHeight="1">
      <c r="A771" s="188"/>
      <c r="B771" s="188"/>
      <c r="C771" s="188"/>
      <c r="D771" s="188"/>
      <c r="E771" s="188"/>
      <c r="F771" s="188"/>
    </row>
    <row r="772" ht="22.5" hidden="1" customHeight="1">
      <c r="A772" s="188"/>
      <c r="B772" s="188"/>
      <c r="C772" s="188"/>
      <c r="D772" s="188"/>
      <c r="E772" s="188"/>
      <c r="F772" s="188"/>
    </row>
    <row r="773" ht="22.5" hidden="1" customHeight="1">
      <c r="A773" s="188"/>
      <c r="B773" s="188"/>
      <c r="C773" s="188"/>
      <c r="D773" s="188"/>
      <c r="E773" s="188"/>
      <c r="F773" s="188"/>
    </row>
    <row r="774" ht="22.5" hidden="1" customHeight="1">
      <c r="A774" s="188"/>
      <c r="B774" s="188"/>
      <c r="C774" s="188"/>
      <c r="D774" s="188"/>
      <c r="E774" s="188"/>
      <c r="F774" s="188"/>
    </row>
    <row r="775" ht="22.5" hidden="1" customHeight="1">
      <c r="A775" s="188"/>
      <c r="B775" s="188"/>
      <c r="C775" s="188"/>
      <c r="D775" s="188"/>
      <c r="E775" s="188"/>
      <c r="F775" s="188"/>
    </row>
    <row r="776" ht="22.5" hidden="1" customHeight="1">
      <c r="A776" s="188"/>
      <c r="B776" s="188"/>
      <c r="C776" s="188"/>
      <c r="D776" s="188"/>
      <c r="E776" s="188"/>
      <c r="F776" s="188"/>
    </row>
    <row r="777" ht="22.5" hidden="1" customHeight="1">
      <c r="A777" s="188"/>
      <c r="B777" s="188"/>
      <c r="C777" s="188"/>
      <c r="D777" s="188"/>
      <c r="E777" s="188"/>
      <c r="F777" s="188"/>
    </row>
    <row r="778" ht="22.5" hidden="1" customHeight="1">
      <c r="A778" s="188"/>
      <c r="B778" s="188"/>
      <c r="C778" s="188"/>
      <c r="D778" s="188"/>
      <c r="E778" s="188"/>
      <c r="F778" s="188"/>
    </row>
    <row r="779" ht="22.5" hidden="1" customHeight="1">
      <c r="A779" s="188"/>
      <c r="B779" s="188"/>
      <c r="C779" s="188"/>
      <c r="D779" s="188"/>
      <c r="E779" s="188"/>
      <c r="F779" s="188"/>
    </row>
    <row r="780" ht="22.5" hidden="1" customHeight="1">
      <c r="A780" s="188"/>
      <c r="B780" s="188"/>
      <c r="C780" s="188"/>
      <c r="D780" s="188"/>
      <c r="E780" s="188"/>
      <c r="F780" s="188"/>
    </row>
    <row r="781" ht="22.5" hidden="1" customHeight="1">
      <c r="A781" s="188"/>
      <c r="B781" s="188"/>
      <c r="C781" s="188"/>
      <c r="D781" s="188"/>
      <c r="E781" s="188"/>
      <c r="F781" s="188"/>
    </row>
    <row r="782" ht="22.5" hidden="1" customHeight="1">
      <c r="A782" s="188"/>
      <c r="B782" s="188"/>
      <c r="C782" s="188"/>
      <c r="D782" s="188"/>
      <c r="E782" s="188"/>
      <c r="F782" s="188"/>
    </row>
    <row r="783" ht="22.5" hidden="1" customHeight="1">
      <c r="A783" s="188"/>
      <c r="B783" s="188"/>
      <c r="C783" s="188"/>
      <c r="D783" s="188"/>
      <c r="E783" s="188"/>
      <c r="F783" s="188"/>
    </row>
    <row r="784" ht="22.5" hidden="1" customHeight="1">
      <c r="A784" s="188"/>
      <c r="B784" s="188"/>
      <c r="C784" s="188"/>
      <c r="D784" s="188"/>
      <c r="E784" s="188"/>
      <c r="F784" s="188"/>
    </row>
    <row r="785" ht="22.5" hidden="1" customHeight="1">
      <c r="A785" s="188"/>
      <c r="B785" s="188"/>
      <c r="C785" s="188"/>
      <c r="D785" s="188"/>
      <c r="E785" s="188"/>
      <c r="F785" s="188"/>
    </row>
    <row r="786" ht="22.5" hidden="1" customHeight="1">
      <c r="A786" s="188"/>
      <c r="B786" s="188"/>
      <c r="C786" s="188"/>
      <c r="D786" s="188"/>
      <c r="E786" s="188"/>
      <c r="F786" s="188"/>
    </row>
    <row r="787" ht="22.5" hidden="1" customHeight="1">
      <c r="A787" s="188"/>
      <c r="B787" s="188"/>
      <c r="C787" s="188"/>
      <c r="D787" s="188"/>
      <c r="E787" s="188"/>
      <c r="F787" s="188"/>
    </row>
    <row r="788" ht="22.5" hidden="1" customHeight="1">
      <c r="A788" s="188"/>
      <c r="B788" s="188"/>
      <c r="C788" s="188"/>
      <c r="D788" s="188"/>
      <c r="E788" s="188"/>
      <c r="F788" s="188"/>
    </row>
    <row r="789" ht="22.5" hidden="1" customHeight="1">
      <c r="A789" s="188"/>
      <c r="B789" s="188"/>
      <c r="C789" s="188"/>
      <c r="D789" s="188"/>
      <c r="E789" s="188"/>
      <c r="F789" s="188"/>
    </row>
    <row r="790" ht="22.5" hidden="1" customHeight="1">
      <c r="A790" s="188"/>
      <c r="B790" s="188"/>
      <c r="C790" s="188"/>
      <c r="D790" s="188"/>
      <c r="E790" s="188"/>
      <c r="F790" s="188"/>
    </row>
    <row r="791" ht="22.5" hidden="1" customHeight="1">
      <c r="A791" s="188"/>
      <c r="B791" s="188"/>
      <c r="C791" s="188"/>
      <c r="D791" s="188"/>
      <c r="E791" s="188"/>
      <c r="F791" s="188"/>
    </row>
    <row r="792" ht="22.5" hidden="1" customHeight="1">
      <c r="A792" s="188"/>
      <c r="B792" s="188"/>
      <c r="C792" s="188"/>
      <c r="D792" s="188"/>
      <c r="E792" s="188"/>
      <c r="F792" s="188"/>
    </row>
    <row r="793" ht="22.5" hidden="1" customHeight="1">
      <c r="A793" s="188"/>
      <c r="B793" s="188"/>
      <c r="C793" s="188"/>
      <c r="D793" s="188"/>
      <c r="E793" s="188"/>
      <c r="F793" s="188"/>
    </row>
    <row r="794" ht="22.5" hidden="1" customHeight="1">
      <c r="A794" s="188"/>
      <c r="B794" s="188"/>
      <c r="C794" s="188"/>
      <c r="D794" s="188"/>
      <c r="E794" s="188"/>
      <c r="F794" s="188"/>
    </row>
    <row r="795" ht="22.5" hidden="1" customHeight="1">
      <c r="A795" s="188"/>
      <c r="B795" s="188"/>
      <c r="C795" s="188"/>
      <c r="D795" s="188"/>
      <c r="E795" s="188"/>
      <c r="F795" s="188"/>
    </row>
    <row r="796" ht="22.5" hidden="1" customHeight="1">
      <c r="A796" s="188"/>
      <c r="B796" s="188"/>
      <c r="C796" s="188"/>
      <c r="D796" s="188"/>
      <c r="E796" s="188"/>
      <c r="F796" s="188"/>
    </row>
    <row r="797" ht="22.5" hidden="1" customHeight="1">
      <c r="A797" s="188"/>
      <c r="B797" s="188"/>
      <c r="C797" s="188"/>
      <c r="D797" s="188"/>
      <c r="E797" s="188"/>
      <c r="F797" s="188"/>
    </row>
    <row r="798" ht="22.5" hidden="1" customHeight="1">
      <c r="A798" s="188"/>
      <c r="B798" s="188"/>
      <c r="C798" s="188"/>
      <c r="D798" s="188"/>
      <c r="E798" s="188"/>
      <c r="F798" s="188"/>
    </row>
    <row r="799" ht="22.5" hidden="1" customHeight="1">
      <c r="A799" s="188"/>
      <c r="B799" s="188"/>
      <c r="C799" s="188"/>
      <c r="D799" s="188"/>
      <c r="E799" s="188"/>
      <c r="F799" s="188"/>
    </row>
    <row r="800" ht="22.5" hidden="1" customHeight="1">
      <c r="A800" s="188"/>
      <c r="B800" s="188"/>
      <c r="C800" s="188"/>
      <c r="D800" s="188"/>
      <c r="E800" s="188"/>
      <c r="F800" s="188"/>
    </row>
    <row r="801" ht="22.5" hidden="1" customHeight="1">
      <c r="A801" s="188"/>
      <c r="B801" s="188"/>
      <c r="C801" s="188"/>
      <c r="D801" s="188"/>
      <c r="E801" s="188"/>
      <c r="F801" s="188"/>
    </row>
    <row r="802" ht="22.5" hidden="1" customHeight="1">
      <c r="A802" s="188"/>
      <c r="B802" s="188"/>
      <c r="C802" s="188"/>
      <c r="D802" s="188"/>
      <c r="E802" s="188"/>
      <c r="F802" s="188"/>
    </row>
    <row r="803" ht="22.5" hidden="1" customHeight="1">
      <c r="A803" s="188"/>
      <c r="B803" s="188"/>
      <c r="C803" s="188"/>
      <c r="D803" s="188"/>
      <c r="E803" s="188"/>
      <c r="F803" s="188"/>
    </row>
    <row r="804" ht="22.5" hidden="1" customHeight="1">
      <c r="A804" s="188"/>
      <c r="B804" s="188"/>
      <c r="C804" s="188"/>
      <c r="D804" s="188"/>
      <c r="E804" s="188"/>
      <c r="F804" s="188"/>
    </row>
    <row r="805" ht="22.5" hidden="1" customHeight="1">
      <c r="A805" s="188"/>
      <c r="B805" s="188"/>
      <c r="C805" s="188"/>
      <c r="D805" s="188"/>
      <c r="E805" s="188"/>
      <c r="F805" s="188"/>
    </row>
    <row r="806" ht="22.5" hidden="1" customHeight="1">
      <c r="A806" s="188"/>
      <c r="B806" s="188"/>
      <c r="C806" s="188"/>
      <c r="D806" s="188"/>
      <c r="E806" s="188"/>
      <c r="F806" s="188"/>
    </row>
    <row r="807" ht="22.5" hidden="1" customHeight="1">
      <c r="A807" s="188"/>
      <c r="B807" s="188"/>
      <c r="C807" s="188"/>
      <c r="D807" s="188"/>
      <c r="E807" s="188"/>
      <c r="F807" s="188"/>
    </row>
    <row r="808" ht="22.5" hidden="1" customHeight="1">
      <c r="A808" s="188"/>
      <c r="B808" s="188"/>
      <c r="C808" s="188"/>
      <c r="D808" s="188"/>
      <c r="E808" s="188"/>
      <c r="F808" s="188"/>
    </row>
    <row r="809" ht="22.5" hidden="1" customHeight="1">
      <c r="A809" s="188"/>
      <c r="B809" s="188"/>
      <c r="C809" s="188"/>
      <c r="D809" s="188"/>
      <c r="E809" s="188"/>
      <c r="F809" s="188"/>
    </row>
    <row r="810" ht="22.5" hidden="1" customHeight="1">
      <c r="A810" s="188"/>
      <c r="B810" s="188"/>
      <c r="C810" s="188"/>
      <c r="D810" s="188"/>
      <c r="E810" s="188"/>
      <c r="F810" s="188"/>
    </row>
    <row r="811" ht="22.5" hidden="1" customHeight="1">
      <c r="A811" s="188"/>
      <c r="B811" s="188"/>
      <c r="C811" s="188"/>
      <c r="D811" s="188"/>
      <c r="E811" s="188"/>
      <c r="F811" s="188"/>
    </row>
    <row r="812" ht="22.5" hidden="1" customHeight="1">
      <c r="A812" s="188"/>
      <c r="B812" s="188"/>
      <c r="C812" s="188"/>
      <c r="D812" s="188"/>
      <c r="E812" s="188"/>
      <c r="F812" s="188"/>
    </row>
    <row r="813" ht="22.5" hidden="1" customHeight="1">
      <c r="A813" s="188"/>
      <c r="B813" s="188"/>
      <c r="C813" s="188"/>
      <c r="D813" s="188"/>
      <c r="E813" s="188"/>
      <c r="F813" s="188"/>
    </row>
    <row r="814" ht="22.5" hidden="1" customHeight="1">
      <c r="A814" s="188"/>
      <c r="B814" s="188"/>
      <c r="C814" s="188"/>
      <c r="D814" s="188"/>
      <c r="E814" s="188"/>
      <c r="F814" s="188"/>
    </row>
    <row r="815" ht="22.5" hidden="1" customHeight="1">
      <c r="A815" s="188"/>
      <c r="B815" s="188"/>
      <c r="C815" s="188"/>
      <c r="D815" s="188"/>
      <c r="E815" s="188"/>
      <c r="F815" s="188"/>
    </row>
    <row r="816" ht="22.5" hidden="1" customHeight="1">
      <c r="A816" s="188"/>
      <c r="B816" s="188"/>
      <c r="C816" s="188"/>
      <c r="D816" s="188"/>
      <c r="E816" s="188"/>
      <c r="F816" s="188"/>
    </row>
    <row r="817" ht="22.5" hidden="1" customHeight="1">
      <c r="A817" s="188"/>
      <c r="B817" s="188"/>
      <c r="C817" s="188"/>
      <c r="D817" s="188"/>
      <c r="E817" s="188"/>
      <c r="F817" s="188"/>
    </row>
    <row r="818" ht="22.5" hidden="1" customHeight="1">
      <c r="A818" s="188"/>
      <c r="B818" s="188"/>
      <c r="C818" s="188"/>
      <c r="D818" s="188"/>
      <c r="E818" s="188"/>
      <c r="F818" s="188"/>
    </row>
    <row r="819" ht="22.5" hidden="1" customHeight="1">
      <c r="A819" s="188"/>
      <c r="B819" s="188"/>
      <c r="C819" s="188"/>
      <c r="D819" s="188"/>
      <c r="E819" s="188"/>
      <c r="F819" s="188"/>
    </row>
    <row r="820" ht="22.5" hidden="1" customHeight="1">
      <c r="A820" s="188"/>
      <c r="B820" s="188"/>
      <c r="C820" s="188"/>
      <c r="D820" s="188"/>
      <c r="E820" s="188"/>
      <c r="F820" s="188"/>
    </row>
    <row r="821" ht="22.5" hidden="1" customHeight="1">
      <c r="A821" s="188"/>
      <c r="B821" s="188"/>
      <c r="C821" s="188"/>
      <c r="D821" s="188"/>
      <c r="E821" s="188"/>
      <c r="F821" s="188"/>
    </row>
    <row r="822" ht="22.5" hidden="1" customHeight="1">
      <c r="A822" s="188"/>
      <c r="B822" s="188"/>
      <c r="C822" s="188"/>
      <c r="D822" s="188"/>
      <c r="E822" s="188"/>
      <c r="F822" s="188"/>
    </row>
    <row r="823" ht="22.5" hidden="1" customHeight="1">
      <c r="A823" s="188"/>
      <c r="B823" s="188"/>
      <c r="C823" s="188"/>
      <c r="D823" s="188"/>
      <c r="E823" s="188"/>
      <c r="F823" s="188"/>
    </row>
    <row r="824" ht="22.5" hidden="1" customHeight="1">
      <c r="A824" s="188"/>
      <c r="B824" s="188"/>
      <c r="C824" s="188"/>
      <c r="D824" s="188"/>
      <c r="E824" s="188"/>
      <c r="F824" s="188"/>
    </row>
    <row r="825" ht="22.5" hidden="1" customHeight="1">
      <c r="A825" s="188"/>
      <c r="B825" s="188"/>
      <c r="C825" s="188"/>
      <c r="D825" s="188"/>
      <c r="E825" s="188"/>
      <c r="F825" s="188"/>
    </row>
    <row r="826" ht="22.5" hidden="1" customHeight="1">
      <c r="A826" s="188"/>
      <c r="B826" s="188"/>
      <c r="C826" s="188"/>
      <c r="D826" s="188"/>
      <c r="E826" s="188"/>
      <c r="F826" s="188"/>
    </row>
    <row r="827" ht="22.5" hidden="1" customHeight="1">
      <c r="A827" s="188"/>
      <c r="B827" s="188"/>
      <c r="C827" s="188"/>
      <c r="D827" s="188"/>
      <c r="E827" s="188"/>
      <c r="F827" s="188"/>
    </row>
    <row r="828" ht="22.5" hidden="1" customHeight="1">
      <c r="A828" s="188"/>
      <c r="B828" s="188"/>
      <c r="C828" s="188"/>
      <c r="D828" s="188"/>
      <c r="E828" s="188"/>
      <c r="F828" s="188"/>
    </row>
    <row r="829" ht="22.5" hidden="1" customHeight="1">
      <c r="A829" s="188"/>
      <c r="B829" s="188"/>
      <c r="C829" s="188"/>
      <c r="D829" s="188"/>
      <c r="E829" s="188"/>
      <c r="F829" s="188"/>
    </row>
    <row r="830" ht="22.5" hidden="1" customHeight="1">
      <c r="A830" s="188"/>
      <c r="B830" s="188"/>
      <c r="C830" s="188"/>
      <c r="D830" s="188"/>
      <c r="E830" s="188"/>
      <c r="F830" s="188"/>
    </row>
    <row r="831" ht="22.5" hidden="1" customHeight="1">
      <c r="A831" s="188"/>
      <c r="B831" s="188"/>
      <c r="C831" s="188"/>
      <c r="D831" s="188"/>
      <c r="E831" s="188"/>
      <c r="F831" s="188"/>
    </row>
    <row r="832" ht="22.5" hidden="1" customHeight="1">
      <c r="A832" s="188"/>
      <c r="B832" s="188"/>
      <c r="C832" s="188"/>
      <c r="D832" s="188"/>
      <c r="E832" s="188"/>
      <c r="F832" s="188"/>
    </row>
    <row r="833" ht="22.5" hidden="1" customHeight="1">
      <c r="A833" s="188"/>
      <c r="B833" s="188"/>
      <c r="C833" s="188"/>
      <c r="D833" s="188"/>
      <c r="E833" s="188"/>
      <c r="F833" s="188"/>
    </row>
    <row r="834" ht="22.5" hidden="1" customHeight="1">
      <c r="A834" s="188"/>
      <c r="B834" s="188"/>
      <c r="C834" s="188"/>
      <c r="D834" s="188"/>
      <c r="E834" s="188"/>
      <c r="F834" s="188"/>
    </row>
    <row r="835" ht="22.5" hidden="1" customHeight="1">
      <c r="A835" s="188"/>
      <c r="B835" s="188"/>
      <c r="C835" s="188"/>
      <c r="D835" s="188"/>
      <c r="E835" s="188"/>
      <c r="F835" s="188"/>
    </row>
    <row r="836" ht="22.5" hidden="1" customHeight="1">
      <c r="A836" s="188"/>
      <c r="B836" s="188"/>
      <c r="C836" s="188"/>
      <c r="D836" s="188"/>
      <c r="E836" s="188"/>
      <c r="F836" s="188"/>
    </row>
    <row r="837" ht="22.5" hidden="1" customHeight="1">
      <c r="A837" s="188"/>
      <c r="B837" s="188"/>
      <c r="C837" s="188"/>
      <c r="D837" s="188"/>
      <c r="E837" s="188"/>
      <c r="F837" s="188"/>
    </row>
    <row r="838" ht="22.5" hidden="1" customHeight="1">
      <c r="A838" s="188"/>
      <c r="B838" s="188"/>
      <c r="C838" s="188"/>
      <c r="D838" s="188"/>
      <c r="E838" s="188"/>
      <c r="F838" s="188"/>
    </row>
    <row r="839" ht="22.5" hidden="1" customHeight="1">
      <c r="A839" s="188"/>
      <c r="B839" s="188"/>
      <c r="C839" s="188"/>
      <c r="D839" s="188"/>
      <c r="E839" s="188"/>
      <c r="F839" s="188"/>
    </row>
    <row r="840" ht="22.5" hidden="1" customHeight="1">
      <c r="A840" s="188"/>
      <c r="B840" s="188"/>
      <c r="C840" s="188"/>
      <c r="D840" s="188"/>
      <c r="E840" s="188"/>
      <c r="F840" s="188"/>
    </row>
    <row r="841" ht="22.5" hidden="1" customHeight="1">
      <c r="A841" s="188"/>
      <c r="B841" s="188"/>
      <c r="C841" s="188"/>
      <c r="D841" s="188"/>
      <c r="E841" s="188"/>
      <c r="F841" s="188"/>
    </row>
    <row r="842" ht="22.5" hidden="1" customHeight="1">
      <c r="A842" s="188"/>
      <c r="B842" s="188"/>
      <c r="C842" s="188"/>
      <c r="D842" s="188"/>
      <c r="E842" s="188"/>
      <c r="F842" s="188"/>
    </row>
    <row r="843" ht="22.5" hidden="1" customHeight="1">
      <c r="A843" s="188"/>
      <c r="B843" s="188"/>
      <c r="C843" s="188"/>
      <c r="D843" s="188"/>
      <c r="E843" s="188"/>
      <c r="F843" s="188"/>
    </row>
    <row r="844" ht="22.5" hidden="1" customHeight="1">
      <c r="A844" s="188"/>
      <c r="B844" s="188"/>
      <c r="C844" s="188"/>
      <c r="D844" s="188"/>
      <c r="E844" s="188"/>
      <c r="F844" s="188"/>
    </row>
    <row r="845" ht="22.5" hidden="1" customHeight="1">
      <c r="A845" s="188"/>
      <c r="B845" s="188"/>
      <c r="C845" s="188"/>
      <c r="D845" s="188"/>
      <c r="E845" s="188"/>
      <c r="F845" s="188"/>
    </row>
    <row r="846" ht="22.5" hidden="1" customHeight="1">
      <c r="A846" s="188"/>
      <c r="B846" s="188"/>
      <c r="C846" s="188"/>
      <c r="D846" s="188"/>
      <c r="E846" s="188"/>
      <c r="F846" s="188"/>
    </row>
    <row r="847" ht="22.5" hidden="1" customHeight="1">
      <c r="A847" s="188"/>
      <c r="B847" s="188"/>
      <c r="C847" s="188"/>
      <c r="D847" s="188"/>
      <c r="E847" s="188"/>
      <c r="F847" s="188"/>
    </row>
    <row r="848" ht="22.5" hidden="1" customHeight="1">
      <c r="A848" s="188"/>
      <c r="B848" s="188"/>
      <c r="C848" s="188"/>
      <c r="D848" s="188"/>
      <c r="E848" s="188"/>
      <c r="F848" s="188"/>
    </row>
    <row r="849" ht="22.5" hidden="1" customHeight="1">
      <c r="A849" s="188"/>
      <c r="B849" s="188"/>
      <c r="C849" s="188"/>
      <c r="D849" s="188"/>
      <c r="E849" s="188"/>
      <c r="F849" s="188"/>
    </row>
    <row r="850" ht="22.5" hidden="1" customHeight="1">
      <c r="A850" s="188"/>
      <c r="B850" s="188"/>
      <c r="C850" s="188"/>
      <c r="D850" s="188"/>
      <c r="E850" s="188"/>
      <c r="F850" s="188"/>
    </row>
    <row r="851" ht="22.5" hidden="1" customHeight="1">
      <c r="A851" s="188"/>
      <c r="B851" s="188"/>
      <c r="C851" s="188"/>
      <c r="D851" s="188"/>
      <c r="E851" s="188"/>
      <c r="F851" s="188"/>
    </row>
    <row r="852" ht="22.5" hidden="1" customHeight="1">
      <c r="A852" s="188"/>
      <c r="B852" s="188"/>
      <c r="C852" s="188"/>
      <c r="D852" s="188"/>
      <c r="E852" s="188"/>
      <c r="F852" s="188"/>
    </row>
    <row r="853" ht="22.5" hidden="1" customHeight="1">
      <c r="A853" s="188"/>
      <c r="B853" s="188"/>
      <c r="C853" s="188"/>
      <c r="D853" s="188"/>
      <c r="E853" s="188"/>
      <c r="F853" s="188"/>
    </row>
    <row r="854" ht="22.5" hidden="1" customHeight="1">
      <c r="A854" s="188"/>
      <c r="B854" s="188"/>
      <c r="C854" s="188"/>
      <c r="D854" s="188"/>
      <c r="E854" s="188"/>
      <c r="F854" s="188"/>
    </row>
    <row r="855" ht="22.5" hidden="1" customHeight="1">
      <c r="A855" s="188"/>
      <c r="B855" s="188"/>
      <c r="C855" s="188"/>
      <c r="D855" s="188"/>
      <c r="E855" s="188"/>
      <c r="F855" s="188"/>
    </row>
    <row r="856" ht="22.5" hidden="1" customHeight="1">
      <c r="A856" s="188"/>
      <c r="B856" s="188"/>
      <c r="C856" s="188"/>
      <c r="D856" s="188"/>
      <c r="E856" s="188"/>
      <c r="F856" s="188"/>
    </row>
    <row r="857" ht="22.5" hidden="1" customHeight="1">
      <c r="A857" s="188"/>
      <c r="B857" s="188"/>
      <c r="C857" s="188"/>
      <c r="D857" s="188"/>
      <c r="E857" s="188"/>
      <c r="F857" s="188"/>
    </row>
    <row r="858" ht="22.5" hidden="1" customHeight="1">
      <c r="A858" s="188"/>
      <c r="B858" s="188"/>
      <c r="C858" s="188"/>
      <c r="D858" s="188"/>
      <c r="E858" s="188"/>
      <c r="F858" s="188"/>
    </row>
    <row r="859" ht="22.5" hidden="1" customHeight="1">
      <c r="A859" s="188"/>
      <c r="B859" s="188"/>
      <c r="C859" s="188"/>
      <c r="D859" s="188"/>
      <c r="E859" s="188"/>
      <c r="F859" s="188"/>
    </row>
    <row r="860" ht="22.5" hidden="1" customHeight="1">
      <c r="A860" s="188"/>
      <c r="B860" s="188"/>
      <c r="C860" s="188"/>
      <c r="D860" s="188"/>
      <c r="E860" s="188"/>
      <c r="F860" s="188"/>
    </row>
    <row r="861" ht="22.5" hidden="1" customHeight="1">
      <c r="A861" s="188"/>
      <c r="B861" s="188"/>
      <c r="C861" s="188"/>
      <c r="D861" s="188"/>
      <c r="E861" s="188"/>
      <c r="F861" s="188"/>
    </row>
    <row r="862" ht="22.5" hidden="1" customHeight="1">
      <c r="A862" s="188"/>
      <c r="B862" s="188"/>
      <c r="C862" s="188"/>
      <c r="D862" s="188"/>
      <c r="E862" s="188"/>
      <c r="F862" s="188"/>
    </row>
    <row r="863" ht="22.5" hidden="1" customHeight="1">
      <c r="A863" s="188"/>
      <c r="B863" s="188"/>
      <c r="C863" s="188"/>
      <c r="D863" s="188"/>
      <c r="E863" s="188"/>
      <c r="F863" s="188"/>
    </row>
    <row r="864" ht="22.5" hidden="1" customHeight="1">
      <c r="A864" s="188"/>
      <c r="B864" s="188"/>
      <c r="C864" s="188"/>
      <c r="D864" s="188"/>
      <c r="E864" s="188"/>
      <c r="F864" s="188"/>
    </row>
    <row r="865" ht="22.5" hidden="1" customHeight="1">
      <c r="A865" s="188"/>
      <c r="B865" s="188"/>
      <c r="C865" s="188"/>
      <c r="D865" s="188"/>
      <c r="E865" s="188"/>
      <c r="F865" s="188"/>
    </row>
    <row r="866" ht="22.5" hidden="1" customHeight="1">
      <c r="A866" s="188"/>
      <c r="B866" s="188"/>
      <c r="C866" s="188"/>
      <c r="D866" s="188"/>
      <c r="E866" s="188"/>
      <c r="F866" s="188"/>
    </row>
    <row r="867" ht="22.5" hidden="1" customHeight="1">
      <c r="A867" s="188"/>
      <c r="B867" s="188"/>
      <c r="C867" s="188"/>
      <c r="D867" s="188"/>
      <c r="E867" s="188"/>
      <c r="F867" s="188"/>
    </row>
    <row r="868" ht="22.5" hidden="1" customHeight="1">
      <c r="A868" s="188"/>
      <c r="B868" s="188"/>
      <c r="C868" s="188"/>
      <c r="D868" s="188"/>
      <c r="E868" s="188"/>
      <c r="F868" s="188"/>
    </row>
    <row r="869" ht="22.5" hidden="1" customHeight="1">
      <c r="A869" s="188"/>
      <c r="B869" s="188"/>
      <c r="C869" s="188"/>
      <c r="D869" s="188"/>
      <c r="E869" s="188"/>
      <c r="F869" s="188"/>
    </row>
    <row r="870" ht="22.5" hidden="1" customHeight="1">
      <c r="A870" s="188"/>
      <c r="B870" s="188"/>
      <c r="C870" s="188"/>
      <c r="D870" s="188"/>
      <c r="E870" s="188"/>
      <c r="F870" s="188"/>
    </row>
    <row r="871" ht="22.5" hidden="1" customHeight="1">
      <c r="A871" s="188"/>
      <c r="B871" s="188"/>
      <c r="C871" s="188"/>
      <c r="D871" s="188"/>
      <c r="E871" s="188"/>
      <c r="F871" s="188"/>
    </row>
    <row r="872" ht="22.5" hidden="1" customHeight="1">
      <c r="A872" s="188"/>
      <c r="B872" s="188"/>
      <c r="C872" s="188"/>
      <c r="D872" s="188"/>
      <c r="E872" s="188"/>
      <c r="F872" s="188"/>
    </row>
    <row r="873" ht="22.5" hidden="1" customHeight="1">
      <c r="A873" s="188"/>
      <c r="B873" s="188"/>
      <c r="C873" s="188"/>
      <c r="D873" s="188"/>
      <c r="E873" s="188"/>
      <c r="F873" s="188"/>
    </row>
    <row r="874" ht="22.5" hidden="1" customHeight="1">
      <c r="A874" s="188"/>
      <c r="B874" s="188"/>
      <c r="C874" s="188"/>
      <c r="D874" s="188"/>
      <c r="E874" s="188"/>
      <c r="F874" s="188"/>
    </row>
    <row r="875" ht="22.5" hidden="1" customHeight="1">
      <c r="A875" s="188"/>
      <c r="B875" s="188"/>
      <c r="C875" s="188"/>
      <c r="D875" s="188"/>
      <c r="E875" s="188"/>
      <c r="F875" s="188"/>
    </row>
    <row r="876" ht="22.5" hidden="1" customHeight="1">
      <c r="A876" s="188"/>
      <c r="B876" s="188"/>
      <c r="C876" s="188"/>
      <c r="D876" s="188"/>
      <c r="E876" s="188"/>
      <c r="F876" s="188"/>
    </row>
    <row r="877" ht="22.5" hidden="1" customHeight="1">
      <c r="A877" s="188"/>
      <c r="B877" s="188"/>
      <c r="C877" s="188"/>
      <c r="D877" s="188"/>
      <c r="E877" s="188"/>
      <c r="F877" s="188"/>
    </row>
    <row r="878" ht="22.5" hidden="1" customHeight="1">
      <c r="A878" s="188"/>
      <c r="B878" s="188"/>
      <c r="C878" s="188"/>
      <c r="D878" s="188"/>
      <c r="E878" s="188"/>
      <c r="F878" s="188"/>
    </row>
    <row r="879" ht="22.5" hidden="1" customHeight="1">
      <c r="A879" s="188"/>
      <c r="B879" s="188"/>
      <c r="C879" s="188"/>
      <c r="D879" s="188"/>
      <c r="E879" s="188"/>
      <c r="F879" s="188"/>
    </row>
    <row r="880" ht="22.5" hidden="1" customHeight="1">
      <c r="A880" s="188"/>
      <c r="B880" s="188"/>
      <c r="C880" s="188"/>
      <c r="D880" s="188"/>
      <c r="E880" s="188"/>
      <c r="F880" s="188"/>
    </row>
    <row r="881" ht="22.5" hidden="1" customHeight="1">
      <c r="A881" s="188"/>
      <c r="B881" s="188"/>
      <c r="C881" s="188"/>
      <c r="D881" s="188"/>
      <c r="E881" s="188"/>
      <c r="F881" s="188"/>
    </row>
    <row r="882" ht="22.5" hidden="1" customHeight="1">
      <c r="A882" s="188"/>
      <c r="B882" s="188"/>
      <c r="C882" s="188"/>
      <c r="D882" s="188"/>
      <c r="E882" s="188"/>
      <c r="F882" s="188"/>
    </row>
    <row r="883" ht="22.5" hidden="1" customHeight="1">
      <c r="A883" s="188"/>
      <c r="B883" s="188"/>
      <c r="C883" s="188"/>
      <c r="D883" s="188"/>
      <c r="E883" s="188"/>
      <c r="F883" s="188"/>
    </row>
    <row r="884" ht="22.5" hidden="1" customHeight="1">
      <c r="A884" s="188"/>
      <c r="B884" s="188"/>
      <c r="C884" s="188"/>
      <c r="D884" s="188"/>
      <c r="E884" s="188"/>
      <c r="F884" s="188"/>
    </row>
    <row r="885" ht="22.5" hidden="1" customHeight="1">
      <c r="A885" s="188"/>
      <c r="B885" s="188"/>
      <c r="C885" s="188"/>
      <c r="D885" s="188"/>
      <c r="E885" s="188"/>
      <c r="F885" s="188"/>
    </row>
    <row r="886" ht="22.5" hidden="1" customHeight="1">
      <c r="A886" s="188"/>
      <c r="B886" s="188"/>
      <c r="C886" s="188"/>
      <c r="D886" s="188"/>
      <c r="E886" s="188"/>
      <c r="F886" s="188"/>
    </row>
    <row r="887" ht="22.5" hidden="1" customHeight="1">
      <c r="A887" s="188"/>
      <c r="B887" s="188"/>
      <c r="C887" s="188"/>
      <c r="D887" s="188"/>
      <c r="E887" s="188"/>
      <c r="F887" s="188"/>
    </row>
    <row r="888" ht="22.5" hidden="1" customHeight="1">
      <c r="A888" s="188"/>
      <c r="B888" s="188"/>
      <c r="C888" s="188"/>
      <c r="D888" s="188"/>
      <c r="E888" s="188"/>
      <c r="F888" s="188"/>
    </row>
    <row r="889" ht="22.5" hidden="1" customHeight="1">
      <c r="A889" s="188"/>
      <c r="B889" s="188"/>
      <c r="C889" s="188"/>
      <c r="D889" s="188"/>
      <c r="E889" s="188"/>
      <c r="F889" s="188"/>
    </row>
    <row r="890" ht="22.5" hidden="1" customHeight="1">
      <c r="A890" s="188"/>
      <c r="B890" s="188"/>
      <c r="C890" s="188"/>
      <c r="D890" s="188"/>
      <c r="E890" s="188"/>
      <c r="F890" s="188"/>
    </row>
    <row r="891" ht="22.5" hidden="1" customHeight="1">
      <c r="A891" s="188"/>
      <c r="B891" s="188"/>
      <c r="C891" s="188"/>
      <c r="D891" s="188"/>
      <c r="E891" s="188"/>
      <c r="F891" s="188"/>
    </row>
    <row r="892" ht="22.5" hidden="1" customHeight="1">
      <c r="A892" s="188"/>
      <c r="B892" s="188"/>
      <c r="C892" s="188"/>
      <c r="D892" s="188"/>
      <c r="E892" s="188"/>
      <c r="F892" s="188"/>
    </row>
    <row r="893" ht="22.5" hidden="1" customHeight="1">
      <c r="A893" s="188"/>
      <c r="B893" s="188"/>
      <c r="C893" s="188"/>
      <c r="D893" s="188"/>
      <c r="E893" s="188"/>
      <c r="F893" s="188"/>
    </row>
    <row r="894" ht="22.5" hidden="1" customHeight="1">
      <c r="A894" s="188"/>
      <c r="B894" s="188"/>
      <c r="C894" s="188"/>
      <c r="D894" s="188"/>
      <c r="E894" s="188"/>
      <c r="F894" s="188"/>
    </row>
    <row r="895" ht="22.5" hidden="1" customHeight="1">
      <c r="A895" s="188"/>
      <c r="B895" s="188"/>
      <c r="C895" s="188"/>
      <c r="D895" s="188"/>
      <c r="E895" s="188"/>
      <c r="F895" s="188"/>
    </row>
    <row r="896" ht="22.5" hidden="1" customHeight="1">
      <c r="A896" s="188"/>
      <c r="B896" s="188"/>
      <c r="C896" s="188"/>
      <c r="D896" s="188"/>
      <c r="E896" s="188"/>
      <c r="F896" s="188"/>
    </row>
    <row r="897" ht="22.5" hidden="1" customHeight="1">
      <c r="A897" s="188"/>
      <c r="B897" s="188"/>
      <c r="C897" s="188"/>
      <c r="D897" s="188"/>
      <c r="E897" s="188"/>
      <c r="F897" s="188"/>
    </row>
    <row r="898" ht="22.5" hidden="1" customHeight="1">
      <c r="A898" s="188"/>
      <c r="B898" s="188"/>
      <c r="C898" s="188"/>
      <c r="D898" s="188"/>
      <c r="E898" s="188"/>
      <c r="F898" s="188"/>
    </row>
    <row r="899" ht="22.5" hidden="1" customHeight="1">
      <c r="A899" s="188"/>
      <c r="B899" s="188"/>
      <c r="C899" s="188"/>
      <c r="D899" s="188"/>
      <c r="E899" s="188"/>
      <c r="F899" s="188"/>
    </row>
    <row r="900" ht="22.5" hidden="1" customHeight="1">
      <c r="A900" s="188"/>
      <c r="B900" s="188"/>
      <c r="C900" s="188"/>
      <c r="D900" s="188"/>
      <c r="E900" s="188"/>
      <c r="F900" s="188"/>
    </row>
    <row r="901" ht="22.5" hidden="1" customHeight="1">
      <c r="A901" s="188"/>
      <c r="B901" s="188"/>
      <c r="C901" s="188"/>
      <c r="D901" s="188"/>
      <c r="E901" s="188"/>
      <c r="F901" s="188"/>
    </row>
    <row r="902" ht="22.5" hidden="1" customHeight="1">
      <c r="A902" s="188"/>
      <c r="B902" s="188"/>
      <c r="C902" s="188"/>
      <c r="D902" s="188"/>
      <c r="E902" s="188"/>
      <c r="F902" s="188"/>
    </row>
    <row r="903" ht="22.5" hidden="1" customHeight="1">
      <c r="A903" s="188"/>
      <c r="B903" s="188"/>
      <c r="C903" s="188"/>
      <c r="D903" s="188"/>
      <c r="E903" s="188"/>
      <c r="F903" s="188"/>
    </row>
    <row r="904" ht="22.5" hidden="1" customHeight="1">
      <c r="A904" s="188"/>
      <c r="B904" s="188"/>
      <c r="C904" s="188"/>
      <c r="D904" s="188"/>
      <c r="E904" s="188"/>
      <c r="F904" s="188"/>
    </row>
    <row r="905" ht="22.5" hidden="1" customHeight="1">
      <c r="A905" s="188"/>
      <c r="B905" s="188"/>
      <c r="C905" s="188"/>
      <c r="D905" s="188"/>
      <c r="E905" s="188"/>
      <c r="F905" s="188"/>
    </row>
    <row r="906" ht="22.5" hidden="1" customHeight="1">
      <c r="A906" s="188"/>
      <c r="B906" s="188"/>
      <c r="C906" s="188"/>
      <c r="D906" s="188"/>
      <c r="E906" s="188"/>
      <c r="F906" s="188"/>
    </row>
    <row r="907" ht="22.5" hidden="1" customHeight="1">
      <c r="A907" s="188"/>
      <c r="B907" s="188"/>
      <c r="C907" s="188"/>
      <c r="D907" s="188"/>
      <c r="E907" s="188"/>
      <c r="F907" s="188"/>
    </row>
    <row r="908" ht="22.5" hidden="1" customHeight="1">
      <c r="A908" s="188"/>
      <c r="B908" s="188"/>
      <c r="C908" s="188"/>
      <c r="D908" s="188"/>
      <c r="E908" s="188"/>
      <c r="F908" s="188"/>
    </row>
    <row r="909" ht="22.5" hidden="1" customHeight="1">
      <c r="A909" s="188"/>
      <c r="B909" s="188"/>
      <c r="C909" s="188"/>
      <c r="D909" s="188"/>
      <c r="E909" s="188"/>
      <c r="F909" s="188"/>
    </row>
    <row r="910" ht="22.5" hidden="1" customHeight="1">
      <c r="A910" s="188"/>
      <c r="B910" s="188"/>
      <c r="C910" s="188"/>
      <c r="D910" s="188"/>
      <c r="E910" s="188"/>
      <c r="F910" s="188"/>
    </row>
    <row r="911" ht="22.5" hidden="1" customHeight="1">
      <c r="A911" s="188"/>
      <c r="B911" s="188"/>
      <c r="C911" s="188"/>
      <c r="D911" s="188"/>
      <c r="E911" s="188"/>
      <c r="F911" s="188"/>
    </row>
    <row r="912" ht="22.5" hidden="1" customHeight="1">
      <c r="A912" s="188"/>
      <c r="B912" s="188"/>
      <c r="C912" s="188"/>
      <c r="D912" s="188"/>
      <c r="E912" s="188"/>
      <c r="F912" s="188"/>
    </row>
    <row r="913" ht="22.5" hidden="1" customHeight="1">
      <c r="A913" s="188"/>
      <c r="B913" s="188"/>
      <c r="C913" s="188"/>
      <c r="D913" s="188"/>
      <c r="E913" s="188"/>
      <c r="F913" s="188"/>
    </row>
    <row r="914" ht="22.5" hidden="1" customHeight="1">
      <c r="A914" s="188"/>
      <c r="B914" s="188"/>
      <c r="C914" s="188"/>
      <c r="D914" s="188"/>
      <c r="E914" s="188"/>
      <c r="F914" s="188"/>
    </row>
    <row r="915" ht="22.5" hidden="1" customHeight="1">
      <c r="A915" s="188"/>
      <c r="B915" s="188"/>
      <c r="C915" s="188"/>
      <c r="D915" s="188"/>
      <c r="E915" s="188"/>
      <c r="F915" s="188"/>
    </row>
    <row r="916" ht="22.5" hidden="1" customHeight="1">
      <c r="A916" s="188"/>
      <c r="B916" s="188"/>
      <c r="C916" s="188"/>
      <c r="D916" s="188"/>
      <c r="E916" s="188"/>
      <c r="F916" s="188"/>
    </row>
    <row r="917" ht="22.5" hidden="1" customHeight="1">
      <c r="A917" s="188"/>
      <c r="B917" s="188"/>
      <c r="C917" s="188"/>
      <c r="D917" s="188"/>
      <c r="E917" s="188"/>
      <c r="F917" s="188"/>
    </row>
    <row r="918" ht="22.5" hidden="1" customHeight="1">
      <c r="A918" s="188"/>
      <c r="B918" s="188"/>
      <c r="C918" s="188"/>
      <c r="D918" s="188"/>
      <c r="E918" s="188"/>
      <c r="F918" s="188"/>
    </row>
    <row r="919" ht="22.5" hidden="1" customHeight="1">
      <c r="A919" s="188"/>
      <c r="B919" s="188"/>
      <c r="C919" s="188"/>
      <c r="D919" s="188"/>
      <c r="E919" s="188"/>
      <c r="F919" s="188"/>
    </row>
    <row r="920" ht="22.5" hidden="1" customHeight="1">
      <c r="A920" s="188"/>
      <c r="B920" s="188"/>
      <c r="C920" s="188"/>
      <c r="D920" s="188"/>
      <c r="E920" s="188"/>
      <c r="F920" s="188"/>
    </row>
    <row r="921" ht="22.5" hidden="1" customHeight="1">
      <c r="A921" s="188"/>
      <c r="B921" s="188"/>
      <c r="C921" s="188"/>
      <c r="D921" s="188"/>
      <c r="E921" s="188"/>
      <c r="F921" s="188"/>
    </row>
    <row r="922" ht="22.5" hidden="1" customHeight="1">
      <c r="A922" s="188"/>
      <c r="B922" s="188"/>
      <c r="C922" s="188"/>
      <c r="D922" s="188"/>
      <c r="E922" s="188"/>
      <c r="F922" s="188"/>
    </row>
    <row r="923" ht="22.5" hidden="1" customHeight="1">
      <c r="A923" s="188"/>
      <c r="B923" s="188"/>
      <c r="C923" s="188"/>
      <c r="D923" s="188"/>
      <c r="E923" s="188"/>
      <c r="F923" s="188"/>
    </row>
    <row r="924" ht="22.5" hidden="1" customHeight="1">
      <c r="A924" s="188"/>
      <c r="B924" s="188"/>
      <c r="C924" s="188"/>
      <c r="D924" s="188"/>
      <c r="E924" s="188"/>
      <c r="F924" s="188"/>
    </row>
    <row r="925" ht="22.5" hidden="1" customHeight="1">
      <c r="A925" s="188"/>
      <c r="B925" s="188"/>
      <c r="C925" s="188"/>
      <c r="D925" s="188"/>
      <c r="E925" s="188"/>
      <c r="F925" s="188"/>
    </row>
    <row r="926" ht="22.5" hidden="1" customHeight="1">
      <c r="A926" s="188"/>
      <c r="B926" s="188"/>
      <c r="C926" s="188"/>
      <c r="D926" s="188"/>
      <c r="E926" s="188"/>
      <c r="F926" s="188"/>
    </row>
    <row r="927" ht="22.5" hidden="1" customHeight="1">
      <c r="A927" s="188"/>
      <c r="B927" s="188"/>
      <c r="C927" s="188"/>
      <c r="D927" s="188"/>
      <c r="E927" s="188"/>
      <c r="F927" s="188"/>
    </row>
    <row r="928" ht="22.5" hidden="1" customHeight="1">
      <c r="A928" s="188"/>
      <c r="B928" s="188"/>
      <c r="C928" s="188"/>
      <c r="D928" s="188"/>
      <c r="E928" s="188"/>
      <c r="F928" s="188"/>
    </row>
    <row r="929" ht="22.5" hidden="1" customHeight="1">
      <c r="A929" s="188"/>
      <c r="B929" s="188"/>
      <c r="C929" s="188"/>
      <c r="D929" s="188"/>
      <c r="E929" s="188"/>
      <c r="F929" s="188"/>
    </row>
    <row r="930" ht="22.5" hidden="1" customHeight="1">
      <c r="A930" s="188"/>
      <c r="B930" s="188"/>
      <c r="C930" s="188"/>
      <c r="D930" s="188"/>
      <c r="E930" s="188"/>
      <c r="F930" s="188"/>
    </row>
    <row r="931" ht="22.5" hidden="1" customHeight="1">
      <c r="A931" s="188"/>
      <c r="B931" s="188"/>
      <c r="C931" s="188"/>
      <c r="D931" s="188"/>
      <c r="E931" s="188"/>
      <c r="F931" s="188"/>
    </row>
    <row r="932" ht="22.5" hidden="1" customHeight="1">
      <c r="A932" s="188"/>
      <c r="B932" s="188"/>
      <c r="C932" s="188"/>
      <c r="D932" s="188"/>
      <c r="E932" s="188"/>
      <c r="F932" s="188"/>
    </row>
    <row r="933" ht="22.5" hidden="1" customHeight="1">
      <c r="A933" s="188"/>
      <c r="B933" s="188"/>
      <c r="C933" s="188"/>
      <c r="D933" s="188"/>
      <c r="E933" s="188"/>
      <c r="F933" s="188"/>
    </row>
    <row r="934" ht="22.5" hidden="1" customHeight="1">
      <c r="A934" s="188"/>
      <c r="B934" s="188"/>
      <c r="C934" s="188"/>
      <c r="D934" s="188"/>
      <c r="E934" s="188"/>
      <c r="F934" s="188"/>
    </row>
    <row r="935" ht="22.5" hidden="1" customHeight="1">
      <c r="A935" s="188"/>
      <c r="B935" s="188"/>
      <c r="C935" s="188"/>
      <c r="D935" s="188"/>
      <c r="E935" s="188"/>
      <c r="F935" s="188"/>
    </row>
    <row r="936" ht="22.5" hidden="1" customHeight="1">
      <c r="A936" s="188"/>
      <c r="B936" s="188"/>
      <c r="C936" s="188"/>
      <c r="D936" s="188"/>
      <c r="E936" s="188"/>
      <c r="F936" s="188"/>
    </row>
    <row r="937" ht="22.5" hidden="1" customHeight="1">
      <c r="A937" s="188"/>
      <c r="B937" s="188"/>
      <c r="C937" s="188"/>
      <c r="D937" s="188"/>
      <c r="E937" s="188"/>
      <c r="F937" s="188"/>
    </row>
    <row r="938" ht="22.5" hidden="1" customHeight="1">
      <c r="A938" s="188"/>
      <c r="B938" s="188"/>
      <c r="C938" s="188"/>
      <c r="D938" s="188"/>
      <c r="E938" s="188"/>
      <c r="F938" s="188"/>
    </row>
    <row r="939" ht="22.5" hidden="1" customHeight="1">
      <c r="A939" s="188"/>
      <c r="B939" s="188"/>
      <c r="C939" s="188"/>
      <c r="D939" s="188"/>
      <c r="E939" s="188"/>
      <c r="F939" s="188"/>
    </row>
    <row r="940" ht="22.5" hidden="1" customHeight="1">
      <c r="A940" s="188"/>
      <c r="B940" s="188"/>
      <c r="C940" s="188"/>
      <c r="D940" s="188"/>
      <c r="E940" s="188"/>
      <c r="F940" s="188"/>
    </row>
    <row r="941" ht="22.5" hidden="1" customHeight="1">
      <c r="A941" s="188"/>
      <c r="B941" s="188"/>
      <c r="C941" s="188"/>
      <c r="D941" s="188"/>
      <c r="E941" s="188"/>
      <c r="F941" s="188"/>
    </row>
    <row r="942" ht="22.5" hidden="1" customHeight="1">
      <c r="A942" s="188"/>
      <c r="B942" s="188"/>
      <c r="C942" s="188"/>
      <c r="D942" s="188"/>
      <c r="E942" s="188"/>
      <c r="F942" s="188"/>
    </row>
    <row r="943" ht="22.5" hidden="1" customHeight="1">
      <c r="A943" s="188"/>
      <c r="B943" s="188"/>
      <c r="C943" s="188"/>
      <c r="D943" s="188"/>
      <c r="E943" s="188"/>
      <c r="F943" s="188"/>
    </row>
    <row r="944" ht="22.5" hidden="1" customHeight="1">
      <c r="A944" s="188"/>
      <c r="B944" s="188"/>
      <c r="C944" s="188"/>
      <c r="D944" s="188"/>
      <c r="E944" s="188"/>
      <c r="F944" s="188"/>
    </row>
    <row r="945" ht="22.5" hidden="1" customHeight="1">
      <c r="A945" s="188"/>
      <c r="B945" s="188"/>
      <c r="C945" s="188"/>
      <c r="D945" s="188"/>
      <c r="E945" s="188"/>
      <c r="F945" s="188"/>
    </row>
    <row r="946" ht="22.5" hidden="1" customHeight="1">
      <c r="A946" s="188"/>
      <c r="B946" s="188"/>
      <c r="C946" s="188"/>
      <c r="D946" s="188"/>
      <c r="E946" s="188"/>
      <c r="F946" s="188"/>
    </row>
    <row r="947" ht="22.5" hidden="1" customHeight="1">
      <c r="A947" s="188"/>
      <c r="B947" s="188"/>
      <c r="C947" s="188"/>
      <c r="D947" s="188"/>
      <c r="E947" s="188"/>
      <c r="F947" s="188"/>
    </row>
    <row r="948" ht="22.5" hidden="1" customHeight="1">
      <c r="A948" s="188"/>
      <c r="B948" s="188"/>
      <c r="C948" s="188"/>
      <c r="D948" s="188"/>
      <c r="E948" s="188"/>
      <c r="F948" s="188"/>
    </row>
    <row r="949" ht="22.5" hidden="1" customHeight="1">
      <c r="A949" s="188"/>
      <c r="B949" s="188"/>
      <c r="C949" s="188"/>
      <c r="D949" s="188"/>
      <c r="E949" s="188"/>
      <c r="F949" s="188"/>
    </row>
    <row r="950" ht="22.5" hidden="1" customHeight="1">
      <c r="A950" s="188"/>
      <c r="B950" s="188"/>
      <c r="C950" s="188"/>
      <c r="D950" s="188"/>
      <c r="E950" s="188"/>
      <c r="F950" s="188"/>
    </row>
    <row r="951" ht="22.5" hidden="1" customHeight="1">
      <c r="A951" s="188"/>
      <c r="B951" s="188"/>
      <c r="C951" s="188"/>
      <c r="D951" s="188"/>
      <c r="E951" s="188"/>
      <c r="F951" s="188"/>
    </row>
    <row r="952" ht="22.5" hidden="1" customHeight="1">
      <c r="A952" s="188"/>
      <c r="B952" s="188"/>
      <c r="C952" s="188"/>
      <c r="D952" s="188"/>
      <c r="E952" s="188"/>
      <c r="F952" s="188"/>
    </row>
    <row r="953" ht="22.5" hidden="1" customHeight="1">
      <c r="A953" s="188"/>
      <c r="B953" s="188"/>
      <c r="C953" s="188"/>
      <c r="D953" s="188"/>
      <c r="E953" s="188"/>
      <c r="F953" s="188"/>
    </row>
    <row r="954" ht="22.5" hidden="1" customHeight="1">
      <c r="A954" s="188"/>
      <c r="B954" s="188"/>
      <c r="C954" s="188"/>
      <c r="D954" s="188"/>
      <c r="E954" s="188"/>
      <c r="F954" s="188"/>
    </row>
    <row r="955" ht="22.5" hidden="1" customHeight="1">
      <c r="A955" s="188"/>
      <c r="B955" s="188"/>
      <c r="C955" s="188"/>
      <c r="D955" s="188"/>
      <c r="E955" s="188"/>
      <c r="F955" s="188"/>
    </row>
    <row r="956" ht="22.5" hidden="1" customHeight="1">
      <c r="A956" s="188"/>
      <c r="B956" s="188"/>
      <c r="C956" s="188"/>
      <c r="D956" s="188"/>
      <c r="E956" s="188"/>
      <c r="F956" s="188"/>
    </row>
    <row r="957" ht="22.5" hidden="1" customHeight="1">
      <c r="A957" s="188"/>
      <c r="B957" s="188"/>
      <c r="C957" s="188"/>
      <c r="D957" s="188"/>
      <c r="E957" s="188"/>
      <c r="F957" s="188"/>
    </row>
    <row r="958" ht="22.5" hidden="1" customHeight="1">
      <c r="A958" s="188"/>
      <c r="B958" s="188"/>
      <c r="C958" s="188"/>
      <c r="D958" s="188"/>
      <c r="E958" s="188"/>
      <c r="F958" s="188"/>
    </row>
    <row r="959" ht="22.5" hidden="1" customHeight="1">
      <c r="A959" s="188"/>
      <c r="B959" s="188"/>
      <c r="C959" s="188"/>
      <c r="D959" s="188"/>
      <c r="E959" s="188"/>
      <c r="F959" s="188"/>
    </row>
    <row r="960" ht="22.5" hidden="1" customHeight="1">
      <c r="A960" s="188"/>
      <c r="B960" s="188"/>
      <c r="C960" s="188"/>
      <c r="D960" s="188"/>
      <c r="E960" s="188"/>
      <c r="F960" s="188"/>
    </row>
    <row r="961" ht="22.5" hidden="1" customHeight="1">
      <c r="A961" s="188"/>
      <c r="B961" s="188"/>
      <c r="C961" s="188"/>
      <c r="D961" s="188"/>
      <c r="E961" s="188"/>
      <c r="F961" s="188"/>
    </row>
    <row r="962" ht="22.5" hidden="1" customHeight="1">
      <c r="A962" s="188"/>
      <c r="B962" s="188"/>
      <c r="C962" s="188"/>
      <c r="D962" s="188"/>
      <c r="E962" s="188"/>
      <c r="F962" s="188"/>
    </row>
    <row r="963" ht="22.5" hidden="1" customHeight="1">
      <c r="A963" s="188"/>
      <c r="B963" s="188"/>
      <c r="C963" s="188"/>
      <c r="D963" s="188"/>
      <c r="E963" s="188"/>
      <c r="F963" s="188"/>
    </row>
    <row r="964" ht="22.5" hidden="1" customHeight="1">
      <c r="A964" s="188"/>
      <c r="B964" s="188"/>
      <c r="C964" s="188"/>
      <c r="D964" s="188"/>
      <c r="E964" s="188"/>
      <c r="F964" s="188"/>
    </row>
    <row r="965" ht="22.5" hidden="1" customHeight="1">
      <c r="A965" s="188"/>
      <c r="B965" s="188"/>
      <c r="C965" s="188"/>
      <c r="D965" s="188"/>
      <c r="E965" s="188"/>
      <c r="F965" s="188"/>
    </row>
    <row r="966" ht="22.5" hidden="1" customHeight="1">
      <c r="A966" s="188"/>
      <c r="B966" s="188"/>
      <c r="C966" s="188"/>
      <c r="D966" s="188"/>
      <c r="E966" s="188"/>
      <c r="F966" s="188"/>
    </row>
    <row r="967" ht="22.5" hidden="1" customHeight="1">
      <c r="A967" s="188"/>
      <c r="B967" s="188"/>
      <c r="C967" s="188"/>
      <c r="D967" s="188"/>
      <c r="E967" s="188"/>
      <c r="F967" s="188"/>
    </row>
    <row r="968" ht="22.5" hidden="1" customHeight="1">
      <c r="A968" s="188"/>
      <c r="B968" s="188"/>
      <c r="C968" s="188"/>
      <c r="D968" s="188"/>
      <c r="E968" s="188"/>
      <c r="F968" s="188"/>
    </row>
    <row r="969" ht="22.5" hidden="1" customHeight="1">
      <c r="A969" s="188"/>
      <c r="B969" s="188"/>
      <c r="C969" s="188"/>
      <c r="D969" s="188"/>
      <c r="E969" s="188"/>
      <c r="F969" s="188"/>
    </row>
    <row r="970" ht="22.5" hidden="1" customHeight="1">
      <c r="A970" s="188"/>
      <c r="B970" s="188"/>
      <c r="C970" s="188"/>
      <c r="D970" s="188"/>
      <c r="E970" s="188"/>
      <c r="F970" s="188"/>
    </row>
    <row r="971" ht="22.5" hidden="1" customHeight="1">
      <c r="A971" s="188"/>
      <c r="B971" s="188"/>
      <c r="C971" s="188"/>
      <c r="D971" s="188"/>
      <c r="E971" s="188"/>
      <c r="F971" s="188"/>
    </row>
    <row r="972" ht="22.5" hidden="1" customHeight="1">
      <c r="A972" s="188"/>
      <c r="B972" s="188"/>
      <c r="C972" s="188"/>
      <c r="D972" s="188"/>
      <c r="E972" s="188"/>
      <c r="F972" s="188"/>
    </row>
    <row r="973" ht="22.5" hidden="1" customHeight="1">
      <c r="A973" s="188"/>
      <c r="B973" s="188"/>
      <c r="C973" s="188"/>
      <c r="D973" s="188"/>
      <c r="E973" s="188"/>
      <c r="F973" s="188"/>
    </row>
    <row r="974" ht="22.5" hidden="1" customHeight="1">
      <c r="A974" s="188"/>
      <c r="B974" s="188"/>
      <c r="C974" s="188"/>
      <c r="D974" s="188"/>
      <c r="E974" s="188"/>
      <c r="F974" s="188"/>
    </row>
    <row r="975" ht="22.5" hidden="1" customHeight="1">
      <c r="A975" s="188"/>
      <c r="B975" s="188"/>
      <c r="C975" s="188"/>
      <c r="D975" s="188"/>
      <c r="E975" s="188"/>
      <c r="F975" s="188"/>
    </row>
    <row r="976" ht="22.5" hidden="1" customHeight="1">
      <c r="A976" s="188"/>
      <c r="B976" s="188"/>
      <c r="C976" s="188"/>
      <c r="D976" s="188"/>
      <c r="E976" s="188"/>
      <c r="F976" s="188"/>
    </row>
    <row r="977" ht="22.5" hidden="1" customHeight="1">
      <c r="A977" s="188"/>
      <c r="B977" s="188"/>
      <c r="C977" s="188"/>
      <c r="D977" s="188"/>
      <c r="E977" s="188"/>
      <c r="F977" s="188"/>
    </row>
    <row r="978" ht="22.5" hidden="1" customHeight="1">
      <c r="A978" s="188"/>
      <c r="B978" s="188"/>
      <c r="C978" s="188"/>
      <c r="D978" s="188"/>
      <c r="E978" s="188"/>
      <c r="F978" s="188"/>
    </row>
    <row r="979" ht="22.5" hidden="1" customHeight="1">
      <c r="A979" s="188"/>
      <c r="B979" s="188"/>
      <c r="C979" s="188"/>
      <c r="D979" s="188"/>
      <c r="E979" s="188"/>
      <c r="F979" s="188"/>
    </row>
    <row r="980" ht="22.5" hidden="1" customHeight="1">
      <c r="A980" s="188"/>
      <c r="B980" s="188"/>
      <c r="C980" s="188"/>
      <c r="D980" s="188"/>
      <c r="E980" s="188"/>
      <c r="F980" s="188"/>
    </row>
    <row r="981" ht="22.5" hidden="1" customHeight="1">
      <c r="A981" s="188"/>
      <c r="B981" s="188"/>
      <c r="C981" s="188"/>
      <c r="D981" s="188"/>
      <c r="E981" s="188"/>
      <c r="F981" s="188"/>
    </row>
    <row r="982" ht="22.5" hidden="1" customHeight="1">
      <c r="A982" s="188"/>
      <c r="B982" s="188"/>
      <c r="C982" s="188"/>
      <c r="D982" s="188"/>
      <c r="E982" s="188"/>
      <c r="F982" s="188"/>
    </row>
    <row r="983" ht="22.5" hidden="1" customHeight="1">
      <c r="A983" s="188"/>
      <c r="B983" s="188"/>
      <c r="C983" s="188"/>
      <c r="D983" s="188"/>
      <c r="E983" s="188"/>
      <c r="F983" s="188"/>
    </row>
    <row r="984" ht="22.5" hidden="1" customHeight="1">
      <c r="A984" s="188"/>
      <c r="B984" s="188"/>
      <c r="C984" s="188"/>
      <c r="D984" s="188"/>
      <c r="E984" s="188"/>
      <c r="F984" s="188"/>
    </row>
    <row r="985" ht="22.5" hidden="1" customHeight="1">
      <c r="A985" s="188"/>
      <c r="B985" s="188"/>
      <c r="C985" s="188"/>
      <c r="D985" s="188"/>
      <c r="E985" s="188"/>
      <c r="F985" s="188"/>
    </row>
    <row r="986" ht="22.5" hidden="1" customHeight="1">
      <c r="A986" s="188"/>
      <c r="B986" s="188"/>
      <c r="C986" s="188"/>
      <c r="D986" s="188"/>
      <c r="E986" s="188"/>
      <c r="F986" s="188"/>
    </row>
    <row r="987" ht="22.5" hidden="1" customHeight="1">
      <c r="A987" s="188"/>
      <c r="B987" s="188"/>
      <c r="C987" s="188"/>
      <c r="D987" s="188"/>
      <c r="E987" s="188"/>
      <c r="F987" s="188"/>
    </row>
    <row r="988" ht="22.5" hidden="1" customHeight="1">
      <c r="A988" s="188"/>
      <c r="B988" s="188"/>
      <c r="C988" s="188"/>
      <c r="D988" s="188"/>
      <c r="E988" s="188"/>
      <c r="F988" s="188"/>
    </row>
    <row r="989" ht="22.5" hidden="1" customHeight="1">
      <c r="A989" s="188"/>
      <c r="B989" s="188"/>
      <c r="C989" s="188"/>
      <c r="D989" s="188"/>
      <c r="E989" s="188"/>
      <c r="F989" s="188"/>
    </row>
    <row r="990" ht="22.5" hidden="1" customHeight="1">
      <c r="A990" s="188"/>
      <c r="B990" s="188"/>
      <c r="C990" s="188"/>
      <c r="D990" s="188"/>
      <c r="E990" s="188"/>
      <c r="F990" s="188"/>
    </row>
    <row r="991" ht="22.5" hidden="1" customHeight="1">
      <c r="A991" s="188"/>
      <c r="B991" s="188"/>
      <c r="C991" s="188"/>
      <c r="D991" s="188"/>
      <c r="E991" s="188"/>
      <c r="F991" s="188"/>
    </row>
    <row r="992" ht="22.5" hidden="1" customHeight="1">
      <c r="A992" s="188"/>
      <c r="B992" s="188"/>
      <c r="C992" s="188"/>
      <c r="D992" s="188"/>
      <c r="E992" s="188"/>
      <c r="F992" s="188"/>
    </row>
    <row r="993" ht="22.5" hidden="1" customHeight="1">
      <c r="A993" s="188"/>
      <c r="B993" s="188"/>
      <c r="C993" s="188"/>
      <c r="D993" s="188"/>
      <c r="E993" s="188"/>
      <c r="F993" s="188"/>
    </row>
    <row r="994" ht="22.5" hidden="1" customHeight="1">
      <c r="A994" s="188"/>
      <c r="B994" s="188"/>
      <c r="C994" s="188"/>
      <c r="D994" s="188"/>
      <c r="E994" s="188"/>
      <c r="F994" s="188"/>
    </row>
    <row r="995" ht="22.5" hidden="1" customHeight="1">
      <c r="A995" s="188"/>
      <c r="B995" s="188"/>
      <c r="C995" s="188"/>
      <c r="D995" s="188"/>
      <c r="E995" s="188"/>
      <c r="F995" s="188"/>
    </row>
    <row r="996" ht="22.5" hidden="1" customHeight="1">
      <c r="A996" s="188"/>
      <c r="B996" s="188"/>
      <c r="C996" s="188"/>
      <c r="D996" s="188"/>
      <c r="E996" s="188"/>
      <c r="F996" s="188"/>
    </row>
    <row r="997" ht="22.5" hidden="1" customHeight="1">
      <c r="A997" s="188"/>
      <c r="B997" s="188"/>
      <c r="C997" s="188"/>
      <c r="D997" s="188"/>
      <c r="E997" s="188"/>
      <c r="F997" s="188"/>
    </row>
    <row r="998" ht="22.5" hidden="1" customHeight="1">
      <c r="A998" s="188"/>
      <c r="B998" s="188"/>
      <c r="C998" s="188"/>
      <c r="D998" s="188"/>
      <c r="E998" s="188"/>
      <c r="F998" s="188"/>
    </row>
    <row r="999" ht="22.5" hidden="1" customHeight="1">
      <c r="A999" s="188"/>
      <c r="B999" s="188"/>
      <c r="C999" s="188"/>
      <c r="D999" s="188"/>
      <c r="E999" s="188"/>
      <c r="F999" s="188"/>
    </row>
    <row r="1000" ht="22.5" hidden="1" customHeight="1">
      <c r="A1000" s="188"/>
      <c r="B1000" s="188"/>
      <c r="C1000" s="188"/>
      <c r="D1000" s="188"/>
      <c r="E1000" s="188"/>
      <c r="F1000" s="188"/>
    </row>
  </sheetData>
  <drawing r:id="rId1"/>
  <tableParts count="1">
    <tablePart r:id="rId3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5"/>
    <col customWidth="1" min="4" max="4" width="38.38"/>
  </cols>
  <sheetData>
    <row r="1">
      <c r="A1" s="167"/>
      <c r="B1" s="167"/>
      <c r="C1" s="167"/>
      <c r="D1" s="167"/>
      <c r="E1" s="167"/>
    </row>
    <row r="2">
      <c r="A2" s="167"/>
      <c r="B2" s="167"/>
      <c r="C2" s="167"/>
      <c r="D2" s="167"/>
      <c r="E2" s="167"/>
    </row>
    <row r="3">
      <c r="A3" s="354" t="s">
        <v>9248</v>
      </c>
      <c r="B3" s="354"/>
      <c r="C3" s="354"/>
      <c r="D3" s="354"/>
      <c r="E3" s="354" t="s">
        <v>5249</v>
      </c>
    </row>
    <row r="4">
      <c r="A4" s="355" t="s">
        <v>9249</v>
      </c>
      <c r="B4" s="356" t="s">
        <v>9</v>
      </c>
      <c r="C4" s="356" t="s">
        <v>5246</v>
      </c>
      <c r="D4" s="356" t="s">
        <v>201</v>
      </c>
      <c r="E4" s="356" t="s">
        <v>13</v>
      </c>
    </row>
    <row r="5">
      <c r="A5" s="357">
        <v>1.0</v>
      </c>
      <c r="B5" s="92" t="s">
        <v>38</v>
      </c>
      <c r="C5" s="92">
        <v>2.52610008E8</v>
      </c>
      <c r="D5" s="94" t="s">
        <v>5248</v>
      </c>
      <c r="E5" s="92" t="s">
        <v>220</v>
      </c>
    </row>
    <row r="6">
      <c r="A6" s="357">
        <v>2.0</v>
      </c>
      <c r="B6" s="92" t="s">
        <v>5251</v>
      </c>
      <c r="C6" s="92">
        <v>2.52610048E8</v>
      </c>
      <c r="D6" s="94" t="s">
        <v>5252</v>
      </c>
      <c r="E6" s="92" t="s">
        <v>227</v>
      </c>
    </row>
    <row r="7">
      <c r="A7" s="357">
        <v>3.0</v>
      </c>
      <c r="B7" s="92" t="s">
        <v>5255</v>
      </c>
      <c r="C7" s="92">
        <v>2.52610053E8</v>
      </c>
      <c r="D7" s="94" t="s">
        <v>5256</v>
      </c>
      <c r="E7" s="92" t="s">
        <v>227</v>
      </c>
    </row>
    <row r="8">
      <c r="A8" s="357">
        <v>4.0</v>
      </c>
      <c r="B8" s="92" t="s">
        <v>39</v>
      </c>
      <c r="C8" s="92">
        <v>2.52610082E8</v>
      </c>
      <c r="D8" s="94" t="s">
        <v>5258</v>
      </c>
      <c r="E8" s="92" t="s">
        <v>220</v>
      </c>
    </row>
    <row r="9">
      <c r="A9" s="357">
        <v>5.0</v>
      </c>
      <c r="B9" s="92" t="s">
        <v>5260</v>
      </c>
      <c r="C9" s="92">
        <v>2.52610083E8</v>
      </c>
      <c r="D9" s="94" t="s">
        <v>5261</v>
      </c>
      <c r="E9" s="92" t="s">
        <v>227</v>
      </c>
    </row>
    <row r="10">
      <c r="A10" s="357">
        <v>6.0</v>
      </c>
      <c r="B10" s="92" t="s">
        <v>5263</v>
      </c>
      <c r="C10" s="92">
        <v>2.52610087E8</v>
      </c>
      <c r="D10" s="94" t="s">
        <v>5264</v>
      </c>
      <c r="E10" s="92" t="s">
        <v>227</v>
      </c>
    </row>
    <row r="11">
      <c r="A11" s="357">
        <v>7.0</v>
      </c>
      <c r="B11" s="92" t="s">
        <v>5266</v>
      </c>
      <c r="C11" s="92">
        <v>2.52610088E8</v>
      </c>
      <c r="D11" s="94" t="s">
        <v>5267</v>
      </c>
      <c r="E11" s="92" t="s">
        <v>227</v>
      </c>
    </row>
    <row r="12">
      <c r="A12" s="357">
        <v>8.0</v>
      </c>
      <c r="B12" s="92" t="s">
        <v>5269</v>
      </c>
      <c r="C12" s="92">
        <v>2.526101E8</v>
      </c>
      <c r="D12" s="94" t="s">
        <v>5270</v>
      </c>
      <c r="E12" s="92" t="s">
        <v>227</v>
      </c>
    </row>
    <row r="13">
      <c r="A13" s="357">
        <v>9.0</v>
      </c>
      <c r="B13" s="92" t="s">
        <v>5272</v>
      </c>
      <c r="C13" s="92">
        <v>2.52610101E8</v>
      </c>
      <c r="D13" s="94" t="s">
        <v>5273</v>
      </c>
      <c r="E13" s="92" t="s">
        <v>227</v>
      </c>
    </row>
    <row r="14">
      <c r="A14" s="357">
        <v>10.0</v>
      </c>
      <c r="B14" s="92" t="s">
        <v>5275</v>
      </c>
      <c r="C14" s="92">
        <v>2.52610122E8</v>
      </c>
      <c r="D14" s="94" t="s">
        <v>5276</v>
      </c>
      <c r="E14" s="92" t="s">
        <v>227</v>
      </c>
    </row>
    <row r="15">
      <c r="A15" s="357">
        <v>11.0</v>
      </c>
      <c r="B15" s="92" t="s">
        <v>34</v>
      </c>
      <c r="C15" s="92">
        <v>2.52610126E8</v>
      </c>
      <c r="D15" s="94" t="s">
        <v>5279</v>
      </c>
      <c r="E15" s="92" t="s">
        <v>220</v>
      </c>
    </row>
    <row r="16">
      <c r="A16" s="357">
        <v>12.0</v>
      </c>
      <c r="B16" s="92" t="s">
        <v>5281</v>
      </c>
      <c r="C16" s="92">
        <v>2.5261013E8</v>
      </c>
      <c r="D16" s="94" t="s">
        <v>5282</v>
      </c>
      <c r="E16" s="92" t="s">
        <v>227</v>
      </c>
    </row>
    <row r="17">
      <c r="A17" s="357">
        <v>13.0</v>
      </c>
      <c r="B17" s="92" t="s">
        <v>41</v>
      </c>
      <c r="C17" s="92">
        <v>2.52610171E8</v>
      </c>
      <c r="D17" s="94" t="s">
        <v>5284</v>
      </c>
      <c r="E17" s="92" t="s">
        <v>220</v>
      </c>
    </row>
    <row r="18">
      <c r="A18" s="92">
        <v>14.0</v>
      </c>
      <c r="B18" s="92" t="s">
        <v>5286</v>
      </c>
      <c r="C18" s="92">
        <v>2.52610175E8</v>
      </c>
      <c r="D18" s="94" t="s">
        <v>5287</v>
      </c>
      <c r="E18" s="92" t="s">
        <v>227</v>
      </c>
    </row>
    <row r="19">
      <c r="A19" s="92">
        <v>15.0</v>
      </c>
      <c r="B19" s="92" t="s">
        <v>5289</v>
      </c>
      <c r="C19" s="92">
        <v>2.52610193E8</v>
      </c>
      <c r="D19" s="94" t="s">
        <v>5290</v>
      </c>
      <c r="E19" s="92" t="s">
        <v>220</v>
      </c>
    </row>
    <row r="20">
      <c r="A20" s="92">
        <v>16.0</v>
      </c>
      <c r="B20" s="92" t="s">
        <v>5292</v>
      </c>
      <c r="C20" s="92">
        <v>2.52610202E8</v>
      </c>
      <c r="D20" s="94" t="s">
        <v>5293</v>
      </c>
      <c r="E20" s="92" t="s">
        <v>220</v>
      </c>
    </row>
    <row r="21">
      <c r="A21" s="92">
        <v>17.0</v>
      </c>
      <c r="B21" s="92" t="s">
        <v>5295</v>
      </c>
      <c r="C21" s="92">
        <v>2.52610206E8</v>
      </c>
      <c r="D21" s="94" t="s">
        <v>5296</v>
      </c>
      <c r="E21" s="92" t="s">
        <v>227</v>
      </c>
    </row>
    <row r="22">
      <c r="A22" s="92">
        <v>18.0</v>
      </c>
      <c r="B22" s="92" t="s">
        <v>5298</v>
      </c>
      <c r="C22" s="92">
        <v>2.52610224E8</v>
      </c>
      <c r="D22" s="94" t="s">
        <v>5299</v>
      </c>
      <c r="E22" s="92" t="s">
        <v>227</v>
      </c>
    </row>
    <row r="23">
      <c r="A23" s="92">
        <v>19.0</v>
      </c>
      <c r="B23" s="92" t="s">
        <v>5301</v>
      </c>
      <c r="C23" s="92">
        <v>2.52610239E8</v>
      </c>
      <c r="D23" s="94" t="s">
        <v>5302</v>
      </c>
      <c r="E23" s="92" t="s">
        <v>227</v>
      </c>
    </row>
    <row r="24">
      <c r="A24" s="92">
        <v>20.0</v>
      </c>
      <c r="B24" s="92" t="s">
        <v>5305</v>
      </c>
      <c r="C24" s="92">
        <v>2.52610246E8</v>
      </c>
      <c r="D24" s="94" t="s">
        <v>5306</v>
      </c>
      <c r="E24" s="92" t="s">
        <v>227</v>
      </c>
    </row>
    <row r="25">
      <c r="A25" s="92">
        <v>21.0</v>
      </c>
      <c r="B25" s="92" t="s">
        <v>5308</v>
      </c>
      <c r="C25" s="92">
        <v>2.52610311E8</v>
      </c>
      <c r="D25" s="94" t="s">
        <v>5309</v>
      </c>
      <c r="E25" s="92" t="s">
        <v>227</v>
      </c>
    </row>
    <row r="26">
      <c r="A26" s="92">
        <v>22.0</v>
      </c>
      <c r="B26" s="92" t="s">
        <v>5311</v>
      </c>
      <c r="C26" s="92">
        <v>2.52610316E8</v>
      </c>
      <c r="D26" s="94" t="s">
        <v>5312</v>
      </c>
      <c r="E26" s="92" t="s">
        <v>220</v>
      </c>
    </row>
    <row r="27">
      <c r="A27" s="92">
        <v>23.0</v>
      </c>
      <c r="B27" s="92" t="s">
        <v>5314</v>
      </c>
      <c r="C27" s="92">
        <v>2.5261033E8</v>
      </c>
      <c r="D27" s="94" t="s">
        <v>5315</v>
      </c>
      <c r="E27" s="92" t="s">
        <v>220</v>
      </c>
    </row>
    <row r="28">
      <c r="A28" s="92">
        <v>24.0</v>
      </c>
      <c r="B28" s="92" t="s">
        <v>5317</v>
      </c>
      <c r="C28" s="92">
        <v>2.52610334E8</v>
      </c>
      <c r="D28" s="94" t="s">
        <v>5318</v>
      </c>
      <c r="E28" s="92" t="s">
        <v>220</v>
      </c>
    </row>
    <row r="29">
      <c r="A29" s="92">
        <v>25.0</v>
      </c>
      <c r="B29" s="92" t="s">
        <v>40</v>
      </c>
      <c r="C29" s="92">
        <v>2.52610343E8</v>
      </c>
      <c r="D29" s="94" t="s">
        <v>5320</v>
      </c>
      <c r="E29" s="92" t="s">
        <v>220</v>
      </c>
    </row>
    <row r="30">
      <c r="A30" s="92">
        <v>26.0</v>
      </c>
      <c r="B30" s="92" t="s">
        <v>5322</v>
      </c>
      <c r="C30" s="92">
        <v>2.52610351E8</v>
      </c>
      <c r="D30" s="94" t="s">
        <v>5323</v>
      </c>
      <c r="E30" s="92" t="s">
        <v>220</v>
      </c>
    </row>
    <row r="31">
      <c r="A31" s="92">
        <v>27.0</v>
      </c>
      <c r="B31" s="92" t="s">
        <v>36</v>
      </c>
      <c r="C31" s="92">
        <v>2.52610369E8</v>
      </c>
      <c r="D31" s="94" t="s">
        <v>5325</v>
      </c>
      <c r="E31" s="92" t="s">
        <v>220</v>
      </c>
    </row>
    <row r="32">
      <c r="A32" s="92">
        <v>28.0</v>
      </c>
      <c r="B32" s="92" t="s">
        <v>5327</v>
      </c>
      <c r="C32" s="92">
        <v>2.52610371E8</v>
      </c>
      <c r="D32" s="94" t="s">
        <v>5328</v>
      </c>
      <c r="E32" s="92" t="s">
        <v>220</v>
      </c>
    </row>
    <row r="33">
      <c r="A33" s="92">
        <v>29.0</v>
      </c>
      <c r="B33" s="92" t="s">
        <v>5330</v>
      </c>
      <c r="C33" s="92">
        <v>2.5261039E8</v>
      </c>
      <c r="D33" s="94" t="s">
        <v>5331</v>
      </c>
      <c r="E33" s="92" t="s">
        <v>227</v>
      </c>
    </row>
    <row r="34">
      <c r="A34" s="92">
        <v>30.0</v>
      </c>
      <c r="B34" s="92" t="s">
        <v>5333</v>
      </c>
      <c r="C34" s="92">
        <v>2.52610393E8</v>
      </c>
      <c r="D34" s="94" t="s">
        <v>5334</v>
      </c>
      <c r="E34" s="92" t="s">
        <v>227</v>
      </c>
    </row>
    <row r="35">
      <c r="A35" s="92">
        <v>31.0</v>
      </c>
      <c r="B35" s="92" t="s">
        <v>5336</v>
      </c>
      <c r="C35" s="92">
        <v>2.52610423E8</v>
      </c>
      <c r="D35" s="94" t="s">
        <v>5337</v>
      </c>
      <c r="E35" s="92" t="s">
        <v>227</v>
      </c>
    </row>
    <row r="36">
      <c r="A36" s="92">
        <v>32.0</v>
      </c>
      <c r="B36" s="92" t="s">
        <v>5339</v>
      </c>
      <c r="C36" s="92">
        <v>2.52610424E8</v>
      </c>
      <c r="D36" s="94" t="s">
        <v>5340</v>
      </c>
      <c r="E36" s="92" t="s">
        <v>227</v>
      </c>
    </row>
    <row r="37">
      <c r="A37" s="92">
        <v>33.0</v>
      </c>
      <c r="B37" s="92" t="s">
        <v>5342</v>
      </c>
      <c r="C37" s="92">
        <v>2.52610436E8</v>
      </c>
      <c r="D37" s="94" t="s">
        <v>5343</v>
      </c>
      <c r="E37" s="92" t="s">
        <v>220</v>
      </c>
    </row>
    <row r="38">
      <c r="A38" s="92">
        <v>34.0</v>
      </c>
      <c r="B38" s="92" t="s">
        <v>5345</v>
      </c>
      <c r="C38" s="92">
        <v>2.52610452E8</v>
      </c>
      <c r="D38" s="94" t="s">
        <v>5346</v>
      </c>
      <c r="E38" s="92" t="s">
        <v>220</v>
      </c>
    </row>
    <row r="39">
      <c r="A39" s="92">
        <v>35.0</v>
      </c>
      <c r="B39" s="92" t="s">
        <v>5348</v>
      </c>
      <c r="C39" s="92">
        <v>2.52610454E8</v>
      </c>
      <c r="D39" s="94" t="s">
        <v>5349</v>
      </c>
      <c r="E39" s="92" t="s">
        <v>220</v>
      </c>
    </row>
    <row r="40">
      <c r="A40" s="92">
        <v>36.0</v>
      </c>
      <c r="B40" s="92" t="s">
        <v>42</v>
      </c>
      <c r="C40" s="92">
        <v>2.52610476E8</v>
      </c>
      <c r="D40" s="94" t="s">
        <v>5351</v>
      </c>
      <c r="E40" s="92" t="s">
        <v>220</v>
      </c>
    </row>
    <row r="41">
      <c r="A41" s="92">
        <v>37.0</v>
      </c>
      <c r="B41" s="92" t="s">
        <v>5353</v>
      </c>
      <c r="C41" s="92">
        <v>2.52610477E8</v>
      </c>
      <c r="D41" s="94" t="s">
        <v>5354</v>
      </c>
      <c r="E41" s="92" t="s">
        <v>227</v>
      </c>
    </row>
    <row r="42">
      <c r="A42" s="92">
        <v>38.0</v>
      </c>
      <c r="B42" s="92" t="s">
        <v>37</v>
      </c>
      <c r="C42" s="92">
        <v>2.52610489E8</v>
      </c>
      <c r="D42" s="94" t="s">
        <v>5356</v>
      </c>
      <c r="E42" s="92" t="s">
        <v>227</v>
      </c>
    </row>
    <row r="43">
      <c r="A43" s="92">
        <v>39.0</v>
      </c>
      <c r="B43" s="92" t="s">
        <v>5358</v>
      </c>
      <c r="C43" s="92">
        <v>2.52610508E8</v>
      </c>
      <c r="D43" s="94" t="s">
        <v>5359</v>
      </c>
      <c r="E43" s="92" t="s">
        <v>227</v>
      </c>
    </row>
    <row r="44">
      <c r="A44" s="92">
        <v>40.0</v>
      </c>
      <c r="B44" s="92" t="s">
        <v>5361</v>
      </c>
      <c r="C44" s="92">
        <v>2.52610513E8</v>
      </c>
      <c r="D44" s="94" t="s">
        <v>5362</v>
      </c>
      <c r="E44" s="92" t="s">
        <v>227</v>
      </c>
    </row>
    <row r="45">
      <c r="A45" s="92">
        <v>41.0</v>
      </c>
      <c r="B45" s="92" t="s">
        <v>5364</v>
      </c>
      <c r="C45" s="92">
        <v>2.52610564E8</v>
      </c>
      <c r="D45" s="94" t="s">
        <v>5365</v>
      </c>
      <c r="E45" s="92" t="s">
        <v>220</v>
      </c>
    </row>
    <row r="46">
      <c r="A46" s="92">
        <v>42.0</v>
      </c>
      <c r="B46" s="92" t="s">
        <v>5367</v>
      </c>
      <c r="C46" s="92">
        <v>2.52610566E8</v>
      </c>
      <c r="D46" s="94" t="s">
        <v>5368</v>
      </c>
      <c r="E46" s="92" t="s">
        <v>227</v>
      </c>
    </row>
    <row r="47">
      <c r="A47" s="167"/>
      <c r="B47" s="167"/>
      <c r="C47" s="167"/>
      <c r="D47" s="167"/>
      <c r="E47" s="167"/>
    </row>
    <row r="48">
      <c r="A48" s="167"/>
      <c r="B48" s="167"/>
      <c r="C48" s="167"/>
      <c r="D48" s="94" t="s">
        <v>9262</v>
      </c>
      <c r="E48" s="124">
        <f>COUNTIF(E5:E46,"P")</f>
        <v>24</v>
      </c>
    </row>
    <row r="49">
      <c r="A49" s="167"/>
      <c r="B49" s="167"/>
      <c r="C49" s="167"/>
      <c r="D49" s="94" t="s">
        <v>9263</v>
      </c>
      <c r="E49" s="124">
        <f>COUNTIF(E5:E46,"L")</f>
        <v>18</v>
      </c>
    </row>
    <row r="50">
      <c r="A50" s="167"/>
      <c r="B50" s="167"/>
      <c r="C50" s="167"/>
      <c r="D50" s="167"/>
      <c r="E50" s="167"/>
    </row>
    <row r="51">
      <c r="A51" s="167"/>
      <c r="B51" s="167"/>
      <c r="C51" s="167"/>
      <c r="D51" s="167"/>
      <c r="E51" s="167"/>
    </row>
    <row r="52">
      <c r="A52" s="167" t="s">
        <v>9264</v>
      </c>
      <c r="B52" s="167"/>
      <c r="C52" s="167"/>
      <c r="D52" s="167"/>
      <c r="E52" s="167" t="s">
        <v>5372</v>
      </c>
    </row>
    <row r="53">
      <c r="A53" s="356" t="s">
        <v>9249</v>
      </c>
      <c r="B53" s="356" t="s">
        <v>9</v>
      </c>
      <c r="C53" s="356" t="s">
        <v>5246</v>
      </c>
      <c r="D53" s="356" t="s">
        <v>201</v>
      </c>
      <c r="E53" s="356" t="s">
        <v>13</v>
      </c>
    </row>
    <row r="54">
      <c r="A54" s="92">
        <v>1.0</v>
      </c>
      <c r="B54" s="92" t="s">
        <v>5370</v>
      </c>
      <c r="C54" s="92">
        <v>2.52610011E8</v>
      </c>
      <c r="D54" s="94" t="s">
        <v>5371</v>
      </c>
      <c r="E54" s="92" t="s">
        <v>227</v>
      </c>
    </row>
    <row r="55">
      <c r="A55" s="92">
        <v>2.0</v>
      </c>
      <c r="B55" s="92" t="s">
        <v>5375</v>
      </c>
      <c r="C55" s="92">
        <v>2.52610023E8</v>
      </c>
      <c r="D55" s="94" t="s">
        <v>5376</v>
      </c>
      <c r="E55" s="92" t="s">
        <v>227</v>
      </c>
    </row>
    <row r="56">
      <c r="A56" s="92">
        <v>3.0</v>
      </c>
      <c r="B56" s="92" t="s">
        <v>5379</v>
      </c>
      <c r="C56" s="92">
        <v>2.52610026E8</v>
      </c>
      <c r="D56" s="94" t="s">
        <v>5380</v>
      </c>
      <c r="E56" s="92" t="s">
        <v>227</v>
      </c>
    </row>
    <row r="57">
      <c r="A57" s="92">
        <v>4.0</v>
      </c>
      <c r="B57" s="92" t="s">
        <v>5382</v>
      </c>
      <c r="C57" s="92">
        <v>2.52610039E8</v>
      </c>
      <c r="D57" s="94" t="s">
        <v>5383</v>
      </c>
      <c r="E57" s="92" t="s">
        <v>227</v>
      </c>
    </row>
    <row r="58">
      <c r="A58" s="92">
        <v>5.0</v>
      </c>
      <c r="B58" s="92" t="s">
        <v>5385</v>
      </c>
      <c r="C58" s="92">
        <v>2.5261005E8</v>
      </c>
      <c r="D58" s="94" t="s">
        <v>5386</v>
      </c>
      <c r="E58" s="92" t="s">
        <v>227</v>
      </c>
    </row>
    <row r="59">
      <c r="A59" s="92">
        <v>6.0</v>
      </c>
      <c r="B59" s="92" t="s">
        <v>5388</v>
      </c>
      <c r="C59" s="92">
        <v>2.52610052E8</v>
      </c>
      <c r="D59" s="94" t="s">
        <v>5389</v>
      </c>
      <c r="E59" s="92" t="s">
        <v>227</v>
      </c>
    </row>
    <row r="60">
      <c r="A60" s="92">
        <v>7.0</v>
      </c>
      <c r="B60" s="92" t="s">
        <v>5391</v>
      </c>
      <c r="C60" s="92">
        <v>2.52610058E8</v>
      </c>
      <c r="D60" s="94" t="s">
        <v>5392</v>
      </c>
      <c r="E60" s="92" t="s">
        <v>220</v>
      </c>
    </row>
    <row r="61">
      <c r="A61" s="92">
        <v>8.0</v>
      </c>
      <c r="B61" s="92" t="s">
        <v>5395</v>
      </c>
      <c r="C61" s="92">
        <v>2.52610062E8</v>
      </c>
      <c r="D61" s="94" t="s">
        <v>5396</v>
      </c>
      <c r="E61" s="92" t="s">
        <v>227</v>
      </c>
    </row>
    <row r="62">
      <c r="A62" s="92">
        <v>9.0</v>
      </c>
      <c r="B62" s="92" t="s">
        <v>5398</v>
      </c>
      <c r="C62" s="92">
        <v>2.5261007E8</v>
      </c>
      <c r="D62" s="94" t="s">
        <v>5399</v>
      </c>
      <c r="E62" s="92" t="s">
        <v>227</v>
      </c>
    </row>
    <row r="63">
      <c r="A63" s="92">
        <v>10.0</v>
      </c>
      <c r="B63" s="92" t="s">
        <v>5401</v>
      </c>
      <c r="C63" s="92">
        <v>2.52610084E8</v>
      </c>
      <c r="D63" s="94" t="s">
        <v>5402</v>
      </c>
      <c r="E63" s="92" t="s">
        <v>227</v>
      </c>
    </row>
    <row r="64">
      <c r="A64" s="92">
        <v>11.0</v>
      </c>
      <c r="B64" s="92" t="s">
        <v>5404</v>
      </c>
      <c r="C64" s="92">
        <v>2.5261009E8</v>
      </c>
      <c r="D64" s="94" t="s">
        <v>5405</v>
      </c>
      <c r="E64" s="92" t="s">
        <v>227</v>
      </c>
    </row>
    <row r="65">
      <c r="A65" s="92">
        <v>12.0</v>
      </c>
      <c r="B65" s="92" t="s">
        <v>5407</v>
      </c>
      <c r="C65" s="92">
        <v>2.52610102E8</v>
      </c>
      <c r="D65" s="94" t="s">
        <v>5408</v>
      </c>
      <c r="E65" s="92" t="s">
        <v>227</v>
      </c>
    </row>
    <row r="66">
      <c r="A66" s="92">
        <v>13.0</v>
      </c>
      <c r="B66" s="92" t="s">
        <v>5410</v>
      </c>
      <c r="C66" s="92">
        <v>2.52610124E8</v>
      </c>
      <c r="D66" s="94" t="s">
        <v>5411</v>
      </c>
      <c r="E66" s="92" t="s">
        <v>220</v>
      </c>
    </row>
    <row r="67">
      <c r="A67" s="92">
        <v>14.0</v>
      </c>
      <c r="B67" s="92" t="s">
        <v>5413</v>
      </c>
      <c r="C67" s="92">
        <v>2.52610139E8</v>
      </c>
      <c r="D67" s="94" t="s">
        <v>5414</v>
      </c>
      <c r="E67" s="92" t="s">
        <v>227</v>
      </c>
    </row>
    <row r="68">
      <c r="A68" s="92">
        <v>15.0</v>
      </c>
      <c r="B68" s="92" t="s">
        <v>5416</v>
      </c>
      <c r="C68" s="92">
        <v>2.52610145E8</v>
      </c>
      <c r="D68" s="94" t="s">
        <v>5417</v>
      </c>
      <c r="E68" s="92" t="s">
        <v>220</v>
      </c>
    </row>
    <row r="69">
      <c r="A69" s="92">
        <v>16.0</v>
      </c>
      <c r="B69" s="92" t="s">
        <v>5419</v>
      </c>
      <c r="C69" s="92">
        <v>2.52610153E8</v>
      </c>
      <c r="D69" s="94" t="s">
        <v>5420</v>
      </c>
      <c r="E69" s="92" t="s">
        <v>227</v>
      </c>
    </row>
    <row r="70">
      <c r="A70" s="92">
        <v>17.0</v>
      </c>
      <c r="B70" s="92" t="s">
        <v>5422</v>
      </c>
      <c r="C70" s="92">
        <v>2.52610154E8</v>
      </c>
      <c r="D70" s="94" t="s">
        <v>5423</v>
      </c>
      <c r="E70" s="92" t="s">
        <v>227</v>
      </c>
    </row>
    <row r="71">
      <c r="A71" s="92">
        <v>18.0</v>
      </c>
      <c r="B71" s="92" t="s">
        <v>5425</v>
      </c>
      <c r="C71" s="92">
        <v>2.52610164E8</v>
      </c>
      <c r="D71" s="94" t="s">
        <v>5426</v>
      </c>
      <c r="E71" s="92" t="s">
        <v>220</v>
      </c>
    </row>
    <row r="72">
      <c r="A72" s="92">
        <v>19.0</v>
      </c>
      <c r="B72" s="92" t="s">
        <v>5428</v>
      </c>
      <c r="C72" s="92">
        <v>2.5261018E8</v>
      </c>
      <c r="D72" s="94" t="s">
        <v>5429</v>
      </c>
      <c r="E72" s="92" t="s">
        <v>220</v>
      </c>
    </row>
    <row r="73">
      <c r="A73" s="92">
        <v>20.0</v>
      </c>
      <c r="B73" s="92" t="s">
        <v>5431</v>
      </c>
      <c r="C73" s="92">
        <v>2.52610181E8</v>
      </c>
      <c r="D73" s="94" t="s">
        <v>5432</v>
      </c>
      <c r="E73" s="92" t="s">
        <v>227</v>
      </c>
    </row>
    <row r="74">
      <c r="A74" s="92">
        <v>21.0</v>
      </c>
      <c r="B74" s="92" t="s">
        <v>5435</v>
      </c>
      <c r="C74" s="92">
        <v>2.52610185E8</v>
      </c>
      <c r="D74" s="94" t="s">
        <v>5436</v>
      </c>
      <c r="E74" s="92" t="s">
        <v>220</v>
      </c>
    </row>
    <row r="75">
      <c r="A75" s="92">
        <v>22.0</v>
      </c>
      <c r="B75" s="92" t="s">
        <v>5438</v>
      </c>
      <c r="C75" s="92">
        <v>2.52610186E8</v>
      </c>
      <c r="D75" s="94" t="s">
        <v>5439</v>
      </c>
      <c r="E75" s="92" t="s">
        <v>220</v>
      </c>
    </row>
    <row r="76">
      <c r="A76" s="92">
        <v>23.0</v>
      </c>
      <c r="B76" s="92" t="s">
        <v>5441</v>
      </c>
      <c r="C76" s="92">
        <v>2.52610238E8</v>
      </c>
      <c r="D76" s="94" t="s">
        <v>5442</v>
      </c>
      <c r="E76" s="92" t="s">
        <v>227</v>
      </c>
    </row>
    <row r="77">
      <c r="A77" s="92">
        <v>24.0</v>
      </c>
      <c r="B77" s="92" t="s">
        <v>5444</v>
      </c>
      <c r="C77" s="92">
        <v>2.52610277E8</v>
      </c>
      <c r="D77" s="94" t="s">
        <v>5445</v>
      </c>
      <c r="E77" s="92" t="s">
        <v>220</v>
      </c>
    </row>
    <row r="78">
      <c r="A78" s="92">
        <v>25.0</v>
      </c>
      <c r="B78" s="92" t="s">
        <v>5447</v>
      </c>
      <c r="C78" s="92">
        <v>2.5261028E8</v>
      </c>
      <c r="D78" s="94" t="s">
        <v>5448</v>
      </c>
      <c r="E78" s="92" t="s">
        <v>227</v>
      </c>
    </row>
    <row r="79">
      <c r="A79" s="92">
        <v>26.0</v>
      </c>
      <c r="B79" s="92" t="s">
        <v>5450</v>
      </c>
      <c r="C79" s="92">
        <v>2.52610302E8</v>
      </c>
      <c r="D79" s="94" t="s">
        <v>5451</v>
      </c>
      <c r="E79" s="92" t="s">
        <v>220</v>
      </c>
    </row>
    <row r="80">
      <c r="A80" s="92">
        <v>27.0</v>
      </c>
      <c r="B80" s="92" t="s">
        <v>5453</v>
      </c>
      <c r="C80" s="92">
        <v>2.52610319E8</v>
      </c>
      <c r="D80" s="94" t="s">
        <v>5454</v>
      </c>
      <c r="E80" s="92" t="s">
        <v>220</v>
      </c>
    </row>
    <row r="81">
      <c r="A81" s="92">
        <v>28.0</v>
      </c>
      <c r="B81" s="92" t="s">
        <v>5456</v>
      </c>
      <c r="C81" s="92">
        <v>2.5261032E8</v>
      </c>
      <c r="D81" s="94" t="s">
        <v>5457</v>
      </c>
      <c r="E81" s="92" t="s">
        <v>220</v>
      </c>
    </row>
    <row r="82">
      <c r="A82" s="92">
        <v>29.0</v>
      </c>
      <c r="B82" s="92" t="s">
        <v>5459</v>
      </c>
      <c r="C82" s="92">
        <v>2.52610332E8</v>
      </c>
      <c r="D82" s="94" t="s">
        <v>5460</v>
      </c>
      <c r="E82" s="92" t="s">
        <v>220</v>
      </c>
    </row>
    <row r="83">
      <c r="A83" s="92">
        <v>30.0</v>
      </c>
      <c r="B83" s="92" t="s">
        <v>5462</v>
      </c>
      <c r="C83" s="92">
        <v>2.52610336E8</v>
      </c>
      <c r="D83" s="94" t="s">
        <v>5463</v>
      </c>
      <c r="E83" s="92" t="s">
        <v>220</v>
      </c>
    </row>
    <row r="84">
      <c r="A84" s="92">
        <v>31.0</v>
      </c>
      <c r="B84" s="92" t="s">
        <v>5465</v>
      </c>
      <c r="C84" s="92">
        <v>2.52610338E8</v>
      </c>
      <c r="D84" s="94" t="s">
        <v>5466</v>
      </c>
      <c r="E84" s="92" t="s">
        <v>220</v>
      </c>
    </row>
    <row r="85">
      <c r="A85" s="92">
        <v>32.0</v>
      </c>
      <c r="B85" s="92" t="s">
        <v>5468</v>
      </c>
      <c r="C85" s="92">
        <v>2.52610362E8</v>
      </c>
      <c r="D85" s="94" t="s">
        <v>5469</v>
      </c>
      <c r="E85" s="92" t="s">
        <v>220</v>
      </c>
    </row>
    <row r="86">
      <c r="A86" s="92">
        <v>33.0</v>
      </c>
      <c r="B86" s="92" t="s">
        <v>5471</v>
      </c>
      <c r="C86" s="92">
        <v>2.52610365E8</v>
      </c>
      <c r="D86" s="94" t="s">
        <v>5472</v>
      </c>
      <c r="E86" s="92" t="s">
        <v>220</v>
      </c>
    </row>
    <row r="87">
      <c r="A87" s="92">
        <v>34.0</v>
      </c>
      <c r="B87" s="92" t="s">
        <v>5474</v>
      </c>
      <c r="C87" s="92">
        <v>2.52610416E8</v>
      </c>
      <c r="D87" s="94" t="s">
        <v>5475</v>
      </c>
      <c r="E87" s="92" t="s">
        <v>227</v>
      </c>
    </row>
    <row r="88">
      <c r="A88" s="92">
        <v>35.0</v>
      </c>
      <c r="B88" s="92" t="s">
        <v>5477</v>
      </c>
      <c r="C88" s="92">
        <v>2.52610419E8</v>
      </c>
      <c r="D88" s="94" t="s">
        <v>5478</v>
      </c>
      <c r="E88" s="92" t="s">
        <v>227</v>
      </c>
    </row>
    <row r="89">
      <c r="A89" s="92">
        <v>36.0</v>
      </c>
      <c r="B89" s="92" t="s">
        <v>5480</v>
      </c>
      <c r="C89" s="92">
        <v>2.52610434E8</v>
      </c>
      <c r="D89" s="94" t="s">
        <v>5481</v>
      </c>
      <c r="E89" s="92" t="s">
        <v>227</v>
      </c>
    </row>
    <row r="90">
      <c r="A90" s="92">
        <v>37.0</v>
      </c>
      <c r="B90" s="92" t="s">
        <v>5483</v>
      </c>
      <c r="C90" s="92">
        <v>2.5261044E8</v>
      </c>
      <c r="D90" s="94" t="s">
        <v>5484</v>
      </c>
      <c r="E90" s="92" t="s">
        <v>227</v>
      </c>
    </row>
    <row r="91">
      <c r="A91" s="92">
        <v>38.0</v>
      </c>
      <c r="B91" s="92" t="s">
        <v>5486</v>
      </c>
      <c r="C91" s="92">
        <v>2.52610467E8</v>
      </c>
      <c r="D91" s="94" t="s">
        <v>5487</v>
      </c>
      <c r="E91" s="92" t="s">
        <v>227</v>
      </c>
    </row>
    <row r="92">
      <c r="A92" s="92">
        <v>39.0</v>
      </c>
      <c r="B92" s="92" t="s">
        <v>5489</v>
      </c>
      <c r="C92" s="92">
        <v>2.52610474E8</v>
      </c>
      <c r="D92" s="94" t="s">
        <v>5490</v>
      </c>
      <c r="E92" s="92" t="s">
        <v>227</v>
      </c>
    </row>
    <row r="93">
      <c r="A93" s="92">
        <v>40.0</v>
      </c>
      <c r="B93" s="92" t="s">
        <v>5492</v>
      </c>
      <c r="C93" s="92">
        <v>2.52610497E8</v>
      </c>
      <c r="D93" s="94" t="s">
        <v>5493</v>
      </c>
      <c r="E93" s="92" t="s">
        <v>227</v>
      </c>
    </row>
    <row r="94">
      <c r="A94" s="92">
        <v>41.0</v>
      </c>
      <c r="B94" s="92" t="s">
        <v>5495</v>
      </c>
      <c r="C94" s="92">
        <v>2.52610546E8</v>
      </c>
      <c r="D94" s="94" t="s">
        <v>5496</v>
      </c>
      <c r="E94" s="92" t="s">
        <v>227</v>
      </c>
    </row>
    <row r="95">
      <c r="A95" s="92">
        <v>42.0</v>
      </c>
      <c r="B95" s="92" t="s">
        <v>5498</v>
      </c>
      <c r="C95" s="92">
        <v>2.5261056E8</v>
      </c>
      <c r="D95" s="94" t="s">
        <v>5499</v>
      </c>
      <c r="E95" s="92" t="s">
        <v>220</v>
      </c>
    </row>
    <row r="96">
      <c r="A96" s="92">
        <v>43.0</v>
      </c>
      <c r="B96" s="92" t="s">
        <v>5501</v>
      </c>
      <c r="C96" s="92">
        <v>2.52610563E8</v>
      </c>
      <c r="D96" s="94" t="s">
        <v>5502</v>
      </c>
      <c r="E96" s="92" t="s">
        <v>227</v>
      </c>
    </row>
    <row r="97">
      <c r="A97" s="167"/>
      <c r="B97" s="167"/>
      <c r="C97" s="167"/>
      <c r="D97" s="167"/>
      <c r="E97" s="167"/>
    </row>
    <row r="98">
      <c r="A98" s="167"/>
      <c r="B98" s="167"/>
      <c r="C98" s="167"/>
      <c r="D98" s="94" t="s">
        <v>9262</v>
      </c>
      <c r="E98" s="124">
        <f>COUNTIF(E54:E96,"P")</f>
        <v>26</v>
      </c>
    </row>
    <row r="99">
      <c r="A99" s="167"/>
      <c r="B99" s="167"/>
      <c r="C99" s="167"/>
      <c r="D99" s="94" t="s">
        <v>9263</v>
      </c>
      <c r="E99" s="124">
        <f>COUNTIF(E54:E96,"L")</f>
        <v>17</v>
      </c>
    </row>
    <row r="100">
      <c r="A100" s="167"/>
      <c r="B100" s="167"/>
      <c r="C100" s="167"/>
      <c r="D100" s="167"/>
      <c r="E100" s="167"/>
    </row>
    <row r="101">
      <c r="A101" s="167"/>
      <c r="B101" s="167"/>
      <c r="C101" s="167"/>
      <c r="D101" s="167"/>
      <c r="E101" s="167"/>
    </row>
    <row r="102">
      <c r="A102" s="167" t="s">
        <v>9071</v>
      </c>
      <c r="B102" s="167"/>
      <c r="C102" s="167"/>
      <c r="D102" s="167"/>
      <c r="E102" s="167" t="s">
        <v>5506</v>
      </c>
    </row>
    <row r="103">
      <c r="A103" s="356" t="s">
        <v>9249</v>
      </c>
      <c r="B103" s="356" t="s">
        <v>9</v>
      </c>
      <c r="C103" s="356" t="s">
        <v>5246</v>
      </c>
      <c r="D103" s="356" t="s">
        <v>201</v>
      </c>
      <c r="E103" s="356" t="s">
        <v>13</v>
      </c>
    </row>
    <row r="104">
      <c r="A104" s="92">
        <v>1.0</v>
      </c>
      <c r="B104" s="92" t="s">
        <v>5504</v>
      </c>
      <c r="C104" s="92">
        <v>2.52610002E8</v>
      </c>
      <c r="D104" s="94" t="s">
        <v>5505</v>
      </c>
      <c r="E104" s="92" t="s">
        <v>220</v>
      </c>
    </row>
    <row r="105">
      <c r="A105" s="92">
        <v>2.0</v>
      </c>
      <c r="B105" s="92" t="s">
        <v>5509</v>
      </c>
      <c r="C105" s="92">
        <v>2.52610063E8</v>
      </c>
      <c r="D105" s="94" t="s">
        <v>5510</v>
      </c>
      <c r="E105" s="92" t="s">
        <v>220</v>
      </c>
    </row>
    <row r="106">
      <c r="A106" s="92">
        <v>3.0</v>
      </c>
      <c r="B106" s="92" t="s">
        <v>5512</v>
      </c>
      <c r="C106" s="92">
        <v>2.52610065E8</v>
      </c>
      <c r="D106" s="94" t="s">
        <v>5513</v>
      </c>
      <c r="E106" s="92" t="s">
        <v>227</v>
      </c>
    </row>
    <row r="107">
      <c r="A107" s="92">
        <v>4.0</v>
      </c>
      <c r="B107" s="92" t="s">
        <v>5516</v>
      </c>
      <c r="C107" s="92">
        <v>2.52610076E8</v>
      </c>
      <c r="D107" s="94" t="s">
        <v>5517</v>
      </c>
      <c r="E107" s="92" t="s">
        <v>220</v>
      </c>
    </row>
    <row r="108">
      <c r="A108" s="92">
        <v>5.0</v>
      </c>
      <c r="B108" s="92" t="s">
        <v>5519</v>
      </c>
      <c r="C108" s="92">
        <v>2.52610079E8</v>
      </c>
      <c r="D108" s="94" t="s">
        <v>5520</v>
      </c>
      <c r="E108" s="92" t="s">
        <v>220</v>
      </c>
    </row>
    <row r="109">
      <c r="A109" s="92">
        <v>6.0</v>
      </c>
      <c r="B109" s="92" t="s">
        <v>5522</v>
      </c>
      <c r="C109" s="92">
        <v>2.52610093E8</v>
      </c>
      <c r="D109" s="94" t="s">
        <v>5523</v>
      </c>
      <c r="E109" s="92" t="s">
        <v>227</v>
      </c>
    </row>
    <row r="110">
      <c r="A110" s="92">
        <v>7.0</v>
      </c>
      <c r="B110" s="92" t="s">
        <v>5525</v>
      </c>
      <c r="C110" s="92">
        <v>2.52610094E8</v>
      </c>
      <c r="D110" s="94" t="s">
        <v>5526</v>
      </c>
      <c r="E110" s="92" t="s">
        <v>227</v>
      </c>
    </row>
    <row r="111">
      <c r="A111" s="92">
        <v>8.0</v>
      </c>
      <c r="B111" s="92" t="s">
        <v>5528</v>
      </c>
      <c r="C111" s="92">
        <v>2.52610096E8</v>
      </c>
      <c r="D111" s="94" t="s">
        <v>5529</v>
      </c>
      <c r="E111" s="92" t="s">
        <v>227</v>
      </c>
    </row>
    <row r="112">
      <c r="A112" s="92">
        <v>9.0</v>
      </c>
      <c r="B112" s="92" t="s">
        <v>5531</v>
      </c>
      <c r="C112" s="92">
        <v>2.52610121E8</v>
      </c>
      <c r="D112" s="94" t="s">
        <v>5532</v>
      </c>
      <c r="E112" s="92" t="s">
        <v>227</v>
      </c>
    </row>
    <row r="113">
      <c r="A113" s="92">
        <v>10.0</v>
      </c>
      <c r="B113" s="92" t="s">
        <v>5534</v>
      </c>
      <c r="C113" s="92">
        <v>2.52610129E8</v>
      </c>
      <c r="D113" s="94" t="s">
        <v>5535</v>
      </c>
      <c r="E113" s="92" t="s">
        <v>220</v>
      </c>
    </row>
    <row r="114">
      <c r="A114" s="92">
        <v>11.0</v>
      </c>
      <c r="B114" s="92" t="s">
        <v>5537</v>
      </c>
      <c r="C114" s="92">
        <v>2.52610136E8</v>
      </c>
      <c r="D114" s="94" t="s">
        <v>5538</v>
      </c>
      <c r="E114" s="92" t="s">
        <v>227</v>
      </c>
    </row>
    <row r="115">
      <c r="A115" s="92">
        <v>12.0</v>
      </c>
      <c r="B115" s="92" t="s">
        <v>5540</v>
      </c>
      <c r="C115" s="92">
        <v>2.52610138E8</v>
      </c>
      <c r="D115" s="94" t="s">
        <v>5541</v>
      </c>
      <c r="E115" s="92" t="s">
        <v>227</v>
      </c>
    </row>
    <row r="116">
      <c r="A116" s="92">
        <v>13.0</v>
      </c>
      <c r="B116" s="92" t="s">
        <v>5543</v>
      </c>
      <c r="C116" s="92">
        <v>2.52610148E8</v>
      </c>
      <c r="D116" s="94" t="s">
        <v>5544</v>
      </c>
      <c r="E116" s="92" t="s">
        <v>227</v>
      </c>
    </row>
    <row r="117">
      <c r="A117" s="92">
        <v>14.0</v>
      </c>
      <c r="B117" s="92" t="s">
        <v>5546</v>
      </c>
      <c r="C117" s="92">
        <v>2.52610158E8</v>
      </c>
      <c r="D117" s="94" t="s">
        <v>5547</v>
      </c>
      <c r="E117" s="92" t="s">
        <v>227</v>
      </c>
    </row>
    <row r="118">
      <c r="A118" s="92">
        <v>15.0</v>
      </c>
      <c r="B118" s="92" t="s">
        <v>5549</v>
      </c>
      <c r="C118" s="92">
        <v>2.52610187E8</v>
      </c>
      <c r="D118" s="94" t="s">
        <v>5550</v>
      </c>
      <c r="E118" s="92" t="s">
        <v>227</v>
      </c>
    </row>
    <row r="119">
      <c r="A119" s="92">
        <v>16.0</v>
      </c>
      <c r="B119" s="92" t="s">
        <v>5552</v>
      </c>
      <c r="C119" s="92">
        <v>2.5261019E8</v>
      </c>
      <c r="D119" s="94" t="s">
        <v>5553</v>
      </c>
      <c r="E119" s="92" t="s">
        <v>220</v>
      </c>
    </row>
    <row r="120">
      <c r="A120" s="92">
        <v>17.0</v>
      </c>
      <c r="B120" s="92" t="s">
        <v>5555</v>
      </c>
      <c r="C120" s="92">
        <v>2.52610201E8</v>
      </c>
      <c r="D120" s="94" t="s">
        <v>5556</v>
      </c>
      <c r="E120" s="92" t="s">
        <v>220</v>
      </c>
    </row>
    <row r="121">
      <c r="A121" s="92">
        <v>18.0</v>
      </c>
      <c r="B121" s="92" t="s">
        <v>5558</v>
      </c>
      <c r="C121" s="92">
        <v>2.52610204E8</v>
      </c>
      <c r="D121" s="94" t="s">
        <v>5559</v>
      </c>
      <c r="E121" s="92" t="s">
        <v>227</v>
      </c>
    </row>
    <row r="122">
      <c r="A122" s="92">
        <v>22.0</v>
      </c>
      <c r="B122" s="92" t="s">
        <v>5561</v>
      </c>
      <c r="C122" s="92">
        <v>2.52610237E8</v>
      </c>
      <c r="D122" s="94" t="s">
        <v>5562</v>
      </c>
      <c r="E122" s="92" t="s">
        <v>220</v>
      </c>
    </row>
    <row r="123">
      <c r="A123" s="92">
        <v>23.0</v>
      </c>
      <c r="B123" s="92" t="s">
        <v>5564</v>
      </c>
      <c r="C123" s="92">
        <v>2.52610259E8</v>
      </c>
      <c r="D123" s="94" t="s">
        <v>5565</v>
      </c>
      <c r="E123" s="92" t="s">
        <v>227</v>
      </c>
    </row>
    <row r="124">
      <c r="A124" s="92">
        <v>25.0</v>
      </c>
      <c r="B124" s="92" t="s">
        <v>5567</v>
      </c>
      <c r="C124" s="92">
        <v>2.52610276E8</v>
      </c>
      <c r="D124" s="94" t="s">
        <v>5568</v>
      </c>
      <c r="E124" s="92" t="s">
        <v>227</v>
      </c>
    </row>
    <row r="125">
      <c r="A125" s="92">
        <v>26.0</v>
      </c>
      <c r="B125" s="92" t="s">
        <v>5570</v>
      </c>
      <c r="C125" s="92">
        <v>2.52610278E8</v>
      </c>
      <c r="D125" s="94" t="s">
        <v>5571</v>
      </c>
      <c r="E125" s="92" t="s">
        <v>220</v>
      </c>
    </row>
    <row r="126">
      <c r="A126" s="92">
        <v>27.0</v>
      </c>
      <c r="B126" s="92" t="s">
        <v>5573</v>
      </c>
      <c r="C126" s="92">
        <v>2.52610287E8</v>
      </c>
      <c r="D126" s="94" t="s">
        <v>5574</v>
      </c>
      <c r="E126" s="92" t="s">
        <v>227</v>
      </c>
    </row>
    <row r="127">
      <c r="A127" s="92">
        <v>29.0</v>
      </c>
      <c r="B127" s="92" t="s">
        <v>5577</v>
      </c>
      <c r="C127" s="92">
        <v>2.52610301E8</v>
      </c>
      <c r="D127" s="94" t="s">
        <v>5578</v>
      </c>
      <c r="E127" s="92" t="s">
        <v>227</v>
      </c>
    </row>
    <row r="128">
      <c r="A128" s="92">
        <v>32.0</v>
      </c>
      <c r="B128" s="92" t="s">
        <v>5580</v>
      </c>
      <c r="C128" s="92">
        <v>2.52610381E8</v>
      </c>
      <c r="D128" s="94" t="s">
        <v>5581</v>
      </c>
      <c r="E128" s="92" t="s">
        <v>220</v>
      </c>
    </row>
    <row r="129">
      <c r="A129" s="92">
        <v>33.0</v>
      </c>
      <c r="B129" s="92" t="s">
        <v>5583</v>
      </c>
      <c r="C129" s="92">
        <v>2.52610386E8</v>
      </c>
      <c r="D129" s="94" t="s">
        <v>5584</v>
      </c>
      <c r="E129" s="92" t="s">
        <v>227</v>
      </c>
    </row>
    <row r="130">
      <c r="A130" s="92">
        <v>34.0</v>
      </c>
      <c r="B130" s="92" t="s">
        <v>5586</v>
      </c>
      <c r="C130" s="92">
        <v>2.52610415E8</v>
      </c>
      <c r="D130" s="94" t="s">
        <v>5587</v>
      </c>
      <c r="E130" s="92" t="s">
        <v>227</v>
      </c>
    </row>
    <row r="131">
      <c r="A131" s="92">
        <v>35.0</v>
      </c>
      <c r="B131" s="92" t="s">
        <v>5589</v>
      </c>
      <c r="C131" s="92">
        <v>2.52610422E8</v>
      </c>
      <c r="D131" s="94" t="s">
        <v>5590</v>
      </c>
      <c r="E131" s="92" t="s">
        <v>220</v>
      </c>
    </row>
    <row r="132">
      <c r="A132" s="92">
        <v>36.0</v>
      </c>
      <c r="B132" s="92" t="s">
        <v>5592</v>
      </c>
      <c r="C132" s="92">
        <v>2.52610426E8</v>
      </c>
      <c r="D132" s="94" t="s">
        <v>5593</v>
      </c>
      <c r="E132" s="92" t="s">
        <v>227</v>
      </c>
    </row>
    <row r="133">
      <c r="A133" s="92">
        <v>37.0</v>
      </c>
      <c r="B133" s="92" t="s">
        <v>5595</v>
      </c>
      <c r="C133" s="92">
        <v>2.52610432E8</v>
      </c>
      <c r="D133" s="94" t="s">
        <v>5596</v>
      </c>
      <c r="E133" s="92" t="s">
        <v>220</v>
      </c>
    </row>
    <row r="134">
      <c r="A134" s="92">
        <v>38.0</v>
      </c>
      <c r="B134" s="92" t="s">
        <v>5598</v>
      </c>
      <c r="C134" s="92">
        <v>2.52610438E8</v>
      </c>
      <c r="D134" s="94" t="s">
        <v>5599</v>
      </c>
      <c r="E134" s="92" t="s">
        <v>227</v>
      </c>
    </row>
    <row r="135">
      <c r="A135" s="92">
        <v>39.0</v>
      </c>
      <c r="B135" s="92" t="s">
        <v>5601</v>
      </c>
      <c r="C135" s="92">
        <v>2.52610439E8</v>
      </c>
      <c r="D135" s="94" t="s">
        <v>5602</v>
      </c>
      <c r="E135" s="92" t="s">
        <v>227</v>
      </c>
    </row>
    <row r="136">
      <c r="A136" s="92">
        <v>40.0</v>
      </c>
      <c r="B136" s="92" t="s">
        <v>5604</v>
      </c>
      <c r="C136" s="92">
        <v>2.52610461E8</v>
      </c>
      <c r="D136" s="94" t="s">
        <v>5605</v>
      </c>
      <c r="E136" s="92" t="s">
        <v>227</v>
      </c>
    </row>
    <row r="137">
      <c r="A137" s="92">
        <v>41.0</v>
      </c>
      <c r="B137" s="92" t="s">
        <v>5607</v>
      </c>
      <c r="C137" s="92">
        <v>2.52610485E8</v>
      </c>
      <c r="D137" s="94" t="s">
        <v>5608</v>
      </c>
      <c r="E137" s="92" t="s">
        <v>220</v>
      </c>
    </row>
    <row r="138">
      <c r="A138" s="92">
        <v>42.0</v>
      </c>
      <c r="B138" s="92" t="s">
        <v>5610</v>
      </c>
      <c r="C138" s="92">
        <v>2.52610501E8</v>
      </c>
      <c r="D138" s="94" t="s">
        <v>5611</v>
      </c>
      <c r="E138" s="92" t="s">
        <v>227</v>
      </c>
    </row>
    <row r="139">
      <c r="A139" s="92">
        <v>43.0</v>
      </c>
      <c r="B139" s="92" t="s">
        <v>5613</v>
      </c>
      <c r="C139" s="92">
        <v>2.5261052E8</v>
      </c>
      <c r="D139" s="94" t="s">
        <v>5614</v>
      </c>
      <c r="E139" s="92" t="s">
        <v>227</v>
      </c>
    </row>
    <row r="140">
      <c r="A140" s="92">
        <v>44.0</v>
      </c>
      <c r="B140" s="92" t="s">
        <v>5616</v>
      </c>
      <c r="C140" s="92">
        <v>2.52610555E8</v>
      </c>
      <c r="D140" s="94" t="s">
        <v>5617</v>
      </c>
      <c r="E140" s="92" t="s">
        <v>227</v>
      </c>
    </row>
    <row r="141">
      <c r="A141" s="92">
        <v>45.0</v>
      </c>
      <c r="B141" s="92" t="s">
        <v>5619</v>
      </c>
      <c r="C141" s="92">
        <v>2.52610556E8</v>
      </c>
      <c r="D141" s="94" t="s">
        <v>5620</v>
      </c>
      <c r="E141" s="92" t="s">
        <v>227</v>
      </c>
    </row>
    <row r="142">
      <c r="A142" s="92">
        <v>46.0</v>
      </c>
      <c r="B142" s="92" t="s">
        <v>5622</v>
      </c>
      <c r="C142" s="92">
        <v>2.52610247E8</v>
      </c>
      <c r="D142" s="94" t="s">
        <v>5623</v>
      </c>
      <c r="E142" s="92" t="s">
        <v>227</v>
      </c>
    </row>
    <row r="143">
      <c r="A143" s="167"/>
      <c r="B143" s="167"/>
      <c r="C143" s="167"/>
      <c r="D143" s="167"/>
      <c r="E143" s="167"/>
    </row>
    <row r="144">
      <c r="A144" s="167"/>
      <c r="B144" s="167"/>
      <c r="C144" s="167"/>
      <c r="D144" s="94" t="s">
        <v>9262</v>
      </c>
      <c r="E144" s="124">
        <f>COUNTIF(E104:E142,"P")</f>
        <v>26</v>
      </c>
    </row>
    <row r="145">
      <c r="A145" s="167"/>
      <c r="B145" s="167"/>
      <c r="C145" s="167"/>
      <c r="D145" s="94" t="s">
        <v>9263</v>
      </c>
      <c r="E145" s="124">
        <f>COUNTIF(E104:E142,"L")</f>
        <v>13</v>
      </c>
    </row>
    <row r="146">
      <c r="A146" s="167"/>
      <c r="B146" s="167"/>
      <c r="C146" s="167"/>
      <c r="D146" s="167"/>
      <c r="E146" s="167"/>
    </row>
    <row r="147">
      <c r="A147" s="167"/>
      <c r="B147" s="167"/>
      <c r="C147" s="167"/>
      <c r="D147" s="167"/>
      <c r="E147" s="167"/>
    </row>
    <row r="148">
      <c r="A148" s="167" t="s">
        <v>9287</v>
      </c>
      <c r="B148" s="167"/>
      <c r="C148" s="167"/>
      <c r="D148" s="167"/>
      <c r="E148" s="167" t="s">
        <v>5627</v>
      </c>
    </row>
    <row r="149">
      <c r="A149" s="356" t="s">
        <v>9249</v>
      </c>
      <c r="B149" s="356" t="s">
        <v>9</v>
      </c>
      <c r="C149" s="356" t="s">
        <v>5246</v>
      </c>
      <c r="D149" s="356" t="s">
        <v>201</v>
      </c>
      <c r="E149" s="356" t="s">
        <v>13</v>
      </c>
    </row>
    <row r="150">
      <c r="A150" s="92">
        <v>1.0</v>
      </c>
      <c r="B150" s="92" t="s">
        <v>5625</v>
      </c>
      <c r="C150" s="92">
        <v>2.52610016E8</v>
      </c>
      <c r="D150" s="94" t="s">
        <v>5626</v>
      </c>
      <c r="E150" s="92" t="s">
        <v>220</v>
      </c>
    </row>
    <row r="151">
      <c r="A151" s="92">
        <v>2.0</v>
      </c>
      <c r="B151" s="92" t="s">
        <v>5630</v>
      </c>
      <c r="C151" s="92">
        <v>2.52610018E8</v>
      </c>
      <c r="D151" s="94" t="s">
        <v>5631</v>
      </c>
      <c r="E151" s="92" t="s">
        <v>220</v>
      </c>
    </row>
    <row r="152">
      <c r="A152" s="92">
        <v>3.0</v>
      </c>
      <c r="B152" s="92" t="s">
        <v>5633</v>
      </c>
      <c r="C152" s="92">
        <v>2.52610038E8</v>
      </c>
      <c r="D152" s="94" t="s">
        <v>5634</v>
      </c>
      <c r="E152" s="92" t="s">
        <v>220</v>
      </c>
    </row>
    <row r="153">
      <c r="A153" s="92">
        <v>4.0</v>
      </c>
      <c r="B153" s="92" t="s">
        <v>5636</v>
      </c>
      <c r="C153" s="92">
        <v>2.52610045E8</v>
      </c>
      <c r="D153" s="94" t="s">
        <v>5637</v>
      </c>
      <c r="E153" s="92" t="s">
        <v>227</v>
      </c>
    </row>
    <row r="154">
      <c r="A154" s="92">
        <v>5.0</v>
      </c>
      <c r="B154" s="92" t="s">
        <v>5640</v>
      </c>
      <c r="C154" s="92">
        <v>2.52610049E8</v>
      </c>
      <c r="D154" s="94" t="s">
        <v>5641</v>
      </c>
      <c r="E154" s="92" t="s">
        <v>227</v>
      </c>
    </row>
    <row r="155">
      <c r="A155" s="92">
        <v>6.0</v>
      </c>
      <c r="B155" s="92" t="s">
        <v>5643</v>
      </c>
      <c r="C155" s="92">
        <v>2.52610056E8</v>
      </c>
      <c r="D155" s="94" t="s">
        <v>5644</v>
      </c>
      <c r="E155" s="92" t="s">
        <v>227</v>
      </c>
    </row>
    <row r="156">
      <c r="A156" s="92">
        <v>7.0</v>
      </c>
      <c r="B156" s="92" t="s">
        <v>5646</v>
      </c>
      <c r="C156" s="92">
        <v>2.52610069E8</v>
      </c>
      <c r="D156" s="94" t="s">
        <v>5647</v>
      </c>
      <c r="E156" s="92" t="s">
        <v>227</v>
      </c>
    </row>
    <row r="157">
      <c r="A157" s="92">
        <v>8.0</v>
      </c>
      <c r="B157" s="92" t="s">
        <v>5649</v>
      </c>
      <c r="C157" s="92">
        <v>2.52610074E8</v>
      </c>
      <c r="D157" s="94" t="s">
        <v>5650</v>
      </c>
      <c r="E157" s="92" t="s">
        <v>227</v>
      </c>
    </row>
    <row r="158">
      <c r="A158" s="92">
        <v>9.0</v>
      </c>
      <c r="B158" s="92" t="s">
        <v>5652</v>
      </c>
      <c r="C158" s="92">
        <v>2.52610132E8</v>
      </c>
      <c r="D158" s="94" t="s">
        <v>5653</v>
      </c>
      <c r="E158" s="92" t="s">
        <v>227</v>
      </c>
    </row>
    <row r="159">
      <c r="A159" s="92">
        <v>10.0</v>
      </c>
      <c r="B159" s="92" t="s">
        <v>5655</v>
      </c>
      <c r="C159" s="92">
        <v>2.52610155E8</v>
      </c>
      <c r="D159" s="94" t="s">
        <v>5656</v>
      </c>
      <c r="E159" s="92" t="s">
        <v>227</v>
      </c>
    </row>
    <row r="160">
      <c r="A160" s="92">
        <v>11.0</v>
      </c>
      <c r="B160" s="92" t="s">
        <v>5658</v>
      </c>
      <c r="C160" s="92">
        <v>2.52610162E8</v>
      </c>
      <c r="D160" s="94" t="s">
        <v>5659</v>
      </c>
      <c r="E160" s="92" t="s">
        <v>220</v>
      </c>
    </row>
    <row r="161">
      <c r="A161" s="92">
        <v>12.0</v>
      </c>
      <c r="B161" s="92" t="s">
        <v>5661</v>
      </c>
      <c r="C161" s="92">
        <v>2.52610173E8</v>
      </c>
      <c r="D161" s="94" t="s">
        <v>5662</v>
      </c>
      <c r="E161" s="92" t="s">
        <v>227</v>
      </c>
    </row>
    <row r="162">
      <c r="A162" s="92">
        <v>13.0</v>
      </c>
      <c r="B162" s="92" t="s">
        <v>5664</v>
      </c>
      <c r="C162" s="92">
        <v>2.52610183E8</v>
      </c>
      <c r="D162" s="94" t="s">
        <v>5665</v>
      </c>
      <c r="E162" s="92" t="s">
        <v>220</v>
      </c>
    </row>
    <row r="163">
      <c r="A163" s="92">
        <v>14.0</v>
      </c>
      <c r="B163" s="92" t="s">
        <v>5667</v>
      </c>
      <c r="C163" s="92">
        <v>2.52610188E8</v>
      </c>
      <c r="D163" s="94" t="s">
        <v>5668</v>
      </c>
      <c r="E163" s="92" t="s">
        <v>220</v>
      </c>
    </row>
    <row r="164">
      <c r="A164" s="92">
        <v>15.0</v>
      </c>
      <c r="B164" s="92" t="s">
        <v>5670</v>
      </c>
      <c r="C164" s="92">
        <v>2.52610191E8</v>
      </c>
      <c r="D164" s="94" t="s">
        <v>5671</v>
      </c>
      <c r="E164" s="92" t="s">
        <v>220</v>
      </c>
    </row>
    <row r="165">
      <c r="A165" s="92">
        <v>16.0</v>
      </c>
      <c r="B165" s="92" t="s">
        <v>5673</v>
      </c>
      <c r="C165" s="92">
        <v>2.52610216E8</v>
      </c>
      <c r="D165" s="94" t="s">
        <v>5674</v>
      </c>
      <c r="E165" s="92" t="s">
        <v>227</v>
      </c>
    </row>
    <row r="166">
      <c r="A166" s="92">
        <v>17.0</v>
      </c>
      <c r="B166" s="92" t="s">
        <v>5676</v>
      </c>
      <c r="C166" s="92">
        <v>2.52610233E8</v>
      </c>
      <c r="D166" s="94" t="s">
        <v>5677</v>
      </c>
      <c r="E166" s="92" t="s">
        <v>227</v>
      </c>
    </row>
    <row r="167">
      <c r="A167" s="92">
        <v>18.0</v>
      </c>
      <c r="B167" s="92" t="s">
        <v>5679</v>
      </c>
      <c r="C167" s="92">
        <v>2.52610258E8</v>
      </c>
      <c r="D167" s="94" t="s">
        <v>5680</v>
      </c>
      <c r="E167" s="92" t="s">
        <v>227</v>
      </c>
    </row>
    <row r="168">
      <c r="A168" s="92">
        <v>19.0</v>
      </c>
      <c r="B168" s="92" t="s">
        <v>5682</v>
      </c>
      <c r="C168" s="92">
        <v>2.5261026E8</v>
      </c>
      <c r="D168" s="94" t="s">
        <v>5683</v>
      </c>
      <c r="E168" s="92" t="s">
        <v>227</v>
      </c>
    </row>
    <row r="169">
      <c r="A169" s="92">
        <v>20.0</v>
      </c>
      <c r="B169" s="92" t="s">
        <v>5685</v>
      </c>
      <c r="C169" s="92">
        <v>2.52610266E8</v>
      </c>
      <c r="D169" s="94" t="s">
        <v>5686</v>
      </c>
      <c r="E169" s="92" t="s">
        <v>227</v>
      </c>
    </row>
    <row r="170">
      <c r="A170" s="92">
        <v>21.0</v>
      </c>
      <c r="B170" s="92" t="s">
        <v>5688</v>
      </c>
      <c r="C170" s="92">
        <v>2.52610275E8</v>
      </c>
      <c r="D170" s="94" t="s">
        <v>5689</v>
      </c>
      <c r="E170" s="92" t="s">
        <v>220</v>
      </c>
    </row>
    <row r="171">
      <c r="A171" s="92">
        <v>22.0</v>
      </c>
      <c r="B171" s="92" t="s">
        <v>5691</v>
      </c>
      <c r="C171" s="92">
        <v>2.52610282E8</v>
      </c>
      <c r="D171" s="94" t="s">
        <v>5692</v>
      </c>
      <c r="E171" s="92" t="s">
        <v>227</v>
      </c>
    </row>
    <row r="172">
      <c r="A172" s="92">
        <v>23.0</v>
      </c>
      <c r="B172" s="92" t="s">
        <v>5695</v>
      </c>
      <c r="C172" s="92">
        <v>2.52610294E8</v>
      </c>
      <c r="D172" s="94" t="s">
        <v>5696</v>
      </c>
      <c r="E172" s="92" t="s">
        <v>227</v>
      </c>
    </row>
    <row r="173">
      <c r="A173" s="92">
        <v>24.0</v>
      </c>
      <c r="B173" s="92" t="s">
        <v>5698</v>
      </c>
      <c r="C173" s="92">
        <v>2.52610306E8</v>
      </c>
      <c r="D173" s="94" t="s">
        <v>5699</v>
      </c>
      <c r="E173" s="92" t="s">
        <v>227</v>
      </c>
    </row>
    <row r="174">
      <c r="A174" s="92">
        <v>25.0</v>
      </c>
      <c r="B174" s="92" t="s">
        <v>5701</v>
      </c>
      <c r="C174" s="92">
        <v>2.52610309E8</v>
      </c>
      <c r="D174" s="94" t="s">
        <v>5702</v>
      </c>
      <c r="E174" s="92" t="s">
        <v>227</v>
      </c>
    </row>
    <row r="175">
      <c r="A175" s="92">
        <v>26.0</v>
      </c>
      <c r="B175" s="92" t="s">
        <v>5704</v>
      </c>
      <c r="C175" s="92">
        <v>2.52610329E8</v>
      </c>
      <c r="D175" s="94" t="s">
        <v>5705</v>
      </c>
      <c r="E175" s="92" t="s">
        <v>220</v>
      </c>
    </row>
    <row r="176">
      <c r="A176" s="92">
        <v>27.0</v>
      </c>
      <c r="B176" s="92" t="s">
        <v>5707</v>
      </c>
      <c r="C176" s="92">
        <v>2.52610357E8</v>
      </c>
      <c r="D176" s="94" t="s">
        <v>5708</v>
      </c>
      <c r="E176" s="92" t="s">
        <v>220</v>
      </c>
    </row>
    <row r="177">
      <c r="A177" s="92">
        <v>28.0</v>
      </c>
      <c r="B177" s="92" t="s">
        <v>5710</v>
      </c>
      <c r="C177" s="92">
        <v>2.52610363E8</v>
      </c>
      <c r="D177" s="94" t="s">
        <v>5711</v>
      </c>
      <c r="E177" s="92" t="s">
        <v>220</v>
      </c>
    </row>
    <row r="178">
      <c r="A178" s="92">
        <v>29.0</v>
      </c>
      <c r="B178" s="92" t="s">
        <v>5713</v>
      </c>
      <c r="C178" s="92">
        <v>2.52610373E8</v>
      </c>
      <c r="D178" s="94" t="s">
        <v>5714</v>
      </c>
      <c r="E178" s="92" t="s">
        <v>220</v>
      </c>
    </row>
    <row r="179">
      <c r="A179" s="92">
        <v>30.0</v>
      </c>
      <c r="B179" s="92" t="s">
        <v>5716</v>
      </c>
      <c r="C179" s="92">
        <v>2.52610378E8</v>
      </c>
      <c r="D179" s="94" t="s">
        <v>5717</v>
      </c>
      <c r="E179" s="92" t="s">
        <v>220</v>
      </c>
    </row>
    <row r="180">
      <c r="A180" s="92">
        <v>31.0</v>
      </c>
      <c r="B180" s="92" t="s">
        <v>5719</v>
      </c>
      <c r="C180" s="92">
        <v>2.52610382E8</v>
      </c>
      <c r="D180" s="94" t="s">
        <v>5720</v>
      </c>
      <c r="E180" s="92" t="s">
        <v>227</v>
      </c>
    </row>
    <row r="181">
      <c r="A181" s="92">
        <v>33.0</v>
      </c>
      <c r="B181" s="92" t="s">
        <v>5722</v>
      </c>
      <c r="C181" s="92">
        <v>2.52610435E8</v>
      </c>
      <c r="D181" s="94" t="s">
        <v>5723</v>
      </c>
      <c r="E181" s="92" t="s">
        <v>220</v>
      </c>
    </row>
    <row r="182">
      <c r="A182" s="92">
        <v>34.0</v>
      </c>
      <c r="B182" s="92" t="s">
        <v>5725</v>
      </c>
      <c r="C182" s="92">
        <v>2.52610447E8</v>
      </c>
      <c r="D182" s="94" t="s">
        <v>5726</v>
      </c>
      <c r="E182" s="92" t="s">
        <v>220</v>
      </c>
    </row>
    <row r="183">
      <c r="A183" s="92">
        <v>35.0</v>
      </c>
      <c r="B183" s="92" t="s">
        <v>5728</v>
      </c>
      <c r="C183" s="92">
        <v>2.52610472E8</v>
      </c>
      <c r="D183" s="94" t="s">
        <v>5729</v>
      </c>
      <c r="E183" s="92" t="s">
        <v>220</v>
      </c>
    </row>
    <row r="184">
      <c r="A184" s="92">
        <v>36.0</v>
      </c>
      <c r="B184" s="92" t="s">
        <v>5731</v>
      </c>
      <c r="C184" s="92">
        <v>2.52610475E8</v>
      </c>
      <c r="D184" s="94" t="s">
        <v>5732</v>
      </c>
      <c r="E184" s="358"/>
    </row>
    <row r="185">
      <c r="A185" s="92">
        <v>37.0</v>
      </c>
      <c r="B185" s="92" t="s">
        <v>5734</v>
      </c>
      <c r="C185" s="92">
        <v>2.5261048E8</v>
      </c>
      <c r="D185" s="94" t="s">
        <v>5735</v>
      </c>
      <c r="E185" s="92" t="s">
        <v>220</v>
      </c>
    </row>
    <row r="186">
      <c r="A186" s="92">
        <v>38.0</v>
      </c>
      <c r="B186" s="92" t="s">
        <v>5737</v>
      </c>
      <c r="C186" s="92">
        <v>2.52610483E8</v>
      </c>
      <c r="D186" s="94" t="s">
        <v>5738</v>
      </c>
      <c r="E186" s="92" t="s">
        <v>227</v>
      </c>
    </row>
    <row r="187">
      <c r="A187" s="92">
        <v>39.0</v>
      </c>
      <c r="B187" s="92" t="s">
        <v>5740</v>
      </c>
      <c r="C187" s="92">
        <v>2.52610492E8</v>
      </c>
      <c r="D187" s="94" t="s">
        <v>5741</v>
      </c>
      <c r="E187" s="92" t="s">
        <v>220</v>
      </c>
    </row>
    <row r="188">
      <c r="A188" s="92">
        <v>40.0</v>
      </c>
      <c r="B188" s="92" t="s">
        <v>5743</v>
      </c>
      <c r="C188" s="92">
        <v>2.52610512E8</v>
      </c>
      <c r="D188" s="94" t="s">
        <v>5744</v>
      </c>
      <c r="E188" s="92" t="s">
        <v>227</v>
      </c>
    </row>
    <row r="189">
      <c r="A189" s="92">
        <v>41.0</v>
      </c>
      <c r="B189" s="92" t="s">
        <v>5746</v>
      </c>
      <c r="C189" s="92">
        <v>2.52610514E8</v>
      </c>
      <c r="D189" s="94" t="s">
        <v>5747</v>
      </c>
      <c r="E189" s="92" t="s">
        <v>227</v>
      </c>
    </row>
    <row r="190">
      <c r="A190" s="92">
        <v>42.0</v>
      </c>
      <c r="B190" s="92" t="s">
        <v>5749</v>
      </c>
      <c r="C190" s="92">
        <v>2.52610515E8</v>
      </c>
      <c r="D190" s="94" t="s">
        <v>5750</v>
      </c>
      <c r="E190" s="92" t="s">
        <v>227</v>
      </c>
    </row>
    <row r="191">
      <c r="A191" s="92">
        <v>43.0</v>
      </c>
      <c r="B191" s="92" t="s">
        <v>5752</v>
      </c>
      <c r="C191" s="92">
        <v>2.52610519E8</v>
      </c>
      <c r="D191" s="94" t="s">
        <v>5753</v>
      </c>
      <c r="E191" s="92" t="s">
        <v>227</v>
      </c>
    </row>
    <row r="192">
      <c r="A192" s="92">
        <v>44.0</v>
      </c>
      <c r="B192" s="92" t="s">
        <v>5755</v>
      </c>
      <c r="C192" s="92">
        <v>2.52610533E8</v>
      </c>
      <c r="D192" s="94" t="s">
        <v>5756</v>
      </c>
      <c r="E192" s="92" t="s">
        <v>227</v>
      </c>
    </row>
    <row r="193">
      <c r="A193" s="92">
        <v>45.0</v>
      </c>
      <c r="B193" s="92" t="s">
        <v>5758</v>
      </c>
      <c r="C193" s="92">
        <v>2.52610534E8</v>
      </c>
      <c r="D193" s="94" t="s">
        <v>5759</v>
      </c>
      <c r="E193" s="92" t="s">
        <v>227</v>
      </c>
    </row>
    <row r="194">
      <c r="A194" s="92">
        <v>46.0</v>
      </c>
      <c r="B194" s="92" t="s">
        <v>5761</v>
      </c>
      <c r="C194" s="92">
        <v>2.52610544E8</v>
      </c>
      <c r="D194" s="94" t="s">
        <v>5762</v>
      </c>
      <c r="E194" s="92" t="s">
        <v>227</v>
      </c>
    </row>
    <row r="195">
      <c r="A195" s="167"/>
      <c r="B195" s="167"/>
      <c r="C195" s="167"/>
      <c r="D195" s="167"/>
      <c r="E195" s="167"/>
    </row>
    <row r="196">
      <c r="A196" s="167"/>
      <c r="B196" s="167"/>
      <c r="C196" s="167"/>
      <c r="D196" s="94" t="s">
        <v>9262</v>
      </c>
      <c r="E196" s="124">
        <f>COUNTIF(E150:E194,"P")</f>
        <v>26</v>
      </c>
    </row>
    <row r="197">
      <c r="A197" s="167"/>
      <c r="B197" s="167"/>
      <c r="C197" s="167"/>
      <c r="D197" s="94" t="s">
        <v>9263</v>
      </c>
      <c r="E197" s="124">
        <f>COUNTIF(E150:E194,"L")</f>
        <v>18</v>
      </c>
    </row>
    <row r="198">
      <c r="A198" s="167"/>
      <c r="B198" s="167"/>
      <c r="C198" s="167"/>
      <c r="D198" s="167"/>
      <c r="E198" s="167"/>
    </row>
    <row r="199">
      <c r="A199" s="167"/>
      <c r="B199" s="167"/>
      <c r="C199" s="167"/>
      <c r="D199" s="167"/>
      <c r="E199" s="167"/>
    </row>
    <row r="200">
      <c r="A200" s="167"/>
      <c r="B200" s="167"/>
      <c r="C200" s="167"/>
      <c r="D200" s="167"/>
      <c r="E200" s="167"/>
    </row>
    <row r="201">
      <c r="A201" s="167" t="s">
        <v>9290</v>
      </c>
      <c r="B201" s="167"/>
      <c r="C201" s="167"/>
      <c r="D201" s="167"/>
      <c r="E201" s="167" t="s">
        <v>5766</v>
      </c>
    </row>
    <row r="202">
      <c r="A202" s="356" t="s">
        <v>9249</v>
      </c>
      <c r="B202" s="356" t="s">
        <v>9</v>
      </c>
      <c r="C202" s="356" t="s">
        <v>5246</v>
      </c>
      <c r="D202" s="356" t="s">
        <v>201</v>
      </c>
      <c r="E202" s="356" t="s">
        <v>13</v>
      </c>
    </row>
    <row r="203">
      <c r="A203" s="92">
        <v>1.0</v>
      </c>
      <c r="B203" s="92" t="s">
        <v>5764</v>
      </c>
      <c r="C203" s="92">
        <v>2.52610004E8</v>
      </c>
      <c r="D203" s="94" t="s">
        <v>5765</v>
      </c>
      <c r="E203" s="92" t="s">
        <v>220</v>
      </c>
    </row>
    <row r="204">
      <c r="A204" s="92">
        <v>2.0</v>
      </c>
      <c r="B204" s="92" t="s">
        <v>5768</v>
      </c>
      <c r="C204" s="92">
        <v>2.52610013E8</v>
      </c>
      <c r="D204" s="94" t="s">
        <v>5769</v>
      </c>
      <c r="E204" s="92" t="s">
        <v>220</v>
      </c>
    </row>
    <row r="205">
      <c r="A205" s="92">
        <v>3.0</v>
      </c>
      <c r="B205" s="92" t="s">
        <v>5772</v>
      </c>
      <c r="C205" s="92">
        <v>2.52610022E8</v>
      </c>
      <c r="D205" s="94" t="s">
        <v>5773</v>
      </c>
      <c r="E205" s="92" t="s">
        <v>227</v>
      </c>
    </row>
    <row r="206">
      <c r="A206" s="92">
        <v>4.0</v>
      </c>
      <c r="B206" s="92" t="s">
        <v>5775</v>
      </c>
      <c r="C206" s="92">
        <v>2.52610024E8</v>
      </c>
      <c r="D206" s="94" t="s">
        <v>5776</v>
      </c>
      <c r="E206" s="92" t="s">
        <v>227</v>
      </c>
    </row>
    <row r="207">
      <c r="A207" s="92">
        <v>5.0</v>
      </c>
      <c r="B207" s="92" t="s">
        <v>5779</v>
      </c>
      <c r="C207" s="92">
        <v>2.52610034E8</v>
      </c>
      <c r="D207" s="94" t="s">
        <v>5780</v>
      </c>
      <c r="E207" s="92" t="s">
        <v>220</v>
      </c>
    </row>
    <row r="208">
      <c r="A208" s="92">
        <v>6.0</v>
      </c>
      <c r="B208" s="92" t="s">
        <v>5782</v>
      </c>
      <c r="C208" s="92">
        <v>2.52610043E8</v>
      </c>
      <c r="D208" s="94" t="s">
        <v>5783</v>
      </c>
      <c r="E208" s="92" t="s">
        <v>227</v>
      </c>
    </row>
    <row r="209">
      <c r="A209" s="92">
        <v>7.0</v>
      </c>
      <c r="B209" s="92" t="s">
        <v>5785</v>
      </c>
      <c r="C209" s="92">
        <v>2.52610055E8</v>
      </c>
      <c r="D209" s="94" t="s">
        <v>5786</v>
      </c>
      <c r="E209" s="92" t="s">
        <v>227</v>
      </c>
    </row>
    <row r="210">
      <c r="A210" s="92">
        <v>8.0</v>
      </c>
      <c r="B210" s="92" t="s">
        <v>5788</v>
      </c>
      <c r="C210" s="92">
        <v>2.52610057E8</v>
      </c>
      <c r="D210" s="94" t="s">
        <v>5789</v>
      </c>
      <c r="E210" s="92" t="s">
        <v>227</v>
      </c>
    </row>
    <row r="211">
      <c r="A211" s="92">
        <v>9.0</v>
      </c>
      <c r="B211" s="92" t="s">
        <v>48</v>
      </c>
      <c r="C211" s="92">
        <v>2.5261006E8</v>
      </c>
      <c r="D211" s="94" t="s">
        <v>5791</v>
      </c>
      <c r="E211" s="92" t="s">
        <v>220</v>
      </c>
    </row>
    <row r="212">
      <c r="A212" s="92">
        <v>10.0</v>
      </c>
      <c r="B212" s="92" t="s">
        <v>5793</v>
      </c>
      <c r="C212" s="92">
        <v>2.52610067E8</v>
      </c>
      <c r="D212" s="94" t="s">
        <v>5794</v>
      </c>
      <c r="E212" s="92" t="s">
        <v>227</v>
      </c>
    </row>
    <row r="213">
      <c r="A213" s="92">
        <v>11.0</v>
      </c>
      <c r="B213" s="92" t="s">
        <v>5796</v>
      </c>
      <c r="C213" s="92">
        <v>2.52610115E8</v>
      </c>
      <c r="D213" s="94" t="s">
        <v>5797</v>
      </c>
      <c r="E213" s="92" t="s">
        <v>220</v>
      </c>
    </row>
    <row r="214">
      <c r="A214" s="92">
        <v>12.0</v>
      </c>
      <c r="B214" s="92" t="s">
        <v>5799</v>
      </c>
      <c r="C214" s="92">
        <v>2.52610123E8</v>
      </c>
      <c r="D214" s="94" t="s">
        <v>5800</v>
      </c>
      <c r="E214" s="92" t="s">
        <v>227</v>
      </c>
    </row>
    <row r="215">
      <c r="A215" s="92">
        <v>13.0</v>
      </c>
      <c r="B215" s="92" t="s">
        <v>5802</v>
      </c>
      <c r="C215" s="92">
        <v>2.52610163E8</v>
      </c>
      <c r="D215" s="94" t="s">
        <v>5803</v>
      </c>
      <c r="E215" s="92" t="s">
        <v>227</v>
      </c>
    </row>
    <row r="216">
      <c r="A216" s="92">
        <v>14.0</v>
      </c>
      <c r="B216" s="92" t="s">
        <v>5805</v>
      </c>
      <c r="C216" s="92">
        <v>2.52610166E8</v>
      </c>
      <c r="D216" s="94" t="s">
        <v>5806</v>
      </c>
      <c r="E216" s="92" t="s">
        <v>227</v>
      </c>
    </row>
    <row r="217">
      <c r="A217" s="92">
        <v>17.0</v>
      </c>
      <c r="B217" s="92" t="s">
        <v>5808</v>
      </c>
      <c r="C217" s="92">
        <v>2.52610205E8</v>
      </c>
      <c r="D217" s="94" t="s">
        <v>5809</v>
      </c>
      <c r="E217" s="92" t="s">
        <v>227</v>
      </c>
    </row>
    <row r="218">
      <c r="A218" s="92">
        <v>18.0</v>
      </c>
      <c r="B218" s="92" t="s">
        <v>5811</v>
      </c>
      <c r="C218" s="92">
        <v>2.52610229E8</v>
      </c>
      <c r="D218" s="94" t="s">
        <v>5812</v>
      </c>
      <c r="E218" s="92" t="s">
        <v>227</v>
      </c>
    </row>
    <row r="219">
      <c r="A219" s="92">
        <v>19.0</v>
      </c>
      <c r="B219" s="92" t="s">
        <v>5814</v>
      </c>
      <c r="C219" s="92">
        <v>2.5261023E8</v>
      </c>
      <c r="D219" s="94" t="s">
        <v>5815</v>
      </c>
      <c r="E219" s="92" t="s">
        <v>220</v>
      </c>
    </row>
    <row r="220">
      <c r="A220" s="92">
        <v>20.0</v>
      </c>
      <c r="B220" s="92" t="s">
        <v>5817</v>
      </c>
      <c r="C220" s="92">
        <v>2.52610245E8</v>
      </c>
      <c r="D220" s="94" t="s">
        <v>5818</v>
      </c>
      <c r="E220" s="92" t="s">
        <v>227</v>
      </c>
    </row>
    <row r="221">
      <c r="A221" s="92">
        <v>21.0</v>
      </c>
      <c r="B221" s="92" t="s">
        <v>5820</v>
      </c>
      <c r="C221" s="92">
        <v>2.52610281E8</v>
      </c>
      <c r="D221" s="94" t="s">
        <v>5821</v>
      </c>
      <c r="E221" s="92" t="s">
        <v>227</v>
      </c>
    </row>
    <row r="222">
      <c r="A222" s="92">
        <v>22.0</v>
      </c>
      <c r="B222" s="92" t="s">
        <v>5823</v>
      </c>
      <c r="C222" s="92">
        <v>2.52610286E8</v>
      </c>
      <c r="D222" s="94" t="s">
        <v>5824</v>
      </c>
      <c r="E222" s="92" t="s">
        <v>227</v>
      </c>
    </row>
    <row r="223">
      <c r="A223" s="92">
        <v>23.0</v>
      </c>
      <c r="B223" s="92" t="s">
        <v>5826</v>
      </c>
      <c r="C223" s="92">
        <v>2.52610299E8</v>
      </c>
      <c r="D223" s="94" t="s">
        <v>5827</v>
      </c>
      <c r="E223" s="92" t="s">
        <v>227</v>
      </c>
    </row>
    <row r="224">
      <c r="A224" s="92">
        <v>24.0</v>
      </c>
      <c r="B224" s="92" t="s">
        <v>5829</v>
      </c>
      <c r="C224" s="92">
        <v>2.52610322E8</v>
      </c>
      <c r="D224" s="94" t="s">
        <v>5830</v>
      </c>
      <c r="E224" s="92" t="s">
        <v>220</v>
      </c>
    </row>
    <row r="225">
      <c r="A225" s="92">
        <v>25.0</v>
      </c>
      <c r="B225" s="92" t="s">
        <v>5832</v>
      </c>
      <c r="C225" s="92">
        <v>2.52610323E8</v>
      </c>
      <c r="D225" s="94" t="s">
        <v>5833</v>
      </c>
      <c r="E225" s="92" t="s">
        <v>220</v>
      </c>
    </row>
    <row r="226">
      <c r="A226" s="92">
        <v>26.0</v>
      </c>
      <c r="B226" s="92" t="s">
        <v>5835</v>
      </c>
      <c r="C226" s="92">
        <v>2.52610361E8</v>
      </c>
      <c r="D226" s="94" t="s">
        <v>5836</v>
      </c>
      <c r="E226" s="92" t="s">
        <v>220</v>
      </c>
    </row>
    <row r="227">
      <c r="A227" s="92">
        <v>27.0</v>
      </c>
      <c r="B227" s="92" t="s">
        <v>5838</v>
      </c>
      <c r="C227" s="92">
        <v>2.52610366E8</v>
      </c>
      <c r="D227" s="94" t="s">
        <v>5839</v>
      </c>
      <c r="E227" s="92" t="s">
        <v>220</v>
      </c>
    </row>
    <row r="228">
      <c r="A228" s="92">
        <v>28.0</v>
      </c>
      <c r="B228" s="92" t="s">
        <v>5841</v>
      </c>
      <c r="C228" s="92">
        <v>2.52610374E8</v>
      </c>
      <c r="D228" s="94" t="s">
        <v>5842</v>
      </c>
      <c r="E228" s="92" t="s">
        <v>220</v>
      </c>
    </row>
    <row r="229">
      <c r="A229" s="92">
        <v>29.0</v>
      </c>
      <c r="B229" s="92" t="s">
        <v>5844</v>
      </c>
      <c r="C229" s="92">
        <v>2.52610379E8</v>
      </c>
      <c r="D229" s="94" t="s">
        <v>5845</v>
      </c>
      <c r="E229" s="92" t="s">
        <v>220</v>
      </c>
    </row>
    <row r="230">
      <c r="A230" s="92">
        <v>30.0</v>
      </c>
      <c r="B230" s="92" t="s">
        <v>5847</v>
      </c>
      <c r="C230" s="92">
        <v>2.52610384E8</v>
      </c>
      <c r="D230" s="94" t="s">
        <v>5848</v>
      </c>
      <c r="E230" s="92" t="s">
        <v>227</v>
      </c>
    </row>
    <row r="231">
      <c r="A231" s="92">
        <v>31.0</v>
      </c>
      <c r="B231" s="92" t="s">
        <v>5851</v>
      </c>
      <c r="C231" s="92">
        <v>2.52610401E8</v>
      </c>
      <c r="D231" s="94" t="s">
        <v>5852</v>
      </c>
      <c r="E231" s="92" t="s">
        <v>220</v>
      </c>
    </row>
    <row r="232">
      <c r="A232" s="92">
        <v>32.0</v>
      </c>
      <c r="B232" s="92" t="s">
        <v>5854</v>
      </c>
      <c r="C232" s="92">
        <v>2.52610412E8</v>
      </c>
      <c r="D232" s="94" t="s">
        <v>5855</v>
      </c>
      <c r="E232" s="92" t="s">
        <v>227</v>
      </c>
    </row>
    <row r="233">
      <c r="A233" s="92">
        <v>33.0</v>
      </c>
      <c r="B233" s="92" t="s">
        <v>5857</v>
      </c>
      <c r="C233" s="92">
        <v>2.52610414E8</v>
      </c>
      <c r="D233" s="94" t="s">
        <v>5858</v>
      </c>
      <c r="E233" s="92" t="s">
        <v>227</v>
      </c>
    </row>
    <row r="234">
      <c r="A234" s="92">
        <v>34.0</v>
      </c>
      <c r="B234" s="92" t="s">
        <v>5860</v>
      </c>
      <c r="C234" s="92">
        <v>2.52610427E8</v>
      </c>
      <c r="D234" s="94" t="s">
        <v>5861</v>
      </c>
      <c r="E234" s="92" t="s">
        <v>227</v>
      </c>
    </row>
    <row r="235">
      <c r="A235" s="92">
        <v>35.0</v>
      </c>
      <c r="B235" s="92" t="s">
        <v>5863</v>
      </c>
      <c r="C235" s="92">
        <v>2.52610429E8</v>
      </c>
      <c r="D235" s="94" t="s">
        <v>5864</v>
      </c>
      <c r="E235" s="92" t="s">
        <v>220</v>
      </c>
    </row>
    <row r="236">
      <c r="A236" s="92">
        <v>36.0</v>
      </c>
      <c r="B236" s="92" t="s">
        <v>5866</v>
      </c>
      <c r="C236" s="92">
        <v>2.52610437E8</v>
      </c>
      <c r="D236" s="94" t="s">
        <v>5867</v>
      </c>
      <c r="E236" s="92" t="s">
        <v>227</v>
      </c>
    </row>
    <row r="237">
      <c r="A237" s="92">
        <v>37.0</v>
      </c>
      <c r="B237" s="92" t="s">
        <v>5869</v>
      </c>
      <c r="C237" s="92">
        <v>2.5261045E8</v>
      </c>
      <c r="D237" s="94" t="s">
        <v>5870</v>
      </c>
      <c r="E237" s="92" t="s">
        <v>227</v>
      </c>
    </row>
    <row r="238">
      <c r="A238" s="92">
        <v>38.0</v>
      </c>
      <c r="B238" s="92" t="s">
        <v>5872</v>
      </c>
      <c r="C238" s="92">
        <v>2.52610451E8</v>
      </c>
      <c r="D238" s="94" t="s">
        <v>5873</v>
      </c>
      <c r="E238" s="92" t="s">
        <v>227</v>
      </c>
    </row>
    <row r="239">
      <c r="A239" s="92">
        <v>39.0</v>
      </c>
      <c r="B239" s="92" t="s">
        <v>47</v>
      </c>
      <c r="C239" s="92">
        <v>2.52610471E8</v>
      </c>
      <c r="D239" s="94" t="s">
        <v>5875</v>
      </c>
      <c r="E239" s="92" t="s">
        <v>220</v>
      </c>
    </row>
    <row r="240">
      <c r="A240" s="92">
        <v>40.0</v>
      </c>
      <c r="B240" s="92" t="s">
        <v>5877</v>
      </c>
      <c r="C240" s="92">
        <v>2.52610481E8</v>
      </c>
      <c r="D240" s="94" t="s">
        <v>5878</v>
      </c>
      <c r="E240" s="92" t="s">
        <v>227</v>
      </c>
    </row>
    <row r="241">
      <c r="A241" s="92">
        <v>41.0</v>
      </c>
      <c r="B241" s="92" t="s">
        <v>5880</v>
      </c>
      <c r="C241" s="92">
        <v>2.52610488E8</v>
      </c>
      <c r="D241" s="94" t="s">
        <v>5881</v>
      </c>
      <c r="E241" s="92" t="s">
        <v>227</v>
      </c>
    </row>
    <row r="242">
      <c r="A242" s="92">
        <v>42.0</v>
      </c>
      <c r="B242" s="92" t="s">
        <v>5883</v>
      </c>
      <c r="C242" s="92">
        <v>2.52610507E8</v>
      </c>
      <c r="D242" s="94" t="s">
        <v>5884</v>
      </c>
      <c r="E242" s="92" t="s">
        <v>227</v>
      </c>
    </row>
    <row r="243">
      <c r="A243" s="92">
        <v>43.0</v>
      </c>
      <c r="B243" s="92" t="s">
        <v>5886</v>
      </c>
      <c r="C243" s="92">
        <v>2.52610535E8</v>
      </c>
      <c r="D243" s="94" t="s">
        <v>5887</v>
      </c>
      <c r="E243" s="92" t="s">
        <v>227</v>
      </c>
    </row>
    <row r="244">
      <c r="A244" s="92">
        <v>44.0</v>
      </c>
      <c r="B244" s="92" t="s">
        <v>5889</v>
      </c>
      <c r="C244" s="92">
        <v>2.5261054E8</v>
      </c>
      <c r="D244" s="94" t="s">
        <v>5890</v>
      </c>
      <c r="E244" s="92" t="s">
        <v>227</v>
      </c>
    </row>
    <row r="245">
      <c r="A245" s="92">
        <v>45.0</v>
      </c>
      <c r="B245" s="92" t="s">
        <v>5892</v>
      </c>
      <c r="C245" s="92">
        <v>2.52610543E8</v>
      </c>
      <c r="D245" s="94" t="s">
        <v>5893</v>
      </c>
      <c r="E245" s="92" t="s">
        <v>227</v>
      </c>
    </row>
    <row r="246">
      <c r="A246" s="92">
        <v>46.0</v>
      </c>
      <c r="B246" s="92" t="s">
        <v>5895</v>
      </c>
      <c r="C246" s="92">
        <v>2.52610549E8</v>
      </c>
      <c r="D246" s="94" t="s">
        <v>5896</v>
      </c>
      <c r="E246" s="92" t="s">
        <v>220</v>
      </c>
    </row>
    <row r="247">
      <c r="A247" s="92">
        <v>47.0</v>
      </c>
      <c r="B247" s="92" t="s">
        <v>5898</v>
      </c>
      <c r="C247" s="92">
        <v>2.52610554E8</v>
      </c>
      <c r="D247" s="94" t="s">
        <v>5899</v>
      </c>
      <c r="E247" s="92" t="s">
        <v>227</v>
      </c>
    </row>
    <row r="248">
      <c r="A248" s="167"/>
      <c r="B248" s="167"/>
      <c r="C248" s="167"/>
      <c r="D248" s="167"/>
      <c r="E248" s="167"/>
    </row>
    <row r="249">
      <c r="A249" s="167"/>
      <c r="B249" s="167"/>
      <c r="C249" s="167"/>
      <c r="D249" s="94" t="s">
        <v>9262</v>
      </c>
      <c r="E249" s="124">
        <f>COUNTIF(E203:E247,"P")</f>
        <v>29</v>
      </c>
    </row>
    <row r="250">
      <c r="A250" s="167"/>
      <c r="B250" s="167"/>
      <c r="C250" s="167"/>
      <c r="D250" s="94" t="s">
        <v>9263</v>
      </c>
      <c r="E250" s="124">
        <f>COUNTIF(E203:E247,"L")</f>
        <v>16</v>
      </c>
    </row>
    <row r="251">
      <c r="A251" s="167"/>
      <c r="B251" s="167"/>
      <c r="C251" s="167"/>
      <c r="D251" s="167"/>
      <c r="E251" s="167"/>
    </row>
    <row r="252">
      <c r="A252" s="167"/>
      <c r="B252" s="167"/>
      <c r="C252" s="167"/>
      <c r="D252" s="167"/>
      <c r="E252" s="167"/>
    </row>
    <row r="253">
      <c r="A253" s="167" t="s">
        <v>9293</v>
      </c>
      <c r="B253" s="167"/>
      <c r="C253" s="167"/>
      <c r="D253" s="167"/>
      <c r="E253" s="167" t="s">
        <v>5903</v>
      </c>
    </row>
    <row r="254">
      <c r="A254" s="356" t="s">
        <v>9249</v>
      </c>
      <c r="B254" s="356" t="s">
        <v>9</v>
      </c>
      <c r="C254" s="356" t="s">
        <v>5246</v>
      </c>
      <c r="D254" s="356" t="s">
        <v>201</v>
      </c>
      <c r="E254" s="356" t="s">
        <v>13</v>
      </c>
    </row>
    <row r="255">
      <c r="A255" s="92">
        <v>3.0</v>
      </c>
      <c r="B255" s="92" t="s">
        <v>5901</v>
      </c>
      <c r="C255" s="92">
        <v>2.52610036E8</v>
      </c>
      <c r="D255" s="94" t="s">
        <v>5902</v>
      </c>
      <c r="E255" s="92" t="s">
        <v>227</v>
      </c>
    </row>
    <row r="256">
      <c r="A256" s="92">
        <v>4.0</v>
      </c>
      <c r="B256" s="92" t="s">
        <v>5906</v>
      </c>
      <c r="C256" s="92">
        <v>2.52610042E8</v>
      </c>
      <c r="D256" s="94" t="s">
        <v>5907</v>
      </c>
      <c r="E256" s="92" t="s">
        <v>227</v>
      </c>
    </row>
    <row r="257">
      <c r="A257" s="92">
        <v>5.0</v>
      </c>
      <c r="B257" s="92" t="s">
        <v>5909</v>
      </c>
      <c r="C257" s="92">
        <v>2.52610072E8</v>
      </c>
      <c r="D257" s="94" t="s">
        <v>5910</v>
      </c>
      <c r="E257" s="92" t="s">
        <v>227</v>
      </c>
    </row>
    <row r="258">
      <c r="A258" s="92">
        <v>7.0</v>
      </c>
      <c r="B258" s="92" t="s">
        <v>5912</v>
      </c>
      <c r="C258" s="92">
        <v>2.52610134E8</v>
      </c>
      <c r="D258" s="94" t="s">
        <v>5913</v>
      </c>
      <c r="E258" s="92" t="s">
        <v>227</v>
      </c>
    </row>
    <row r="259">
      <c r="A259" s="92">
        <v>9.0</v>
      </c>
      <c r="B259" s="92" t="s">
        <v>5915</v>
      </c>
      <c r="C259" s="92">
        <v>2.52610157E8</v>
      </c>
      <c r="D259" s="94" t="s">
        <v>5916</v>
      </c>
      <c r="E259" s="92" t="s">
        <v>227</v>
      </c>
    </row>
    <row r="260">
      <c r="A260" s="92">
        <v>10.0</v>
      </c>
      <c r="B260" s="92" t="s">
        <v>5918</v>
      </c>
      <c r="C260" s="92">
        <v>2.52610167E8</v>
      </c>
      <c r="D260" s="94" t="s">
        <v>5919</v>
      </c>
      <c r="E260" s="92" t="s">
        <v>227</v>
      </c>
    </row>
    <row r="261">
      <c r="A261" s="92">
        <v>11.0</v>
      </c>
      <c r="B261" s="92" t="s">
        <v>5921</v>
      </c>
      <c r="C261" s="92">
        <v>2.52610172E8</v>
      </c>
      <c r="D261" s="94" t="s">
        <v>5922</v>
      </c>
      <c r="E261" s="125" t="s">
        <v>227</v>
      </c>
    </row>
    <row r="262">
      <c r="A262" s="92">
        <v>12.0</v>
      </c>
      <c r="B262" s="92" t="s">
        <v>5924</v>
      </c>
      <c r="C262" s="92">
        <v>2.52610176E8</v>
      </c>
      <c r="D262" s="94" t="s">
        <v>5925</v>
      </c>
      <c r="E262" s="92" t="s">
        <v>220</v>
      </c>
    </row>
    <row r="263">
      <c r="A263" s="125">
        <v>13.0</v>
      </c>
      <c r="B263" s="125">
        <v>9.1620147E7</v>
      </c>
      <c r="C263" s="125">
        <v>2.52610189E8</v>
      </c>
      <c r="D263" s="359" t="s">
        <v>9303</v>
      </c>
      <c r="E263" s="125" t="s">
        <v>227</v>
      </c>
    </row>
    <row r="264">
      <c r="A264" s="92">
        <v>14.0</v>
      </c>
      <c r="B264" s="92" t="s">
        <v>5928</v>
      </c>
      <c r="C264" s="92">
        <v>2.52610194E8</v>
      </c>
      <c r="D264" s="94" t="s">
        <v>5929</v>
      </c>
      <c r="E264" s="92" t="s">
        <v>227</v>
      </c>
    </row>
    <row r="265">
      <c r="A265" s="92">
        <v>15.0</v>
      </c>
      <c r="B265" s="92" t="s">
        <v>5931</v>
      </c>
      <c r="C265" s="92">
        <v>2.52610195E8</v>
      </c>
      <c r="D265" s="94" t="s">
        <v>5932</v>
      </c>
      <c r="E265" s="92" t="s">
        <v>227</v>
      </c>
    </row>
    <row r="266">
      <c r="A266" s="92">
        <v>17.0</v>
      </c>
      <c r="B266" s="92" t="s">
        <v>5934</v>
      </c>
      <c r="C266" s="92">
        <v>2.52610209E8</v>
      </c>
      <c r="D266" s="94" t="s">
        <v>5935</v>
      </c>
      <c r="E266" s="92" t="s">
        <v>227</v>
      </c>
    </row>
    <row r="267">
      <c r="A267" s="92">
        <v>18.0</v>
      </c>
      <c r="B267" s="92" t="s">
        <v>5937</v>
      </c>
      <c r="C267" s="92">
        <v>2.5261021E8</v>
      </c>
      <c r="D267" s="94" t="s">
        <v>5938</v>
      </c>
      <c r="E267" s="92" t="s">
        <v>227</v>
      </c>
    </row>
    <row r="268">
      <c r="A268" s="92">
        <v>19.0</v>
      </c>
      <c r="B268" s="92" t="s">
        <v>5940</v>
      </c>
      <c r="C268" s="92">
        <v>2.52610214E8</v>
      </c>
      <c r="D268" s="94" t="s">
        <v>5941</v>
      </c>
      <c r="E268" s="92" t="s">
        <v>227</v>
      </c>
    </row>
    <row r="269">
      <c r="A269" s="92">
        <v>20.0</v>
      </c>
      <c r="B269" s="92" t="s">
        <v>5943</v>
      </c>
      <c r="C269" s="92">
        <v>2.52610227E8</v>
      </c>
      <c r="D269" s="94" t="s">
        <v>5944</v>
      </c>
      <c r="E269" s="92" t="s">
        <v>227</v>
      </c>
    </row>
    <row r="270">
      <c r="A270" s="92">
        <v>23.0</v>
      </c>
      <c r="B270" s="92" t="s">
        <v>5946</v>
      </c>
      <c r="C270" s="92">
        <v>2.52610273E8</v>
      </c>
      <c r="D270" s="94" t="s">
        <v>5947</v>
      </c>
      <c r="E270" s="92" t="s">
        <v>227</v>
      </c>
    </row>
    <row r="271">
      <c r="A271" s="92">
        <v>24.0</v>
      </c>
      <c r="B271" s="92" t="s">
        <v>5949</v>
      </c>
      <c r="C271" s="92">
        <v>2.52610279E8</v>
      </c>
      <c r="D271" s="94" t="s">
        <v>5950</v>
      </c>
      <c r="E271" s="92" t="s">
        <v>227</v>
      </c>
    </row>
    <row r="272">
      <c r="A272" s="92">
        <v>26.0</v>
      </c>
      <c r="B272" s="92" t="s">
        <v>5953</v>
      </c>
      <c r="C272" s="92">
        <v>2.52610308E8</v>
      </c>
      <c r="D272" s="94" t="s">
        <v>5954</v>
      </c>
      <c r="E272" s="92" t="s">
        <v>227</v>
      </c>
    </row>
    <row r="273">
      <c r="A273" s="125">
        <v>27.0</v>
      </c>
      <c r="B273" s="360" t="s">
        <v>9312</v>
      </c>
      <c r="C273" s="125">
        <v>2.52610312E8</v>
      </c>
      <c r="D273" s="359" t="s">
        <v>9313</v>
      </c>
      <c r="E273" s="125" t="s">
        <v>227</v>
      </c>
    </row>
    <row r="274">
      <c r="A274" s="92">
        <v>28.0</v>
      </c>
      <c r="B274" s="92" t="s">
        <v>5956</v>
      </c>
      <c r="C274" s="92">
        <v>2.52610342E8</v>
      </c>
      <c r="D274" s="94" t="s">
        <v>5957</v>
      </c>
      <c r="E274" s="92" t="s">
        <v>220</v>
      </c>
    </row>
    <row r="275">
      <c r="A275" s="92">
        <v>31.0</v>
      </c>
      <c r="B275" s="92" t="s">
        <v>5959</v>
      </c>
      <c r="C275" s="92">
        <v>2.52610394E8</v>
      </c>
      <c r="D275" s="94" t="s">
        <v>5960</v>
      </c>
      <c r="E275" s="92" t="s">
        <v>227</v>
      </c>
    </row>
    <row r="276">
      <c r="A276" s="92">
        <v>32.0</v>
      </c>
      <c r="B276" s="92" t="s">
        <v>5962</v>
      </c>
      <c r="C276" s="92">
        <v>2.5261041E8</v>
      </c>
      <c r="D276" s="94" t="s">
        <v>5963</v>
      </c>
      <c r="E276" s="92" t="s">
        <v>227</v>
      </c>
    </row>
    <row r="277">
      <c r="A277" s="92">
        <v>33.0</v>
      </c>
      <c r="B277" s="92" t="s">
        <v>5965</v>
      </c>
      <c r="C277" s="92">
        <v>2.52610442E8</v>
      </c>
      <c r="D277" s="94" t="s">
        <v>5966</v>
      </c>
      <c r="E277" s="92" t="s">
        <v>227</v>
      </c>
    </row>
    <row r="278">
      <c r="A278" s="125">
        <v>34.0</v>
      </c>
      <c r="B278" s="360" t="s">
        <v>9318</v>
      </c>
      <c r="C278" s="125">
        <v>2.52610446E8</v>
      </c>
      <c r="D278" s="359" t="s">
        <v>9319</v>
      </c>
      <c r="E278" s="125" t="s">
        <v>227</v>
      </c>
    </row>
    <row r="279">
      <c r="A279" s="92">
        <v>35.0</v>
      </c>
      <c r="B279" s="92" t="s">
        <v>5968</v>
      </c>
      <c r="C279" s="92">
        <v>2.52610449E8</v>
      </c>
      <c r="D279" s="94" t="s">
        <v>5969</v>
      </c>
      <c r="E279" s="92" t="s">
        <v>220</v>
      </c>
    </row>
    <row r="280">
      <c r="A280" s="92">
        <v>36.0</v>
      </c>
      <c r="B280" s="92" t="s">
        <v>5971</v>
      </c>
      <c r="C280" s="92">
        <v>2.52610453E8</v>
      </c>
      <c r="D280" s="94" t="s">
        <v>5972</v>
      </c>
      <c r="E280" s="92" t="s">
        <v>220</v>
      </c>
    </row>
    <row r="281">
      <c r="A281" s="92">
        <v>39.0</v>
      </c>
      <c r="B281" s="92" t="s">
        <v>5974</v>
      </c>
      <c r="C281" s="92">
        <v>2.52610479E8</v>
      </c>
      <c r="D281" s="94" t="s">
        <v>5975</v>
      </c>
      <c r="E281" s="92" t="s">
        <v>220</v>
      </c>
    </row>
    <row r="282">
      <c r="A282" s="92">
        <v>40.0</v>
      </c>
      <c r="B282" s="92" t="s">
        <v>5977</v>
      </c>
      <c r="C282" s="92">
        <v>2.52610484E8</v>
      </c>
      <c r="D282" s="94" t="s">
        <v>5978</v>
      </c>
      <c r="E282" s="92" t="s">
        <v>227</v>
      </c>
    </row>
    <row r="283">
      <c r="A283" s="92">
        <v>41.0</v>
      </c>
      <c r="B283" s="92" t="s">
        <v>5980</v>
      </c>
      <c r="C283" s="92">
        <v>2.52610486E8</v>
      </c>
      <c r="D283" s="94" t="s">
        <v>5981</v>
      </c>
      <c r="E283" s="92" t="s">
        <v>227</v>
      </c>
    </row>
    <row r="284">
      <c r="A284" s="92">
        <v>42.0</v>
      </c>
      <c r="B284" s="92" t="s">
        <v>5983</v>
      </c>
      <c r="C284" s="92">
        <v>2.52610495E8</v>
      </c>
      <c r="D284" s="94" t="s">
        <v>5984</v>
      </c>
      <c r="E284" s="92" t="s">
        <v>227</v>
      </c>
    </row>
    <row r="285">
      <c r="A285" s="92">
        <v>43.0</v>
      </c>
      <c r="B285" s="92" t="s">
        <v>5986</v>
      </c>
      <c r="C285" s="92">
        <v>2.52610505E8</v>
      </c>
      <c r="D285" s="94" t="s">
        <v>5987</v>
      </c>
      <c r="E285" s="92" t="s">
        <v>227</v>
      </c>
    </row>
    <row r="286">
      <c r="A286" s="92">
        <v>44.0</v>
      </c>
      <c r="B286" s="92" t="s">
        <v>5989</v>
      </c>
      <c r="C286" s="92">
        <v>2.52610517E8</v>
      </c>
      <c r="D286" s="94" t="s">
        <v>5990</v>
      </c>
      <c r="E286" s="92" t="s">
        <v>227</v>
      </c>
    </row>
    <row r="287">
      <c r="A287" s="92">
        <v>45.0</v>
      </c>
      <c r="B287" s="92" t="s">
        <v>5992</v>
      </c>
      <c r="C287" s="92">
        <v>2.52610528E8</v>
      </c>
      <c r="D287" s="94" t="s">
        <v>5993</v>
      </c>
      <c r="E287" s="92" t="s">
        <v>220</v>
      </c>
    </row>
    <row r="288">
      <c r="A288" s="92">
        <v>46.0</v>
      </c>
      <c r="B288" s="92" t="s">
        <v>5995</v>
      </c>
      <c r="C288" s="92">
        <v>2.52610529E8</v>
      </c>
      <c r="D288" s="94" t="s">
        <v>5996</v>
      </c>
      <c r="E288" s="92" t="s">
        <v>227</v>
      </c>
    </row>
    <row r="289">
      <c r="A289" s="167"/>
      <c r="B289" s="167"/>
      <c r="C289" s="167"/>
      <c r="D289" s="167"/>
      <c r="E289" s="167"/>
    </row>
    <row r="290">
      <c r="A290" s="167"/>
      <c r="B290" s="167"/>
      <c r="C290" s="167"/>
      <c r="D290" s="94" t="s">
        <v>9262</v>
      </c>
      <c r="E290" s="124">
        <f>COUNTIF(E255:E288,"P")</f>
        <v>28</v>
      </c>
    </row>
    <row r="291">
      <c r="A291" s="167"/>
      <c r="B291" s="167"/>
      <c r="C291" s="167"/>
      <c r="D291" s="94" t="s">
        <v>9263</v>
      </c>
      <c r="E291" s="124">
        <f>COUNTIF(E255:E288,"L")</f>
        <v>6</v>
      </c>
    </row>
    <row r="292">
      <c r="A292" s="167"/>
      <c r="B292" s="167"/>
      <c r="C292" s="167"/>
      <c r="D292" s="167"/>
      <c r="E292" s="167"/>
    </row>
    <row r="293">
      <c r="A293" s="167"/>
      <c r="B293" s="167"/>
      <c r="C293" s="167"/>
      <c r="D293" s="167"/>
      <c r="E293" s="167"/>
    </row>
    <row r="294">
      <c r="A294" s="167" t="s">
        <v>9326</v>
      </c>
      <c r="B294" s="167"/>
      <c r="C294" s="167"/>
      <c r="D294" s="167"/>
      <c r="E294" s="167" t="s">
        <v>6000</v>
      </c>
    </row>
    <row r="295">
      <c r="A295" s="356" t="s">
        <v>9249</v>
      </c>
      <c r="B295" s="356" t="s">
        <v>9</v>
      </c>
      <c r="C295" s="356" t="s">
        <v>5246</v>
      </c>
      <c r="D295" s="356" t="s">
        <v>201</v>
      </c>
      <c r="E295" s="356" t="s">
        <v>13</v>
      </c>
    </row>
    <row r="296">
      <c r="A296" s="92">
        <v>1.0</v>
      </c>
      <c r="B296" s="92" t="s">
        <v>5998</v>
      </c>
      <c r="C296" s="92">
        <v>2.52610006E8</v>
      </c>
      <c r="D296" s="94" t="s">
        <v>5999</v>
      </c>
      <c r="E296" s="92" t="s">
        <v>227</v>
      </c>
    </row>
    <row r="297">
      <c r="A297" s="92">
        <v>2.0</v>
      </c>
      <c r="B297" s="92" t="s">
        <v>6003</v>
      </c>
      <c r="C297" s="92">
        <v>2.52610017E8</v>
      </c>
      <c r="D297" s="94" t="s">
        <v>6004</v>
      </c>
      <c r="E297" s="92" t="s">
        <v>220</v>
      </c>
    </row>
    <row r="298">
      <c r="A298" s="92">
        <v>3.0</v>
      </c>
      <c r="B298" s="92" t="s">
        <v>6007</v>
      </c>
      <c r="C298" s="92">
        <v>2.52610025E8</v>
      </c>
      <c r="D298" s="94" t="s">
        <v>6008</v>
      </c>
      <c r="E298" s="92" t="s">
        <v>227</v>
      </c>
    </row>
    <row r="299">
      <c r="A299" s="92">
        <v>4.0</v>
      </c>
      <c r="B299" s="92" t="s">
        <v>6010</v>
      </c>
      <c r="C299" s="92">
        <v>2.52610044E8</v>
      </c>
      <c r="D299" s="94" t="s">
        <v>6011</v>
      </c>
      <c r="E299" s="92" t="s">
        <v>227</v>
      </c>
    </row>
    <row r="300">
      <c r="A300" s="92">
        <v>5.0</v>
      </c>
      <c r="B300" s="92" t="s">
        <v>6013</v>
      </c>
      <c r="C300" s="92">
        <v>2.52610051E8</v>
      </c>
      <c r="D300" s="94" t="s">
        <v>6014</v>
      </c>
      <c r="E300" s="92" t="s">
        <v>227</v>
      </c>
    </row>
    <row r="301">
      <c r="A301" s="92">
        <v>6.0</v>
      </c>
      <c r="B301" s="92" t="s">
        <v>6016</v>
      </c>
      <c r="C301" s="92">
        <v>2.52610064E8</v>
      </c>
      <c r="D301" s="94" t="s">
        <v>6017</v>
      </c>
      <c r="E301" s="92" t="s">
        <v>227</v>
      </c>
    </row>
    <row r="302">
      <c r="A302" s="92">
        <v>7.0</v>
      </c>
      <c r="B302" s="92" t="s">
        <v>6019</v>
      </c>
      <c r="C302" s="92">
        <v>2.52610113E8</v>
      </c>
      <c r="D302" s="94" t="s">
        <v>6020</v>
      </c>
      <c r="E302" s="92" t="s">
        <v>220</v>
      </c>
    </row>
    <row r="303">
      <c r="A303" s="92">
        <v>8.0</v>
      </c>
      <c r="B303" s="92" t="s">
        <v>6022</v>
      </c>
      <c r="C303" s="92">
        <v>2.5261014E8</v>
      </c>
      <c r="D303" s="94" t="s">
        <v>6023</v>
      </c>
      <c r="E303" s="92" t="s">
        <v>227</v>
      </c>
    </row>
    <row r="304">
      <c r="A304" s="92">
        <v>9.0</v>
      </c>
      <c r="B304" s="92" t="s">
        <v>6025</v>
      </c>
      <c r="C304" s="92">
        <v>2.52610141E8</v>
      </c>
      <c r="D304" s="94" t="s">
        <v>6026</v>
      </c>
      <c r="E304" s="92" t="s">
        <v>227</v>
      </c>
    </row>
    <row r="305">
      <c r="A305" s="92">
        <v>10.0</v>
      </c>
      <c r="B305" s="92" t="s">
        <v>6028</v>
      </c>
      <c r="C305" s="92">
        <v>2.52610144E8</v>
      </c>
      <c r="D305" s="94" t="s">
        <v>6029</v>
      </c>
      <c r="E305" s="92" t="s">
        <v>220</v>
      </c>
    </row>
    <row r="306">
      <c r="A306" s="92">
        <v>11.0</v>
      </c>
      <c r="B306" s="92" t="s">
        <v>6031</v>
      </c>
      <c r="C306" s="92">
        <v>2.52610156E8</v>
      </c>
      <c r="D306" s="94" t="s">
        <v>6032</v>
      </c>
      <c r="E306" s="92" t="s">
        <v>227</v>
      </c>
    </row>
    <row r="307">
      <c r="A307" s="92">
        <v>12.0</v>
      </c>
      <c r="B307" s="92" t="s">
        <v>6034</v>
      </c>
      <c r="C307" s="92">
        <v>2.52610159E8</v>
      </c>
      <c r="D307" s="94" t="s">
        <v>6035</v>
      </c>
      <c r="E307" s="92" t="s">
        <v>227</v>
      </c>
    </row>
    <row r="308">
      <c r="A308" s="92">
        <v>13.0</v>
      </c>
      <c r="B308" s="92" t="s">
        <v>6037</v>
      </c>
      <c r="C308" s="92">
        <v>2.52610179E8</v>
      </c>
      <c r="D308" s="94" t="s">
        <v>6038</v>
      </c>
      <c r="E308" s="92" t="s">
        <v>227</v>
      </c>
    </row>
    <row r="309">
      <c r="A309" s="92">
        <v>15.0</v>
      </c>
      <c r="B309" s="92" t="s">
        <v>6040</v>
      </c>
      <c r="C309" s="92">
        <v>2.52610197E8</v>
      </c>
      <c r="D309" s="94" t="s">
        <v>6041</v>
      </c>
      <c r="E309" s="92" t="s">
        <v>220</v>
      </c>
    </row>
    <row r="310">
      <c r="A310" s="92">
        <v>16.0</v>
      </c>
      <c r="B310" s="92" t="s">
        <v>26</v>
      </c>
      <c r="C310" s="92">
        <v>2.526102E8</v>
      </c>
      <c r="D310" s="94" t="s">
        <v>6043</v>
      </c>
      <c r="E310" s="92" t="s">
        <v>220</v>
      </c>
    </row>
    <row r="311">
      <c r="A311" s="92">
        <v>17.0</v>
      </c>
      <c r="B311" s="92" t="s">
        <v>6045</v>
      </c>
      <c r="C311" s="92">
        <v>2.52610221E8</v>
      </c>
      <c r="D311" s="94" t="s">
        <v>6046</v>
      </c>
      <c r="E311" s="92" t="s">
        <v>227</v>
      </c>
    </row>
    <row r="312">
      <c r="A312" s="92">
        <v>18.0</v>
      </c>
      <c r="B312" s="92" t="s">
        <v>6048</v>
      </c>
      <c r="C312" s="92">
        <v>2.52610225E8</v>
      </c>
      <c r="D312" s="94" t="s">
        <v>6049</v>
      </c>
      <c r="E312" s="92" t="s">
        <v>220</v>
      </c>
    </row>
    <row r="313">
      <c r="A313" s="92">
        <v>19.0</v>
      </c>
      <c r="B313" s="92" t="s">
        <v>30</v>
      </c>
      <c r="C313" s="92">
        <v>2.52610252E8</v>
      </c>
      <c r="D313" s="94" t="s">
        <v>6051</v>
      </c>
      <c r="E313" s="92" t="s">
        <v>220</v>
      </c>
    </row>
    <row r="314">
      <c r="A314" s="92">
        <v>20.0</v>
      </c>
      <c r="B314" s="92" t="s">
        <v>6053</v>
      </c>
      <c r="C314" s="92">
        <v>2.52610254E8</v>
      </c>
      <c r="D314" s="94" t="s">
        <v>6054</v>
      </c>
      <c r="E314" s="92" t="s">
        <v>227</v>
      </c>
    </row>
    <row r="315">
      <c r="A315" s="92">
        <v>21.0</v>
      </c>
      <c r="B315" s="92" t="s">
        <v>6056</v>
      </c>
      <c r="C315" s="92">
        <v>2.52610264E8</v>
      </c>
      <c r="D315" s="94" t="s">
        <v>6057</v>
      </c>
      <c r="E315" s="92" t="s">
        <v>227</v>
      </c>
    </row>
    <row r="316">
      <c r="A316" s="92">
        <v>22.0</v>
      </c>
      <c r="B316" s="92" t="s">
        <v>6059</v>
      </c>
      <c r="C316" s="92">
        <v>2.52610268E8</v>
      </c>
      <c r="D316" s="94" t="s">
        <v>6060</v>
      </c>
      <c r="E316" s="92" t="s">
        <v>227</v>
      </c>
    </row>
    <row r="317">
      <c r="A317" s="92">
        <v>23.0</v>
      </c>
      <c r="B317" s="92" t="s">
        <v>6062</v>
      </c>
      <c r="C317" s="92">
        <v>2.52610284E8</v>
      </c>
      <c r="D317" s="94" t="s">
        <v>6063</v>
      </c>
      <c r="E317" s="92" t="s">
        <v>227</v>
      </c>
    </row>
    <row r="318">
      <c r="A318" s="92">
        <v>24.0</v>
      </c>
      <c r="B318" s="92" t="s">
        <v>6066</v>
      </c>
      <c r="C318" s="92">
        <v>2.52610291E8</v>
      </c>
      <c r="D318" s="94" t="s">
        <v>6067</v>
      </c>
      <c r="E318" s="92" t="s">
        <v>227</v>
      </c>
    </row>
    <row r="319">
      <c r="A319" s="92">
        <v>25.0</v>
      </c>
      <c r="B319" s="92" t="s">
        <v>6069</v>
      </c>
      <c r="C319" s="92">
        <v>2.526103E8</v>
      </c>
      <c r="D319" s="94" t="s">
        <v>6070</v>
      </c>
      <c r="E319" s="92" t="s">
        <v>220</v>
      </c>
    </row>
    <row r="320">
      <c r="A320" s="92">
        <v>26.0</v>
      </c>
      <c r="B320" s="92" t="s">
        <v>24</v>
      </c>
      <c r="C320" s="92">
        <v>2.52610318E8</v>
      </c>
      <c r="D320" s="94" t="s">
        <v>6072</v>
      </c>
      <c r="E320" s="92" t="s">
        <v>220</v>
      </c>
    </row>
    <row r="321">
      <c r="A321" s="92">
        <v>27.0</v>
      </c>
      <c r="B321" s="92" t="s">
        <v>29</v>
      </c>
      <c r="C321" s="92">
        <v>2.52610333E8</v>
      </c>
      <c r="D321" s="94" t="s">
        <v>6074</v>
      </c>
      <c r="E321" s="92" t="s">
        <v>220</v>
      </c>
    </row>
    <row r="322">
      <c r="A322" s="92">
        <v>28.0</v>
      </c>
      <c r="B322" s="92" t="s">
        <v>25</v>
      </c>
      <c r="C322" s="92">
        <v>2.5261034E8</v>
      </c>
      <c r="D322" s="94" t="s">
        <v>6076</v>
      </c>
      <c r="E322" s="92" t="s">
        <v>220</v>
      </c>
    </row>
    <row r="323">
      <c r="A323" s="92">
        <v>29.0</v>
      </c>
      <c r="B323" s="92" t="s">
        <v>6078</v>
      </c>
      <c r="C323" s="92">
        <v>2.52610345E8</v>
      </c>
      <c r="D323" s="94" t="s">
        <v>6079</v>
      </c>
      <c r="E323" s="92" t="s">
        <v>220</v>
      </c>
    </row>
    <row r="324">
      <c r="A324" s="92">
        <v>30.0</v>
      </c>
      <c r="B324" s="92" t="s">
        <v>20</v>
      </c>
      <c r="C324" s="92">
        <v>2.52610352E8</v>
      </c>
      <c r="D324" s="94" t="s">
        <v>6081</v>
      </c>
      <c r="E324" s="92" t="s">
        <v>220</v>
      </c>
    </row>
    <row r="325">
      <c r="A325" s="92">
        <v>31.0</v>
      </c>
      <c r="B325" s="92" t="s">
        <v>32</v>
      </c>
      <c r="C325" s="92">
        <v>2.52610354E8</v>
      </c>
      <c r="D325" s="94" t="s">
        <v>6083</v>
      </c>
      <c r="E325" s="92" t="s">
        <v>220</v>
      </c>
    </row>
    <row r="326">
      <c r="A326" s="92">
        <v>32.0</v>
      </c>
      <c r="B326" s="92" t="s">
        <v>6085</v>
      </c>
      <c r="C326" s="92">
        <v>2.52610383E8</v>
      </c>
      <c r="D326" s="94" t="s">
        <v>6086</v>
      </c>
      <c r="E326" s="92" t="s">
        <v>227</v>
      </c>
    </row>
    <row r="327">
      <c r="A327" s="92">
        <v>33.0</v>
      </c>
      <c r="B327" s="92" t="s">
        <v>6088</v>
      </c>
      <c r="C327" s="92">
        <v>2.52610389E8</v>
      </c>
      <c r="D327" s="94" t="s">
        <v>6089</v>
      </c>
      <c r="E327" s="92" t="s">
        <v>227</v>
      </c>
    </row>
    <row r="328">
      <c r="A328" s="92">
        <v>34.0</v>
      </c>
      <c r="B328" s="92" t="s">
        <v>6091</v>
      </c>
      <c r="C328" s="92">
        <v>2.52610404E8</v>
      </c>
      <c r="D328" s="94" t="s">
        <v>6092</v>
      </c>
      <c r="E328" s="92" t="s">
        <v>227</v>
      </c>
    </row>
    <row r="329">
      <c r="A329" s="92">
        <v>35.0</v>
      </c>
      <c r="B329" s="92" t="s">
        <v>6094</v>
      </c>
      <c r="C329" s="92">
        <v>2.52610409E8</v>
      </c>
      <c r="D329" s="94" t="s">
        <v>6095</v>
      </c>
      <c r="E329" s="92" t="s">
        <v>227</v>
      </c>
    </row>
    <row r="330">
      <c r="A330" s="92">
        <v>36.0</v>
      </c>
      <c r="B330" s="92" t="s">
        <v>6097</v>
      </c>
      <c r="C330" s="92">
        <v>2.52610428E8</v>
      </c>
      <c r="D330" s="94" t="s">
        <v>6098</v>
      </c>
      <c r="E330" s="92" t="s">
        <v>227</v>
      </c>
    </row>
    <row r="331">
      <c r="A331" s="92">
        <v>37.0</v>
      </c>
      <c r="B331" s="92" t="s">
        <v>6100</v>
      </c>
      <c r="C331" s="92">
        <v>2.52610464E8</v>
      </c>
      <c r="D331" s="94" t="s">
        <v>6101</v>
      </c>
      <c r="E331" s="92" t="s">
        <v>227</v>
      </c>
    </row>
    <row r="332">
      <c r="A332" s="92">
        <v>38.0</v>
      </c>
      <c r="B332" s="92" t="s">
        <v>6103</v>
      </c>
      <c r="C332" s="92">
        <v>2.52610466E8</v>
      </c>
      <c r="D332" s="94" t="s">
        <v>6104</v>
      </c>
      <c r="E332" s="92" t="s">
        <v>227</v>
      </c>
    </row>
    <row r="333">
      <c r="A333" s="92">
        <v>39.0</v>
      </c>
      <c r="B333" s="92" t="s">
        <v>6106</v>
      </c>
      <c r="C333" s="92">
        <v>2.52610468E8</v>
      </c>
      <c r="D333" s="94" t="s">
        <v>6107</v>
      </c>
      <c r="E333" s="92" t="s">
        <v>227</v>
      </c>
    </row>
    <row r="334">
      <c r="A334" s="92">
        <v>40.0</v>
      </c>
      <c r="B334" s="92" t="s">
        <v>6109</v>
      </c>
      <c r="C334" s="92">
        <v>2.52610491E8</v>
      </c>
      <c r="D334" s="94" t="s">
        <v>6110</v>
      </c>
      <c r="E334" s="92" t="s">
        <v>227</v>
      </c>
    </row>
    <row r="335">
      <c r="A335" s="92">
        <v>41.0</v>
      </c>
      <c r="B335" s="92" t="s">
        <v>28</v>
      </c>
      <c r="C335" s="92">
        <v>2.52610504E8</v>
      </c>
      <c r="D335" s="94" t="s">
        <v>6112</v>
      </c>
      <c r="E335" s="92" t="s">
        <v>220</v>
      </c>
    </row>
    <row r="336">
      <c r="A336" s="92">
        <v>42.0</v>
      </c>
      <c r="B336" s="92" t="s">
        <v>6114</v>
      </c>
      <c r="C336" s="92">
        <v>2.52610523E8</v>
      </c>
      <c r="D336" s="94" t="s">
        <v>6115</v>
      </c>
      <c r="E336" s="92" t="s">
        <v>227</v>
      </c>
    </row>
    <row r="337">
      <c r="A337" s="92">
        <v>43.0</v>
      </c>
      <c r="B337" s="92" t="s">
        <v>23</v>
      </c>
      <c r="C337" s="92">
        <v>2.52610525E8</v>
      </c>
      <c r="D337" s="94" t="s">
        <v>6117</v>
      </c>
      <c r="E337" s="92" t="s">
        <v>220</v>
      </c>
    </row>
    <row r="338">
      <c r="A338" s="92">
        <v>44.0</v>
      </c>
      <c r="B338" s="92" t="s">
        <v>6119</v>
      </c>
      <c r="C338" s="92">
        <v>2.52610527E8</v>
      </c>
      <c r="D338" s="94" t="s">
        <v>6120</v>
      </c>
      <c r="E338" s="92" t="s">
        <v>227</v>
      </c>
    </row>
    <row r="339">
      <c r="A339" s="92">
        <v>45.0</v>
      </c>
      <c r="B339" s="92" t="s">
        <v>6122</v>
      </c>
      <c r="C339" s="92">
        <v>2.52610532E8</v>
      </c>
      <c r="D339" s="94" t="s">
        <v>6123</v>
      </c>
      <c r="E339" s="92" t="s">
        <v>227</v>
      </c>
    </row>
    <row r="340">
      <c r="A340" s="92">
        <v>46.0</v>
      </c>
      <c r="B340" s="92" t="s">
        <v>31</v>
      </c>
      <c r="C340" s="92">
        <v>2.52610539E8</v>
      </c>
      <c r="D340" s="94" t="s">
        <v>6125</v>
      </c>
      <c r="E340" s="92" t="s">
        <v>220</v>
      </c>
    </row>
    <row r="341">
      <c r="A341" s="92">
        <v>47.0</v>
      </c>
      <c r="B341" s="92" t="s">
        <v>27</v>
      </c>
      <c r="C341" s="92">
        <v>2.52610547E8</v>
      </c>
      <c r="D341" s="94" t="s">
        <v>6127</v>
      </c>
      <c r="E341" s="92" t="s">
        <v>220</v>
      </c>
    </row>
    <row r="342">
      <c r="A342" s="92">
        <v>48.0</v>
      </c>
      <c r="B342" s="92" t="s">
        <v>6129</v>
      </c>
      <c r="C342" s="92">
        <v>2.52610559E8</v>
      </c>
      <c r="D342" s="94" t="s">
        <v>6130</v>
      </c>
      <c r="E342" s="92" t="s">
        <v>227</v>
      </c>
    </row>
    <row r="343">
      <c r="A343" s="167"/>
      <c r="B343" s="167"/>
      <c r="C343" s="167"/>
      <c r="D343" s="167"/>
      <c r="E343" s="167"/>
    </row>
    <row r="344">
      <c r="A344" s="167"/>
      <c r="B344" s="167"/>
      <c r="C344" s="167"/>
      <c r="D344" s="94" t="s">
        <v>9262</v>
      </c>
      <c r="E344" s="92">
        <f>COUNTIF(E296:E342,"P")</f>
        <v>29</v>
      </c>
    </row>
    <row r="345">
      <c r="A345" s="167"/>
      <c r="B345" s="167"/>
      <c r="C345" s="167"/>
      <c r="D345" s="94" t="s">
        <v>9263</v>
      </c>
      <c r="E345" s="92">
        <f>COUNTIF(E296:E342,"L")</f>
        <v>18</v>
      </c>
    </row>
    <row r="346">
      <c r="A346" s="167"/>
      <c r="B346" s="167"/>
      <c r="C346" s="167"/>
      <c r="D346" s="167"/>
      <c r="E346" s="167"/>
    </row>
    <row r="347">
      <c r="A347" s="167"/>
      <c r="B347" s="167"/>
      <c r="C347" s="167"/>
      <c r="D347" s="167"/>
      <c r="E347" s="167"/>
    </row>
    <row r="348">
      <c r="A348" s="167" t="s">
        <v>9329</v>
      </c>
      <c r="B348" s="167"/>
      <c r="C348" s="167"/>
      <c r="D348" s="167"/>
      <c r="E348" s="167" t="s">
        <v>6134</v>
      </c>
    </row>
    <row r="349">
      <c r="A349" s="356" t="s">
        <v>9249</v>
      </c>
      <c r="B349" s="356" t="s">
        <v>9</v>
      </c>
      <c r="C349" s="356" t="s">
        <v>5246</v>
      </c>
      <c r="D349" s="356" t="s">
        <v>201</v>
      </c>
      <c r="E349" s="356" t="s">
        <v>13</v>
      </c>
    </row>
    <row r="350">
      <c r="A350" s="92">
        <v>1.0</v>
      </c>
      <c r="B350" s="92" t="s">
        <v>6132</v>
      </c>
      <c r="C350" s="92">
        <v>2.52610007E8</v>
      </c>
      <c r="D350" s="94" t="s">
        <v>6133</v>
      </c>
      <c r="E350" s="92" t="s">
        <v>227</v>
      </c>
    </row>
    <row r="351">
      <c r="A351" s="92">
        <v>2.0</v>
      </c>
      <c r="B351" s="92" t="s">
        <v>6137</v>
      </c>
      <c r="C351" s="92">
        <v>2.52610028E8</v>
      </c>
      <c r="D351" s="94" t="s">
        <v>6138</v>
      </c>
      <c r="E351" s="92" t="s">
        <v>227</v>
      </c>
    </row>
    <row r="352">
      <c r="A352" s="92">
        <v>3.0</v>
      </c>
      <c r="B352" s="92" t="s">
        <v>6140</v>
      </c>
      <c r="C352" s="92">
        <v>2.52610035E8</v>
      </c>
      <c r="D352" s="94" t="s">
        <v>6141</v>
      </c>
      <c r="E352" s="92" t="s">
        <v>227</v>
      </c>
    </row>
    <row r="353">
      <c r="A353" s="92">
        <v>4.0</v>
      </c>
      <c r="B353" s="92" t="s">
        <v>6143</v>
      </c>
      <c r="C353" s="92">
        <v>2.5261004E8</v>
      </c>
      <c r="D353" s="94" t="s">
        <v>6144</v>
      </c>
      <c r="E353" s="92" t="s">
        <v>227</v>
      </c>
    </row>
    <row r="354">
      <c r="A354" s="92">
        <v>5.0</v>
      </c>
      <c r="B354" s="92" t="s">
        <v>6146</v>
      </c>
      <c r="C354" s="92">
        <v>2.52610041E8</v>
      </c>
      <c r="D354" s="94" t="s">
        <v>6147</v>
      </c>
      <c r="E354" s="92" t="s">
        <v>227</v>
      </c>
    </row>
    <row r="355">
      <c r="A355" s="92">
        <v>6.0</v>
      </c>
      <c r="B355" s="92" t="s">
        <v>6149</v>
      </c>
      <c r="C355" s="92">
        <v>2.52610061E8</v>
      </c>
      <c r="D355" s="94" t="s">
        <v>6150</v>
      </c>
      <c r="E355" s="92" t="s">
        <v>227</v>
      </c>
    </row>
    <row r="356">
      <c r="A356" s="92">
        <v>7.0</v>
      </c>
      <c r="B356" s="92" t="s">
        <v>6152</v>
      </c>
      <c r="C356" s="92">
        <v>2.52610077E8</v>
      </c>
      <c r="D356" s="94" t="s">
        <v>6153</v>
      </c>
      <c r="E356" s="92" t="s">
        <v>227</v>
      </c>
    </row>
    <row r="357">
      <c r="A357" s="92">
        <v>8.0</v>
      </c>
      <c r="B357" s="92" t="s">
        <v>6155</v>
      </c>
      <c r="C357" s="92">
        <v>2.52610097E8</v>
      </c>
      <c r="D357" s="94" t="s">
        <v>6156</v>
      </c>
      <c r="E357" s="92" t="s">
        <v>227</v>
      </c>
    </row>
    <row r="358">
      <c r="A358" s="92">
        <v>9.0</v>
      </c>
      <c r="B358" s="92" t="s">
        <v>6158</v>
      </c>
      <c r="C358" s="92">
        <v>2.52610108E8</v>
      </c>
      <c r="D358" s="94" t="s">
        <v>6159</v>
      </c>
      <c r="E358" s="92" t="s">
        <v>227</v>
      </c>
    </row>
    <row r="359">
      <c r="A359" s="92">
        <v>10.0</v>
      </c>
      <c r="B359" s="92" t="s">
        <v>6161</v>
      </c>
      <c r="C359" s="92">
        <v>2.52610118E8</v>
      </c>
      <c r="D359" s="94" t="s">
        <v>6162</v>
      </c>
      <c r="E359" s="92" t="s">
        <v>227</v>
      </c>
    </row>
    <row r="360">
      <c r="A360" s="92">
        <v>11.0</v>
      </c>
      <c r="B360" s="92" t="s">
        <v>6164</v>
      </c>
      <c r="C360" s="92">
        <v>2.52610125E8</v>
      </c>
      <c r="D360" s="94" t="s">
        <v>6165</v>
      </c>
      <c r="E360" s="92" t="s">
        <v>220</v>
      </c>
    </row>
    <row r="361">
      <c r="A361" s="92">
        <v>12.0</v>
      </c>
      <c r="B361" s="92" t="s">
        <v>6168</v>
      </c>
      <c r="C361" s="92">
        <v>2.52610151E8</v>
      </c>
      <c r="D361" s="94" t="s">
        <v>6169</v>
      </c>
      <c r="E361" s="92" t="s">
        <v>227</v>
      </c>
    </row>
    <row r="362">
      <c r="A362" s="92">
        <v>13.0</v>
      </c>
      <c r="B362" s="92" t="s">
        <v>6171</v>
      </c>
      <c r="C362" s="92">
        <v>2.5261016E8</v>
      </c>
      <c r="D362" s="94" t="s">
        <v>6172</v>
      </c>
      <c r="E362" s="92" t="s">
        <v>227</v>
      </c>
    </row>
    <row r="363">
      <c r="A363" s="92">
        <v>14.0</v>
      </c>
      <c r="B363" s="92" t="s">
        <v>6174</v>
      </c>
      <c r="C363" s="92">
        <v>2.52610161E8</v>
      </c>
      <c r="D363" s="94" t="s">
        <v>6175</v>
      </c>
      <c r="E363" s="92" t="s">
        <v>227</v>
      </c>
    </row>
    <row r="364">
      <c r="A364" s="92">
        <v>15.0</v>
      </c>
      <c r="B364" s="92" t="s">
        <v>6177</v>
      </c>
      <c r="C364" s="92">
        <v>2.5261017E8</v>
      </c>
      <c r="D364" s="94" t="s">
        <v>6178</v>
      </c>
      <c r="E364" s="92" t="s">
        <v>227</v>
      </c>
    </row>
    <row r="365">
      <c r="A365" s="92">
        <v>16.0</v>
      </c>
      <c r="B365" s="92" t="s">
        <v>6180</v>
      </c>
      <c r="C365" s="92">
        <v>2.52610174E8</v>
      </c>
      <c r="D365" s="94" t="s">
        <v>6181</v>
      </c>
      <c r="E365" s="125" t="s">
        <v>220</v>
      </c>
    </row>
    <row r="366">
      <c r="A366" s="92">
        <v>17.0</v>
      </c>
      <c r="B366" s="92" t="s">
        <v>6183</v>
      </c>
      <c r="C366" s="92">
        <v>2.52610199E8</v>
      </c>
      <c r="D366" s="94" t="s">
        <v>6184</v>
      </c>
      <c r="E366" s="92" t="s">
        <v>220</v>
      </c>
    </row>
    <row r="367">
      <c r="A367" s="92">
        <v>18.0</v>
      </c>
      <c r="B367" s="92" t="s">
        <v>6186</v>
      </c>
      <c r="C367" s="92">
        <v>2.52610203E8</v>
      </c>
      <c r="D367" s="94" t="s">
        <v>6187</v>
      </c>
      <c r="E367" s="92" t="s">
        <v>227</v>
      </c>
    </row>
    <row r="368">
      <c r="A368" s="92">
        <v>20.0</v>
      </c>
      <c r="B368" s="92" t="s">
        <v>6189</v>
      </c>
      <c r="C368" s="92">
        <v>2.52610255E8</v>
      </c>
      <c r="D368" s="94" t="s">
        <v>6190</v>
      </c>
      <c r="E368" s="92" t="s">
        <v>227</v>
      </c>
    </row>
    <row r="369">
      <c r="A369" s="92">
        <v>21.0</v>
      </c>
      <c r="B369" s="92" t="s">
        <v>6193</v>
      </c>
      <c r="C369" s="92">
        <v>2.52610265E8</v>
      </c>
      <c r="D369" s="94" t="s">
        <v>6194</v>
      </c>
      <c r="E369" s="92" t="s">
        <v>220</v>
      </c>
    </row>
    <row r="370">
      <c r="A370" s="92">
        <v>22.0</v>
      </c>
      <c r="B370" s="92" t="s">
        <v>6196</v>
      </c>
      <c r="C370" s="92">
        <v>2.52610293E8</v>
      </c>
      <c r="D370" s="94" t="s">
        <v>6197</v>
      </c>
      <c r="E370" s="92" t="s">
        <v>220</v>
      </c>
    </row>
    <row r="371">
      <c r="A371" s="92">
        <v>23.0</v>
      </c>
      <c r="B371" s="92" t="s">
        <v>6199</v>
      </c>
      <c r="C371" s="92">
        <v>2.52610314E8</v>
      </c>
      <c r="D371" s="94" t="s">
        <v>6200</v>
      </c>
      <c r="E371" s="92" t="s">
        <v>220</v>
      </c>
    </row>
    <row r="372">
      <c r="A372" s="92">
        <v>24.0</v>
      </c>
      <c r="B372" s="92" t="s">
        <v>6202</v>
      </c>
      <c r="C372" s="92">
        <v>2.52610317E8</v>
      </c>
      <c r="D372" s="94" t="s">
        <v>6203</v>
      </c>
      <c r="E372" s="92" t="s">
        <v>220</v>
      </c>
    </row>
    <row r="373">
      <c r="A373" s="92">
        <v>25.0</v>
      </c>
      <c r="B373" s="92" t="s">
        <v>6205</v>
      </c>
      <c r="C373" s="92">
        <v>2.52610321E8</v>
      </c>
      <c r="D373" s="94" t="s">
        <v>6206</v>
      </c>
      <c r="E373" s="92" t="s">
        <v>227</v>
      </c>
    </row>
    <row r="374">
      <c r="A374" s="92">
        <v>26.0</v>
      </c>
      <c r="B374" s="92" t="s">
        <v>6208</v>
      </c>
      <c r="C374" s="92">
        <v>2.52610324E8</v>
      </c>
      <c r="D374" s="94" t="s">
        <v>6209</v>
      </c>
      <c r="E374" s="92" t="s">
        <v>220</v>
      </c>
    </row>
    <row r="375">
      <c r="A375" s="92">
        <v>27.0</v>
      </c>
      <c r="B375" s="92" t="s">
        <v>6211</v>
      </c>
      <c r="C375" s="92">
        <v>2.52610326E8</v>
      </c>
      <c r="D375" s="94" t="s">
        <v>6212</v>
      </c>
      <c r="E375" s="92" t="s">
        <v>220</v>
      </c>
    </row>
    <row r="376">
      <c r="A376" s="92">
        <v>28.0</v>
      </c>
      <c r="B376" s="92" t="s">
        <v>6214</v>
      </c>
      <c r="C376" s="92">
        <v>2.52610349E8</v>
      </c>
      <c r="D376" s="94" t="s">
        <v>6215</v>
      </c>
      <c r="E376" s="92" t="s">
        <v>220</v>
      </c>
    </row>
    <row r="377">
      <c r="A377" s="92">
        <v>29.0</v>
      </c>
      <c r="B377" s="92" t="s">
        <v>6217</v>
      </c>
      <c r="C377" s="92">
        <v>2.5261035E8</v>
      </c>
      <c r="D377" s="94" t="s">
        <v>6218</v>
      </c>
      <c r="E377" s="92" t="s">
        <v>220</v>
      </c>
    </row>
    <row r="378">
      <c r="A378" s="92">
        <v>30.0</v>
      </c>
      <c r="B378" s="92" t="s">
        <v>6220</v>
      </c>
      <c r="C378" s="92">
        <v>2.52610353E8</v>
      </c>
      <c r="D378" s="94" t="s">
        <v>6221</v>
      </c>
      <c r="E378" s="92" t="s">
        <v>220</v>
      </c>
    </row>
    <row r="379">
      <c r="A379" s="92">
        <v>31.0</v>
      </c>
      <c r="B379" s="92" t="s">
        <v>6223</v>
      </c>
      <c r="C379" s="92">
        <v>2.52610364E8</v>
      </c>
      <c r="D379" s="94" t="s">
        <v>6224</v>
      </c>
      <c r="E379" s="92" t="s">
        <v>220</v>
      </c>
    </row>
    <row r="380">
      <c r="A380" s="92">
        <v>32.0</v>
      </c>
      <c r="B380" s="92" t="s">
        <v>6226</v>
      </c>
      <c r="C380" s="92">
        <v>2.52610376E8</v>
      </c>
      <c r="D380" s="94" t="s">
        <v>6227</v>
      </c>
      <c r="E380" s="92" t="s">
        <v>220</v>
      </c>
    </row>
    <row r="381">
      <c r="A381" s="92">
        <v>33.0</v>
      </c>
      <c r="B381" s="92" t="s">
        <v>6229</v>
      </c>
      <c r="C381" s="92">
        <v>2.52610392E8</v>
      </c>
      <c r="D381" s="94" t="s">
        <v>6230</v>
      </c>
      <c r="E381" s="92" t="s">
        <v>227</v>
      </c>
    </row>
    <row r="382">
      <c r="A382" s="92">
        <v>34.0</v>
      </c>
      <c r="B382" s="92" t="s">
        <v>6232</v>
      </c>
      <c r="C382" s="92">
        <v>2.52610395E8</v>
      </c>
      <c r="D382" s="94" t="s">
        <v>6233</v>
      </c>
      <c r="E382" s="92" t="s">
        <v>227</v>
      </c>
    </row>
    <row r="383">
      <c r="A383" s="92">
        <v>35.0</v>
      </c>
      <c r="B383" s="92" t="s">
        <v>6235</v>
      </c>
      <c r="C383" s="92">
        <v>2.52610399E8</v>
      </c>
      <c r="D383" s="94" t="s">
        <v>6236</v>
      </c>
      <c r="E383" s="92" t="s">
        <v>227</v>
      </c>
    </row>
    <row r="384">
      <c r="A384" s="92">
        <v>36.0</v>
      </c>
      <c r="B384" s="92" t="s">
        <v>6238</v>
      </c>
      <c r="C384" s="92">
        <v>2.52610408E8</v>
      </c>
      <c r="D384" s="94" t="s">
        <v>6239</v>
      </c>
      <c r="E384" s="92" t="s">
        <v>227</v>
      </c>
    </row>
    <row r="385">
      <c r="A385" s="92">
        <v>37.0</v>
      </c>
      <c r="B385" s="92" t="s">
        <v>6241</v>
      </c>
      <c r="C385" s="92">
        <v>2.52610413E8</v>
      </c>
      <c r="D385" s="94" t="s">
        <v>6242</v>
      </c>
      <c r="E385" s="92" t="s">
        <v>227</v>
      </c>
    </row>
    <row r="386">
      <c r="A386" s="92">
        <v>38.0</v>
      </c>
      <c r="B386" s="92" t="s">
        <v>6244</v>
      </c>
      <c r="C386" s="92">
        <v>2.5261042E8</v>
      </c>
      <c r="D386" s="94" t="s">
        <v>6245</v>
      </c>
      <c r="E386" s="92" t="s">
        <v>227</v>
      </c>
    </row>
    <row r="387">
      <c r="A387" s="92">
        <v>39.0</v>
      </c>
      <c r="B387" s="92" t="s">
        <v>6247</v>
      </c>
      <c r="C387" s="92">
        <v>2.52610421E8</v>
      </c>
      <c r="D387" s="94" t="s">
        <v>6248</v>
      </c>
      <c r="E387" s="92" t="s">
        <v>227</v>
      </c>
    </row>
    <row r="388">
      <c r="A388" s="92">
        <v>40.0</v>
      </c>
      <c r="B388" s="92" t="s">
        <v>6250</v>
      </c>
      <c r="C388" s="92">
        <v>2.52610444E8</v>
      </c>
      <c r="D388" s="94" t="s">
        <v>6251</v>
      </c>
      <c r="E388" s="92" t="s">
        <v>227</v>
      </c>
    </row>
    <row r="389">
      <c r="A389" s="92">
        <v>41.0</v>
      </c>
      <c r="B389" s="92" t="s">
        <v>6253</v>
      </c>
      <c r="C389" s="92">
        <v>2.52610445E8</v>
      </c>
      <c r="D389" s="94" t="s">
        <v>6254</v>
      </c>
      <c r="E389" s="92" t="s">
        <v>227</v>
      </c>
    </row>
    <row r="390">
      <c r="A390" s="92">
        <v>42.0</v>
      </c>
      <c r="B390" s="92" t="s">
        <v>6256</v>
      </c>
      <c r="C390" s="92">
        <v>2.52610463E8</v>
      </c>
      <c r="D390" s="94" t="s">
        <v>6257</v>
      </c>
      <c r="E390" s="92" t="s">
        <v>220</v>
      </c>
    </row>
    <row r="391">
      <c r="A391" s="92">
        <v>43.0</v>
      </c>
      <c r="B391" s="92" t="s">
        <v>6259</v>
      </c>
      <c r="C391" s="92">
        <v>2.5261047E8</v>
      </c>
      <c r="D391" s="94" t="s">
        <v>6260</v>
      </c>
      <c r="E391" s="92" t="s">
        <v>220</v>
      </c>
    </row>
    <row r="392">
      <c r="A392" s="92">
        <v>44.0</v>
      </c>
      <c r="B392" s="92" t="s">
        <v>6262</v>
      </c>
      <c r="C392" s="92">
        <v>2.526105E8</v>
      </c>
      <c r="D392" s="94" t="s">
        <v>6263</v>
      </c>
      <c r="E392" s="92" t="s">
        <v>220</v>
      </c>
    </row>
    <row r="393">
      <c r="A393" s="92">
        <v>45.0</v>
      </c>
      <c r="B393" s="92" t="s">
        <v>6265</v>
      </c>
      <c r="C393" s="92">
        <v>2.52610522E8</v>
      </c>
      <c r="D393" s="94" t="s">
        <v>6266</v>
      </c>
      <c r="E393" s="92" t="s">
        <v>227</v>
      </c>
    </row>
    <row r="394">
      <c r="A394" s="92">
        <v>46.0</v>
      </c>
      <c r="B394" s="92" t="s">
        <v>6268</v>
      </c>
      <c r="C394" s="92">
        <v>2.52610536E8</v>
      </c>
      <c r="D394" s="94" t="s">
        <v>6269</v>
      </c>
      <c r="E394" s="92" t="s">
        <v>227</v>
      </c>
    </row>
    <row r="395">
      <c r="A395" s="92">
        <v>47.0</v>
      </c>
      <c r="B395" s="92" t="s">
        <v>6271</v>
      </c>
      <c r="C395" s="92">
        <v>2.52610548E8</v>
      </c>
      <c r="D395" s="94" t="s">
        <v>6272</v>
      </c>
      <c r="E395" s="92" t="s">
        <v>227</v>
      </c>
    </row>
    <row r="396">
      <c r="A396" s="92">
        <v>48.0</v>
      </c>
      <c r="B396" s="92" t="s">
        <v>6274</v>
      </c>
      <c r="C396" s="92">
        <v>2.52610558E8</v>
      </c>
      <c r="D396" s="94" t="s">
        <v>6275</v>
      </c>
      <c r="E396" s="92" t="s">
        <v>220</v>
      </c>
    </row>
    <row r="397">
      <c r="A397" s="167"/>
      <c r="B397" s="167"/>
      <c r="C397" s="167"/>
      <c r="D397" s="167"/>
      <c r="E397" s="167"/>
    </row>
    <row r="398">
      <c r="A398" s="167"/>
      <c r="B398" s="167"/>
      <c r="C398" s="167"/>
      <c r="D398" s="94" t="s">
        <v>9262</v>
      </c>
      <c r="E398" s="92">
        <f>COUNTIF(E350:E396,"P")</f>
        <v>29</v>
      </c>
    </row>
    <row r="399">
      <c r="A399" s="167"/>
      <c r="B399" s="167"/>
      <c r="C399" s="167"/>
      <c r="D399" s="94" t="s">
        <v>9263</v>
      </c>
      <c r="E399" s="92">
        <f>COUNTIF(E350:E396,"L")</f>
        <v>18</v>
      </c>
    </row>
    <row r="400">
      <c r="A400" s="167"/>
      <c r="B400" s="167"/>
      <c r="C400" s="167"/>
      <c r="D400" s="167"/>
      <c r="E400" s="167"/>
    </row>
    <row r="401">
      <c r="A401" s="167"/>
      <c r="B401" s="167"/>
      <c r="C401" s="167"/>
      <c r="D401" s="167"/>
      <c r="E401" s="167"/>
    </row>
    <row r="402">
      <c r="A402" s="167" t="s">
        <v>8874</v>
      </c>
      <c r="B402" s="167"/>
      <c r="C402" s="167"/>
      <c r="D402" s="167"/>
      <c r="E402" s="167" t="s">
        <v>6279</v>
      </c>
    </row>
    <row r="403">
      <c r="A403" s="356" t="s">
        <v>9249</v>
      </c>
      <c r="B403" s="356" t="s">
        <v>9</v>
      </c>
      <c r="C403" s="356" t="s">
        <v>5246</v>
      </c>
      <c r="D403" s="356" t="s">
        <v>201</v>
      </c>
      <c r="E403" s="356" t="s">
        <v>13</v>
      </c>
    </row>
    <row r="404">
      <c r="A404" s="92">
        <v>1.0</v>
      </c>
      <c r="B404" s="92" t="s">
        <v>6277</v>
      </c>
      <c r="C404" s="92">
        <v>2.52610003E8</v>
      </c>
      <c r="D404" s="94" t="s">
        <v>6278</v>
      </c>
      <c r="E404" s="92" t="s">
        <v>220</v>
      </c>
    </row>
    <row r="405">
      <c r="A405" s="92">
        <v>2.0</v>
      </c>
      <c r="B405" s="92" t="s">
        <v>6281</v>
      </c>
      <c r="C405" s="92">
        <v>2.52610019E8</v>
      </c>
      <c r="D405" s="94" t="s">
        <v>6282</v>
      </c>
      <c r="E405" s="92" t="s">
        <v>220</v>
      </c>
    </row>
    <row r="406">
      <c r="A406" s="92">
        <v>3.0</v>
      </c>
      <c r="B406" s="92" t="s">
        <v>6284</v>
      </c>
      <c r="C406" s="92">
        <v>2.52610027E8</v>
      </c>
      <c r="D406" s="94" t="s">
        <v>6285</v>
      </c>
      <c r="E406" s="92" t="s">
        <v>227</v>
      </c>
    </row>
    <row r="407">
      <c r="A407" s="92">
        <v>4.0</v>
      </c>
      <c r="B407" s="92" t="s">
        <v>6288</v>
      </c>
      <c r="C407" s="92">
        <v>2.52610071E8</v>
      </c>
      <c r="D407" s="94" t="s">
        <v>6289</v>
      </c>
      <c r="E407" s="92" t="s">
        <v>227</v>
      </c>
    </row>
    <row r="408">
      <c r="A408" s="92">
        <v>5.0</v>
      </c>
      <c r="B408" s="92" t="s">
        <v>6291</v>
      </c>
      <c r="C408" s="92">
        <v>2.52610073E8</v>
      </c>
      <c r="D408" s="94" t="s">
        <v>6292</v>
      </c>
      <c r="E408" s="92" t="s">
        <v>227</v>
      </c>
    </row>
    <row r="409">
      <c r="A409" s="92">
        <v>6.0</v>
      </c>
      <c r="B409" s="92" t="s">
        <v>6294</v>
      </c>
      <c r="C409" s="92">
        <v>2.52610078E8</v>
      </c>
      <c r="D409" s="94" t="s">
        <v>6295</v>
      </c>
      <c r="E409" s="92" t="s">
        <v>220</v>
      </c>
    </row>
    <row r="410">
      <c r="A410" s="92">
        <v>7.0</v>
      </c>
      <c r="B410" s="92" t="s">
        <v>6298</v>
      </c>
      <c r="C410" s="92">
        <v>2.52610086E8</v>
      </c>
      <c r="D410" s="94" t="s">
        <v>6299</v>
      </c>
      <c r="E410" s="92" t="s">
        <v>227</v>
      </c>
    </row>
    <row r="411">
      <c r="A411" s="92">
        <v>8.0</v>
      </c>
      <c r="B411" s="92" t="s">
        <v>6301</v>
      </c>
      <c r="C411" s="92">
        <v>2.52610092E8</v>
      </c>
      <c r="D411" s="94" t="s">
        <v>6302</v>
      </c>
      <c r="E411" s="92" t="s">
        <v>220</v>
      </c>
    </row>
    <row r="412">
      <c r="A412" s="92">
        <v>9.0</v>
      </c>
      <c r="B412" s="92" t="s">
        <v>6304</v>
      </c>
      <c r="C412" s="92">
        <v>2.52610095E8</v>
      </c>
      <c r="D412" s="94" t="s">
        <v>6305</v>
      </c>
      <c r="E412" s="92" t="s">
        <v>227</v>
      </c>
    </row>
    <row r="413">
      <c r="A413" s="92">
        <v>10.0</v>
      </c>
      <c r="B413" s="92" t="s">
        <v>6307</v>
      </c>
      <c r="C413" s="92">
        <v>2.52610117E8</v>
      </c>
      <c r="D413" s="94" t="s">
        <v>6308</v>
      </c>
      <c r="E413" s="92" t="s">
        <v>227</v>
      </c>
    </row>
    <row r="414">
      <c r="A414" s="92">
        <v>11.0</v>
      </c>
      <c r="B414" s="92" t="s">
        <v>6310</v>
      </c>
      <c r="C414" s="92">
        <v>2.52610133E8</v>
      </c>
      <c r="D414" s="94" t="s">
        <v>6311</v>
      </c>
      <c r="E414" s="92" t="s">
        <v>227</v>
      </c>
    </row>
    <row r="415">
      <c r="A415" s="92">
        <v>12.0</v>
      </c>
      <c r="B415" s="92" t="s">
        <v>6313</v>
      </c>
      <c r="C415" s="92">
        <v>2.52610135E8</v>
      </c>
      <c r="D415" s="94" t="s">
        <v>6314</v>
      </c>
      <c r="E415" s="92" t="s">
        <v>220</v>
      </c>
    </row>
    <row r="416">
      <c r="A416" s="92">
        <v>13.0</v>
      </c>
      <c r="B416" s="92" t="s">
        <v>6316</v>
      </c>
      <c r="C416" s="92">
        <v>2.52610146E8</v>
      </c>
      <c r="D416" s="94" t="s">
        <v>6317</v>
      </c>
      <c r="E416" s="92" t="s">
        <v>227</v>
      </c>
    </row>
    <row r="417">
      <c r="A417" s="92">
        <v>14.0</v>
      </c>
      <c r="B417" s="92" t="s">
        <v>6319</v>
      </c>
      <c r="C417" s="92">
        <v>2.52610178E8</v>
      </c>
      <c r="D417" s="94" t="s">
        <v>6320</v>
      </c>
      <c r="E417" s="92" t="s">
        <v>227</v>
      </c>
    </row>
    <row r="418">
      <c r="A418" s="92">
        <v>15.0</v>
      </c>
      <c r="B418" s="92" t="s">
        <v>6322</v>
      </c>
      <c r="C418" s="92">
        <v>2.52610211E8</v>
      </c>
      <c r="D418" s="94" t="s">
        <v>6323</v>
      </c>
      <c r="E418" s="92" t="s">
        <v>220</v>
      </c>
    </row>
    <row r="419">
      <c r="A419" s="92">
        <v>16.0</v>
      </c>
      <c r="B419" s="92" t="s">
        <v>6325</v>
      </c>
      <c r="C419" s="92">
        <v>2.52610212E8</v>
      </c>
      <c r="D419" s="94" t="s">
        <v>6326</v>
      </c>
      <c r="E419" s="92" t="s">
        <v>227</v>
      </c>
    </row>
    <row r="420">
      <c r="A420" s="92">
        <v>17.0</v>
      </c>
      <c r="B420" s="92" t="s">
        <v>6328</v>
      </c>
      <c r="C420" s="92">
        <v>2.5261022E8</v>
      </c>
      <c r="D420" s="94" t="s">
        <v>6329</v>
      </c>
      <c r="E420" s="92" t="s">
        <v>227</v>
      </c>
    </row>
    <row r="421">
      <c r="A421" s="92">
        <v>18.0</v>
      </c>
      <c r="B421" s="92" t="s">
        <v>6331</v>
      </c>
      <c r="C421" s="92">
        <v>2.52610231E8</v>
      </c>
      <c r="D421" s="94" t="s">
        <v>6332</v>
      </c>
      <c r="E421" s="92" t="s">
        <v>220</v>
      </c>
    </row>
    <row r="422">
      <c r="A422" s="92">
        <v>19.0</v>
      </c>
      <c r="B422" s="92" t="s">
        <v>6334</v>
      </c>
      <c r="C422" s="92">
        <v>2.52610232E8</v>
      </c>
      <c r="D422" s="94" t="s">
        <v>6335</v>
      </c>
      <c r="E422" s="92" t="s">
        <v>220</v>
      </c>
    </row>
    <row r="423">
      <c r="A423" s="92">
        <v>20.0</v>
      </c>
      <c r="B423" s="92" t="s">
        <v>6337</v>
      </c>
      <c r="C423" s="92">
        <v>2.52610236E8</v>
      </c>
      <c r="D423" s="94" t="s">
        <v>6338</v>
      </c>
      <c r="E423" s="92" t="s">
        <v>227</v>
      </c>
    </row>
    <row r="424">
      <c r="A424" s="92">
        <v>21.0</v>
      </c>
      <c r="B424" s="92" t="s">
        <v>6340</v>
      </c>
      <c r="C424" s="92">
        <v>2.5261024E8</v>
      </c>
      <c r="D424" s="94" t="s">
        <v>6341</v>
      </c>
      <c r="E424" s="92" t="s">
        <v>220</v>
      </c>
    </row>
    <row r="425">
      <c r="A425" s="92">
        <v>22.0</v>
      </c>
      <c r="B425" s="92" t="s">
        <v>6343</v>
      </c>
      <c r="C425" s="92">
        <v>2.52610248E8</v>
      </c>
      <c r="D425" s="94" t="s">
        <v>6344</v>
      </c>
      <c r="E425" s="92" t="s">
        <v>227</v>
      </c>
    </row>
    <row r="426">
      <c r="A426" s="92">
        <v>23.0</v>
      </c>
      <c r="B426" s="92" t="s">
        <v>6346</v>
      </c>
      <c r="C426" s="92">
        <v>2.52610256E8</v>
      </c>
      <c r="D426" s="94" t="s">
        <v>6347</v>
      </c>
      <c r="E426" s="92" t="s">
        <v>227</v>
      </c>
    </row>
    <row r="427">
      <c r="A427" s="92">
        <v>24.0</v>
      </c>
      <c r="B427" s="92" t="s">
        <v>6350</v>
      </c>
      <c r="C427" s="92">
        <v>2.52610263E8</v>
      </c>
      <c r="D427" s="94" t="s">
        <v>6351</v>
      </c>
      <c r="E427" s="92" t="s">
        <v>227</v>
      </c>
    </row>
    <row r="428">
      <c r="A428" s="92">
        <v>25.0</v>
      </c>
      <c r="B428" s="92" t="s">
        <v>6353</v>
      </c>
      <c r="C428" s="92">
        <v>2.52610297E8</v>
      </c>
      <c r="D428" s="94" t="s">
        <v>6354</v>
      </c>
      <c r="E428" s="92" t="s">
        <v>227</v>
      </c>
    </row>
    <row r="429">
      <c r="A429" s="92">
        <v>26.0</v>
      </c>
      <c r="B429" s="92" t="s">
        <v>6356</v>
      </c>
      <c r="C429" s="92">
        <v>2.52610325E8</v>
      </c>
      <c r="D429" s="94" t="s">
        <v>6357</v>
      </c>
      <c r="E429" s="92" t="s">
        <v>220</v>
      </c>
    </row>
    <row r="430">
      <c r="A430" s="92">
        <v>27.0</v>
      </c>
      <c r="B430" s="92" t="s">
        <v>6359</v>
      </c>
      <c r="C430" s="92">
        <v>2.52610337E8</v>
      </c>
      <c r="D430" s="94" t="s">
        <v>6360</v>
      </c>
      <c r="E430" s="92" t="s">
        <v>220</v>
      </c>
    </row>
    <row r="431">
      <c r="A431" s="92">
        <v>28.0</v>
      </c>
      <c r="B431" s="92" t="s">
        <v>6362</v>
      </c>
      <c r="C431" s="92">
        <v>2.52610341E8</v>
      </c>
      <c r="D431" s="94" t="s">
        <v>6363</v>
      </c>
      <c r="E431" s="92" t="s">
        <v>220</v>
      </c>
    </row>
    <row r="432">
      <c r="A432" s="92">
        <v>29.0</v>
      </c>
      <c r="B432" s="92" t="s">
        <v>6365</v>
      </c>
      <c r="C432" s="92">
        <v>2.52610344E8</v>
      </c>
      <c r="D432" s="94" t="s">
        <v>6366</v>
      </c>
      <c r="E432" s="92" t="s">
        <v>220</v>
      </c>
    </row>
    <row r="433">
      <c r="A433" s="92">
        <v>30.0</v>
      </c>
      <c r="B433" s="92" t="s">
        <v>6368</v>
      </c>
      <c r="C433" s="92">
        <v>2.52610347E8</v>
      </c>
      <c r="D433" s="94" t="s">
        <v>6369</v>
      </c>
      <c r="E433" s="92" t="s">
        <v>220</v>
      </c>
    </row>
    <row r="434">
      <c r="A434" s="92">
        <v>31.0</v>
      </c>
      <c r="B434" s="92" t="s">
        <v>6371</v>
      </c>
      <c r="C434" s="92">
        <v>2.52610358E8</v>
      </c>
      <c r="D434" s="94" t="s">
        <v>6372</v>
      </c>
      <c r="E434" s="92" t="s">
        <v>220</v>
      </c>
    </row>
    <row r="435">
      <c r="A435" s="92">
        <v>32.0</v>
      </c>
      <c r="B435" s="92" t="s">
        <v>6374</v>
      </c>
      <c r="C435" s="92">
        <v>2.52610368E8</v>
      </c>
      <c r="D435" s="94" t="s">
        <v>6375</v>
      </c>
      <c r="E435" s="92" t="s">
        <v>220</v>
      </c>
    </row>
    <row r="436">
      <c r="A436" s="92">
        <v>33.0</v>
      </c>
      <c r="B436" s="92" t="s">
        <v>6377</v>
      </c>
      <c r="C436" s="92">
        <v>2.52610372E8</v>
      </c>
      <c r="D436" s="94" t="s">
        <v>6378</v>
      </c>
      <c r="E436" s="92" t="s">
        <v>220</v>
      </c>
    </row>
    <row r="437">
      <c r="A437" s="92">
        <v>34.0</v>
      </c>
      <c r="B437" s="92" t="s">
        <v>6380</v>
      </c>
      <c r="C437" s="92">
        <v>2.52610397E8</v>
      </c>
      <c r="D437" s="94" t="s">
        <v>6381</v>
      </c>
      <c r="E437" s="92" t="s">
        <v>220</v>
      </c>
    </row>
    <row r="438">
      <c r="A438" s="92">
        <v>35.0</v>
      </c>
      <c r="B438" s="92" t="s">
        <v>6383</v>
      </c>
      <c r="C438" s="92">
        <v>2.52610398E8</v>
      </c>
      <c r="D438" s="94" t="s">
        <v>6384</v>
      </c>
      <c r="E438" s="92" t="s">
        <v>227</v>
      </c>
    </row>
    <row r="439">
      <c r="A439" s="92">
        <v>36.0</v>
      </c>
      <c r="B439" s="92" t="s">
        <v>6386</v>
      </c>
      <c r="C439" s="92">
        <v>2.52610425E8</v>
      </c>
      <c r="D439" s="94" t="s">
        <v>6387</v>
      </c>
      <c r="E439" s="92" t="s">
        <v>227</v>
      </c>
    </row>
    <row r="440">
      <c r="A440" s="92">
        <v>37.0</v>
      </c>
      <c r="B440" s="92" t="s">
        <v>6389</v>
      </c>
      <c r="C440" s="92">
        <v>2.52610441E8</v>
      </c>
      <c r="D440" s="94" t="s">
        <v>6390</v>
      </c>
      <c r="E440" s="92" t="s">
        <v>227</v>
      </c>
    </row>
    <row r="441">
      <c r="A441" s="92">
        <v>38.0</v>
      </c>
      <c r="B441" s="92" t="s">
        <v>6392</v>
      </c>
      <c r="C441" s="92">
        <v>2.52610457E8</v>
      </c>
      <c r="D441" s="94" t="s">
        <v>6393</v>
      </c>
      <c r="E441" s="92" t="s">
        <v>227</v>
      </c>
    </row>
    <row r="442">
      <c r="A442" s="92">
        <v>39.0</v>
      </c>
      <c r="B442" s="92" t="s">
        <v>6395</v>
      </c>
      <c r="C442" s="92">
        <v>2.5261046E8</v>
      </c>
      <c r="D442" s="94" t="s">
        <v>6396</v>
      </c>
      <c r="E442" s="92" t="s">
        <v>220</v>
      </c>
    </row>
    <row r="443">
      <c r="A443" s="92">
        <v>40.0</v>
      </c>
      <c r="B443" s="92" t="s">
        <v>6398</v>
      </c>
      <c r="C443" s="92">
        <v>2.52610465E8</v>
      </c>
      <c r="D443" s="94" t="s">
        <v>6399</v>
      </c>
      <c r="E443" s="92" t="s">
        <v>227</v>
      </c>
    </row>
    <row r="444">
      <c r="A444" s="92">
        <v>41.0</v>
      </c>
      <c r="B444" s="92" t="s">
        <v>6401</v>
      </c>
      <c r="C444" s="92">
        <v>2.52610473E8</v>
      </c>
      <c r="D444" s="94" t="s">
        <v>6402</v>
      </c>
      <c r="E444" s="92" t="s">
        <v>227</v>
      </c>
    </row>
    <row r="445">
      <c r="A445" s="92">
        <v>42.0</v>
      </c>
      <c r="B445" s="92" t="s">
        <v>6404</v>
      </c>
      <c r="C445" s="92">
        <v>2.52610487E8</v>
      </c>
      <c r="D445" s="94" t="s">
        <v>6405</v>
      </c>
      <c r="E445" s="92" t="s">
        <v>220</v>
      </c>
    </row>
    <row r="446">
      <c r="A446" s="92">
        <v>43.0</v>
      </c>
      <c r="B446" s="92" t="s">
        <v>6407</v>
      </c>
      <c r="C446" s="92">
        <v>2.52610511E8</v>
      </c>
      <c r="D446" s="94" t="s">
        <v>6408</v>
      </c>
      <c r="E446" s="92" t="s">
        <v>227</v>
      </c>
    </row>
    <row r="447">
      <c r="A447" s="92">
        <v>44.0</v>
      </c>
      <c r="B447" s="92" t="s">
        <v>6410</v>
      </c>
      <c r="C447" s="92">
        <v>2.5261053E8</v>
      </c>
      <c r="D447" s="94" t="s">
        <v>6411</v>
      </c>
      <c r="E447" s="92" t="s">
        <v>227</v>
      </c>
    </row>
    <row r="448">
      <c r="A448" s="92">
        <v>45.0</v>
      </c>
      <c r="B448" s="92" t="s">
        <v>6413</v>
      </c>
      <c r="C448" s="92">
        <v>2.52610537E8</v>
      </c>
      <c r="D448" s="94" t="s">
        <v>6414</v>
      </c>
      <c r="E448" s="92" t="s">
        <v>227</v>
      </c>
    </row>
    <row r="449">
      <c r="A449" s="92">
        <v>46.0</v>
      </c>
      <c r="B449" s="92" t="s">
        <v>6416</v>
      </c>
      <c r="C449" s="92">
        <v>2.52610542E8</v>
      </c>
      <c r="D449" s="94" t="s">
        <v>6417</v>
      </c>
      <c r="E449" s="92" t="s">
        <v>227</v>
      </c>
    </row>
    <row r="450">
      <c r="A450" s="167"/>
      <c r="B450" s="167"/>
      <c r="C450" s="167"/>
      <c r="D450" s="167"/>
      <c r="E450" s="167"/>
    </row>
    <row r="451">
      <c r="A451" s="167"/>
      <c r="B451" s="167"/>
      <c r="C451" s="167"/>
      <c r="D451" s="94" t="s">
        <v>9262</v>
      </c>
      <c r="E451" s="92">
        <f>COUNTIF(E404:E449,"P")</f>
        <v>26</v>
      </c>
    </row>
    <row r="452">
      <c r="A452" s="167"/>
      <c r="B452" s="167"/>
      <c r="C452" s="167"/>
      <c r="D452" s="94" t="s">
        <v>9263</v>
      </c>
      <c r="E452" s="92">
        <f>COUNTIF(E403:E449,"L")</f>
        <v>20</v>
      </c>
    </row>
    <row r="453">
      <c r="A453" s="167"/>
      <c r="B453" s="167"/>
      <c r="C453" s="167"/>
      <c r="D453" s="167"/>
      <c r="E453" s="167"/>
    </row>
    <row r="454">
      <c r="A454" s="167"/>
      <c r="B454" s="167"/>
      <c r="C454" s="167"/>
      <c r="D454" s="167"/>
      <c r="E454" s="167"/>
    </row>
    <row r="455">
      <c r="A455" s="167" t="s">
        <v>9332</v>
      </c>
      <c r="B455" s="167"/>
      <c r="C455" s="167"/>
      <c r="D455" s="167"/>
      <c r="E455" s="167" t="s">
        <v>6421</v>
      </c>
    </row>
    <row r="456">
      <c r="A456" s="356" t="s">
        <v>9249</v>
      </c>
      <c r="B456" s="356" t="s">
        <v>9</v>
      </c>
      <c r="C456" s="356" t="s">
        <v>5246</v>
      </c>
      <c r="D456" s="356" t="s">
        <v>201</v>
      </c>
      <c r="E456" s="356" t="s">
        <v>13</v>
      </c>
    </row>
    <row r="457">
      <c r="A457" s="92">
        <v>1.0</v>
      </c>
      <c r="B457" s="92" t="s">
        <v>6419</v>
      </c>
      <c r="C457" s="92">
        <v>2.52610001E8</v>
      </c>
      <c r="D457" s="94" t="s">
        <v>6420</v>
      </c>
      <c r="E457" s="92" t="s">
        <v>220</v>
      </c>
    </row>
    <row r="458">
      <c r="A458" s="92">
        <v>2.0</v>
      </c>
      <c r="B458" s="92" t="s">
        <v>6423</v>
      </c>
      <c r="C458" s="92">
        <v>2.52610012E8</v>
      </c>
      <c r="D458" s="94" t="s">
        <v>6424</v>
      </c>
      <c r="E458" s="92" t="s">
        <v>220</v>
      </c>
    </row>
    <row r="459">
      <c r="A459" s="92">
        <v>3.0</v>
      </c>
      <c r="B459" s="92" t="s">
        <v>6427</v>
      </c>
      <c r="C459" s="92">
        <v>2.52610014E8</v>
      </c>
      <c r="D459" s="94" t="s">
        <v>6428</v>
      </c>
      <c r="E459" s="125" t="s">
        <v>220</v>
      </c>
    </row>
    <row r="460">
      <c r="A460" s="92">
        <v>4.0</v>
      </c>
      <c r="B460" s="92" t="s">
        <v>6430</v>
      </c>
      <c r="C460" s="92">
        <v>2.5261002E8</v>
      </c>
      <c r="D460" s="94" t="s">
        <v>6431</v>
      </c>
      <c r="E460" s="92" t="s">
        <v>220</v>
      </c>
    </row>
    <row r="461">
      <c r="A461" s="92">
        <v>5.0</v>
      </c>
      <c r="B461" s="92" t="s">
        <v>6433</v>
      </c>
      <c r="C461" s="92">
        <v>2.52610032E8</v>
      </c>
      <c r="D461" s="94" t="s">
        <v>6434</v>
      </c>
      <c r="E461" s="92" t="s">
        <v>220</v>
      </c>
    </row>
    <row r="462">
      <c r="A462" s="92">
        <v>6.0</v>
      </c>
      <c r="B462" s="92" t="s">
        <v>6436</v>
      </c>
      <c r="C462" s="92">
        <v>2.52610037E8</v>
      </c>
      <c r="D462" s="94" t="s">
        <v>6437</v>
      </c>
      <c r="E462" s="92" t="s">
        <v>227</v>
      </c>
    </row>
    <row r="463">
      <c r="A463" s="92">
        <v>7.0</v>
      </c>
      <c r="B463" s="92" t="s">
        <v>6440</v>
      </c>
      <c r="C463" s="92">
        <v>2.52610054E8</v>
      </c>
      <c r="D463" s="94" t="s">
        <v>6441</v>
      </c>
      <c r="E463" s="92" t="s">
        <v>227</v>
      </c>
    </row>
    <row r="464">
      <c r="A464" s="92">
        <v>8.0</v>
      </c>
      <c r="B464" s="92" t="s">
        <v>6443</v>
      </c>
      <c r="C464" s="92">
        <v>2.52610059E8</v>
      </c>
      <c r="D464" s="94" t="s">
        <v>6444</v>
      </c>
      <c r="E464" s="92" t="s">
        <v>220</v>
      </c>
    </row>
    <row r="465">
      <c r="A465" s="92">
        <v>9.0</v>
      </c>
      <c r="B465" s="92" t="s">
        <v>6446</v>
      </c>
      <c r="C465" s="92">
        <v>2.52610089E8</v>
      </c>
      <c r="D465" s="94" t="s">
        <v>6447</v>
      </c>
      <c r="E465" s="92" t="s">
        <v>227</v>
      </c>
    </row>
    <row r="466">
      <c r="A466" s="92">
        <v>10.0</v>
      </c>
      <c r="B466" s="92" t="s">
        <v>6449</v>
      </c>
      <c r="C466" s="92">
        <v>2.52610091E8</v>
      </c>
      <c r="D466" s="94" t="s">
        <v>6450</v>
      </c>
      <c r="E466" s="92" t="s">
        <v>227</v>
      </c>
    </row>
    <row r="467">
      <c r="A467" s="92">
        <v>11.0</v>
      </c>
      <c r="B467" s="92" t="s">
        <v>6452</v>
      </c>
      <c r="C467" s="92">
        <v>2.52610099E8</v>
      </c>
      <c r="D467" s="94" t="s">
        <v>6453</v>
      </c>
      <c r="E467" s="92" t="s">
        <v>227</v>
      </c>
    </row>
    <row r="468">
      <c r="A468" s="92">
        <v>12.0</v>
      </c>
      <c r="B468" s="92" t="s">
        <v>6455</v>
      </c>
      <c r="C468" s="92">
        <v>2.52610103E8</v>
      </c>
      <c r="D468" s="94" t="s">
        <v>6456</v>
      </c>
      <c r="E468" s="92" t="s">
        <v>227</v>
      </c>
    </row>
    <row r="469">
      <c r="A469" s="92">
        <v>13.0</v>
      </c>
      <c r="B469" s="92" t="s">
        <v>6458</v>
      </c>
      <c r="C469" s="92">
        <v>2.52610119E8</v>
      </c>
      <c r="D469" s="94" t="s">
        <v>6459</v>
      </c>
      <c r="E469" s="92" t="s">
        <v>227</v>
      </c>
    </row>
    <row r="470">
      <c r="A470" s="92">
        <v>14.0</v>
      </c>
      <c r="B470" s="92" t="s">
        <v>6461</v>
      </c>
      <c r="C470" s="92">
        <v>2.52610128E8</v>
      </c>
      <c r="D470" s="94" t="s">
        <v>6462</v>
      </c>
      <c r="E470" s="92" t="s">
        <v>220</v>
      </c>
    </row>
    <row r="471">
      <c r="A471" s="92">
        <v>16.0</v>
      </c>
      <c r="B471" s="92" t="s">
        <v>6464</v>
      </c>
      <c r="C471" s="92">
        <v>2.52610165E8</v>
      </c>
      <c r="D471" s="94" t="s">
        <v>6465</v>
      </c>
      <c r="E471" s="92" t="s">
        <v>227</v>
      </c>
    </row>
    <row r="472">
      <c r="A472" s="92">
        <v>17.0</v>
      </c>
      <c r="B472" s="92" t="s">
        <v>6467</v>
      </c>
      <c r="C472" s="92">
        <v>2.52610168E8</v>
      </c>
      <c r="D472" s="94" t="s">
        <v>6468</v>
      </c>
      <c r="E472" s="92" t="s">
        <v>227</v>
      </c>
    </row>
    <row r="473">
      <c r="A473" s="92">
        <v>18.0</v>
      </c>
      <c r="B473" s="92" t="s">
        <v>6470</v>
      </c>
      <c r="C473" s="92">
        <v>2.52610169E8</v>
      </c>
      <c r="D473" s="94" t="s">
        <v>6471</v>
      </c>
      <c r="E473" s="92" t="s">
        <v>220</v>
      </c>
    </row>
    <row r="474">
      <c r="A474" s="92">
        <v>19.0</v>
      </c>
      <c r="B474" s="92" t="s">
        <v>6473</v>
      </c>
      <c r="C474" s="92">
        <v>2.52610222E8</v>
      </c>
      <c r="D474" s="94" t="s">
        <v>6474</v>
      </c>
      <c r="E474" s="92" t="s">
        <v>227</v>
      </c>
    </row>
    <row r="475">
      <c r="A475" s="92">
        <v>20.0</v>
      </c>
      <c r="B475" s="92" t="s">
        <v>6476</v>
      </c>
      <c r="C475" s="92">
        <v>2.52610226E8</v>
      </c>
      <c r="D475" s="94" t="s">
        <v>6477</v>
      </c>
      <c r="E475" s="92" t="s">
        <v>227</v>
      </c>
    </row>
    <row r="476">
      <c r="A476" s="92">
        <v>21.0</v>
      </c>
      <c r="B476" s="92" t="s">
        <v>6479</v>
      </c>
      <c r="C476" s="92">
        <v>2.52610234E8</v>
      </c>
      <c r="D476" s="94" t="s">
        <v>6480</v>
      </c>
      <c r="E476" s="92" t="s">
        <v>227</v>
      </c>
    </row>
    <row r="477">
      <c r="A477" s="92">
        <v>22.0</v>
      </c>
      <c r="B477" s="92" t="s">
        <v>6482</v>
      </c>
      <c r="C477" s="92">
        <v>2.52610235E8</v>
      </c>
      <c r="D477" s="94" t="s">
        <v>6483</v>
      </c>
      <c r="E477" s="92" t="s">
        <v>227</v>
      </c>
    </row>
    <row r="478">
      <c r="A478" s="92">
        <v>24.0</v>
      </c>
      <c r="B478" s="92" t="s">
        <v>6485</v>
      </c>
      <c r="C478" s="92">
        <v>2.52610243E8</v>
      </c>
      <c r="D478" s="94" t="s">
        <v>6486</v>
      </c>
      <c r="E478" s="92" t="s">
        <v>220</v>
      </c>
    </row>
    <row r="479">
      <c r="A479" s="92">
        <v>25.0</v>
      </c>
      <c r="B479" s="92" t="s">
        <v>6488</v>
      </c>
      <c r="C479" s="92">
        <v>2.52610251E8</v>
      </c>
      <c r="D479" s="94" t="s">
        <v>6489</v>
      </c>
      <c r="E479" s="92" t="s">
        <v>220</v>
      </c>
    </row>
    <row r="480">
      <c r="A480" s="92">
        <v>26.0</v>
      </c>
      <c r="B480" s="92" t="s">
        <v>6491</v>
      </c>
      <c r="C480" s="92">
        <v>2.52610262E8</v>
      </c>
      <c r="D480" s="94" t="s">
        <v>6492</v>
      </c>
      <c r="E480" s="92" t="s">
        <v>227</v>
      </c>
    </row>
    <row r="481">
      <c r="A481" s="92">
        <v>27.0</v>
      </c>
      <c r="B481" s="92" t="s">
        <v>6494</v>
      </c>
      <c r="C481" s="92">
        <v>2.52610272E8</v>
      </c>
      <c r="D481" s="94" t="s">
        <v>6495</v>
      </c>
      <c r="E481" s="92" t="s">
        <v>227</v>
      </c>
    </row>
    <row r="482">
      <c r="A482" s="92">
        <v>28.0</v>
      </c>
      <c r="B482" s="92" t="s">
        <v>94</v>
      </c>
      <c r="C482" s="92">
        <v>2.52610283E8</v>
      </c>
      <c r="D482" s="94" t="s">
        <v>6498</v>
      </c>
      <c r="E482" s="92" t="s">
        <v>227</v>
      </c>
    </row>
    <row r="483">
      <c r="A483" s="92">
        <v>29.0</v>
      </c>
      <c r="B483" s="92" t="s">
        <v>6500</v>
      </c>
      <c r="C483" s="92">
        <v>2.52610305E8</v>
      </c>
      <c r="D483" s="94" t="s">
        <v>6501</v>
      </c>
      <c r="E483" s="92" t="s">
        <v>220</v>
      </c>
    </row>
    <row r="484">
      <c r="A484" s="92">
        <v>30.0</v>
      </c>
      <c r="B484" s="92" t="s">
        <v>6503</v>
      </c>
      <c r="C484" s="92">
        <v>2.52610327E8</v>
      </c>
      <c r="D484" s="94" t="s">
        <v>6504</v>
      </c>
      <c r="E484" s="92" t="s">
        <v>220</v>
      </c>
    </row>
    <row r="485">
      <c r="A485" s="92">
        <v>31.0</v>
      </c>
      <c r="B485" s="92" t="s">
        <v>6506</v>
      </c>
      <c r="C485" s="92">
        <v>2.52610335E8</v>
      </c>
      <c r="D485" s="94" t="s">
        <v>6507</v>
      </c>
      <c r="E485" s="92" t="s">
        <v>220</v>
      </c>
    </row>
    <row r="486">
      <c r="A486" s="92">
        <v>32.0</v>
      </c>
      <c r="B486" s="92" t="s">
        <v>6509</v>
      </c>
      <c r="C486" s="92">
        <v>2.52610375E8</v>
      </c>
      <c r="D486" s="94" t="s">
        <v>6510</v>
      </c>
      <c r="E486" s="92" t="s">
        <v>220</v>
      </c>
    </row>
    <row r="487">
      <c r="A487" s="92">
        <v>33.0</v>
      </c>
      <c r="B487" s="92" t="s">
        <v>6512</v>
      </c>
      <c r="C487" s="92">
        <v>2.52610396E8</v>
      </c>
      <c r="D487" s="94" t="s">
        <v>6513</v>
      </c>
      <c r="E487" s="92" t="s">
        <v>227</v>
      </c>
    </row>
    <row r="488">
      <c r="A488" s="92">
        <v>34.0</v>
      </c>
      <c r="B488" s="92" t="s">
        <v>6515</v>
      </c>
      <c r="C488" s="92">
        <v>2.52610402E8</v>
      </c>
      <c r="D488" s="94" t="s">
        <v>6516</v>
      </c>
      <c r="E488" s="92" t="s">
        <v>220</v>
      </c>
    </row>
    <row r="489">
      <c r="A489" s="92">
        <v>35.0</v>
      </c>
      <c r="B489" s="92" t="s">
        <v>6518</v>
      </c>
      <c r="C489" s="92">
        <v>2.52610403E8</v>
      </c>
      <c r="D489" s="94" t="s">
        <v>6519</v>
      </c>
      <c r="E489" s="92" t="s">
        <v>227</v>
      </c>
    </row>
    <row r="490">
      <c r="A490" s="92">
        <v>37.0</v>
      </c>
      <c r="B490" s="92" t="s">
        <v>6521</v>
      </c>
      <c r="C490" s="92">
        <v>2.52610443E8</v>
      </c>
      <c r="D490" s="94" t="s">
        <v>6522</v>
      </c>
      <c r="E490" s="92" t="s">
        <v>227</v>
      </c>
    </row>
    <row r="491">
      <c r="A491" s="92">
        <v>38.0</v>
      </c>
      <c r="B491" s="92" t="s">
        <v>6524</v>
      </c>
      <c r="C491" s="92">
        <v>2.52610459E8</v>
      </c>
      <c r="D491" s="94" t="s">
        <v>6525</v>
      </c>
      <c r="E491" s="92" t="s">
        <v>220</v>
      </c>
    </row>
    <row r="492">
      <c r="A492" s="92">
        <v>39.0</v>
      </c>
      <c r="B492" s="92" t="s">
        <v>6527</v>
      </c>
      <c r="C492" s="92">
        <v>2.52610462E8</v>
      </c>
      <c r="D492" s="94" t="s">
        <v>6528</v>
      </c>
      <c r="E492" s="92" t="s">
        <v>227</v>
      </c>
    </row>
    <row r="493">
      <c r="A493" s="92">
        <v>40.0</v>
      </c>
      <c r="B493" s="92" t="s">
        <v>6530</v>
      </c>
      <c r="C493" s="92">
        <v>2.52610469E8</v>
      </c>
      <c r="D493" s="94" t="s">
        <v>6531</v>
      </c>
      <c r="E493" s="92" t="s">
        <v>220</v>
      </c>
    </row>
    <row r="494">
      <c r="A494" s="92">
        <v>41.0</v>
      </c>
      <c r="B494" s="92" t="s">
        <v>6533</v>
      </c>
      <c r="C494" s="92">
        <v>2.52610493E8</v>
      </c>
      <c r="D494" s="94" t="s">
        <v>6534</v>
      </c>
      <c r="E494" s="92" t="s">
        <v>227</v>
      </c>
    </row>
    <row r="495">
      <c r="A495" s="92">
        <v>42.0</v>
      </c>
      <c r="B495" s="92" t="s">
        <v>6536</v>
      </c>
      <c r="C495" s="92">
        <v>2.52610509E8</v>
      </c>
      <c r="D495" s="94" t="s">
        <v>6537</v>
      </c>
      <c r="E495" s="92" t="s">
        <v>227</v>
      </c>
    </row>
    <row r="496">
      <c r="A496" s="92">
        <v>43.0</v>
      </c>
      <c r="B496" s="92" t="s">
        <v>6539</v>
      </c>
      <c r="C496" s="92">
        <v>2.5261051E8</v>
      </c>
      <c r="D496" s="94" t="s">
        <v>6540</v>
      </c>
      <c r="E496" s="92" t="s">
        <v>227</v>
      </c>
    </row>
    <row r="497">
      <c r="A497" s="92">
        <v>44.0</v>
      </c>
      <c r="B497" s="92" t="s">
        <v>92</v>
      </c>
      <c r="C497" s="92">
        <v>2.52610521E8</v>
      </c>
      <c r="D497" s="94" t="s">
        <v>6542</v>
      </c>
      <c r="E497" s="92" t="s">
        <v>227</v>
      </c>
    </row>
    <row r="498">
      <c r="A498" s="92">
        <v>45.0</v>
      </c>
      <c r="B498" s="92" t="s">
        <v>6544</v>
      </c>
      <c r="C498" s="92">
        <v>2.52610526E8</v>
      </c>
      <c r="D498" s="94" t="s">
        <v>6545</v>
      </c>
      <c r="E498" s="92" t="s">
        <v>227</v>
      </c>
    </row>
    <row r="499">
      <c r="A499" s="167"/>
      <c r="B499" s="167"/>
      <c r="C499" s="167"/>
      <c r="D499" s="167"/>
      <c r="E499" s="167"/>
    </row>
    <row r="500">
      <c r="A500" s="167"/>
      <c r="B500" s="167"/>
      <c r="C500" s="167"/>
      <c r="D500" s="94" t="s">
        <v>9262</v>
      </c>
      <c r="E500" s="92">
        <f>COUNTIF(E457:E498,"P")</f>
        <v>25</v>
      </c>
    </row>
    <row r="501">
      <c r="A501" s="167"/>
      <c r="B501" s="167"/>
      <c r="C501" s="167"/>
      <c r="D501" s="94" t="s">
        <v>9263</v>
      </c>
      <c r="E501" s="92">
        <f>COUNTIF(E457:E498,"L")</f>
        <v>17</v>
      </c>
    </row>
    <row r="502">
      <c r="A502" s="167"/>
      <c r="B502" s="167"/>
      <c r="C502" s="167"/>
      <c r="D502" s="167"/>
      <c r="E502" s="167"/>
    </row>
    <row r="503">
      <c r="A503" s="167"/>
      <c r="B503" s="167"/>
      <c r="C503" s="167"/>
      <c r="D503" s="167"/>
      <c r="E503" s="167"/>
    </row>
    <row r="504">
      <c r="A504" s="167" t="s">
        <v>9341</v>
      </c>
      <c r="B504" s="167"/>
      <c r="C504" s="167"/>
      <c r="D504" s="167"/>
      <c r="E504" s="167" t="s">
        <v>6549</v>
      </c>
    </row>
    <row r="505">
      <c r="A505" s="356" t="s">
        <v>9249</v>
      </c>
      <c r="B505" s="356" t="s">
        <v>9</v>
      </c>
      <c r="C505" s="356" t="s">
        <v>5246</v>
      </c>
      <c r="D505" s="356" t="s">
        <v>201</v>
      </c>
      <c r="E505" s="356" t="s">
        <v>13</v>
      </c>
    </row>
    <row r="506">
      <c r="A506" s="92">
        <v>1.0</v>
      </c>
      <c r="B506" s="92" t="s">
        <v>6547</v>
      </c>
      <c r="C506" s="92">
        <v>2.5261001E8</v>
      </c>
      <c r="D506" s="94" t="s">
        <v>6548</v>
      </c>
      <c r="E506" s="92" t="s">
        <v>227</v>
      </c>
    </row>
    <row r="507">
      <c r="A507" s="92">
        <v>2.0</v>
      </c>
      <c r="B507" s="92" t="s">
        <v>6552</v>
      </c>
      <c r="C507" s="92">
        <v>2.52610031E8</v>
      </c>
      <c r="D507" s="94" t="s">
        <v>6553</v>
      </c>
      <c r="E507" s="92" t="s">
        <v>227</v>
      </c>
    </row>
    <row r="508">
      <c r="A508" s="92">
        <v>3.0</v>
      </c>
      <c r="B508" s="92" t="s">
        <v>6555</v>
      </c>
      <c r="C508" s="92">
        <v>2.52610033E8</v>
      </c>
      <c r="D508" s="94" t="s">
        <v>6556</v>
      </c>
      <c r="E508" s="92" t="s">
        <v>220</v>
      </c>
    </row>
    <row r="509">
      <c r="A509" s="92">
        <v>4.0</v>
      </c>
      <c r="B509" s="92" t="s">
        <v>6559</v>
      </c>
      <c r="C509" s="92">
        <v>2.52610047E8</v>
      </c>
      <c r="D509" s="94" t="s">
        <v>6560</v>
      </c>
      <c r="E509" s="92" t="s">
        <v>227</v>
      </c>
    </row>
    <row r="510">
      <c r="A510" s="92">
        <v>5.0</v>
      </c>
      <c r="B510" s="92" t="s">
        <v>6562</v>
      </c>
      <c r="C510" s="92">
        <v>2.52610066E8</v>
      </c>
      <c r="D510" s="94" t="s">
        <v>6563</v>
      </c>
      <c r="E510" s="92" t="s">
        <v>227</v>
      </c>
    </row>
    <row r="511">
      <c r="A511" s="92">
        <v>6.0</v>
      </c>
      <c r="B511" s="92" t="s">
        <v>6565</v>
      </c>
      <c r="C511" s="92">
        <v>2.52610085E8</v>
      </c>
      <c r="D511" s="94" t="s">
        <v>6566</v>
      </c>
      <c r="E511" s="92" t="s">
        <v>227</v>
      </c>
    </row>
    <row r="512">
      <c r="A512" s="92">
        <v>7.0</v>
      </c>
      <c r="B512" s="92" t="s">
        <v>6568</v>
      </c>
      <c r="C512" s="92">
        <v>2.52610098E8</v>
      </c>
      <c r="D512" s="94" t="s">
        <v>6569</v>
      </c>
      <c r="E512" s="92" t="s">
        <v>227</v>
      </c>
    </row>
    <row r="513">
      <c r="A513" s="92">
        <v>8.0</v>
      </c>
      <c r="B513" s="92" t="s">
        <v>6571</v>
      </c>
      <c r="C513" s="92">
        <v>2.52610105E8</v>
      </c>
      <c r="D513" s="94" t="s">
        <v>6572</v>
      </c>
      <c r="E513" s="92" t="s">
        <v>220</v>
      </c>
    </row>
    <row r="514">
      <c r="A514" s="92">
        <v>9.0</v>
      </c>
      <c r="B514" s="92" t="s">
        <v>6574</v>
      </c>
      <c r="C514" s="92">
        <v>2.5261011E8</v>
      </c>
      <c r="D514" s="94" t="s">
        <v>6575</v>
      </c>
      <c r="E514" s="92" t="s">
        <v>220</v>
      </c>
    </row>
    <row r="515">
      <c r="A515" s="92">
        <v>10.0</v>
      </c>
      <c r="B515" s="92" t="s">
        <v>6577</v>
      </c>
      <c r="C515" s="92">
        <v>2.52610111E8</v>
      </c>
      <c r="D515" s="94" t="s">
        <v>6578</v>
      </c>
      <c r="E515" s="92" t="s">
        <v>220</v>
      </c>
    </row>
    <row r="516">
      <c r="A516" s="92">
        <v>11.0</v>
      </c>
      <c r="B516" s="92" t="s">
        <v>6580</v>
      </c>
      <c r="C516" s="92">
        <v>2.52610112E8</v>
      </c>
      <c r="D516" s="94" t="s">
        <v>6581</v>
      </c>
      <c r="E516" s="92" t="s">
        <v>227</v>
      </c>
    </row>
    <row r="517">
      <c r="A517" s="92">
        <v>12.0</v>
      </c>
      <c r="B517" s="92" t="s">
        <v>6583</v>
      </c>
      <c r="C517" s="92">
        <v>2.52610114E8</v>
      </c>
      <c r="D517" s="94" t="s">
        <v>6584</v>
      </c>
      <c r="E517" s="92" t="s">
        <v>227</v>
      </c>
    </row>
    <row r="518">
      <c r="A518" s="92">
        <v>13.0</v>
      </c>
      <c r="B518" s="92" t="s">
        <v>6586</v>
      </c>
      <c r="C518" s="92">
        <v>2.52610116E8</v>
      </c>
      <c r="D518" s="94" t="s">
        <v>6587</v>
      </c>
      <c r="E518" s="92" t="s">
        <v>227</v>
      </c>
    </row>
    <row r="519">
      <c r="A519" s="92">
        <v>14.0</v>
      </c>
      <c r="B519" s="92" t="s">
        <v>6589</v>
      </c>
      <c r="C519" s="92">
        <v>2.52610131E8</v>
      </c>
      <c r="D519" s="94" t="s">
        <v>6590</v>
      </c>
      <c r="E519" s="92" t="s">
        <v>227</v>
      </c>
    </row>
    <row r="520">
      <c r="A520" s="92">
        <v>16.0</v>
      </c>
      <c r="B520" s="92" t="s">
        <v>6592</v>
      </c>
      <c r="C520" s="92">
        <v>2.52610184E8</v>
      </c>
      <c r="D520" s="94" t="s">
        <v>6593</v>
      </c>
      <c r="E520" s="92" t="s">
        <v>220</v>
      </c>
    </row>
    <row r="521">
      <c r="A521" s="92">
        <v>17.0</v>
      </c>
      <c r="B521" s="92" t="s">
        <v>6595</v>
      </c>
      <c r="C521" s="92">
        <v>2.52610196E8</v>
      </c>
      <c r="D521" s="94" t="s">
        <v>6596</v>
      </c>
      <c r="E521" s="125" t="s">
        <v>220</v>
      </c>
    </row>
    <row r="522">
      <c r="A522" s="92">
        <v>18.0</v>
      </c>
      <c r="B522" s="92" t="s">
        <v>6598</v>
      </c>
      <c r="C522" s="92">
        <v>2.52610217E8</v>
      </c>
      <c r="D522" s="94" t="s">
        <v>6599</v>
      </c>
      <c r="E522" s="125" t="s">
        <v>220</v>
      </c>
    </row>
    <row r="523">
      <c r="A523" s="92">
        <v>20.0</v>
      </c>
      <c r="B523" s="92" t="s">
        <v>6601</v>
      </c>
      <c r="C523" s="92">
        <v>2.52610241E8</v>
      </c>
      <c r="D523" s="94" t="s">
        <v>6602</v>
      </c>
      <c r="E523" s="92" t="s">
        <v>227</v>
      </c>
    </row>
    <row r="524">
      <c r="A524" s="92">
        <v>21.0</v>
      </c>
      <c r="B524" s="92" t="s">
        <v>6604</v>
      </c>
      <c r="C524" s="92">
        <v>2.52610253E8</v>
      </c>
      <c r="D524" s="94" t="s">
        <v>6605</v>
      </c>
      <c r="E524" s="92" t="s">
        <v>227</v>
      </c>
    </row>
    <row r="525">
      <c r="A525" s="92">
        <v>22.0</v>
      </c>
      <c r="B525" s="92" t="s">
        <v>6608</v>
      </c>
      <c r="C525" s="92">
        <v>2.52610289E8</v>
      </c>
      <c r="D525" s="94" t="s">
        <v>6609</v>
      </c>
      <c r="E525" s="92" t="s">
        <v>220</v>
      </c>
    </row>
    <row r="526">
      <c r="A526" s="92">
        <v>23.0</v>
      </c>
      <c r="B526" s="92" t="s">
        <v>6611</v>
      </c>
      <c r="C526" s="92">
        <v>2.52610292E8</v>
      </c>
      <c r="D526" s="94" t="s">
        <v>6612</v>
      </c>
      <c r="E526" s="92" t="s">
        <v>227</v>
      </c>
    </row>
    <row r="527">
      <c r="A527" s="92">
        <v>24.0</v>
      </c>
      <c r="B527" s="92" t="s">
        <v>6614</v>
      </c>
      <c r="C527" s="92">
        <v>2.52610295E8</v>
      </c>
      <c r="D527" s="94" t="s">
        <v>6615</v>
      </c>
      <c r="E527" s="92" t="s">
        <v>227</v>
      </c>
    </row>
    <row r="528">
      <c r="A528" s="92">
        <v>25.0</v>
      </c>
      <c r="B528" s="92" t="s">
        <v>6617</v>
      </c>
      <c r="C528" s="92">
        <v>2.5261031E8</v>
      </c>
      <c r="D528" s="94" t="s">
        <v>6618</v>
      </c>
      <c r="E528" s="92" t="s">
        <v>220</v>
      </c>
    </row>
    <row r="529">
      <c r="A529" s="92">
        <v>26.0</v>
      </c>
      <c r="B529" s="92" t="s">
        <v>6620</v>
      </c>
      <c r="C529" s="92">
        <v>2.52610315E8</v>
      </c>
      <c r="D529" s="94" t="s">
        <v>6621</v>
      </c>
      <c r="E529" s="92" t="s">
        <v>220</v>
      </c>
    </row>
    <row r="530">
      <c r="A530" s="92">
        <v>27.0</v>
      </c>
      <c r="B530" s="92" t="s">
        <v>6623</v>
      </c>
      <c r="C530" s="92">
        <v>2.52610328E8</v>
      </c>
      <c r="D530" s="94" t="s">
        <v>6624</v>
      </c>
      <c r="E530" s="92" t="s">
        <v>220</v>
      </c>
    </row>
    <row r="531">
      <c r="A531" s="92">
        <v>28.0</v>
      </c>
      <c r="B531" s="92" t="s">
        <v>6626</v>
      </c>
      <c r="C531" s="92">
        <v>2.52610346E8</v>
      </c>
      <c r="D531" s="94" t="s">
        <v>6627</v>
      </c>
      <c r="E531" s="92" t="s">
        <v>220</v>
      </c>
    </row>
    <row r="532">
      <c r="A532" s="92">
        <v>29.0</v>
      </c>
      <c r="B532" s="92" t="s">
        <v>6629</v>
      </c>
      <c r="C532" s="92">
        <v>2.52610348E8</v>
      </c>
      <c r="D532" s="94" t="s">
        <v>6630</v>
      </c>
      <c r="E532" s="92" t="s">
        <v>220</v>
      </c>
    </row>
    <row r="533">
      <c r="A533" s="92">
        <v>30.0</v>
      </c>
      <c r="B533" s="92" t="s">
        <v>6632</v>
      </c>
      <c r="C533" s="92">
        <v>2.52610356E8</v>
      </c>
      <c r="D533" s="94" t="s">
        <v>6633</v>
      </c>
      <c r="E533" s="92" t="s">
        <v>220</v>
      </c>
    </row>
    <row r="534">
      <c r="A534" s="92">
        <v>31.0</v>
      </c>
      <c r="B534" s="92" t="s">
        <v>6635</v>
      </c>
      <c r="C534" s="92">
        <v>2.52610367E8</v>
      </c>
      <c r="D534" s="94" t="s">
        <v>6636</v>
      </c>
      <c r="E534" s="92" t="s">
        <v>220</v>
      </c>
    </row>
    <row r="535">
      <c r="A535" s="92">
        <v>32.0</v>
      </c>
      <c r="B535" s="92" t="s">
        <v>6638</v>
      </c>
      <c r="C535" s="92">
        <v>2.5261038E8</v>
      </c>
      <c r="D535" s="94" t="s">
        <v>6639</v>
      </c>
      <c r="E535" s="92" t="s">
        <v>220</v>
      </c>
    </row>
    <row r="536">
      <c r="A536" s="92">
        <v>33.0</v>
      </c>
      <c r="B536" s="92" t="s">
        <v>6641</v>
      </c>
      <c r="C536" s="92">
        <v>2.52610385E8</v>
      </c>
      <c r="D536" s="94" t="s">
        <v>6642</v>
      </c>
      <c r="E536" s="92" t="s">
        <v>227</v>
      </c>
    </row>
    <row r="537">
      <c r="A537" s="92">
        <v>34.0</v>
      </c>
      <c r="B537" s="92" t="s">
        <v>6644</v>
      </c>
      <c r="C537" s="92">
        <v>2.52610388E8</v>
      </c>
      <c r="D537" s="94" t="s">
        <v>6645</v>
      </c>
      <c r="E537" s="92" t="s">
        <v>227</v>
      </c>
    </row>
    <row r="538">
      <c r="A538" s="92">
        <v>35.0</v>
      </c>
      <c r="B538" s="92" t="s">
        <v>6647</v>
      </c>
      <c r="C538" s="92">
        <v>2.52610417E8</v>
      </c>
      <c r="D538" s="94" t="s">
        <v>6648</v>
      </c>
      <c r="E538" s="92" t="s">
        <v>227</v>
      </c>
    </row>
    <row r="539">
      <c r="A539" s="92">
        <v>36.0</v>
      </c>
      <c r="B539" s="92" t="s">
        <v>6650</v>
      </c>
      <c r="C539" s="92">
        <v>2.52610458E8</v>
      </c>
      <c r="D539" s="94" t="s">
        <v>6651</v>
      </c>
      <c r="E539" s="92" t="s">
        <v>220</v>
      </c>
    </row>
    <row r="540">
      <c r="A540" s="92">
        <v>37.0</v>
      </c>
      <c r="B540" s="92" t="s">
        <v>6653</v>
      </c>
      <c r="C540" s="92">
        <v>2.52610482E8</v>
      </c>
      <c r="D540" s="94" t="s">
        <v>6654</v>
      </c>
      <c r="E540" s="92" t="s">
        <v>220</v>
      </c>
    </row>
    <row r="541">
      <c r="A541" s="92">
        <v>38.0</v>
      </c>
      <c r="B541" s="92" t="s">
        <v>6656</v>
      </c>
      <c r="C541" s="92">
        <v>2.52610499E8</v>
      </c>
      <c r="D541" s="94" t="s">
        <v>6657</v>
      </c>
      <c r="E541" s="92" t="s">
        <v>227</v>
      </c>
    </row>
    <row r="542">
      <c r="A542" s="92">
        <v>39.0</v>
      </c>
      <c r="B542" s="92" t="s">
        <v>6659</v>
      </c>
      <c r="C542" s="92">
        <v>2.52610503E8</v>
      </c>
      <c r="D542" s="94" t="s">
        <v>6660</v>
      </c>
      <c r="E542" s="92" t="s">
        <v>227</v>
      </c>
    </row>
    <row r="543">
      <c r="A543" s="92">
        <v>40.0</v>
      </c>
      <c r="B543" s="92" t="s">
        <v>6662</v>
      </c>
      <c r="C543" s="92">
        <v>2.52610506E8</v>
      </c>
      <c r="D543" s="94" t="s">
        <v>6663</v>
      </c>
      <c r="E543" s="92" t="s">
        <v>227</v>
      </c>
    </row>
    <row r="544">
      <c r="A544" s="92">
        <v>41.0</v>
      </c>
      <c r="B544" s="92" t="s">
        <v>6665</v>
      </c>
      <c r="C544" s="92">
        <v>2.52610518E8</v>
      </c>
      <c r="D544" s="94" t="s">
        <v>6666</v>
      </c>
      <c r="E544" s="92" t="s">
        <v>227</v>
      </c>
    </row>
    <row r="545">
      <c r="A545" s="92">
        <v>42.0</v>
      </c>
      <c r="B545" s="92" t="s">
        <v>6668</v>
      </c>
      <c r="C545" s="92">
        <v>2.52610524E8</v>
      </c>
      <c r="D545" s="94" t="s">
        <v>6669</v>
      </c>
      <c r="E545" s="92" t="s">
        <v>227</v>
      </c>
    </row>
    <row r="546">
      <c r="A546" s="92">
        <v>43.0</v>
      </c>
      <c r="B546" s="92" t="s">
        <v>6671</v>
      </c>
      <c r="C546" s="92">
        <v>2.52610545E8</v>
      </c>
      <c r="D546" s="94" t="s">
        <v>6672</v>
      </c>
      <c r="E546" s="92" t="s">
        <v>227</v>
      </c>
    </row>
    <row r="547">
      <c r="A547" s="92">
        <v>44.0</v>
      </c>
      <c r="B547" s="92" t="s">
        <v>6674</v>
      </c>
      <c r="C547" s="92">
        <v>2.52610551E8</v>
      </c>
      <c r="D547" s="94" t="s">
        <v>6675</v>
      </c>
      <c r="E547" s="92" t="s">
        <v>227</v>
      </c>
    </row>
    <row r="548">
      <c r="A548" s="92">
        <v>47.0</v>
      </c>
      <c r="B548" s="92" t="s">
        <v>6677</v>
      </c>
      <c r="C548" s="92">
        <v>2.52610561E8</v>
      </c>
      <c r="D548" s="94" t="s">
        <v>6678</v>
      </c>
      <c r="E548" s="92" t="s">
        <v>220</v>
      </c>
    </row>
    <row r="549">
      <c r="A549" s="92">
        <v>48.0</v>
      </c>
      <c r="B549" s="92" t="s">
        <v>6680</v>
      </c>
      <c r="C549" s="92">
        <v>2.52610565E8</v>
      </c>
      <c r="D549" s="94" t="s">
        <v>6681</v>
      </c>
      <c r="E549" s="92" t="s">
        <v>227</v>
      </c>
    </row>
    <row r="550">
      <c r="A550" s="167"/>
      <c r="B550" s="167"/>
      <c r="C550" s="167"/>
      <c r="D550" s="167"/>
      <c r="E550" s="167"/>
    </row>
    <row r="551">
      <c r="A551" s="167"/>
      <c r="B551" s="167"/>
      <c r="C551" s="167"/>
      <c r="D551" s="94" t="s">
        <v>9262</v>
      </c>
      <c r="E551" s="124">
        <f>COUNTIF(E506:E549,"P")</f>
        <v>25</v>
      </c>
    </row>
    <row r="552">
      <c r="A552" s="167"/>
      <c r="B552" s="167"/>
      <c r="C552" s="167"/>
      <c r="D552" s="94" t="s">
        <v>9263</v>
      </c>
      <c r="E552" s="124">
        <f>COUNTIF(E506:E549,"L")</f>
        <v>19</v>
      </c>
    </row>
    <row r="553">
      <c r="A553" s="167"/>
      <c r="B553" s="167"/>
      <c r="C553" s="167"/>
      <c r="D553" s="167"/>
      <c r="E553" s="167"/>
    </row>
    <row r="554">
      <c r="A554" s="167" t="s">
        <v>9350</v>
      </c>
      <c r="B554" s="167"/>
      <c r="C554" s="167"/>
      <c r="D554" s="167"/>
      <c r="E554" s="167" t="s">
        <v>6685</v>
      </c>
    </row>
    <row r="555">
      <c r="A555" s="356" t="s">
        <v>9249</v>
      </c>
      <c r="B555" s="356" t="s">
        <v>9</v>
      </c>
      <c r="C555" s="356" t="s">
        <v>5246</v>
      </c>
      <c r="D555" s="356" t="s">
        <v>201</v>
      </c>
      <c r="E555" s="356" t="s">
        <v>13</v>
      </c>
    </row>
    <row r="556">
      <c r="A556" s="92">
        <v>1.0</v>
      </c>
      <c r="B556" s="92" t="s">
        <v>6683</v>
      </c>
      <c r="C556" s="92">
        <v>2.52610015E8</v>
      </c>
      <c r="D556" s="94" t="s">
        <v>6684</v>
      </c>
      <c r="E556" s="92" t="s">
        <v>220</v>
      </c>
    </row>
    <row r="557">
      <c r="A557" s="92">
        <v>2.0</v>
      </c>
      <c r="B557" s="92" t="s">
        <v>6688</v>
      </c>
      <c r="C557" s="92">
        <v>2.52610021E8</v>
      </c>
      <c r="D557" s="94" t="s">
        <v>6689</v>
      </c>
      <c r="E557" s="92" t="s">
        <v>227</v>
      </c>
    </row>
    <row r="558">
      <c r="A558" s="92">
        <v>3.0</v>
      </c>
      <c r="B558" s="92" t="s">
        <v>6692</v>
      </c>
      <c r="C558" s="92">
        <v>2.52610029E8</v>
      </c>
      <c r="D558" s="94" t="s">
        <v>6693</v>
      </c>
      <c r="E558" s="92" t="s">
        <v>227</v>
      </c>
    </row>
    <row r="559">
      <c r="A559" s="92">
        <v>4.0</v>
      </c>
      <c r="B559" s="92" t="s">
        <v>6695</v>
      </c>
      <c r="C559" s="92">
        <v>2.5261003E8</v>
      </c>
      <c r="D559" s="94" t="s">
        <v>6696</v>
      </c>
      <c r="E559" s="92" t="s">
        <v>227</v>
      </c>
    </row>
    <row r="560">
      <c r="A560" s="92">
        <v>5.0</v>
      </c>
      <c r="B560" s="92" t="s">
        <v>6698</v>
      </c>
      <c r="C560" s="92">
        <v>2.52610046E8</v>
      </c>
      <c r="D560" s="94" t="s">
        <v>6699</v>
      </c>
      <c r="E560" s="92" t="s">
        <v>227</v>
      </c>
    </row>
    <row r="561">
      <c r="A561" s="92">
        <v>6.0</v>
      </c>
      <c r="B561" s="92" t="s">
        <v>6701</v>
      </c>
      <c r="C561" s="92">
        <v>2.52610068E8</v>
      </c>
      <c r="D561" s="94" t="s">
        <v>6702</v>
      </c>
      <c r="E561" s="92" t="s">
        <v>227</v>
      </c>
    </row>
    <row r="562">
      <c r="A562" s="92">
        <v>7.0</v>
      </c>
      <c r="B562" s="92" t="s">
        <v>6704</v>
      </c>
      <c r="C562" s="92">
        <v>2.5261008E8</v>
      </c>
      <c r="D562" s="94" t="s">
        <v>6705</v>
      </c>
      <c r="E562" s="92" t="s">
        <v>220</v>
      </c>
    </row>
    <row r="563">
      <c r="A563" s="92">
        <v>8.0</v>
      </c>
      <c r="B563" s="92" t="s">
        <v>6707</v>
      </c>
      <c r="C563" s="92">
        <v>2.52610081E8</v>
      </c>
      <c r="D563" s="94" t="s">
        <v>6708</v>
      </c>
      <c r="E563" s="92" t="s">
        <v>227</v>
      </c>
    </row>
    <row r="564">
      <c r="A564" s="92">
        <v>10.0</v>
      </c>
      <c r="B564" s="92" t="s">
        <v>6710</v>
      </c>
      <c r="C564" s="92">
        <v>2.52610106E8</v>
      </c>
      <c r="D564" s="94" t="s">
        <v>6711</v>
      </c>
      <c r="E564" s="125" t="s">
        <v>220</v>
      </c>
    </row>
    <row r="565">
      <c r="A565" s="92">
        <v>11.0</v>
      </c>
      <c r="B565" s="92" t="s">
        <v>6713</v>
      </c>
      <c r="C565" s="92">
        <v>2.52610107E8</v>
      </c>
      <c r="D565" s="94" t="s">
        <v>6714</v>
      </c>
      <c r="E565" s="92" t="s">
        <v>227</v>
      </c>
    </row>
    <row r="566">
      <c r="A566" s="92">
        <v>12.0</v>
      </c>
      <c r="B566" s="92" t="s">
        <v>6716</v>
      </c>
      <c r="C566" s="92">
        <v>2.52610127E8</v>
      </c>
      <c r="D566" s="94" t="s">
        <v>6717</v>
      </c>
      <c r="E566" s="92" t="s">
        <v>220</v>
      </c>
    </row>
    <row r="567">
      <c r="A567" s="92">
        <v>13.0</v>
      </c>
      <c r="B567" s="92" t="s">
        <v>6719</v>
      </c>
      <c r="C567" s="92">
        <v>2.52610143E8</v>
      </c>
      <c r="D567" s="94" t="s">
        <v>6720</v>
      </c>
      <c r="E567" s="92" t="s">
        <v>220</v>
      </c>
    </row>
    <row r="568">
      <c r="A568" s="92">
        <v>14.0</v>
      </c>
      <c r="B568" s="92" t="s">
        <v>6722</v>
      </c>
      <c r="C568" s="92">
        <v>2.52610147E8</v>
      </c>
      <c r="D568" s="94" t="s">
        <v>6723</v>
      </c>
      <c r="E568" s="92" t="s">
        <v>220</v>
      </c>
    </row>
    <row r="569">
      <c r="A569" s="92">
        <v>15.0</v>
      </c>
      <c r="B569" s="92" t="s">
        <v>6725</v>
      </c>
      <c r="C569" s="92">
        <v>2.52610149E8</v>
      </c>
      <c r="D569" s="94" t="s">
        <v>6726</v>
      </c>
      <c r="E569" s="92" t="s">
        <v>227</v>
      </c>
    </row>
    <row r="570">
      <c r="A570" s="92">
        <v>16.0</v>
      </c>
      <c r="B570" s="92" t="s">
        <v>6728</v>
      </c>
      <c r="C570" s="92">
        <v>2.52610152E8</v>
      </c>
      <c r="D570" s="94" t="s">
        <v>6729</v>
      </c>
      <c r="E570" s="92" t="s">
        <v>227</v>
      </c>
    </row>
    <row r="571">
      <c r="A571" s="92">
        <v>17.0</v>
      </c>
      <c r="B571" s="92" t="s">
        <v>6731</v>
      </c>
      <c r="C571" s="92">
        <v>2.52610208E8</v>
      </c>
      <c r="D571" s="94" t="s">
        <v>6732</v>
      </c>
      <c r="E571" s="92" t="s">
        <v>227</v>
      </c>
    </row>
    <row r="572">
      <c r="A572" s="92">
        <v>18.0</v>
      </c>
      <c r="B572" s="92" t="s">
        <v>6734</v>
      </c>
      <c r="C572" s="92">
        <v>2.52610218E8</v>
      </c>
      <c r="D572" s="94" t="s">
        <v>6735</v>
      </c>
      <c r="E572" s="92" t="s">
        <v>220</v>
      </c>
    </row>
    <row r="573">
      <c r="A573" s="92">
        <v>19.0</v>
      </c>
      <c r="B573" s="92" t="s">
        <v>6737</v>
      </c>
      <c r="C573" s="92">
        <v>2.52610267E8</v>
      </c>
      <c r="D573" s="94" t="s">
        <v>6738</v>
      </c>
      <c r="E573" s="92" t="s">
        <v>227</v>
      </c>
    </row>
    <row r="574">
      <c r="A574" s="92">
        <v>20.0</v>
      </c>
      <c r="B574" s="92" t="s">
        <v>6740</v>
      </c>
      <c r="C574" s="92">
        <v>2.52610269E8</v>
      </c>
      <c r="D574" s="94" t="s">
        <v>6741</v>
      </c>
      <c r="E574" s="92" t="s">
        <v>220</v>
      </c>
    </row>
    <row r="575">
      <c r="A575" s="92">
        <v>21.0</v>
      </c>
      <c r="B575" s="92" t="s">
        <v>6743</v>
      </c>
      <c r="C575" s="92">
        <v>2.5261027E8</v>
      </c>
      <c r="D575" s="94" t="s">
        <v>6744</v>
      </c>
      <c r="E575" s="92" t="s">
        <v>227</v>
      </c>
    </row>
    <row r="576">
      <c r="A576" s="92">
        <v>22.0</v>
      </c>
      <c r="B576" s="92" t="s">
        <v>6746</v>
      </c>
      <c r="C576" s="92">
        <v>2.52610271E8</v>
      </c>
      <c r="D576" s="94" t="s">
        <v>6747</v>
      </c>
      <c r="E576" s="92" t="s">
        <v>220</v>
      </c>
    </row>
    <row r="577">
      <c r="A577" s="92">
        <v>23.0</v>
      </c>
      <c r="B577" s="92" t="s">
        <v>6749</v>
      </c>
      <c r="C577" s="92">
        <v>2.52610296E8</v>
      </c>
      <c r="D577" s="94" t="s">
        <v>6750</v>
      </c>
      <c r="E577" s="92" t="s">
        <v>227</v>
      </c>
    </row>
    <row r="578">
      <c r="A578" s="92">
        <v>24.0</v>
      </c>
      <c r="B578" s="92" t="s">
        <v>6753</v>
      </c>
      <c r="C578" s="92">
        <v>2.52610298E8</v>
      </c>
      <c r="D578" s="94" t="s">
        <v>6754</v>
      </c>
      <c r="E578" s="92" t="s">
        <v>220</v>
      </c>
    </row>
    <row r="579">
      <c r="A579" s="92">
        <v>26.0</v>
      </c>
      <c r="B579" s="92" t="s">
        <v>6756</v>
      </c>
      <c r="C579" s="92">
        <v>2.52610307E8</v>
      </c>
      <c r="D579" s="94" t="s">
        <v>6757</v>
      </c>
      <c r="E579" s="92" t="s">
        <v>227</v>
      </c>
    </row>
    <row r="580">
      <c r="A580" s="92">
        <v>27.0</v>
      </c>
      <c r="B580" s="92" t="s">
        <v>6759</v>
      </c>
      <c r="C580" s="92">
        <v>2.52610331E8</v>
      </c>
      <c r="D580" s="94" t="s">
        <v>6760</v>
      </c>
      <c r="E580" s="92" t="s">
        <v>220</v>
      </c>
    </row>
    <row r="581">
      <c r="A581" s="92">
        <v>28.0</v>
      </c>
      <c r="B581" s="92" t="s">
        <v>6762</v>
      </c>
      <c r="C581" s="92">
        <v>2.52610339E8</v>
      </c>
      <c r="D581" s="94" t="s">
        <v>6763</v>
      </c>
      <c r="E581" s="92" t="s">
        <v>220</v>
      </c>
    </row>
    <row r="582">
      <c r="A582" s="92">
        <v>29.0</v>
      </c>
      <c r="B582" s="92" t="s">
        <v>6765</v>
      </c>
      <c r="C582" s="92">
        <v>2.52610359E8</v>
      </c>
      <c r="D582" s="94" t="s">
        <v>6766</v>
      </c>
      <c r="E582" s="92" t="s">
        <v>220</v>
      </c>
    </row>
    <row r="583">
      <c r="A583" s="92">
        <v>30.0</v>
      </c>
      <c r="B583" s="92" t="s">
        <v>6768</v>
      </c>
      <c r="C583" s="92">
        <v>2.52610377E8</v>
      </c>
      <c r="D583" s="94" t="s">
        <v>6769</v>
      </c>
      <c r="E583" s="92" t="s">
        <v>220</v>
      </c>
    </row>
    <row r="584">
      <c r="A584" s="92">
        <v>31.0</v>
      </c>
      <c r="B584" s="92" t="s">
        <v>6771</v>
      </c>
      <c r="C584" s="92">
        <v>2.52610387E8</v>
      </c>
      <c r="D584" s="94" t="s">
        <v>6772</v>
      </c>
      <c r="E584" s="92" t="s">
        <v>227</v>
      </c>
    </row>
    <row r="585">
      <c r="A585" s="92">
        <v>32.0</v>
      </c>
      <c r="B585" s="92" t="s">
        <v>6774</v>
      </c>
      <c r="C585" s="92">
        <v>2.52610391E8</v>
      </c>
      <c r="D585" s="94" t="s">
        <v>6775</v>
      </c>
      <c r="E585" s="92" t="s">
        <v>227</v>
      </c>
    </row>
    <row r="586">
      <c r="A586" s="92">
        <v>33.0</v>
      </c>
      <c r="B586" s="92" t="s">
        <v>6777</v>
      </c>
      <c r="C586" s="92">
        <v>2.526104E8</v>
      </c>
      <c r="D586" s="94" t="s">
        <v>6778</v>
      </c>
      <c r="E586" s="92" t="s">
        <v>220</v>
      </c>
    </row>
    <row r="587">
      <c r="A587" s="92">
        <v>34.0</v>
      </c>
      <c r="B587" s="92" t="s">
        <v>6780</v>
      </c>
      <c r="C587" s="92">
        <v>2.52610405E8</v>
      </c>
      <c r="D587" s="94" t="s">
        <v>6781</v>
      </c>
      <c r="E587" s="92" t="s">
        <v>227</v>
      </c>
    </row>
    <row r="588">
      <c r="A588" s="92">
        <v>35.0</v>
      </c>
      <c r="B588" s="92" t="s">
        <v>6783</v>
      </c>
      <c r="C588" s="92">
        <v>2.52610407E8</v>
      </c>
      <c r="D588" s="94" t="s">
        <v>6784</v>
      </c>
      <c r="E588" s="92" t="s">
        <v>227</v>
      </c>
    </row>
    <row r="589">
      <c r="A589" s="92">
        <v>36.0</v>
      </c>
      <c r="B589" s="92" t="s">
        <v>6786</v>
      </c>
      <c r="C589" s="92">
        <v>2.52610411E8</v>
      </c>
      <c r="D589" s="94" t="s">
        <v>6787</v>
      </c>
      <c r="E589" s="92" t="s">
        <v>227</v>
      </c>
    </row>
    <row r="590">
      <c r="A590" s="92">
        <v>39.0</v>
      </c>
      <c r="B590" s="92" t="s">
        <v>6789</v>
      </c>
      <c r="C590" s="92">
        <v>2.52610448E8</v>
      </c>
      <c r="D590" s="94" t="s">
        <v>6790</v>
      </c>
      <c r="E590" s="92" t="s">
        <v>220</v>
      </c>
    </row>
    <row r="591">
      <c r="A591" s="92">
        <v>40.0</v>
      </c>
      <c r="B591" s="92" t="s">
        <v>6792</v>
      </c>
      <c r="C591" s="92">
        <v>2.52610455E8</v>
      </c>
      <c r="D591" s="94" t="s">
        <v>6793</v>
      </c>
      <c r="E591" s="92" t="s">
        <v>220</v>
      </c>
    </row>
    <row r="592">
      <c r="A592" s="92">
        <v>41.0</v>
      </c>
      <c r="B592" s="92" t="s">
        <v>6795</v>
      </c>
      <c r="C592" s="92">
        <v>2.5261049E8</v>
      </c>
      <c r="D592" s="94" t="s">
        <v>6796</v>
      </c>
      <c r="E592" s="92" t="s">
        <v>227</v>
      </c>
    </row>
    <row r="593">
      <c r="A593" s="92">
        <v>42.0</v>
      </c>
      <c r="B593" s="92" t="s">
        <v>6798</v>
      </c>
      <c r="C593" s="92">
        <v>2.52610494E8</v>
      </c>
      <c r="D593" s="94" t="s">
        <v>6799</v>
      </c>
      <c r="E593" s="92" t="s">
        <v>220</v>
      </c>
    </row>
    <row r="594">
      <c r="A594" s="92">
        <v>43.0</v>
      </c>
      <c r="B594" s="92" t="s">
        <v>6801</v>
      </c>
      <c r="C594" s="92">
        <v>2.52610496E8</v>
      </c>
      <c r="D594" s="94" t="s">
        <v>6802</v>
      </c>
      <c r="E594" s="92" t="s">
        <v>227</v>
      </c>
    </row>
    <row r="595">
      <c r="A595" s="92">
        <v>44.0</v>
      </c>
      <c r="B595" s="92" t="s">
        <v>6804</v>
      </c>
      <c r="C595" s="92">
        <v>2.52610502E8</v>
      </c>
      <c r="D595" s="94" t="s">
        <v>6805</v>
      </c>
      <c r="E595" s="92" t="s">
        <v>227</v>
      </c>
    </row>
    <row r="596">
      <c r="A596" s="92">
        <v>45.0</v>
      </c>
      <c r="B596" s="92" t="s">
        <v>6807</v>
      </c>
      <c r="C596" s="92">
        <v>2.52610516E8</v>
      </c>
      <c r="D596" s="94" t="s">
        <v>6808</v>
      </c>
      <c r="E596" s="92" t="s">
        <v>227</v>
      </c>
    </row>
    <row r="597">
      <c r="A597" s="92">
        <v>46.0</v>
      </c>
      <c r="B597" s="92" t="s">
        <v>6810</v>
      </c>
      <c r="C597" s="92">
        <v>2.52610531E8</v>
      </c>
      <c r="D597" s="94" t="s">
        <v>6811</v>
      </c>
      <c r="E597" s="92" t="s">
        <v>227</v>
      </c>
    </row>
    <row r="598">
      <c r="A598" s="92">
        <v>47.0</v>
      </c>
      <c r="B598" s="92" t="s">
        <v>6813</v>
      </c>
      <c r="C598" s="92">
        <v>2.5261055E8</v>
      </c>
      <c r="D598" s="94" t="s">
        <v>6814</v>
      </c>
      <c r="E598" s="92" t="s">
        <v>227</v>
      </c>
    </row>
    <row r="599">
      <c r="A599" s="92">
        <v>48.0</v>
      </c>
      <c r="B599" s="92" t="s">
        <v>6816</v>
      </c>
      <c r="C599" s="92">
        <v>2.52610562E8</v>
      </c>
      <c r="D599" s="94" t="s">
        <v>6817</v>
      </c>
      <c r="E599" s="92" t="s">
        <v>227</v>
      </c>
    </row>
    <row r="600">
      <c r="A600" s="167"/>
      <c r="B600" s="167"/>
      <c r="C600" s="167"/>
      <c r="D600" s="167"/>
      <c r="E600" s="167"/>
    </row>
    <row r="601">
      <c r="A601" s="167"/>
      <c r="B601" s="167"/>
      <c r="C601" s="167"/>
      <c r="D601" s="94" t="s">
        <v>9262</v>
      </c>
      <c r="E601" s="124">
        <f>COUNTIF(E556:E599,"P")</f>
        <v>26</v>
      </c>
    </row>
    <row r="602">
      <c r="A602" s="167"/>
      <c r="B602" s="167"/>
      <c r="C602" s="167"/>
      <c r="D602" s="94" t="s">
        <v>9263</v>
      </c>
      <c r="E602" s="124">
        <f>COUNTIF(E556:E599,"L")</f>
        <v>18</v>
      </c>
    </row>
    <row r="603">
      <c r="A603" s="167"/>
      <c r="B603" s="167"/>
      <c r="C603" s="167"/>
      <c r="D603" s="167"/>
      <c r="E603" s="167"/>
    </row>
    <row r="604">
      <c r="A604" s="167"/>
      <c r="B604" s="167"/>
      <c r="C604" s="167"/>
      <c r="D604" s="167"/>
      <c r="E604" s="167"/>
    </row>
    <row r="605">
      <c r="A605" s="167"/>
      <c r="B605" s="167"/>
      <c r="C605" s="167"/>
      <c r="D605" s="167"/>
      <c r="E605" s="167"/>
    </row>
    <row r="606">
      <c r="A606" s="167"/>
      <c r="B606" s="167"/>
      <c r="C606" s="167"/>
      <c r="D606" s="167"/>
      <c r="E606" s="167"/>
    </row>
    <row r="607">
      <c r="A607" s="167"/>
      <c r="B607" s="167"/>
      <c r="C607" s="167"/>
      <c r="D607" s="167"/>
      <c r="E607" s="167"/>
    </row>
    <row r="608">
      <c r="A608" s="167"/>
      <c r="B608" s="167"/>
      <c r="C608" s="167"/>
      <c r="D608" s="167"/>
      <c r="E608" s="167"/>
    </row>
    <row r="609">
      <c r="A609" s="167"/>
      <c r="B609" s="167"/>
      <c r="C609" s="167"/>
      <c r="D609" s="167"/>
      <c r="E609" s="167"/>
    </row>
    <row r="610">
      <c r="A610" s="167"/>
      <c r="B610" s="167"/>
      <c r="C610" s="167"/>
      <c r="D610" s="167"/>
      <c r="E610" s="167"/>
    </row>
    <row r="611">
      <c r="A611" s="167"/>
      <c r="B611" s="167"/>
      <c r="C611" s="167"/>
      <c r="D611" s="167"/>
      <c r="E611" s="167"/>
    </row>
    <row r="612">
      <c r="A612" s="167"/>
      <c r="B612" s="167"/>
      <c r="C612" s="167"/>
      <c r="D612" s="167"/>
      <c r="E612" s="167"/>
    </row>
    <row r="613">
      <c r="A613" s="167"/>
      <c r="B613" s="167"/>
      <c r="C613" s="167"/>
      <c r="D613" s="167"/>
      <c r="E613" s="167"/>
    </row>
    <row r="614">
      <c r="A614" s="167"/>
      <c r="B614" s="167"/>
      <c r="C614" s="167"/>
      <c r="D614" s="167"/>
      <c r="E614" s="167"/>
    </row>
    <row r="615">
      <c r="A615" s="167"/>
      <c r="B615" s="167"/>
      <c r="C615" s="167"/>
      <c r="D615" s="167"/>
      <c r="E615" s="167"/>
    </row>
    <row r="616">
      <c r="A616" s="167"/>
      <c r="B616" s="167"/>
      <c r="C616" s="167"/>
      <c r="D616" s="167"/>
      <c r="E616" s="167"/>
    </row>
    <row r="617">
      <c r="A617" s="167"/>
      <c r="B617" s="167"/>
      <c r="C617" s="167"/>
      <c r="D617" s="167"/>
      <c r="E617" s="167"/>
    </row>
    <row r="618">
      <c r="A618" s="167"/>
      <c r="B618" s="167"/>
      <c r="C618" s="167"/>
      <c r="D618" s="167"/>
      <c r="E618" s="167"/>
    </row>
    <row r="619">
      <c r="A619" s="167"/>
      <c r="B619" s="167"/>
      <c r="C619" s="167"/>
      <c r="D619" s="167"/>
      <c r="E619" s="167"/>
    </row>
    <row r="620">
      <c r="A620" s="167"/>
      <c r="B620" s="167"/>
      <c r="C620" s="167"/>
      <c r="D620" s="167"/>
      <c r="E620" s="167"/>
    </row>
    <row r="621">
      <c r="A621" s="167"/>
      <c r="B621" s="167"/>
      <c r="C621" s="167"/>
      <c r="D621" s="167"/>
      <c r="E621" s="167"/>
    </row>
    <row r="622">
      <c r="A622" s="167"/>
      <c r="B622" s="167"/>
      <c r="C622" s="167"/>
      <c r="D622" s="167"/>
      <c r="E622" s="167"/>
    </row>
    <row r="623">
      <c r="A623" s="167"/>
      <c r="B623" s="167"/>
      <c r="C623" s="167"/>
      <c r="D623" s="167"/>
      <c r="E623" s="167"/>
    </row>
    <row r="624">
      <c r="A624" s="167"/>
      <c r="B624" s="167"/>
      <c r="C624" s="167"/>
      <c r="D624" s="167"/>
      <c r="E624" s="167"/>
    </row>
    <row r="625">
      <c r="A625" s="167"/>
      <c r="B625" s="167"/>
      <c r="C625" s="167"/>
      <c r="D625" s="167"/>
      <c r="E625" s="167"/>
    </row>
    <row r="626">
      <c r="A626" s="167"/>
      <c r="B626" s="167"/>
      <c r="C626" s="167"/>
      <c r="D626" s="167"/>
      <c r="E626" s="167"/>
    </row>
    <row r="627">
      <c r="A627" s="167"/>
      <c r="B627" s="167"/>
      <c r="C627" s="167"/>
      <c r="D627" s="167"/>
      <c r="E627" s="167"/>
    </row>
    <row r="628">
      <c r="A628" s="167"/>
      <c r="B628" s="167"/>
      <c r="C628" s="167"/>
      <c r="D628" s="167"/>
      <c r="E628" s="167"/>
    </row>
    <row r="629">
      <c r="A629" s="167"/>
      <c r="B629" s="167"/>
      <c r="C629" s="167"/>
      <c r="D629" s="167"/>
      <c r="E629" s="167"/>
    </row>
    <row r="630">
      <c r="A630" s="167"/>
      <c r="B630" s="167"/>
      <c r="C630" s="167"/>
      <c r="D630" s="167"/>
      <c r="E630" s="167"/>
    </row>
    <row r="631">
      <c r="A631" s="167"/>
      <c r="B631" s="167"/>
      <c r="C631" s="167"/>
      <c r="D631" s="167"/>
      <c r="E631" s="167"/>
    </row>
    <row r="632">
      <c r="A632" s="167"/>
      <c r="B632" s="167"/>
      <c r="C632" s="167"/>
      <c r="D632" s="167"/>
      <c r="E632" s="167"/>
    </row>
    <row r="633">
      <c r="A633" s="167"/>
      <c r="B633" s="167"/>
      <c r="C633" s="167"/>
      <c r="D633" s="167"/>
      <c r="E633" s="167"/>
    </row>
    <row r="634">
      <c r="A634" s="167"/>
      <c r="B634" s="167"/>
      <c r="C634" s="167"/>
      <c r="D634" s="167"/>
      <c r="E634" s="167"/>
    </row>
    <row r="635">
      <c r="A635" s="167"/>
      <c r="B635" s="167"/>
      <c r="C635" s="167"/>
      <c r="D635" s="167"/>
      <c r="E635" s="167"/>
    </row>
    <row r="636">
      <c r="A636" s="167"/>
      <c r="B636" s="167"/>
      <c r="C636" s="167"/>
      <c r="D636" s="167"/>
      <c r="E636" s="167"/>
    </row>
    <row r="637">
      <c r="A637" s="167"/>
      <c r="B637" s="167"/>
      <c r="C637" s="167"/>
      <c r="D637" s="167"/>
      <c r="E637" s="167"/>
    </row>
    <row r="638">
      <c r="A638" s="167"/>
      <c r="B638" s="167"/>
      <c r="C638" s="167"/>
      <c r="D638" s="167"/>
      <c r="E638" s="167"/>
    </row>
    <row r="639">
      <c r="A639" s="167"/>
      <c r="B639" s="167"/>
      <c r="C639" s="167"/>
      <c r="D639" s="167"/>
      <c r="E639" s="167"/>
    </row>
    <row r="640">
      <c r="A640" s="167"/>
      <c r="B640" s="167"/>
      <c r="C640" s="167"/>
      <c r="D640" s="167"/>
      <c r="E640" s="167"/>
    </row>
    <row r="641">
      <c r="A641" s="167"/>
      <c r="B641" s="167"/>
      <c r="C641" s="167"/>
      <c r="D641" s="167"/>
      <c r="E641" s="167"/>
    </row>
    <row r="642">
      <c r="A642" s="167"/>
      <c r="B642" s="167"/>
      <c r="C642" s="167"/>
      <c r="D642" s="167"/>
      <c r="E642" s="167"/>
    </row>
    <row r="643">
      <c r="A643" s="167"/>
      <c r="B643" s="167"/>
      <c r="C643" s="167"/>
      <c r="D643" s="167"/>
      <c r="E643" s="167"/>
    </row>
    <row r="644">
      <c r="A644" s="167"/>
      <c r="B644" s="167"/>
      <c r="C644" s="167"/>
      <c r="D644" s="167"/>
      <c r="E644" s="167"/>
    </row>
    <row r="645">
      <c r="A645" s="167"/>
      <c r="B645" s="167"/>
      <c r="C645" s="167"/>
      <c r="D645" s="167"/>
      <c r="E645" s="167"/>
    </row>
    <row r="646">
      <c r="A646" s="167"/>
      <c r="B646" s="167"/>
      <c r="C646" s="167"/>
      <c r="D646" s="167"/>
      <c r="E646" s="167"/>
    </row>
    <row r="647">
      <c r="A647" s="167"/>
      <c r="B647" s="167"/>
      <c r="C647" s="167"/>
      <c r="D647" s="167"/>
      <c r="E647" s="167"/>
    </row>
    <row r="648">
      <c r="A648" s="167"/>
      <c r="B648" s="167"/>
      <c r="C648" s="167"/>
      <c r="D648" s="167"/>
      <c r="E648" s="167"/>
    </row>
    <row r="649">
      <c r="A649" s="167"/>
      <c r="B649" s="167"/>
      <c r="C649" s="167"/>
      <c r="D649" s="167"/>
      <c r="E649" s="167"/>
    </row>
    <row r="650">
      <c r="A650" s="167"/>
      <c r="B650" s="167"/>
      <c r="C650" s="167"/>
      <c r="D650" s="167"/>
      <c r="E650" s="167"/>
    </row>
    <row r="651">
      <c r="A651" s="167"/>
      <c r="B651" s="167"/>
      <c r="C651" s="167"/>
      <c r="D651" s="167"/>
      <c r="E651" s="167"/>
    </row>
    <row r="652">
      <c r="A652" s="167"/>
      <c r="B652" s="167"/>
      <c r="C652" s="167"/>
      <c r="D652" s="167"/>
      <c r="E652" s="167"/>
    </row>
    <row r="653">
      <c r="A653" s="167"/>
      <c r="B653" s="167"/>
      <c r="C653" s="167"/>
      <c r="D653" s="167"/>
      <c r="E653" s="167"/>
    </row>
    <row r="654">
      <c r="A654" s="167"/>
      <c r="B654" s="167"/>
      <c r="C654" s="167"/>
      <c r="D654" s="167"/>
      <c r="E654" s="167"/>
    </row>
    <row r="655">
      <c r="A655" s="167"/>
      <c r="B655" s="167"/>
      <c r="C655" s="167"/>
      <c r="D655" s="167"/>
      <c r="E655" s="167"/>
    </row>
    <row r="656">
      <c r="A656" s="167"/>
      <c r="B656" s="167"/>
      <c r="C656" s="167"/>
      <c r="D656" s="167"/>
      <c r="E656" s="167"/>
    </row>
    <row r="657">
      <c r="A657" s="167"/>
      <c r="B657" s="167"/>
      <c r="C657" s="167"/>
      <c r="D657" s="167"/>
      <c r="E657" s="167"/>
    </row>
    <row r="658">
      <c r="A658" s="167"/>
      <c r="B658" s="167"/>
      <c r="C658" s="167"/>
      <c r="D658" s="167"/>
      <c r="E658" s="167"/>
    </row>
    <row r="659">
      <c r="A659" s="167"/>
      <c r="B659" s="167"/>
      <c r="C659" s="167"/>
      <c r="D659" s="167"/>
      <c r="E659" s="167"/>
    </row>
    <row r="660">
      <c r="A660" s="167"/>
      <c r="B660" s="167"/>
      <c r="C660" s="167"/>
      <c r="D660" s="167"/>
      <c r="E660" s="167"/>
    </row>
    <row r="661">
      <c r="A661" s="167"/>
      <c r="B661" s="167"/>
      <c r="C661" s="167"/>
      <c r="D661" s="167"/>
      <c r="E661" s="167"/>
    </row>
    <row r="662">
      <c r="A662" s="167"/>
      <c r="B662" s="167"/>
      <c r="C662" s="167"/>
      <c r="D662" s="167"/>
      <c r="E662" s="167"/>
    </row>
    <row r="663">
      <c r="A663" s="167"/>
      <c r="B663" s="167"/>
      <c r="C663" s="167"/>
      <c r="D663" s="167"/>
      <c r="E663" s="167"/>
    </row>
    <row r="664">
      <c r="A664" s="167"/>
      <c r="B664" s="167"/>
      <c r="C664" s="167"/>
      <c r="D664" s="167"/>
      <c r="E664" s="167"/>
    </row>
    <row r="665">
      <c r="A665" s="167"/>
      <c r="B665" s="167"/>
      <c r="C665" s="167"/>
      <c r="D665" s="167"/>
      <c r="E665" s="167"/>
    </row>
    <row r="666">
      <c r="A666" s="167"/>
      <c r="B666" s="167"/>
      <c r="C666" s="167"/>
      <c r="D666" s="167"/>
      <c r="E666" s="167"/>
    </row>
    <row r="667">
      <c r="A667" s="167"/>
      <c r="B667" s="167"/>
      <c r="C667" s="167"/>
      <c r="D667" s="167"/>
      <c r="E667" s="167"/>
    </row>
    <row r="668">
      <c r="A668" s="167"/>
      <c r="B668" s="167"/>
      <c r="C668" s="167"/>
      <c r="D668" s="167"/>
      <c r="E668" s="167"/>
    </row>
    <row r="669">
      <c r="A669" s="167"/>
      <c r="B669" s="167"/>
      <c r="C669" s="167"/>
      <c r="D669" s="167"/>
      <c r="E669" s="167"/>
    </row>
    <row r="670">
      <c r="A670" s="167"/>
      <c r="B670" s="167"/>
      <c r="C670" s="167"/>
      <c r="D670" s="167"/>
      <c r="E670" s="167"/>
    </row>
    <row r="671">
      <c r="A671" s="167"/>
      <c r="B671" s="167"/>
      <c r="C671" s="167"/>
      <c r="D671" s="167"/>
      <c r="E671" s="167"/>
    </row>
    <row r="672">
      <c r="A672" s="167"/>
      <c r="B672" s="167"/>
      <c r="C672" s="167"/>
      <c r="D672" s="167"/>
      <c r="E672" s="167"/>
    </row>
    <row r="673">
      <c r="A673" s="167"/>
      <c r="B673" s="167"/>
      <c r="C673" s="167"/>
      <c r="D673" s="167"/>
      <c r="E673" s="167"/>
    </row>
    <row r="674">
      <c r="A674" s="167"/>
      <c r="B674" s="167"/>
      <c r="C674" s="167"/>
      <c r="D674" s="167"/>
      <c r="E674" s="167"/>
    </row>
    <row r="675">
      <c r="A675" s="167"/>
      <c r="B675" s="167"/>
      <c r="C675" s="167"/>
      <c r="D675" s="167"/>
      <c r="E675" s="167"/>
    </row>
    <row r="676">
      <c r="A676" s="167"/>
      <c r="B676" s="167"/>
      <c r="C676" s="167"/>
      <c r="D676" s="167"/>
      <c r="E676" s="167"/>
    </row>
    <row r="677">
      <c r="A677" s="167"/>
      <c r="B677" s="167"/>
      <c r="C677" s="167"/>
      <c r="D677" s="167"/>
      <c r="E677" s="167"/>
    </row>
    <row r="678">
      <c r="A678" s="167"/>
      <c r="B678" s="167"/>
      <c r="C678" s="167"/>
      <c r="D678" s="167"/>
      <c r="E678" s="167"/>
    </row>
    <row r="679">
      <c r="A679" s="167"/>
      <c r="B679" s="167"/>
      <c r="C679" s="167"/>
      <c r="D679" s="167"/>
      <c r="E679" s="167"/>
    </row>
    <row r="680">
      <c r="A680" s="167"/>
      <c r="B680" s="167"/>
      <c r="C680" s="167"/>
      <c r="D680" s="167"/>
      <c r="E680" s="167"/>
    </row>
    <row r="681">
      <c r="A681" s="167"/>
      <c r="B681" s="167"/>
      <c r="C681" s="167"/>
      <c r="D681" s="167"/>
      <c r="E681" s="167"/>
    </row>
    <row r="682">
      <c r="A682" s="167"/>
      <c r="B682" s="167"/>
      <c r="C682" s="167"/>
      <c r="D682" s="167"/>
      <c r="E682" s="167"/>
    </row>
    <row r="683">
      <c r="A683" s="167"/>
      <c r="B683" s="167"/>
      <c r="C683" s="167"/>
      <c r="D683" s="167"/>
      <c r="E683" s="167"/>
    </row>
    <row r="684">
      <c r="A684" s="167"/>
      <c r="B684" s="167"/>
      <c r="C684" s="167"/>
      <c r="D684" s="167"/>
      <c r="E684" s="167"/>
    </row>
    <row r="685">
      <c r="A685" s="167"/>
      <c r="B685" s="167"/>
      <c r="C685" s="167"/>
      <c r="D685" s="167"/>
      <c r="E685" s="167"/>
    </row>
    <row r="686">
      <c r="A686" s="167"/>
      <c r="B686" s="167"/>
      <c r="C686" s="167"/>
      <c r="D686" s="167"/>
      <c r="E686" s="167"/>
    </row>
    <row r="687">
      <c r="A687" s="167"/>
      <c r="B687" s="167"/>
      <c r="C687" s="167"/>
      <c r="D687" s="167"/>
      <c r="E687" s="167"/>
    </row>
    <row r="688">
      <c r="A688" s="167"/>
      <c r="B688" s="167"/>
      <c r="C688" s="167"/>
      <c r="D688" s="167"/>
      <c r="E688" s="167"/>
    </row>
    <row r="689">
      <c r="A689" s="167"/>
      <c r="B689" s="167"/>
      <c r="C689" s="167"/>
      <c r="D689" s="167"/>
      <c r="E689" s="167"/>
    </row>
    <row r="690">
      <c r="A690" s="167"/>
      <c r="B690" s="167"/>
      <c r="C690" s="167"/>
      <c r="D690" s="167"/>
      <c r="E690" s="167"/>
    </row>
    <row r="691">
      <c r="A691" s="167"/>
      <c r="B691" s="167"/>
      <c r="C691" s="167"/>
      <c r="D691" s="167"/>
      <c r="E691" s="167"/>
    </row>
    <row r="692">
      <c r="A692" s="167"/>
      <c r="B692" s="167"/>
      <c r="C692" s="167"/>
      <c r="D692" s="167"/>
      <c r="E692" s="167"/>
    </row>
    <row r="693">
      <c r="A693" s="167"/>
      <c r="B693" s="167"/>
      <c r="C693" s="167"/>
      <c r="D693" s="167"/>
      <c r="E693" s="167"/>
    </row>
    <row r="694">
      <c r="A694" s="167"/>
      <c r="B694" s="167"/>
      <c r="C694" s="167"/>
      <c r="D694" s="167"/>
      <c r="E694" s="167"/>
    </row>
    <row r="695">
      <c r="A695" s="167"/>
      <c r="B695" s="167"/>
      <c r="C695" s="167"/>
      <c r="D695" s="167"/>
      <c r="E695" s="167"/>
    </row>
    <row r="696">
      <c r="A696" s="167"/>
      <c r="B696" s="167"/>
      <c r="C696" s="167"/>
      <c r="D696" s="167"/>
      <c r="E696" s="167"/>
    </row>
    <row r="697">
      <c r="A697" s="167"/>
      <c r="B697" s="167"/>
      <c r="C697" s="167"/>
      <c r="D697" s="167"/>
      <c r="E697" s="167"/>
    </row>
    <row r="698">
      <c r="A698" s="167"/>
      <c r="B698" s="167"/>
      <c r="C698" s="167"/>
      <c r="D698" s="167"/>
      <c r="E698" s="167"/>
    </row>
    <row r="699">
      <c r="A699" s="167"/>
      <c r="B699" s="167"/>
      <c r="C699" s="167"/>
      <c r="D699" s="167"/>
      <c r="E699" s="167"/>
    </row>
    <row r="700">
      <c r="A700" s="167"/>
      <c r="B700" s="167"/>
      <c r="C700" s="167"/>
      <c r="D700" s="167"/>
      <c r="E700" s="167"/>
    </row>
    <row r="701">
      <c r="A701" s="167"/>
      <c r="B701" s="167"/>
      <c r="C701" s="167"/>
      <c r="D701" s="167"/>
      <c r="E701" s="167"/>
    </row>
    <row r="702">
      <c r="A702" s="167"/>
      <c r="B702" s="167"/>
      <c r="C702" s="167"/>
      <c r="D702" s="167"/>
      <c r="E702" s="167"/>
    </row>
    <row r="703">
      <c r="A703" s="167"/>
      <c r="B703" s="167"/>
      <c r="C703" s="167"/>
      <c r="D703" s="167"/>
      <c r="E703" s="167"/>
    </row>
    <row r="704">
      <c r="A704" s="167"/>
      <c r="B704" s="167"/>
      <c r="C704" s="167"/>
      <c r="D704" s="167"/>
      <c r="E704" s="167"/>
    </row>
    <row r="705">
      <c r="A705" s="167"/>
      <c r="B705" s="167"/>
      <c r="C705" s="167"/>
      <c r="D705" s="167"/>
      <c r="E705" s="167"/>
    </row>
    <row r="706">
      <c r="A706" s="167"/>
      <c r="B706" s="167"/>
      <c r="C706" s="167"/>
      <c r="D706" s="167"/>
      <c r="E706" s="167"/>
    </row>
    <row r="707">
      <c r="A707" s="167"/>
      <c r="B707" s="167"/>
      <c r="C707" s="167"/>
      <c r="D707" s="167"/>
      <c r="E707" s="167"/>
    </row>
    <row r="708">
      <c r="A708" s="167"/>
      <c r="B708" s="167"/>
      <c r="C708" s="167"/>
      <c r="D708" s="167"/>
      <c r="E708" s="167"/>
    </row>
    <row r="709">
      <c r="A709" s="167"/>
      <c r="B709" s="167"/>
      <c r="C709" s="167"/>
      <c r="D709" s="167"/>
      <c r="E709" s="167"/>
    </row>
    <row r="710">
      <c r="A710" s="167"/>
      <c r="B710" s="167"/>
      <c r="C710" s="167"/>
      <c r="D710" s="167"/>
      <c r="E710" s="167"/>
    </row>
    <row r="711">
      <c r="A711" s="167"/>
      <c r="B711" s="167"/>
      <c r="C711" s="167"/>
      <c r="D711" s="167"/>
      <c r="E711" s="167"/>
    </row>
    <row r="712">
      <c r="A712" s="167"/>
      <c r="B712" s="167"/>
      <c r="C712" s="167"/>
      <c r="D712" s="167"/>
      <c r="E712" s="167"/>
    </row>
    <row r="713">
      <c r="A713" s="167"/>
      <c r="B713" s="167"/>
      <c r="C713" s="167"/>
      <c r="D713" s="167"/>
      <c r="E713" s="167"/>
    </row>
    <row r="714">
      <c r="A714" s="167"/>
      <c r="B714" s="167"/>
      <c r="C714" s="167"/>
      <c r="D714" s="167"/>
      <c r="E714" s="167"/>
    </row>
    <row r="715">
      <c r="A715" s="167"/>
      <c r="B715" s="167"/>
      <c r="C715" s="167"/>
      <c r="D715" s="167"/>
      <c r="E715" s="167"/>
    </row>
    <row r="716">
      <c r="A716" s="167"/>
      <c r="B716" s="167"/>
      <c r="C716" s="167"/>
      <c r="D716" s="167"/>
      <c r="E716" s="167"/>
    </row>
    <row r="717">
      <c r="A717" s="167"/>
      <c r="B717" s="167"/>
      <c r="C717" s="167"/>
      <c r="D717" s="167"/>
      <c r="E717" s="167"/>
    </row>
    <row r="718">
      <c r="A718" s="167"/>
      <c r="B718" s="167"/>
      <c r="C718" s="167"/>
      <c r="D718" s="167"/>
      <c r="E718" s="167"/>
    </row>
    <row r="719">
      <c r="A719" s="167"/>
      <c r="B719" s="167"/>
      <c r="C719" s="167"/>
      <c r="D719" s="167"/>
      <c r="E719" s="167"/>
    </row>
    <row r="720">
      <c r="A720" s="167"/>
      <c r="B720" s="167"/>
      <c r="C720" s="167"/>
      <c r="D720" s="167"/>
      <c r="E720" s="167"/>
    </row>
    <row r="721">
      <c r="A721" s="167"/>
      <c r="B721" s="167"/>
      <c r="C721" s="167"/>
      <c r="D721" s="167"/>
      <c r="E721" s="167"/>
    </row>
    <row r="722">
      <c r="A722" s="167"/>
      <c r="B722" s="167"/>
      <c r="C722" s="167"/>
      <c r="D722" s="167"/>
      <c r="E722" s="167"/>
    </row>
    <row r="723">
      <c r="A723" s="167"/>
      <c r="B723" s="167"/>
      <c r="C723" s="167"/>
      <c r="D723" s="167"/>
      <c r="E723" s="167"/>
    </row>
    <row r="724">
      <c r="A724" s="167"/>
      <c r="B724" s="167"/>
      <c r="C724" s="167"/>
      <c r="D724" s="167"/>
      <c r="E724" s="167"/>
    </row>
    <row r="725">
      <c r="A725" s="167"/>
      <c r="B725" s="167"/>
      <c r="C725" s="167"/>
      <c r="D725" s="167"/>
      <c r="E725" s="167"/>
    </row>
    <row r="726">
      <c r="A726" s="167"/>
      <c r="B726" s="167"/>
      <c r="C726" s="167"/>
      <c r="D726" s="167"/>
      <c r="E726" s="167"/>
    </row>
    <row r="727">
      <c r="A727" s="167"/>
      <c r="B727" s="167"/>
      <c r="C727" s="167"/>
      <c r="D727" s="167"/>
      <c r="E727" s="167"/>
    </row>
    <row r="728">
      <c r="A728" s="167"/>
      <c r="B728" s="167"/>
      <c r="C728" s="167"/>
      <c r="D728" s="167"/>
      <c r="E728" s="167"/>
    </row>
    <row r="729">
      <c r="A729" s="167"/>
      <c r="B729" s="167"/>
      <c r="C729" s="167"/>
      <c r="D729" s="167"/>
      <c r="E729" s="167"/>
    </row>
    <row r="730">
      <c r="A730" s="167"/>
      <c r="B730" s="167"/>
      <c r="C730" s="167"/>
      <c r="D730" s="167"/>
      <c r="E730" s="167"/>
    </row>
    <row r="731">
      <c r="A731" s="167"/>
      <c r="B731" s="167"/>
      <c r="C731" s="167"/>
      <c r="D731" s="167"/>
      <c r="E731" s="167"/>
    </row>
    <row r="732">
      <c r="A732" s="167"/>
      <c r="B732" s="167"/>
      <c r="C732" s="167"/>
      <c r="D732" s="167"/>
      <c r="E732" s="167"/>
    </row>
    <row r="733">
      <c r="A733" s="167"/>
      <c r="B733" s="167"/>
      <c r="C733" s="167"/>
      <c r="D733" s="167"/>
      <c r="E733" s="167"/>
    </row>
    <row r="734">
      <c r="A734" s="167"/>
      <c r="B734" s="167"/>
      <c r="C734" s="167"/>
      <c r="D734" s="167"/>
      <c r="E734" s="167"/>
    </row>
    <row r="735">
      <c r="A735" s="167"/>
      <c r="B735" s="167"/>
      <c r="C735" s="167"/>
      <c r="D735" s="167"/>
      <c r="E735" s="167"/>
    </row>
    <row r="736">
      <c r="A736" s="167"/>
      <c r="B736" s="167"/>
      <c r="C736" s="167"/>
      <c r="D736" s="167"/>
      <c r="E736" s="167"/>
    </row>
    <row r="737">
      <c r="A737" s="167"/>
      <c r="B737" s="167"/>
      <c r="C737" s="167"/>
      <c r="D737" s="167"/>
      <c r="E737" s="167"/>
    </row>
    <row r="738">
      <c r="A738" s="167"/>
      <c r="B738" s="167"/>
      <c r="C738" s="167"/>
      <c r="D738" s="167"/>
      <c r="E738" s="167"/>
    </row>
    <row r="739">
      <c r="A739" s="167"/>
      <c r="B739" s="167"/>
      <c r="C739" s="167"/>
      <c r="D739" s="167"/>
      <c r="E739" s="167"/>
    </row>
    <row r="740">
      <c r="A740" s="167"/>
      <c r="B740" s="167"/>
      <c r="C740" s="167"/>
      <c r="D740" s="167"/>
      <c r="E740" s="167"/>
    </row>
    <row r="741">
      <c r="A741" s="167"/>
      <c r="B741" s="167"/>
      <c r="C741" s="167"/>
      <c r="D741" s="167"/>
      <c r="E741" s="167"/>
    </row>
    <row r="742">
      <c r="A742" s="167"/>
      <c r="B742" s="167"/>
      <c r="C742" s="167"/>
      <c r="D742" s="167"/>
      <c r="E742" s="167"/>
    </row>
    <row r="743">
      <c r="A743" s="167"/>
      <c r="B743" s="167"/>
      <c r="C743" s="167"/>
      <c r="D743" s="167"/>
      <c r="E743" s="167"/>
    </row>
    <row r="744">
      <c r="A744" s="167"/>
      <c r="B744" s="167"/>
      <c r="C744" s="167"/>
      <c r="D744" s="167"/>
      <c r="E744" s="167"/>
    </row>
    <row r="745">
      <c r="A745" s="167"/>
      <c r="B745" s="167"/>
      <c r="C745" s="167"/>
      <c r="D745" s="167"/>
      <c r="E745" s="167"/>
    </row>
    <row r="746">
      <c r="A746" s="167"/>
      <c r="B746" s="167"/>
      <c r="C746" s="167"/>
      <c r="D746" s="167"/>
      <c r="E746" s="167"/>
    </row>
    <row r="747">
      <c r="A747" s="167"/>
      <c r="B747" s="167"/>
      <c r="C747" s="167"/>
      <c r="D747" s="167"/>
      <c r="E747" s="167"/>
    </row>
    <row r="748">
      <c r="A748" s="167"/>
      <c r="B748" s="167"/>
      <c r="C748" s="167"/>
      <c r="D748" s="167"/>
      <c r="E748" s="167"/>
    </row>
    <row r="749">
      <c r="A749" s="167"/>
      <c r="B749" s="167"/>
      <c r="C749" s="167"/>
      <c r="D749" s="167"/>
      <c r="E749" s="167"/>
    </row>
    <row r="750">
      <c r="A750" s="167"/>
      <c r="B750" s="167"/>
      <c r="C750" s="167"/>
      <c r="D750" s="167"/>
      <c r="E750" s="167"/>
    </row>
    <row r="751">
      <c r="A751" s="167"/>
      <c r="B751" s="167"/>
      <c r="C751" s="167"/>
      <c r="D751" s="167"/>
      <c r="E751" s="167"/>
    </row>
    <row r="752">
      <c r="A752" s="167"/>
      <c r="B752" s="167"/>
      <c r="C752" s="167"/>
      <c r="D752" s="167"/>
      <c r="E752" s="167"/>
    </row>
    <row r="753">
      <c r="A753" s="167"/>
      <c r="B753" s="167"/>
      <c r="C753" s="167"/>
      <c r="D753" s="167"/>
      <c r="E753" s="167"/>
    </row>
    <row r="754">
      <c r="A754" s="167"/>
      <c r="B754" s="167"/>
      <c r="C754" s="167"/>
      <c r="D754" s="167"/>
      <c r="E754" s="167"/>
    </row>
    <row r="755">
      <c r="A755" s="167"/>
      <c r="B755" s="167"/>
      <c r="C755" s="167"/>
      <c r="D755" s="167"/>
      <c r="E755" s="167"/>
    </row>
    <row r="756">
      <c r="A756" s="167"/>
      <c r="B756" s="167"/>
      <c r="C756" s="167"/>
      <c r="D756" s="167"/>
      <c r="E756" s="167"/>
    </row>
    <row r="757">
      <c r="A757" s="167"/>
      <c r="B757" s="167"/>
      <c r="C757" s="167"/>
      <c r="D757" s="167"/>
      <c r="E757" s="167"/>
    </row>
    <row r="758">
      <c r="A758" s="167"/>
      <c r="B758" s="167"/>
      <c r="C758" s="167"/>
      <c r="D758" s="167"/>
      <c r="E758" s="167"/>
    </row>
    <row r="759">
      <c r="A759" s="167"/>
      <c r="B759" s="167"/>
      <c r="C759" s="167"/>
      <c r="D759" s="167"/>
      <c r="E759" s="167"/>
    </row>
    <row r="760">
      <c r="A760" s="167"/>
      <c r="B760" s="167"/>
      <c r="C760" s="167"/>
      <c r="D760" s="167"/>
      <c r="E760" s="167"/>
    </row>
    <row r="761">
      <c r="A761" s="167"/>
      <c r="B761" s="167"/>
      <c r="C761" s="167"/>
      <c r="D761" s="167"/>
      <c r="E761" s="167"/>
    </row>
    <row r="762">
      <c r="A762" s="167"/>
      <c r="B762" s="167"/>
      <c r="C762" s="167"/>
      <c r="D762" s="167"/>
      <c r="E762" s="167"/>
    </row>
    <row r="763">
      <c r="A763" s="167"/>
      <c r="B763" s="167"/>
      <c r="C763" s="167"/>
      <c r="D763" s="167"/>
      <c r="E763" s="167"/>
    </row>
    <row r="764">
      <c r="A764" s="167"/>
      <c r="B764" s="167"/>
      <c r="C764" s="167"/>
      <c r="D764" s="167"/>
      <c r="E764" s="167"/>
    </row>
    <row r="765">
      <c r="A765" s="167"/>
      <c r="B765" s="167"/>
      <c r="C765" s="167"/>
      <c r="D765" s="167"/>
      <c r="E765" s="167"/>
    </row>
    <row r="766">
      <c r="A766" s="167"/>
      <c r="B766" s="167"/>
      <c r="C766" s="167"/>
      <c r="D766" s="167"/>
      <c r="E766" s="167"/>
    </row>
    <row r="767">
      <c r="A767" s="167"/>
      <c r="B767" s="167"/>
      <c r="C767" s="167"/>
      <c r="D767" s="167"/>
      <c r="E767" s="167"/>
    </row>
    <row r="768">
      <c r="A768" s="167"/>
      <c r="B768" s="167"/>
      <c r="C768" s="167"/>
      <c r="D768" s="167"/>
      <c r="E768" s="167"/>
    </row>
    <row r="769">
      <c r="A769" s="167"/>
      <c r="B769" s="167"/>
      <c r="C769" s="167"/>
      <c r="D769" s="167"/>
      <c r="E769" s="167"/>
    </row>
    <row r="770">
      <c r="A770" s="167"/>
      <c r="B770" s="167"/>
      <c r="C770" s="167"/>
      <c r="D770" s="167"/>
      <c r="E770" s="167"/>
    </row>
    <row r="771">
      <c r="A771" s="167"/>
      <c r="B771" s="167"/>
      <c r="C771" s="167"/>
      <c r="D771" s="167"/>
      <c r="E771" s="167"/>
    </row>
    <row r="772">
      <c r="A772" s="167"/>
      <c r="B772" s="167"/>
      <c r="C772" s="167"/>
      <c r="D772" s="167"/>
      <c r="E772" s="167"/>
    </row>
    <row r="773">
      <c r="A773" s="167"/>
      <c r="B773" s="167"/>
      <c r="C773" s="167"/>
      <c r="D773" s="167"/>
      <c r="E773" s="167"/>
    </row>
    <row r="774">
      <c r="A774" s="167"/>
      <c r="B774" s="167"/>
      <c r="C774" s="167"/>
      <c r="D774" s="167"/>
      <c r="E774" s="167"/>
    </row>
    <row r="775">
      <c r="A775" s="167"/>
      <c r="B775" s="167"/>
      <c r="C775" s="167"/>
      <c r="D775" s="167"/>
      <c r="E775" s="167"/>
    </row>
    <row r="776">
      <c r="A776" s="167"/>
      <c r="B776" s="167"/>
      <c r="C776" s="167"/>
      <c r="D776" s="167"/>
      <c r="E776" s="167"/>
    </row>
    <row r="777">
      <c r="A777" s="167"/>
      <c r="B777" s="167"/>
      <c r="C777" s="167"/>
      <c r="D777" s="167"/>
      <c r="E777" s="167"/>
    </row>
    <row r="778">
      <c r="A778" s="167"/>
      <c r="B778" s="167"/>
      <c r="C778" s="167"/>
      <c r="D778" s="167"/>
      <c r="E778" s="167"/>
    </row>
    <row r="779">
      <c r="A779" s="167"/>
      <c r="B779" s="167"/>
      <c r="C779" s="167"/>
      <c r="D779" s="167"/>
      <c r="E779" s="167"/>
    </row>
    <row r="780">
      <c r="A780" s="167"/>
      <c r="B780" s="167"/>
      <c r="C780" s="167"/>
      <c r="D780" s="167"/>
      <c r="E780" s="167"/>
    </row>
    <row r="781">
      <c r="A781" s="167"/>
      <c r="B781" s="167"/>
      <c r="C781" s="167"/>
      <c r="D781" s="167"/>
      <c r="E781" s="167"/>
    </row>
    <row r="782">
      <c r="A782" s="167"/>
      <c r="B782" s="167"/>
      <c r="C782" s="167"/>
      <c r="D782" s="167"/>
      <c r="E782" s="167"/>
    </row>
    <row r="783">
      <c r="A783" s="167"/>
      <c r="B783" s="167"/>
      <c r="C783" s="167"/>
      <c r="D783" s="167"/>
      <c r="E783" s="167"/>
    </row>
    <row r="784">
      <c r="A784" s="167"/>
      <c r="B784" s="167"/>
      <c r="C784" s="167"/>
      <c r="D784" s="167"/>
      <c r="E784" s="167"/>
    </row>
    <row r="785">
      <c r="A785" s="167"/>
      <c r="B785" s="167"/>
      <c r="C785" s="167"/>
      <c r="D785" s="167"/>
      <c r="E785" s="167"/>
    </row>
    <row r="786">
      <c r="A786" s="167"/>
      <c r="B786" s="167"/>
      <c r="C786" s="167"/>
      <c r="D786" s="167"/>
      <c r="E786" s="167"/>
    </row>
    <row r="787">
      <c r="A787" s="167"/>
      <c r="B787" s="167"/>
      <c r="C787" s="167"/>
      <c r="D787" s="167"/>
      <c r="E787" s="167"/>
    </row>
    <row r="788">
      <c r="A788" s="167"/>
      <c r="B788" s="167"/>
      <c r="C788" s="167"/>
      <c r="D788" s="167"/>
      <c r="E788" s="167"/>
    </row>
    <row r="789">
      <c r="A789" s="167"/>
      <c r="B789" s="167"/>
      <c r="C789" s="167"/>
      <c r="D789" s="167"/>
      <c r="E789" s="167"/>
    </row>
    <row r="790">
      <c r="A790" s="167"/>
      <c r="B790" s="167"/>
      <c r="C790" s="167"/>
      <c r="D790" s="167"/>
      <c r="E790" s="167"/>
    </row>
    <row r="791">
      <c r="A791" s="167"/>
      <c r="B791" s="167"/>
      <c r="C791" s="167"/>
      <c r="D791" s="167"/>
      <c r="E791" s="167"/>
    </row>
    <row r="792">
      <c r="A792" s="167"/>
      <c r="B792" s="167"/>
      <c r="C792" s="167"/>
      <c r="D792" s="167"/>
      <c r="E792" s="167"/>
    </row>
    <row r="793">
      <c r="A793" s="167"/>
      <c r="B793" s="167"/>
      <c r="C793" s="167"/>
      <c r="D793" s="167"/>
      <c r="E793" s="167"/>
    </row>
    <row r="794">
      <c r="A794" s="167"/>
      <c r="B794" s="167"/>
      <c r="C794" s="167"/>
      <c r="D794" s="167"/>
      <c r="E794" s="167"/>
    </row>
    <row r="795">
      <c r="A795" s="167"/>
      <c r="B795" s="167"/>
      <c r="C795" s="167"/>
      <c r="D795" s="167"/>
      <c r="E795" s="167"/>
    </row>
    <row r="796">
      <c r="A796" s="167"/>
      <c r="B796" s="167"/>
      <c r="C796" s="167"/>
      <c r="D796" s="167"/>
      <c r="E796" s="167"/>
    </row>
    <row r="797">
      <c r="A797" s="167"/>
      <c r="B797" s="167"/>
      <c r="C797" s="167"/>
      <c r="D797" s="167"/>
      <c r="E797" s="167"/>
    </row>
    <row r="798">
      <c r="A798" s="167"/>
      <c r="B798" s="167"/>
      <c r="C798" s="167"/>
      <c r="D798" s="167"/>
      <c r="E798" s="167"/>
    </row>
    <row r="799">
      <c r="A799" s="167"/>
      <c r="B799" s="167"/>
      <c r="C799" s="167"/>
      <c r="D799" s="167"/>
      <c r="E799" s="167"/>
    </row>
    <row r="800">
      <c r="A800" s="167"/>
      <c r="B800" s="167"/>
      <c r="C800" s="167"/>
      <c r="D800" s="167"/>
      <c r="E800" s="167"/>
    </row>
    <row r="801">
      <c r="A801" s="167"/>
      <c r="B801" s="167"/>
      <c r="C801" s="167"/>
      <c r="D801" s="167"/>
      <c r="E801" s="167"/>
    </row>
    <row r="802">
      <c r="A802" s="167"/>
      <c r="B802" s="167"/>
      <c r="C802" s="167"/>
      <c r="D802" s="167"/>
      <c r="E802" s="167"/>
    </row>
    <row r="803">
      <c r="A803" s="167"/>
      <c r="B803" s="167"/>
      <c r="C803" s="167"/>
      <c r="D803" s="167"/>
      <c r="E803" s="167"/>
    </row>
    <row r="804">
      <c r="A804" s="167"/>
      <c r="B804" s="167"/>
      <c r="C804" s="167"/>
      <c r="D804" s="167"/>
      <c r="E804" s="167"/>
    </row>
    <row r="805">
      <c r="A805" s="167"/>
      <c r="B805" s="167"/>
      <c r="C805" s="167"/>
      <c r="D805" s="167"/>
      <c r="E805" s="167"/>
    </row>
    <row r="806">
      <c r="A806" s="167"/>
      <c r="B806" s="167"/>
      <c r="C806" s="167"/>
      <c r="D806" s="167"/>
      <c r="E806" s="167"/>
    </row>
    <row r="807">
      <c r="A807" s="167"/>
      <c r="B807" s="167"/>
      <c r="C807" s="167"/>
      <c r="D807" s="167"/>
      <c r="E807" s="167"/>
    </row>
    <row r="808">
      <c r="A808" s="167"/>
      <c r="B808" s="167"/>
      <c r="C808" s="167"/>
      <c r="D808" s="167"/>
      <c r="E808" s="167"/>
    </row>
    <row r="809">
      <c r="A809" s="167"/>
      <c r="B809" s="167"/>
      <c r="C809" s="167"/>
      <c r="D809" s="167"/>
      <c r="E809" s="167"/>
    </row>
    <row r="810">
      <c r="A810" s="167"/>
      <c r="B810" s="167"/>
      <c r="C810" s="167"/>
      <c r="D810" s="167"/>
      <c r="E810" s="167"/>
    </row>
    <row r="811">
      <c r="A811" s="167"/>
      <c r="B811" s="167"/>
      <c r="C811" s="167"/>
      <c r="D811" s="167"/>
      <c r="E811" s="167"/>
    </row>
    <row r="812">
      <c r="A812" s="167"/>
      <c r="B812" s="167"/>
      <c r="C812" s="167"/>
      <c r="D812" s="167"/>
      <c r="E812" s="167"/>
    </row>
    <row r="813">
      <c r="A813" s="167"/>
      <c r="B813" s="167"/>
      <c r="C813" s="167"/>
      <c r="D813" s="167"/>
      <c r="E813" s="167"/>
    </row>
    <row r="814">
      <c r="A814" s="167"/>
      <c r="B814" s="167"/>
      <c r="C814" s="167"/>
      <c r="D814" s="167"/>
      <c r="E814" s="167"/>
    </row>
    <row r="815">
      <c r="A815" s="167"/>
      <c r="B815" s="167"/>
      <c r="C815" s="167"/>
      <c r="D815" s="167"/>
      <c r="E815" s="167"/>
    </row>
    <row r="816">
      <c r="A816" s="167"/>
      <c r="B816" s="167"/>
      <c r="C816" s="167"/>
      <c r="D816" s="167"/>
      <c r="E816" s="167"/>
    </row>
    <row r="817">
      <c r="A817" s="167"/>
      <c r="B817" s="167"/>
      <c r="C817" s="167"/>
      <c r="D817" s="167"/>
      <c r="E817" s="167"/>
    </row>
    <row r="818">
      <c r="A818" s="167"/>
      <c r="B818" s="167"/>
      <c r="C818" s="167"/>
      <c r="D818" s="167"/>
      <c r="E818" s="167"/>
    </row>
    <row r="819">
      <c r="A819" s="167"/>
      <c r="B819" s="167"/>
      <c r="C819" s="167"/>
      <c r="D819" s="167"/>
      <c r="E819" s="167"/>
    </row>
    <row r="820">
      <c r="A820" s="167"/>
      <c r="B820" s="167"/>
      <c r="C820" s="167"/>
      <c r="D820" s="167"/>
      <c r="E820" s="167"/>
    </row>
    <row r="821">
      <c r="A821" s="167"/>
      <c r="B821" s="167"/>
      <c r="C821" s="167"/>
      <c r="D821" s="167"/>
      <c r="E821" s="167"/>
    </row>
    <row r="822">
      <c r="A822" s="167"/>
      <c r="B822" s="167"/>
      <c r="C822" s="167"/>
      <c r="D822" s="167"/>
      <c r="E822" s="167"/>
    </row>
    <row r="823">
      <c r="A823" s="167"/>
      <c r="B823" s="167"/>
      <c r="C823" s="167"/>
      <c r="D823" s="167"/>
      <c r="E823" s="167"/>
    </row>
    <row r="824">
      <c r="A824" s="167"/>
      <c r="B824" s="167"/>
      <c r="C824" s="167"/>
      <c r="D824" s="167"/>
      <c r="E824" s="167"/>
    </row>
    <row r="825">
      <c r="A825" s="167"/>
      <c r="B825" s="167"/>
      <c r="C825" s="167"/>
      <c r="D825" s="167"/>
      <c r="E825" s="167"/>
    </row>
    <row r="826">
      <c r="A826" s="167"/>
      <c r="B826" s="167"/>
      <c r="C826" s="167"/>
      <c r="D826" s="167"/>
      <c r="E826" s="167"/>
    </row>
    <row r="827">
      <c r="A827" s="167"/>
      <c r="B827" s="167"/>
      <c r="C827" s="167"/>
      <c r="D827" s="167"/>
      <c r="E827" s="167"/>
    </row>
    <row r="828">
      <c r="A828" s="167"/>
      <c r="B828" s="167"/>
      <c r="C828" s="167"/>
      <c r="D828" s="167"/>
      <c r="E828" s="167"/>
    </row>
    <row r="829">
      <c r="A829" s="167"/>
      <c r="B829" s="167"/>
      <c r="C829" s="167"/>
      <c r="D829" s="167"/>
      <c r="E829" s="167"/>
    </row>
    <row r="830">
      <c r="A830" s="167"/>
      <c r="B830" s="167"/>
      <c r="C830" s="167"/>
      <c r="D830" s="167"/>
      <c r="E830" s="167"/>
    </row>
    <row r="831">
      <c r="A831" s="167"/>
      <c r="B831" s="167"/>
      <c r="C831" s="167"/>
      <c r="D831" s="167"/>
      <c r="E831" s="167"/>
    </row>
    <row r="832">
      <c r="A832" s="167"/>
      <c r="B832" s="167"/>
      <c r="C832" s="167"/>
      <c r="D832" s="167"/>
      <c r="E832" s="167"/>
    </row>
    <row r="833">
      <c r="A833" s="167"/>
      <c r="B833" s="167"/>
      <c r="C833" s="167"/>
      <c r="D833" s="167"/>
      <c r="E833" s="167"/>
    </row>
    <row r="834">
      <c r="A834" s="167"/>
      <c r="B834" s="167"/>
      <c r="C834" s="167"/>
      <c r="D834" s="167"/>
      <c r="E834" s="167"/>
    </row>
    <row r="835">
      <c r="A835" s="167"/>
      <c r="B835" s="167"/>
      <c r="C835" s="167"/>
      <c r="D835" s="167"/>
      <c r="E835" s="167"/>
    </row>
    <row r="836">
      <c r="A836" s="167"/>
      <c r="B836" s="167"/>
      <c r="C836" s="167"/>
      <c r="D836" s="167"/>
      <c r="E836" s="167"/>
    </row>
    <row r="837">
      <c r="A837" s="167"/>
      <c r="B837" s="167"/>
      <c r="C837" s="167"/>
      <c r="D837" s="167"/>
      <c r="E837" s="167"/>
    </row>
    <row r="838">
      <c r="A838" s="167"/>
      <c r="B838" s="167"/>
      <c r="C838" s="167"/>
      <c r="D838" s="167"/>
      <c r="E838" s="167"/>
    </row>
    <row r="839">
      <c r="A839" s="167"/>
      <c r="B839" s="167"/>
      <c r="C839" s="167"/>
      <c r="D839" s="167"/>
      <c r="E839" s="167"/>
    </row>
    <row r="840">
      <c r="A840" s="167"/>
      <c r="B840" s="167"/>
      <c r="C840" s="167"/>
      <c r="D840" s="167"/>
      <c r="E840" s="167"/>
    </row>
    <row r="841">
      <c r="A841" s="167"/>
      <c r="B841" s="167"/>
      <c r="C841" s="167"/>
      <c r="D841" s="167"/>
      <c r="E841" s="167"/>
    </row>
    <row r="842">
      <c r="A842" s="167"/>
      <c r="B842" s="167"/>
      <c r="C842" s="167"/>
      <c r="D842" s="167"/>
      <c r="E842" s="167"/>
    </row>
    <row r="843">
      <c r="A843" s="167"/>
      <c r="B843" s="167"/>
      <c r="C843" s="167"/>
      <c r="D843" s="167"/>
      <c r="E843" s="167"/>
    </row>
    <row r="844">
      <c r="A844" s="167"/>
      <c r="B844" s="167"/>
      <c r="C844" s="167"/>
      <c r="D844" s="167"/>
      <c r="E844" s="167"/>
    </row>
    <row r="845">
      <c r="A845" s="167"/>
      <c r="B845" s="167"/>
      <c r="C845" s="167"/>
      <c r="D845" s="167"/>
      <c r="E845" s="167"/>
    </row>
    <row r="846">
      <c r="A846" s="167"/>
      <c r="B846" s="167"/>
      <c r="C846" s="167"/>
      <c r="D846" s="167"/>
      <c r="E846" s="167"/>
    </row>
    <row r="847">
      <c r="A847" s="167"/>
      <c r="B847" s="167"/>
      <c r="C847" s="167"/>
      <c r="D847" s="167"/>
      <c r="E847" s="167"/>
    </row>
    <row r="848">
      <c r="A848" s="167"/>
      <c r="B848" s="167"/>
      <c r="C848" s="167"/>
      <c r="D848" s="167"/>
      <c r="E848" s="167"/>
    </row>
    <row r="849">
      <c r="A849" s="167"/>
      <c r="B849" s="167"/>
      <c r="C849" s="167"/>
      <c r="D849" s="167"/>
      <c r="E849" s="167"/>
    </row>
    <row r="850">
      <c r="A850" s="167"/>
      <c r="B850" s="167"/>
      <c r="C850" s="167"/>
      <c r="D850" s="167"/>
      <c r="E850" s="167"/>
    </row>
    <row r="851">
      <c r="A851" s="167"/>
      <c r="B851" s="167"/>
      <c r="C851" s="167"/>
      <c r="D851" s="167"/>
      <c r="E851" s="167"/>
    </row>
    <row r="852">
      <c r="A852" s="167"/>
      <c r="B852" s="167"/>
      <c r="C852" s="167"/>
      <c r="D852" s="167"/>
      <c r="E852" s="167"/>
    </row>
    <row r="853">
      <c r="A853" s="167"/>
      <c r="B853" s="167"/>
      <c r="C853" s="167"/>
      <c r="D853" s="167"/>
      <c r="E853" s="167"/>
    </row>
    <row r="854">
      <c r="A854" s="167"/>
      <c r="B854" s="167"/>
      <c r="C854" s="167"/>
      <c r="D854" s="167"/>
      <c r="E854" s="167"/>
    </row>
    <row r="855">
      <c r="A855" s="167"/>
      <c r="B855" s="167"/>
      <c r="C855" s="167"/>
      <c r="D855" s="167"/>
      <c r="E855" s="167"/>
    </row>
    <row r="856">
      <c r="A856" s="167"/>
      <c r="B856" s="167"/>
      <c r="C856" s="167"/>
      <c r="D856" s="167"/>
      <c r="E856" s="167"/>
    </row>
    <row r="857">
      <c r="A857" s="167"/>
      <c r="B857" s="167"/>
      <c r="C857" s="167"/>
      <c r="D857" s="167"/>
      <c r="E857" s="167"/>
    </row>
    <row r="858">
      <c r="A858" s="167"/>
      <c r="B858" s="167"/>
      <c r="C858" s="167"/>
      <c r="D858" s="167"/>
      <c r="E858" s="167"/>
    </row>
    <row r="859">
      <c r="A859" s="167"/>
      <c r="B859" s="167"/>
      <c r="C859" s="167"/>
      <c r="D859" s="167"/>
      <c r="E859" s="167"/>
    </row>
    <row r="860">
      <c r="A860" s="167"/>
      <c r="B860" s="167"/>
      <c r="C860" s="167"/>
      <c r="D860" s="167"/>
      <c r="E860" s="167"/>
    </row>
    <row r="861">
      <c r="A861" s="167"/>
      <c r="B861" s="167"/>
      <c r="C861" s="167"/>
      <c r="D861" s="167"/>
      <c r="E861" s="167"/>
    </row>
    <row r="862">
      <c r="A862" s="167"/>
      <c r="B862" s="167"/>
      <c r="C862" s="167"/>
      <c r="D862" s="167"/>
      <c r="E862" s="167"/>
    </row>
    <row r="863">
      <c r="A863" s="167"/>
      <c r="B863" s="167"/>
      <c r="C863" s="167"/>
      <c r="D863" s="167"/>
      <c r="E863" s="167"/>
    </row>
    <row r="864">
      <c r="A864" s="167"/>
      <c r="B864" s="167"/>
      <c r="C864" s="167"/>
      <c r="D864" s="167"/>
      <c r="E864" s="167"/>
    </row>
    <row r="865">
      <c r="A865" s="167"/>
      <c r="B865" s="167"/>
      <c r="C865" s="167"/>
      <c r="D865" s="167"/>
      <c r="E865" s="167"/>
    </row>
    <row r="866">
      <c r="A866" s="167"/>
      <c r="B866" s="167"/>
      <c r="C866" s="167"/>
      <c r="D866" s="167"/>
      <c r="E866" s="167"/>
    </row>
    <row r="867">
      <c r="A867" s="167"/>
      <c r="B867" s="167"/>
      <c r="C867" s="167"/>
      <c r="D867" s="167"/>
      <c r="E867" s="167"/>
    </row>
    <row r="868">
      <c r="A868" s="167"/>
      <c r="B868" s="167"/>
      <c r="C868" s="167"/>
      <c r="D868" s="167"/>
      <c r="E868" s="167"/>
    </row>
    <row r="869">
      <c r="A869" s="167"/>
      <c r="B869" s="167"/>
      <c r="C869" s="167"/>
      <c r="D869" s="167"/>
      <c r="E869" s="167"/>
    </row>
    <row r="870">
      <c r="A870" s="167"/>
      <c r="B870" s="167"/>
      <c r="C870" s="167"/>
      <c r="D870" s="167"/>
      <c r="E870" s="167"/>
    </row>
    <row r="871">
      <c r="A871" s="167"/>
      <c r="B871" s="167"/>
      <c r="C871" s="167"/>
      <c r="D871" s="167"/>
      <c r="E871" s="167"/>
    </row>
    <row r="872">
      <c r="A872" s="167"/>
      <c r="B872" s="167"/>
      <c r="C872" s="167"/>
      <c r="D872" s="167"/>
      <c r="E872" s="167"/>
    </row>
    <row r="873">
      <c r="A873" s="167"/>
      <c r="B873" s="167"/>
      <c r="C873" s="167"/>
      <c r="D873" s="167"/>
      <c r="E873" s="167"/>
    </row>
    <row r="874">
      <c r="A874" s="167"/>
      <c r="B874" s="167"/>
      <c r="C874" s="167"/>
      <c r="D874" s="167"/>
      <c r="E874" s="167"/>
    </row>
    <row r="875">
      <c r="A875" s="167"/>
      <c r="B875" s="167"/>
      <c r="C875" s="167"/>
      <c r="D875" s="167"/>
      <c r="E875" s="167"/>
    </row>
    <row r="876">
      <c r="A876" s="167"/>
      <c r="B876" s="167"/>
      <c r="C876" s="167"/>
      <c r="D876" s="167"/>
      <c r="E876" s="167"/>
    </row>
    <row r="877">
      <c r="A877" s="167"/>
      <c r="B877" s="167"/>
      <c r="C877" s="167"/>
      <c r="D877" s="167"/>
      <c r="E877" s="167"/>
    </row>
    <row r="878">
      <c r="A878" s="167"/>
      <c r="B878" s="167"/>
      <c r="C878" s="167"/>
      <c r="D878" s="167"/>
      <c r="E878" s="167"/>
    </row>
    <row r="879">
      <c r="A879" s="167"/>
      <c r="B879" s="167"/>
      <c r="C879" s="167"/>
      <c r="D879" s="167"/>
      <c r="E879" s="167"/>
    </row>
    <row r="880">
      <c r="A880" s="167"/>
      <c r="B880" s="167"/>
      <c r="C880" s="167"/>
      <c r="D880" s="167"/>
      <c r="E880" s="167"/>
    </row>
    <row r="881">
      <c r="A881" s="167"/>
      <c r="B881" s="167"/>
      <c r="C881" s="167"/>
      <c r="D881" s="167"/>
      <c r="E881" s="167"/>
    </row>
    <row r="882">
      <c r="A882" s="167"/>
      <c r="B882" s="167"/>
      <c r="C882" s="167"/>
      <c r="D882" s="167"/>
      <c r="E882" s="167"/>
    </row>
    <row r="883">
      <c r="A883" s="167"/>
      <c r="B883" s="167"/>
      <c r="C883" s="167"/>
      <c r="D883" s="167"/>
      <c r="E883" s="167"/>
    </row>
    <row r="884">
      <c r="A884" s="167"/>
      <c r="B884" s="167"/>
      <c r="C884" s="167"/>
      <c r="D884" s="167"/>
      <c r="E884" s="167"/>
    </row>
    <row r="885">
      <c r="A885" s="167"/>
      <c r="B885" s="167"/>
      <c r="C885" s="167"/>
      <c r="D885" s="167"/>
      <c r="E885" s="167"/>
    </row>
    <row r="886">
      <c r="A886" s="167"/>
      <c r="B886" s="167"/>
      <c r="C886" s="167"/>
      <c r="D886" s="167"/>
      <c r="E886" s="167"/>
    </row>
    <row r="887">
      <c r="A887" s="167"/>
      <c r="B887" s="167"/>
      <c r="C887" s="167"/>
      <c r="D887" s="167"/>
      <c r="E887" s="167"/>
    </row>
    <row r="888">
      <c r="A888" s="167"/>
      <c r="B888" s="167"/>
      <c r="C888" s="167"/>
      <c r="D888" s="167"/>
      <c r="E888" s="167"/>
    </row>
    <row r="889">
      <c r="A889" s="167"/>
      <c r="B889" s="167"/>
      <c r="C889" s="167"/>
      <c r="D889" s="167"/>
      <c r="E889" s="167"/>
    </row>
    <row r="890">
      <c r="A890" s="167"/>
      <c r="B890" s="167"/>
      <c r="C890" s="167"/>
      <c r="D890" s="167"/>
      <c r="E890" s="167"/>
    </row>
    <row r="891">
      <c r="A891" s="167"/>
      <c r="B891" s="167"/>
      <c r="C891" s="167"/>
      <c r="D891" s="167"/>
      <c r="E891" s="167"/>
    </row>
    <row r="892">
      <c r="A892" s="167"/>
      <c r="B892" s="167"/>
      <c r="C892" s="167"/>
      <c r="D892" s="167"/>
      <c r="E892" s="167"/>
    </row>
    <row r="893">
      <c r="A893" s="167"/>
      <c r="B893" s="167"/>
      <c r="C893" s="167"/>
      <c r="D893" s="167"/>
      <c r="E893" s="167"/>
    </row>
    <row r="894">
      <c r="A894" s="167"/>
      <c r="B894" s="167"/>
      <c r="C894" s="167"/>
      <c r="D894" s="167"/>
      <c r="E894" s="167"/>
    </row>
    <row r="895">
      <c r="A895" s="167"/>
      <c r="B895" s="167"/>
      <c r="C895" s="167"/>
      <c r="D895" s="167"/>
      <c r="E895" s="167"/>
    </row>
    <row r="896">
      <c r="A896" s="167"/>
      <c r="B896" s="167"/>
      <c r="C896" s="167"/>
      <c r="D896" s="167"/>
      <c r="E896" s="167"/>
    </row>
    <row r="897">
      <c r="A897" s="167"/>
      <c r="B897" s="167"/>
      <c r="C897" s="167"/>
      <c r="D897" s="167"/>
      <c r="E897" s="167"/>
    </row>
    <row r="898">
      <c r="A898" s="167"/>
      <c r="B898" s="167"/>
      <c r="C898" s="167"/>
      <c r="D898" s="167"/>
      <c r="E898" s="167"/>
    </row>
    <row r="899">
      <c r="A899" s="167"/>
      <c r="B899" s="167"/>
      <c r="C899" s="167"/>
      <c r="D899" s="167"/>
      <c r="E899" s="167"/>
    </row>
    <row r="900">
      <c r="A900" s="167"/>
      <c r="B900" s="167"/>
      <c r="C900" s="167"/>
      <c r="D900" s="167"/>
      <c r="E900" s="167"/>
    </row>
    <row r="901">
      <c r="A901" s="167"/>
      <c r="B901" s="167"/>
      <c r="C901" s="167"/>
      <c r="D901" s="167"/>
      <c r="E901" s="167"/>
    </row>
    <row r="902">
      <c r="A902" s="167"/>
      <c r="B902" s="167"/>
      <c r="C902" s="167"/>
      <c r="D902" s="167"/>
      <c r="E902" s="167"/>
    </row>
    <row r="903">
      <c r="A903" s="167"/>
      <c r="B903" s="167"/>
      <c r="C903" s="167"/>
      <c r="D903" s="167"/>
      <c r="E903" s="167"/>
    </row>
    <row r="904">
      <c r="A904" s="167"/>
      <c r="B904" s="167"/>
      <c r="C904" s="167"/>
      <c r="D904" s="167"/>
      <c r="E904" s="167"/>
    </row>
    <row r="905">
      <c r="A905" s="167"/>
      <c r="B905" s="167"/>
      <c r="C905" s="167"/>
      <c r="D905" s="167"/>
      <c r="E905" s="167"/>
    </row>
    <row r="906">
      <c r="A906" s="167"/>
      <c r="B906" s="167"/>
      <c r="C906" s="167"/>
      <c r="D906" s="167"/>
      <c r="E906" s="167"/>
    </row>
    <row r="907">
      <c r="A907" s="167"/>
      <c r="B907" s="167"/>
      <c r="C907" s="167"/>
      <c r="D907" s="167"/>
      <c r="E907" s="167"/>
    </row>
    <row r="908">
      <c r="A908" s="167"/>
      <c r="B908" s="167"/>
      <c r="C908" s="167"/>
      <c r="D908" s="167"/>
      <c r="E908" s="167"/>
    </row>
    <row r="909">
      <c r="A909" s="167"/>
      <c r="B909" s="167"/>
      <c r="C909" s="167"/>
      <c r="D909" s="167"/>
      <c r="E909" s="167"/>
    </row>
    <row r="910">
      <c r="A910" s="167"/>
      <c r="B910" s="167"/>
      <c r="C910" s="167"/>
      <c r="D910" s="167"/>
      <c r="E910" s="167"/>
    </row>
    <row r="911">
      <c r="A911" s="167"/>
      <c r="B911" s="167"/>
      <c r="C911" s="167"/>
      <c r="D911" s="167"/>
      <c r="E911" s="167"/>
    </row>
    <row r="912">
      <c r="A912" s="167"/>
      <c r="B912" s="167"/>
      <c r="C912" s="167"/>
      <c r="D912" s="167"/>
      <c r="E912" s="167"/>
    </row>
    <row r="913">
      <c r="A913" s="167"/>
      <c r="B913" s="167"/>
      <c r="C913" s="167"/>
      <c r="D913" s="167"/>
      <c r="E913" s="167"/>
    </row>
    <row r="914">
      <c r="A914" s="167"/>
      <c r="B914" s="167"/>
      <c r="C914" s="167"/>
      <c r="D914" s="167"/>
      <c r="E914" s="167"/>
    </row>
    <row r="915">
      <c r="A915" s="167"/>
      <c r="B915" s="167"/>
      <c r="C915" s="167"/>
      <c r="D915" s="167"/>
      <c r="E915" s="167"/>
    </row>
    <row r="916">
      <c r="A916" s="167"/>
      <c r="B916" s="167"/>
      <c r="C916" s="167"/>
      <c r="D916" s="167"/>
      <c r="E916" s="167"/>
    </row>
    <row r="917">
      <c r="A917" s="167"/>
      <c r="B917" s="167"/>
      <c r="C917" s="167"/>
      <c r="D917" s="167"/>
      <c r="E917" s="167"/>
    </row>
    <row r="918">
      <c r="A918" s="167"/>
      <c r="B918" s="167"/>
      <c r="C918" s="167"/>
      <c r="D918" s="167"/>
      <c r="E918" s="167"/>
    </row>
    <row r="919">
      <c r="A919" s="167"/>
      <c r="B919" s="167"/>
      <c r="C919" s="167"/>
      <c r="D919" s="167"/>
      <c r="E919" s="167"/>
    </row>
    <row r="920">
      <c r="A920" s="167"/>
      <c r="B920" s="167"/>
      <c r="C920" s="167"/>
      <c r="D920" s="167"/>
      <c r="E920" s="167"/>
    </row>
    <row r="921">
      <c r="A921" s="167"/>
      <c r="B921" s="167"/>
      <c r="C921" s="167"/>
      <c r="D921" s="167"/>
      <c r="E921" s="167"/>
    </row>
    <row r="922">
      <c r="A922" s="167"/>
      <c r="B922" s="167"/>
      <c r="C922" s="167"/>
      <c r="D922" s="167"/>
      <c r="E922" s="167"/>
    </row>
    <row r="923">
      <c r="A923" s="167"/>
      <c r="B923" s="167"/>
      <c r="C923" s="167"/>
      <c r="D923" s="167"/>
      <c r="E923" s="167"/>
    </row>
    <row r="924">
      <c r="A924" s="167"/>
      <c r="B924" s="167"/>
      <c r="C924" s="167"/>
      <c r="D924" s="167"/>
      <c r="E924" s="167"/>
    </row>
    <row r="925">
      <c r="A925" s="167"/>
      <c r="B925" s="167"/>
      <c r="C925" s="167"/>
      <c r="D925" s="167"/>
      <c r="E925" s="167"/>
    </row>
    <row r="926">
      <c r="A926" s="167"/>
      <c r="B926" s="167"/>
      <c r="C926" s="167"/>
      <c r="D926" s="167"/>
      <c r="E926" s="167"/>
    </row>
    <row r="927">
      <c r="A927" s="167"/>
      <c r="B927" s="167"/>
      <c r="C927" s="167"/>
      <c r="D927" s="167"/>
      <c r="E927" s="167"/>
    </row>
    <row r="928">
      <c r="A928" s="167"/>
      <c r="B928" s="167"/>
      <c r="C928" s="167"/>
      <c r="D928" s="167"/>
      <c r="E928" s="167"/>
    </row>
    <row r="929">
      <c r="A929" s="167"/>
      <c r="B929" s="167"/>
      <c r="C929" s="167"/>
      <c r="D929" s="167"/>
      <c r="E929" s="167"/>
    </row>
    <row r="930">
      <c r="A930" s="167"/>
      <c r="B930" s="167"/>
      <c r="C930" s="167"/>
      <c r="D930" s="167"/>
      <c r="E930" s="167"/>
    </row>
    <row r="931">
      <c r="A931" s="167"/>
      <c r="B931" s="167"/>
      <c r="C931" s="167"/>
      <c r="D931" s="167"/>
      <c r="E931" s="167"/>
    </row>
    <row r="932">
      <c r="A932" s="167"/>
      <c r="B932" s="167"/>
      <c r="C932" s="167"/>
      <c r="D932" s="167"/>
      <c r="E932" s="167"/>
    </row>
    <row r="933">
      <c r="A933" s="167"/>
      <c r="B933" s="167"/>
      <c r="C933" s="167"/>
      <c r="D933" s="167"/>
      <c r="E933" s="167"/>
    </row>
    <row r="934">
      <c r="A934" s="167"/>
      <c r="B934" s="167"/>
      <c r="C934" s="167"/>
      <c r="D934" s="167"/>
      <c r="E934" s="167"/>
    </row>
    <row r="935">
      <c r="A935" s="167"/>
      <c r="B935" s="167"/>
      <c r="C935" s="167"/>
      <c r="D935" s="167"/>
      <c r="E935" s="167"/>
    </row>
    <row r="936">
      <c r="A936" s="167"/>
      <c r="B936" s="167"/>
      <c r="C936" s="167"/>
      <c r="D936" s="167"/>
      <c r="E936" s="167"/>
    </row>
    <row r="937">
      <c r="A937" s="167"/>
      <c r="B937" s="167"/>
      <c r="C937" s="167"/>
      <c r="D937" s="167"/>
      <c r="E937" s="167"/>
    </row>
    <row r="938">
      <c r="A938" s="167"/>
      <c r="B938" s="167"/>
      <c r="C938" s="167"/>
      <c r="D938" s="167"/>
      <c r="E938" s="167"/>
    </row>
    <row r="939">
      <c r="A939" s="167"/>
      <c r="B939" s="167"/>
      <c r="C939" s="167"/>
      <c r="D939" s="167"/>
      <c r="E939" s="167"/>
    </row>
    <row r="940">
      <c r="A940" s="167"/>
      <c r="B940" s="167"/>
      <c r="C940" s="167"/>
      <c r="D940" s="167"/>
      <c r="E940" s="167"/>
    </row>
    <row r="941">
      <c r="A941" s="167"/>
      <c r="B941" s="167"/>
      <c r="C941" s="167"/>
      <c r="D941" s="167"/>
      <c r="E941" s="167"/>
    </row>
    <row r="942">
      <c r="A942" s="167"/>
      <c r="B942" s="167"/>
      <c r="C942" s="167"/>
      <c r="D942" s="167"/>
      <c r="E942" s="167"/>
    </row>
    <row r="943">
      <c r="A943" s="167"/>
      <c r="B943" s="167"/>
      <c r="C943" s="167"/>
      <c r="D943" s="167"/>
      <c r="E943" s="167"/>
    </row>
    <row r="944">
      <c r="A944" s="167"/>
      <c r="B944" s="167"/>
      <c r="C944" s="167"/>
      <c r="D944" s="167"/>
      <c r="E944" s="167"/>
    </row>
    <row r="945">
      <c r="A945" s="167"/>
      <c r="B945" s="167"/>
      <c r="C945" s="167"/>
      <c r="D945" s="167"/>
      <c r="E945" s="167"/>
    </row>
    <row r="946">
      <c r="A946" s="167"/>
      <c r="B946" s="167"/>
      <c r="C946" s="167"/>
      <c r="D946" s="167"/>
      <c r="E946" s="167"/>
    </row>
    <row r="947">
      <c r="A947" s="167"/>
      <c r="B947" s="167"/>
      <c r="C947" s="167"/>
      <c r="D947" s="167"/>
      <c r="E947" s="167"/>
    </row>
    <row r="948">
      <c r="A948" s="167"/>
      <c r="B948" s="167"/>
      <c r="C948" s="167"/>
      <c r="D948" s="167"/>
      <c r="E948" s="167"/>
    </row>
    <row r="949">
      <c r="A949" s="167"/>
      <c r="B949" s="167"/>
      <c r="C949" s="167"/>
      <c r="D949" s="167"/>
      <c r="E949" s="167"/>
    </row>
    <row r="950">
      <c r="A950" s="167"/>
      <c r="B950" s="167"/>
      <c r="C950" s="167"/>
      <c r="D950" s="167"/>
      <c r="E950" s="167"/>
    </row>
    <row r="951">
      <c r="A951" s="167"/>
      <c r="B951" s="167"/>
      <c r="C951" s="167"/>
      <c r="D951" s="167"/>
      <c r="E951" s="167"/>
    </row>
    <row r="952">
      <c r="A952" s="167"/>
      <c r="B952" s="167"/>
      <c r="C952" s="167"/>
      <c r="D952" s="167"/>
      <c r="E952" s="167"/>
    </row>
    <row r="953">
      <c r="A953" s="167"/>
      <c r="B953" s="167"/>
      <c r="C953" s="167"/>
      <c r="D953" s="167"/>
      <c r="E953" s="167"/>
    </row>
    <row r="954">
      <c r="A954" s="167"/>
      <c r="B954" s="167"/>
      <c r="C954" s="167"/>
      <c r="D954" s="167"/>
      <c r="E954" s="167"/>
    </row>
    <row r="955">
      <c r="A955" s="167"/>
      <c r="B955" s="167"/>
      <c r="C955" s="167"/>
      <c r="D955" s="167"/>
      <c r="E955" s="167"/>
    </row>
    <row r="956">
      <c r="A956" s="167"/>
      <c r="B956" s="167"/>
      <c r="C956" s="167"/>
      <c r="D956" s="167"/>
      <c r="E956" s="167"/>
    </row>
    <row r="957">
      <c r="A957" s="167"/>
      <c r="B957" s="167"/>
      <c r="C957" s="167"/>
      <c r="D957" s="167"/>
      <c r="E957" s="167"/>
    </row>
    <row r="958">
      <c r="A958" s="167"/>
      <c r="B958" s="167"/>
      <c r="C958" s="167"/>
      <c r="D958" s="167"/>
      <c r="E958" s="167"/>
    </row>
    <row r="959">
      <c r="A959" s="167"/>
      <c r="B959" s="167"/>
      <c r="C959" s="167"/>
      <c r="D959" s="167"/>
      <c r="E959" s="167"/>
    </row>
    <row r="960">
      <c r="A960" s="167"/>
      <c r="B960" s="167"/>
      <c r="C960" s="167"/>
      <c r="D960" s="167"/>
      <c r="E960" s="167"/>
    </row>
    <row r="961">
      <c r="A961" s="167"/>
      <c r="B961" s="167"/>
      <c r="C961" s="167"/>
      <c r="D961" s="167"/>
      <c r="E961" s="167"/>
    </row>
    <row r="962">
      <c r="A962" s="167"/>
      <c r="B962" s="167"/>
      <c r="C962" s="167"/>
      <c r="D962" s="167"/>
      <c r="E962" s="167"/>
    </row>
    <row r="963">
      <c r="A963" s="167"/>
      <c r="B963" s="167"/>
      <c r="C963" s="167"/>
      <c r="D963" s="167"/>
      <c r="E963" s="167"/>
    </row>
    <row r="964">
      <c r="A964" s="167"/>
      <c r="B964" s="167"/>
      <c r="C964" s="167"/>
      <c r="D964" s="167"/>
      <c r="E964" s="167"/>
    </row>
    <row r="965">
      <c r="A965" s="167"/>
      <c r="B965" s="167"/>
      <c r="C965" s="167"/>
      <c r="D965" s="167"/>
      <c r="E965" s="167"/>
    </row>
    <row r="966">
      <c r="A966" s="167"/>
      <c r="B966" s="167"/>
      <c r="C966" s="167"/>
      <c r="D966" s="167"/>
      <c r="E966" s="167"/>
    </row>
    <row r="967">
      <c r="A967" s="167"/>
      <c r="B967" s="167"/>
      <c r="C967" s="167"/>
      <c r="D967" s="167"/>
      <c r="E967" s="167"/>
    </row>
    <row r="968">
      <c r="A968" s="167"/>
      <c r="B968" s="167"/>
      <c r="C968" s="167"/>
      <c r="D968" s="167"/>
      <c r="E968" s="167"/>
    </row>
    <row r="969">
      <c r="A969" s="167"/>
      <c r="B969" s="167"/>
      <c r="C969" s="167"/>
      <c r="D969" s="167"/>
      <c r="E969" s="167"/>
    </row>
    <row r="970">
      <c r="A970" s="167"/>
      <c r="B970" s="167"/>
      <c r="C970" s="167"/>
      <c r="D970" s="167"/>
      <c r="E970" s="167"/>
    </row>
    <row r="971">
      <c r="A971" s="167"/>
      <c r="B971" s="167"/>
      <c r="C971" s="167"/>
      <c r="D971" s="167"/>
      <c r="E971" s="167"/>
    </row>
    <row r="972">
      <c r="A972" s="167"/>
      <c r="B972" s="167"/>
      <c r="C972" s="167"/>
      <c r="D972" s="167"/>
      <c r="E972" s="167"/>
    </row>
    <row r="973">
      <c r="A973" s="167"/>
      <c r="B973" s="167"/>
      <c r="C973" s="167"/>
      <c r="D973" s="167"/>
      <c r="E973" s="167"/>
    </row>
    <row r="974">
      <c r="A974" s="167"/>
      <c r="B974" s="167"/>
      <c r="C974" s="167"/>
      <c r="D974" s="167"/>
      <c r="E974" s="167"/>
    </row>
    <row r="975">
      <c r="A975" s="167"/>
      <c r="B975" s="167"/>
      <c r="C975" s="167"/>
      <c r="D975" s="167"/>
      <c r="E975" s="167"/>
    </row>
    <row r="976">
      <c r="A976" s="167"/>
      <c r="B976" s="167"/>
      <c r="C976" s="167"/>
      <c r="D976" s="167"/>
      <c r="E976" s="167"/>
    </row>
    <row r="977">
      <c r="A977" s="167"/>
      <c r="B977" s="167"/>
      <c r="C977" s="167"/>
      <c r="D977" s="167"/>
      <c r="E977" s="167"/>
    </row>
    <row r="978">
      <c r="A978" s="167"/>
      <c r="B978" s="167"/>
      <c r="C978" s="167"/>
      <c r="D978" s="167"/>
      <c r="E978" s="167"/>
    </row>
    <row r="979">
      <c r="A979" s="167"/>
      <c r="B979" s="167"/>
      <c r="C979" s="167"/>
      <c r="D979" s="167"/>
      <c r="E979" s="167"/>
    </row>
    <row r="980">
      <c r="A980" s="167"/>
      <c r="B980" s="167"/>
      <c r="C980" s="167"/>
      <c r="D980" s="167"/>
      <c r="E980" s="167"/>
    </row>
    <row r="981">
      <c r="A981" s="167"/>
      <c r="B981" s="167"/>
      <c r="C981" s="167"/>
      <c r="D981" s="167"/>
      <c r="E981" s="167"/>
    </row>
    <row r="982">
      <c r="A982" s="167"/>
      <c r="B982" s="167"/>
      <c r="C982" s="167"/>
      <c r="D982" s="167"/>
      <c r="E982" s="167"/>
    </row>
    <row r="983">
      <c r="A983" s="167"/>
      <c r="B983" s="167"/>
      <c r="C983" s="167"/>
      <c r="D983" s="167"/>
      <c r="E983" s="167"/>
    </row>
    <row r="984">
      <c r="A984" s="167"/>
      <c r="B984" s="167"/>
      <c r="C984" s="167"/>
      <c r="D984" s="167"/>
      <c r="E984" s="167"/>
    </row>
    <row r="985">
      <c r="A985" s="167"/>
      <c r="B985" s="167"/>
      <c r="C985" s="167"/>
      <c r="D985" s="167"/>
      <c r="E985" s="167"/>
    </row>
    <row r="986">
      <c r="A986" s="167"/>
      <c r="B986" s="167"/>
      <c r="C986" s="167"/>
      <c r="D986" s="167"/>
      <c r="E986" s="167"/>
    </row>
    <row r="987">
      <c r="A987" s="167"/>
      <c r="B987" s="167"/>
      <c r="C987" s="167"/>
      <c r="D987" s="167"/>
      <c r="E987" s="167"/>
    </row>
    <row r="988">
      <c r="A988" s="167"/>
      <c r="B988" s="167"/>
      <c r="C988" s="167"/>
      <c r="D988" s="167"/>
      <c r="E988" s="167"/>
    </row>
    <row r="989">
      <c r="A989" s="167"/>
      <c r="B989" s="167"/>
      <c r="C989" s="167"/>
      <c r="D989" s="167"/>
      <c r="E989" s="167"/>
    </row>
    <row r="990">
      <c r="A990" s="167"/>
      <c r="B990" s="167"/>
      <c r="C990" s="167"/>
      <c r="D990" s="167"/>
      <c r="E990" s="167"/>
    </row>
    <row r="991">
      <c r="A991" s="167"/>
      <c r="B991" s="167"/>
      <c r="C991" s="167"/>
      <c r="D991" s="167"/>
      <c r="E991" s="167"/>
    </row>
    <row r="992">
      <c r="A992" s="167"/>
      <c r="B992" s="167"/>
      <c r="C992" s="167"/>
      <c r="D992" s="167"/>
      <c r="E992" s="167"/>
    </row>
    <row r="993">
      <c r="A993" s="167"/>
      <c r="B993" s="167"/>
      <c r="C993" s="167"/>
      <c r="D993" s="167"/>
      <c r="E993" s="167"/>
    </row>
    <row r="994">
      <c r="A994" s="167"/>
      <c r="B994" s="167"/>
      <c r="C994" s="167"/>
      <c r="D994" s="167"/>
      <c r="E994" s="167"/>
    </row>
    <row r="995">
      <c r="A995" s="167"/>
      <c r="B995" s="167"/>
      <c r="C995" s="167"/>
      <c r="D995" s="167"/>
      <c r="E995" s="167"/>
    </row>
    <row r="996">
      <c r="A996" s="167"/>
      <c r="B996" s="167"/>
      <c r="C996" s="167"/>
      <c r="D996" s="167"/>
      <c r="E996" s="167"/>
    </row>
    <row r="997">
      <c r="A997" s="167"/>
      <c r="B997" s="167"/>
      <c r="C997" s="167"/>
      <c r="D997" s="167"/>
      <c r="E997" s="167"/>
    </row>
    <row r="998">
      <c r="A998" s="167"/>
      <c r="B998" s="167"/>
      <c r="C998" s="167"/>
      <c r="D998" s="167"/>
      <c r="E998" s="167"/>
    </row>
    <row r="999">
      <c r="A999" s="167"/>
      <c r="B999" s="167"/>
      <c r="C999" s="167"/>
      <c r="D999" s="167"/>
      <c r="E999" s="167"/>
    </row>
    <row r="1000">
      <c r="A1000" s="167"/>
      <c r="B1000" s="167"/>
      <c r="C1000" s="167"/>
      <c r="D1000" s="167"/>
      <c r="E1000" s="167"/>
    </row>
    <row r="1001">
      <c r="A1001" s="167"/>
      <c r="B1001" s="167"/>
      <c r="C1001" s="167"/>
      <c r="D1001" s="167"/>
      <c r="E1001" s="167"/>
    </row>
    <row r="1002">
      <c r="A1002" s="167"/>
      <c r="B1002" s="167"/>
      <c r="C1002" s="167"/>
      <c r="D1002" s="167"/>
      <c r="E1002" s="167"/>
    </row>
    <row r="1003">
      <c r="A1003" s="167"/>
      <c r="B1003" s="167"/>
      <c r="C1003" s="167"/>
      <c r="D1003" s="167"/>
      <c r="E1003" s="167"/>
    </row>
    <row r="1004">
      <c r="A1004" s="167"/>
      <c r="B1004" s="167"/>
      <c r="C1004" s="167"/>
      <c r="D1004" s="167"/>
      <c r="E1004" s="167"/>
    </row>
    <row r="1005">
      <c r="A1005" s="167"/>
      <c r="B1005" s="167"/>
      <c r="C1005" s="167"/>
      <c r="D1005" s="167"/>
      <c r="E1005" s="167"/>
    </row>
    <row r="1006">
      <c r="A1006" s="167"/>
      <c r="B1006" s="167"/>
      <c r="C1006" s="167"/>
      <c r="D1006" s="167"/>
      <c r="E1006" s="167"/>
    </row>
    <row r="1007">
      <c r="A1007" s="167"/>
      <c r="B1007" s="167"/>
      <c r="C1007" s="167"/>
      <c r="D1007" s="167"/>
      <c r="E1007" s="167"/>
    </row>
    <row r="1008">
      <c r="A1008" s="167"/>
      <c r="B1008" s="167"/>
      <c r="C1008" s="167"/>
      <c r="D1008" s="167"/>
      <c r="E1008" s="167"/>
    </row>
  </sheetData>
  <autoFilter ref="$A$2:$E$602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7.63"/>
  </cols>
  <sheetData>
    <row r="1" ht="22.5" customHeight="1">
      <c r="A1" s="361" t="s">
        <v>8680</v>
      </c>
    </row>
    <row r="2" ht="22.5" customHeight="1">
      <c r="A2" s="362" t="s">
        <v>6420</v>
      </c>
    </row>
    <row r="3" ht="22.5" customHeight="1">
      <c r="A3" s="362" t="s">
        <v>5505</v>
      </c>
    </row>
    <row r="4" ht="22.5" customHeight="1">
      <c r="A4" s="362" t="s">
        <v>6278</v>
      </c>
    </row>
    <row r="5" ht="22.5" customHeight="1">
      <c r="A5" s="362" t="s">
        <v>5765</v>
      </c>
    </row>
    <row r="6" ht="22.5" customHeight="1">
      <c r="A6" s="362" t="s">
        <v>5999</v>
      </c>
    </row>
    <row r="7" ht="22.5" customHeight="1">
      <c r="A7" s="362" t="s">
        <v>6133</v>
      </c>
    </row>
    <row r="8" ht="22.5" customHeight="1">
      <c r="A8" s="362" t="s">
        <v>5248</v>
      </c>
    </row>
    <row r="9" ht="22.5" customHeight="1">
      <c r="A9" s="362" t="s">
        <v>6548</v>
      </c>
    </row>
    <row r="10" ht="22.5" customHeight="1">
      <c r="A10" s="362" t="s">
        <v>5371</v>
      </c>
    </row>
    <row r="11" ht="22.5" customHeight="1">
      <c r="A11" s="362" t="s">
        <v>6424</v>
      </c>
    </row>
    <row r="12" ht="22.5" customHeight="1">
      <c r="A12" s="362" t="s">
        <v>5769</v>
      </c>
    </row>
    <row r="13" ht="22.5" customHeight="1">
      <c r="A13" s="362" t="s">
        <v>6428</v>
      </c>
    </row>
    <row r="14" ht="22.5" customHeight="1">
      <c r="A14" s="362" t="s">
        <v>6684</v>
      </c>
    </row>
    <row r="15" ht="22.5" customHeight="1">
      <c r="A15" s="362" t="s">
        <v>5626</v>
      </c>
    </row>
    <row r="16" ht="22.5" customHeight="1">
      <c r="A16" s="362" t="s">
        <v>6004</v>
      </c>
    </row>
    <row r="17" ht="22.5" customHeight="1">
      <c r="A17" s="362" t="s">
        <v>5631</v>
      </c>
    </row>
    <row r="18" ht="22.5" customHeight="1">
      <c r="A18" s="362" t="s">
        <v>6282</v>
      </c>
    </row>
    <row r="19" ht="22.5" customHeight="1">
      <c r="A19" s="362" t="s">
        <v>6431</v>
      </c>
    </row>
    <row r="20" ht="22.5" customHeight="1">
      <c r="A20" s="362" t="s">
        <v>6689</v>
      </c>
    </row>
    <row r="21" ht="22.5" customHeight="1">
      <c r="A21" s="362" t="s">
        <v>5773</v>
      </c>
    </row>
    <row r="22" ht="22.5" customHeight="1">
      <c r="A22" s="362" t="s">
        <v>5376</v>
      </c>
    </row>
    <row r="23" ht="22.5" customHeight="1">
      <c r="A23" s="362" t="s">
        <v>5776</v>
      </c>
    </row>
    <row r="24" ht="22.5" customHeight="1">
      <c r="A24" s="362" t="s">
        <v>6008</v>
      </c>
    </row>
    <row r="25" ht="22.5" customHeight="1">
      <c r="A25" s="362" t="s">
        <v>5380</v>
      </c>
    </row>
    <row r="26" ht="22.5" customHeight="1">
      <c r="A26" s="362" t="s">
        <v>6285</v>
      </c>
    </row>
    <row r="27" ht="22.5" customHeight="1">
      <c r="A27" s="362" t="s">
        <v>6138</v>
      </c>
    </row>
    <row r="28" ht="22.5" customHeight="1">
      <c r="A28" s="362" t="s">
        <v>6693</v>
      </c>
    </row>
    <row r="29" ht="22.5" customHeight="1">
      <c r="A29" s="362" t="s">
        <v>6696</v>
      </c>
    </row>
    <row r="30" ht="22.5" customHeight="1">
      <c r="A30" s="362" t="s">
        <v>6553</v>
      </c>
    </row>
    <row r="31" ht="22.5" customHeight="1">
      <c r="A31" s="362" t="s">
        <v>6434</v>
      </c>
    </row>
    <row r="32" ht="22.5" customHeight="1">
      <c r="A32" s="362" t="s">
        <v>6556</v>
      </c>
    </row>
    <row r="33" ht="22.5" customHeight="1">
      <c r="A33" s="362" t="s">
        <v>5780</v>
      </c>
    </row>
    <row r="34" ht="22.5" customHeight="1">
      <c r="A34" s="362" t="s">
        <v>6141</v>
      </c>
    </row>
    <row r="35" ht="22.5" customHeight="1">
      <c r="A35" s="362" t="s">
        <v>5902</v>
      </c>
    </row>
    <row r="36" ht="22.5" customHeight="1">
      <c r="A36" s="362" t="s">
        <v>6437</v>
      </c>
    </row>
    <row r="37" ht="22.5" customHeight="1">
      <c r="A37" s="362" t="s">
        <v>5634</v>
      </c>
    </row>
    <row r="38" ht="22.5" customHeight="1">
      <c r="A38" s="362" t="s">
        <v>5383</v>
      </c>
    </row>
    <row r="39" ht="22.5" customHeight="1">
      <c r="A39" s="362" t="s">
        <v>6144</v>
      </c>
    </row>
    <row r="40" ht="22.5" customHeight="1">
      <c r="A40" s="362" t="s">
        <v>6147</v>
      </c>
    </row>
    <row r="41" ht="22.5" customHeight="1">
      <c r="A41" s="362" t="s">
        <v>5907</v>
      </c>
    </row>
    <row r="42" ht="22.5" customHeight="1">
      <c r="A42" s="362" t="s">
        <v>5783</v>
      </c>
    </row>
    <row r="43" ht="22.5" customHeight="1">
      <c r="A43" s="362" t="s">
        <v>6011</v>
      </c>
    </row>
    <row r="44" ht="22.5" customHeight="1">
      <c r="A44" s="363" t="s">
        <v>5637</v>
      </c>
    </row>
    <row r="45" ht="22.5" customHeight="1">
      <c r="A45" s="362" t="s">
        <v>6699</v>
      </c>
    </row>
    <row r="46" ht="22.5" customHeight="1">
      <c r="A46" s="362" t="s">
        <v>6560</v>
      </c>
    </row>
    <row r="47" ht="22.5" customHeight="1">
      <c r="A47" s="363" t="s">
        <v>5252</v>
      </c>
    </row>
    <row r="48" ht="22.5" customHeight="1">
      <c r="A48" s="363" t="s">
        <v>5641</v>
      </c>
    </row>
    <row r="49" ht="22.5" customHeight="1">
      <c r="A49" s="363" t="s">
        <v>5386</v>
      </c>
    </row>
    <row r="50" ht="22.5" customHeight="1">
      <c r="A50" s="362" t="s">
        <v>6014</v>
      </c>
    </row>
    <row r="51" ht="22.5" customHeight="1">
      <c r="A51" s="362" t="s">
        <v>5389</v>
      </c>
    </row>
    <row r="52" ht="22.5" customHeight="1">
      <c r="A52" s="362" t="s">
        <v>5256</v>
      </c>
    </row>
    <row r="53" ht="22.5" customHeight="1">
      <c r="A53" s="362" t="s">
        <v>6441</v>
      </c>
    </row>
    <row r="54" ht="22.5" customHeight="1">
      <c r="A54" s="362" t="s">
        <v>5786</v>
      </c>
    </row>
    <row r="55" ht="22.5" customHeight="1">
      <c r="A55" s="362" t="s">
        <v>5644</v>
      </c>
    </row>
    <row r="56" ht="22.5" customHeight="1">
      <c r="A56" s="362" t="s">
        <v>5789</v>
      </c>
    </row>
    <row r="57" ht="22.5" customHeight="1">
      <c r="A57" s="362" t="s">
        <v>5392</v>
      </c>
    </row>
    <row r="58" ht="22.5" customHeight="1">
      <c r="A58" s="362" t="s">
        <v>6444</v>
      </c>
    </row>
    <row r="59" ht="22.5" customHeight="1">
      <c r="A59" s="362" t="s">
        <v>5791</v>
      </c>
    </row>
    <row r="60" ht="22.5" customHeight="1">
      <c r="A60" s="362" t="s">
        <v>6150</v>
      </c>
    </row>
    <row r="61" ht="22.5" customHeight="1">
      <c r="A61" s="362" t="s">
        <v>5396</v>
      </c>
    </row>
    <row r="62" ht="22.5" customHeight="1">
      <c r="A62" s="362" t="s">
        <v>5510</v>
      </c>
    </row>
    <row r="63" ht="22.5" customHeight="1">
      <c r="A63" s="362" t="s">
        <v>6017</v>
      </c>
    </row>
    <row r="64" ht="22.5" customHeight="1">
      <c r="A64" s="362" t="s">
        <v>5513</v>
      </c>
    </row>
    <row r="65" ht="22.5" customHeight="1">
      <c r="A65" s="362" t="s">
        <v>6563</v>
      </c>
    </row>
    <row r="66" ht="22.5" customHeight="1">
      <c r="A66" s="362" t="s">
        <v>5794</v>
      </c>
    </row>
    <row r="67" ht="22.5" customHeight="1">
      <c r="A67" s="362" t="s">
        <v>6702</v>
      </c>
    </row>
    <row r="68" ht="22.5" customHeight="1">
      <c r="A68" s="362" t="s">
        <v>5647</v>
      </c>
    </row>
    <row r="69" ht="22.5" customHeight="1">
      <c r="A69" s="362" t="s">
        <v>5399</v>
      </c>
    </row>
    <row r="70" ht="22.5" customHeight="1">
      <c r="A70" s="362" t="s">
        <v>6289</v>
      </c>
    </row>
    <row r="71" ht="22.5" customHeight="1">
      <c r="A71" s="362" t="s">
        <v>5910</v>
      </c>
    </row>
    <row r="72" ht="22.5" customHeight="1">
      <c r="A72" s="362" t="s">
        <v>6292</v>
      </c>
    </row>
    <row r="73" ht="22.5" customHeight="1">
      <c r="A73" s="362" t="s">
        <v>5650</v>
      </c>
    </row>
    <row r="74" ht="22.5" customHeight="1">
      <c r="A74" s="362" t="s">
        <v>5517</v>
      </c>
    </row>
    <row r="75" ht="22.5" customHeight="1">
      <c r="A75" s="362" t="s">
        <v>6153</v>
      </c>
    </row>
    <row r="76" ht="22.5" customHeight="1">
      <c r="A76" s="362" t="s">
        <v>6295</v>
      </c>
    </row>
    <row r="77" ht="22.5" customHeight="1">
      <c r="A77" s="362" t="s">
        <v>5520</v>
      </c>
    </row>
    <row r="78" ht="22.5" customHeight="1">
      <c r="A78" s="362" t="s">
        <v>6705</v>
      </c>
    </row>
    <row r="79" ht="22.5" customHeight="1">
      <c r="A79" s="362" t="s">
        <v>6708</v>
      </c>
    </row>
    <row r="80" ht="22.5" customHeight="1">
      <c r="A80" s="362" t="s">
        <v>5258</v>
      </c>
    </row>
    <row r="81" ht="22.5" customHeight="1">
      <c r="A81" s="362" t="s">
        <v>5261</v>
      </c>
    </row>
    <row r="82" ht="22.5" customHeight="1">
      <c r="A82" s="362" t="s">
        <v>5402</v>
      </c>
    </row>
    <row r="83" ht="22.5" customHeight="1">
      <c r="A83" s="362" t="s">
        <v>6566</v>
      </c>
    </row>
    <row r="84" ht="22.5" customHeight="1">
      <c r="A84" s="362" t="s">
        <v>6299</v>
      </c>
    </row>
    <row r="85" ht="22.5" customHeight="1">
      <c r="A85" s="362" t="s">
        <v>5264</v>
      </c>
    </row>
    <row r="86" ht="22.5" customHeight="1">
      <c r="A86" s="362" t="s">
        <v>5267</v>
      </c>
    </row>
    <row r="87" ht="22.5" customHeight="1">
      <c r="A87" s="362" t="s">
        <v>6447</v>
      </c>
    </row>
    <row r="88" ht="22.5" customHeight="1">
      <c r="A88" s="362" t="s">
        <v>5405</v>
      </c>
    </row>
    <row r="89" ht="22.5" customHeight="1">
      <c r="A89" s="362" t="s">
        <v>6450</v>
      </c>
    </row>
    <row r="90" ht="22.5" customHeight="1">
      <c r="A90" s="362" t="s">
        <v>6302</v>
      </c>
    </row>
    <row r="91" ht="22.5" customHeight="1">
      <c r="A91" s="362" t="s">
        <v>5523</v>
      </c>
    </row>
    <row r="92" ht="22.5" customHeight="1">
      <c r="A92" s="362" t="s">
        <v>5526</v>
      </c>
    </row>
    <row r="93" ht="22.5" customHeight="1">
      <c r="A93" s="362" t="s">
        <v>6305</v>
      </c>
    </row>
    <row r="94" ht="22.5" customHeight="1">
      <c r="A94" s="363" t="s">
        <v>5529</v>
      </c>
    </row>
    <row r="95" ht="22.5" customHeight="1">
      <c r="A95" s="362" t="s">
        <v>6156</v>
      </c>
    </row>
    <row r="96" ht="22.5" customHeight="1">
      <c r="A96" s="362" t="s">
        <v>6569</v>
      </c>
    </row>
    <row r="97" ht="22.5" customHeight="1">
      <c r="A97" s="363" t="s">
        <v>6453</v>
      </c>
    </row>
    <row r="98" ht="22.5" customHeight="1">
      <c r="A98" s="363" t="s">
        <v>5270</v>
      </c>
    </row>
    <row r="99" ht="22.5" customHeight="1">
      <c r="A99" s="363" t="s">
        <v>5273</v>
      </c>
    </row>
    <row r="100" ht="22.5" customHeight="1">
      <c r="A100" s="362" t="s">
        <v>5408</v>
      </c>
    </row>
    <row r="101" ht="22.5" customHeight="1">
      <c r="A101" s="362" t="s">
        <v>6456</v>
      </c>
    </row>
    <row r="102" ht="22.5" customHeight="1">
      <c r="A102" s="362" t="s">
        <v>6572</v>
      </c>
    </row>
    <row r="103" ht="22.5" customHeight="1">
      <c r="A103" s="362" t="s">
        <v>6711</v>
      </c>
    </row>
    <row r="104" ht="22.5" customHeight="1">
      <c r="A104" s="362" t="s">
        <v>6714</v>
      </c>
    </row>
    <row r="105" ht="22.5" customHeight="1">
      <c r="A105" s="362" t="s">
        <v>6159</v>
      </c>
    </row>
    <row r="106" ht="22.5" customHeight="1">
      <c r="A106" s="362" t="s">
        <v>6575</v>
      </c>
    </row>
    <row r="107" ht="22.5" customHeight="1">
      <c r="A107" s="362" t="s">
        <v>6578</v>
      </c>
    </row>
    <row r="108" ht="22.5" customHeight="1">
      <c r="A108" s="362" t="s">
        <v>6581</v>
      </c>
    </row>
    <row r="109" ht="22.5" customHeight="1">
      <c r="A109" s="362" t="s">
        <v>6020</v>
      </c>
    </row>
    <row r="110" ht="22.5" customHeight="1">
      <c r="A110" s="362" t="s">
        <v>6584</v>
      </c>
    </row>
    <row r="111" ht="22.5" customHeight="1">
      <c r="A111" s="362" t="s">
        <v>5797</v>
      </c>
    </row>
    <row r="112" ht="22.5" customHeight="1">
      <c r="A112" s="362" t="s">
        <v>6587</v>
      </c>
    </row>
    <row r="113" ht="22.5" customHeight="1">
      <c r="A113" s="362" t="s">
        <v>6308</v>
      </c>
    </row>
    <row r="114" ht="22.5" customHeight="1">
      <c r="A114" s="362" t="s">
        <v>6162</v>
      </c>
    </row>
    <row r="115" ht="22.5" customHeight="1">
      <c r="A115" s="362" t="s">
        <v>6459</v>
      </c>
    </row>
    <row r="116" ht="22.5" customHeight="1">
      <c r="A116" s="362" t="s">
        <v>5532</v>
      </c>
    </row>
    <row r="117" ht="22.5" customHeight="1">
      <c r="A117" s="362" t="s">
        <v>5276</v>
      </c>
    </row>
    <row r="118" ht="22.5" customHeight="1">
      <c r="A118" s="362" t="s">
        <v>5800</v>
      </c>
    </row>
    <row r="119" ht="22.5" customHeight="1">
      <c r="A119" s="362" t="s">
        <v>5411</v>
      </c>
    </row>
    <row r="120" ht="22.5" customHeight="1">
      <c r="A120" s="362" t="s">
        <v>6165</v>
      </c>
    </row>
    <row r="121" ht="22.5" customHeight="1">
      <c r="A121" s="362" t="s">
        <v>5279</v>
      </c>
    </row>
    <row r="122" ht="22.5" customHeight="1">
      <c r="A122" s="362" t="s">
        <v>6717</v>
      </c>
    </row>
    <row r="123" ht="22.5" customHeight="1">
      <c r="A123" s="362" t="s">
        <v>6462</v>
      </c>
    </row>
    <row r="124" ht="22.5" customHeight="1">
      <c r="A124" s="362" t="s">
        <v>5535</v>
      </c>
    </row>
    <row r="125" ht="22.5" customHeight="1">
      <c r="A125" s="362" t="s">
        <v>5282</v>
      </c>
    </row>
    <row r="126" ht="22.5" customHeight="1">
      <c r="A126" s="362" t="s">
        <v>6590</v>
      </c>
    </row>
    <row r="127" ht="22.5" customHeight="1">
      <c r="A127" s="362" t="s">
        <v>5653</v>
      </c>
    </row>
    <row r="128" ht="22.5" customHeight="1">
      <c r="A128" s="362" t="s">
        <v>6311</v>
      </c>
    </row>
    <row r="129" ht="22.5" customHeight="1">
      <c r="A129" s="362" t="s">
        <v>5913</v>
      </c>
    </row>
    <row r="130" ht="22.5" customHeight="1">
      <c r="A130" s="362" t="s">
        <v>6314</v>
      </c>
    </row>
    <row r="131" ht="22.5" customHeight="1">
      <c r="A131" s="362" t="s">
        <v>5538</v>
      </c>
    </row>
    <row r="132" ht="22.5" customHeight="1">
      <c r="A132" s="362" t="s">
        <v>5541</v>
      </c>
    </row>
    <row r="133" ht="22.5" customHeight="1">
      <c r="A133" s="362" t="s">
        <v>5414</v>
      </c>
    </row>
    <row r="134" ht="22.5" customHeight="1">
      <c r="A134" s="362" t="s">
        <v>6023</v>
      </c>
    </row>
    <row r="135" ht="22.5" customHeight="1">
      <c r="A135" s="362" t="s">
        <v>6026</v>
      </c>
    </row>
    <row r="136" ht="22.5" customHeight="1">
      <c r="A136" s="362" t="s">
        <v>6720</v>
      </c>
    </row>
    <row r="137" ht="22.5" customHeight="1">
      <c r="A137" s="362" t="s">
        <v>6029</v>
      </c>
    </row>
    <row r="138" ht="22.5" customHeight="1">
      <c r="A138" s="362" t="s">
        <v>5417</v>
      </c>
    </row>
    <row r="139" ht="22.5" customHeight="1">
      <c r="A139" s="362" t="s">
        <v>6317</v>
      </c>
    </row>
    <row r="140" ht="22.5" customHeight="1">
      <c r="A140" s="363" t="s">
        <v>6723</v>
      </c>
    </row>
    <row r="141" ht="22.5" customHeight="1">
      <c r="A141" s="362" t="s">
        <v>5544</v>
      </c>
    </row>
    <row r="142" ht="22.5" customHeight="1">
      <c r="A142" s="362" t="s">
        <v>6726</v>
      </c>
    </row>
    <row r="143" ht="22.5" customHeight="1">
      <c r="A143" s="363" t="s">
        <v>6169</v>
      </c>
    </row>
    <row r="144" ht="22.5" customHeight="1">
      <c r="A144" s="363" t="s">
        <v>6729</v>
      </c>
    </row>
    <row r="145" ht="22.5" customHeight="1">
      <c r="A145" s="363" t="s">
        <v>5420</v>
      </c>
    </row>
    <row r="146" ht="22.5" customHeight="1">
      <c r="A146" s="362" t="s">
        <v>5423</v>
      </c>
    </row>
    <row r="147" ht="22.5" customHeight="1">
      <c r="A147" s="362" t="s">
        <v>5656</v>
      </c>
    </row>
    <row r="148" ht="22.5" customHeight="1">
      <c r="A148" s="362" t="s">
        <v>6032</v>
      </c>
    </row>
    <row r="149" ht="22.5" customHeight="1">
      <c r="A149" s="362" t="s">
        <v>5916</v>
      </c>
    </row>
    <row r="150" ht="22.5" customHeight="1">
      <c r="A150" s="362" t="s">
        <v>5547</v>
      </c>
    </row>
    <row r="151" ht="22.5" customHeight="1">
      <c r="A151" s="362" t="s">
        <v>6035</v>
      </c>
    </row>
    <row r="152" ht="22.5" customHeight="1">
      <c r="A152" s="362" t="s">
        <v>6172</v>
      </c>
    </row>
    <row r="153" ht="22.5" customHeight="1">
      <c r="A153" s="362" t="s">
        <v>6175</v>
      </c>
    </row>
    <row r="154" ht="22.5" customHeight="1">
      <c r="A154" s="362" t="s">
        <v>5659</v>
      </c>
    </row>
    <row r="155" ht="22.5" customHeight="1">
      <c r="A155" s="362" t="s">
        <v>5803</v>
      </c>
    </row>
    <row r="156" ht="22.5" customHeight="1">
      <c r="A156" s="362" t="s">
        <v>5426</v>
      </c>
    </row>
    <row r="157" ht="22.5" customHeight="1">
      <c r="A157" s="362" t="s">
        <v>6465</v>
      </c>
    </row>
    <row r="158" ht="22.5" customHeight="1">
      <c r="A158" s="362" t="s">
        <v>5806</v>
      </c>
    </row>
    <row r="159" ht="22.5" customHeight="1">
      <c r="A159" s="362" t="s">
        <v>5919</v>
      </c>
    </row>
    <row r="160" ht="22.5" customHeight="1">
      <c r="A160" s="362" t="s">
        <v>6468</v>
      </c>
    </row>
    <row r="161" ht="22.5" customHeight="1">
      <c r="A161" s="362" t="s">
        <v>6471</v>
      </c>
    </row>
    <row r="162" ht="22.5" customHeight="1">
      <c r="A162" s="362" t="s">
        <v>6178</v>
      </c>
    </row>
    <row r="163" ht="22.5" customHeight="1">
      <c r="A163" s="362" t="s">
        <v>5284</v>
      </c>
    </row>
    <row r="164" ht="22.5" customHeight="1">
      <c r="A164" s="362" t="s">
        <v>5922</v>
      </c>
    </row>
    <row r="165" ht="22.5" customHeight="1">
      <c r="A165" s="362" t="s">
        <v>5662</v>
      </c>
    </row>
    <row r="166" ht="22.5" customHeight="1">
      <c r="A166" s="362" t="s">
        <v>6181</v>
      </c>
    </row>
    <row r="167" ht="22.5" customHeight="1">
      <c r="A167" s="362" t="s">
        <v>5287</v>
      </c>
    </row>
    <row r="168" ht="22.5" customHeight="1">
      <c r="A168" s="362" t="s">
        <v>5925</v>
      </c>
    </row>
    <row r="169" ht="22.5" customHeight="1">
      <c r="A169" s="362" t="s">
        <v>6320</v>
      </c>
    </row>
    <row r="170" ht="22.5" customHeight="1">
      <c r="A170" s="362" t="s">
        <v>6038</v>
      </c>
    </row>
    <row r="171" ht="22.5" customHeight="1">
      <c r="A171" s="362" t="s">
        <v>5429</v>
      </c>
    </row>
    <row r="172" ht="22.5" customHeight="1">
      <c r="A172" s="362" t="s">
        <v>5432</v>
      </c>
    </row>
    <row r="173" ht="22.5" customHeight="1">
      <c r="A173" s="362" t="s">
        <v>5665</v>
      </c>
    </row>
    <row r="174" ht="22.5" customHeight="1">
      <c r="A174" s="362" t="s">
        <v>6593</v>
      </c>
    </row>
    <row r="175" ht="22.5" customHeight="1">
      <c r="A175" s="362" t="s">
        <v>5436</v>
      </c>
    </row>
    <row r="176" ht="22.5" customHeight="1">
      <c r="A176" s="362" t="s">
        <v>5439</v>
      </c>
    </row>
    <row r="177" ht="22.5" customHeight="1">
      <c r="A177" s="362" t="s">
        <v>5550</v>
      </c>
    </row>
    <row r="178" ht="22.5" customHeight="1">
      <c r="A178" s="362" t="s">
        <v>5668</v>
      </c>
    </row>
    <row r="179" ht="22.5" customHeight="1">
      <c r="A179" s="362" t="s">
        <v>5553</v>
      </c>
    </row>
    <row r="180" ht="22.5" customHeight="1">
      <c r="A180" s="362" t="s">
        <v>5671</v>
      </c>
    </row>
    <row r="181" ht="22.5" customHeight="1">
      <c r="A181" s="362" t="s">
        <v>5290</v>
      </c>
    </row>
    <row r="182" ht="22.5" customHeight="1">
      <c r="A182" s="362" t="s">
        <v>5929</v>
      </c>
    </row>
    <row r="183" ht="22.5" customHeight="1">
      <c r="A183" s="362" t="s">
        <v>5932</v>
      </c>
    </row>
    <row r="184" ht="22.5" customHeight="1">
      <c r="A184" s="362" t="s">
        <v>6596</v>
      </c>
    </row>
    <row r="185" ht="22.5" customHeight="1">
      <c r="A185" s="362" t="s">
        <v>6041</v>
      </c>
    </row>
    <row r="186" ht="22.5" customHeight="1">
      <c r="A186" s="362" t="s">
        <v>6184</v>
      </c>
    </row>
    <row r="187" ht="22.5" customHeight="1">
      <c r="A187" s="362" t="s">
        <v>6043</v>
      </c>
    </row>
    <row r="188" ht="22.5" customHeight="1">
      <c r="A188" s="362" t="s">
        <v>5556</v>
      </c>
    </row>
    <row r="189" ht="22.5" customHeight="1">
      <c r="A189" s="362" t="s">
        <v>5293</v>
      </c>
    </row>
    <row r="190" ht="22.5" customHeight="1">
      <c r="A190" s="362" t="s">
        <v>6187</v>
      </c>
    </row>
    <row r="191" ht="22.5" customHeight="1">
      <c r="A191" s="362" t="s">
        <v>5559</v>
      </c>
    </row>
    <row r="192" ht="22.5" customHeight="1">
      <c r="A192" s="363" t="s">
        <v>5809</v>
      </c>
    </row>
    <row r="193" ht="22.5" customHeight="1">
      <c r="A193" s="362" t="s">
        <v>5296</v>
      </c>
    </row>
    <row r="194" ht="22.5" customHeight="1">
      <c r="A194" s="362" t="s">
        <v>6732</v>
      </c>
    </row>
    <row r="195" ht="22.5" customHeight="1">
      <c r="A195" s="363" t="s">
        <v>5935</v>
      </c>
    </row>
    <row r="196" ht="22.5" customHeight="1">
      <c r="A196" s="363" t="s">
        <v>5938</v>
      </c>
    </row>
    <row r="197" ht="22.5" customHeight="1">
      <c r="A197" s="363" t="s">
        <v>6323</v>
      </c>
    </row>
    <row r="198" ht="22.5" customHeight="1">
      <c r="A198" s="363" t="s">
        <v>6326</v>
      </c>
    </row>
    <row r="199" ht="22.5" customHeight="1">
      <c r="A199" s="362" t="s">
        <v>5941</v>
      </c>
    </row>
    <row r="200" ht="22.5" customHeight="1">
      <c r="A200" s="362" t="s">
        <v>5674</v>
      </c>
    </row>
    <row r="201" ht="22.5" customHeight="1">
      <c r="A201" s="362" t="s">
        <v>6599</v>
      </c>
    </row>
    <row r="202" ht="22.5" customHeight="1">
      <c r="A202" s="362" t="s">
        <v>6735</v>
      </c>
    </row>
    <row r="203" ht="22.5" customHeight="1">
      <c r="A203" s="362" t="s">
        <v>6329</v>
      </c>
    </row>
    <row r="204" ht="22.5" customHeight="1">
      <c r="A204" s="362" t="s">
        <v>6046</v>
      </c>
    </row>
    <row r="205" ht="22.5" customHeight="1">
      <c r="A205" s="362" t="s">
        <v>6474</v>
      </c>
    </row>
    <row r="206" ht="22.5" customHeight="1">
      <c r="A206" s="362" t="s">
        <v>5299</v>
      </c>
    </row>
    <row r="207" ht="22.5" customHeight="1">
      <c r="A207" s="362" t="s">
        <v>6049</v>
      </c>
    </row>
    <row r="208" ht="22.5" customHeight="1">
      <c r="A208" s="362" t="s">
        <v>6477</v>
      </c>
    </row>
    <row r="209" ht="22.5" customHeight="1">
      <c r="A209" s="362" t="s">
        <v>5944</v>
      </c>
    </row>
    <row r="210" ht="22.5" customHeight="1">
      <c r="A210" s="362" t="s">
        <v>5812</v>
      </c>
    </row>
    <row r="211" ht="22.5" customHeight="1">
      <c r="A211" s="362" t="s">
        <v>5815</v>
      </c>
    </row>
    <row r="212" ht="22.5" customHeight="1">
      <c r="A212" s="362" t="s">
        <v>6332</v>
      </c>
    </row>
    <row r="213" ht="22.5" customHeight="1">
      <c r="A213" s="362" t="s">
        <v>6335</v>
      </c>
    </row>
    <row r="214" ht="22.5" customHeight="1">
      <c r="A214" s="362" t="s">
        <v>5677</v>
      </c>
    </row>
    <row r="215" ht="22.5" customHeight="1">
      <c r="A215" s="362" t="s">
        <v>6480</v>
      </c>
    </row>
    <row r="216" ht="22.5" customHeight="1">
      <c r="A216" s="362" t="s">
        <v>6483</v>
      </c>
    </row>
    <row r="217" ht="22.5" customHeight="1">
      <c r="A217" s="362" t="s">
        <v>6338</v>
      </c>
    </row>
    <row r="218" ht="22.5" customHeight="1">
      <c r="A218" s="362" t="s">
        <v>5562</v>
      </c>
    </row>
    <row r="219" ht="22.5" customHeight="1">
      <c r="A219" s="362" t="s">
        <v>5442</v>
      </c>
    </row>
    <row r="220" ht="22.5" customHeight="1">
      <c r="A220" s="362" t="s">
        <v>5302</v>
      </c>
    </row>
    <row r="221" ht="22.5" customHeight="1">
      <c r="A221" s="362" t="s">
        <v>6341</v>
      </c>
    </row>
    <row r="222" ht="22.5" customHeight="1">
      <c r="A222" s="362" t="s">
        <v>6602</v>
      </c>
    </row>
    <row r="223" ht="22.5" customHeight="1">
      <c r="A223" s="362" t="s">
        <v>6486</v>
      </c>
    </row>
    <row r="224" ht="22.5" customHeight="1">
      <c r="A224" s="362" t="s">
        <v>5818</v>
      </c>
    </row>
    <row r="225" ht="22.5" customHeight="1">
      <c r="A225" s="362" t="s">
        <v>5306</v>
      </c>
    </row>
    <row r="226" ht="22.5" customHeight="1">
      <c r="A226" s="362" t="s">
        <v>5623</v>
      </c>
    </row>
    <row r="227" ht="22.5" customHeight="1">
      <c r="A227" s="362" t="s">
        <v>6344</v>
      </c>
    </row>
    <row r="228" ht="22.5" customHeight="1">
      <c r="A228" s="362" t="s">
        <v>6489</v>
      </c>
    </row>
    <row r="229" ht="22.5" customHeight="1">
      <c r="A229" s="362" t="s">
        <v>6051</v>
      </c>
    </row>
    <row r="230" ht="22.5" customHeight="1">
      <c r="A230" s="362" t="s">
        <v>6605</v>
      </c>
    </row>
    <row r="231" ht="22.5" customHeight="1">
      <c r="A231" s="362" t="s">
        <v>6054</v>
      </c>
    </row>
    <row r="232" ht="22.5" customHeight="1">
      <c r="A232" s="362" t="s">
        <v>6190</v>
      </c>
    </row>
    <row r="233" ht="22.5" customHeight="1">
      <c r="A233" s="362" t="s">
        <v>6347</v>
      </c>
    </row>
    <row r="234" ht="22.5" customHeight="1">
      <c r="A234" s="362" t="s">
        <v>5680</v>
      </c>
    </row>
    <row r="235" ht="22.5" customHeight="1">
      <c r="A235" s="362" t="s">
        <v>5565</v>
      </c>
    </row>
    <row r="236" ht="22.5" customHeight="1">
      <c r="A236" s="362" t="s">
        <v>5683</v>
      </c>
    </row>
    <row r="237" ht="22.5" customHeight="1">
      <c r="A237" s="362" t="s">
        <v>6492</v>
      </c>
    </row>
    <row r="238" ht="22.5" customHeight="1">
      <c r="A238" s="362" t="s">
        <v>6351</v>
      </c>
    </row>
    <row r="239" ht="22.5" customHeight="1">
      <c r="A239" s="362" t="s">
        <v>6057</v>
      </c>
    </row>
    <row r="240" ht="22.5" customHeight="1">
      <c r="A240" s="362" t="s">
        <v>6194</v>
      </c>
    </row>
    <row r="241" ht="22.5" customHeight="1">
      <c r="A241" s="362" t="s">
        <v>5686</v>
      </c>
    </row>
    <row r="242" ht="22.5" customHeight="1">
      <c r="A242" s="362" t="s">
        <v>6738</v>
      </c>
    </row>
    <row r="243" ht="22.5" customHeight="1">
      <c r="A243" s="362" t="s">
        <v>6060</v>
      </c>
    </row>
    <row r="244" ht="22.5" customHeight="1">
      <c r="A244" s="362" t="s">
        <v>6741</v>
      </c>
    </row>
    <row r="245" ht="22.5" customHeight="1">
      <c r="A245" s="363" t="s">
        <v>6744</v>
      </c>
    </row>
    <row r="246" ht="22.5" customHeight="1">
      <c r="A246" s="362" t="s">
        <v>6747</v>
      </c>
    </row>
    <row r="247" ht="22.5" customHeight="1">
      <c r="A247" s="362" t="s">
        <v>6495</v>
      </c>
    </row>
    <row r="248" ht="22.5" customHeight="1">
      <c r="A248" s="363" t="s">
        <v>5947</v>
      </c>
    </row>
    <row r="249" ht="22.5" customHeight="1">
      <c r="A249" s="363" t="s">
        <v>5689</v>
      </c>
    </row>
    <row r="250" ht="22.5" customHeight="1">
      <c r="A250" s="363" t="s">
        <v>5568</v>
      </c>
    </row>
    <row r="251" ht="22.5" customHeight="1">
      <c r="A251" s="362" t="s">
        <v>5445</v>
      </c>
    </row>
    <row r="252" ht="22.5" customHeight="1">
      <c r="A252" s="362" t="s">
        <v>5571</v>
      </c>
    </row>
    <row r="253" ht="22.5" customHeight="1">
      <c r="A253" s="362" t="s">
        <v>5950</v>
      </c>
    </row>
    <row r="254" ht="22.5" customHeight="1">
      <c r="A254" s="362" t="s">
        <v>5448</v>
      </c>
    </row>
    <row r="255" ht="22.5" customHeight="1">
      <c r="A255" s="362" t="s">
        <v>5821</v>
      </c>
    </row>
    <row r="256" ht="22.5" customHeight="1">
      <c r="A256" s="362" t="s">
        <v>5692</v>
      </c>
    </row>
    <row r="257" ht="22.5" customHeight="1">
      <c r="A257" s="362" t="s">
        <v>6498</v>
      </c>
    </row>
    <row r="258" ht="22.5" customHeight="1">
      <c r="A258" s="362" t="s">
        <v>6063</v>
      </c>
    </row>
    <row r="259" ht="22.5" customHeight="1">
      <c r="A259" s="362" t="s">
        <v>5824</v>
      </c>
    </row>
    <row r="260" ht="22.5" customHeight="1">
      <c r="A260" s="362" t="s">
        <v>5574</v>
      </c>
    </row>
    <row r="261" ht="22.5" customHeight="1">
      <c r="A261" s="362" t="s">
        <v>6609</v>
      </c>
    </row>
    <row r="262" ht="22.5" customHeight="1">
      <c r="A262" s="362" t="s">
        <v>6067</v>
      </c>
    </row>
    <row r="263" ht="22.5" customHeight="1">
      <c r="A263" s="362" t="s">
        <v>6612</v>
      </c>
    </row>
    <row r="264" ht="22.5" customHeight="1">
      <c r="A264" s="362" t="s">
        <v>6197</v>
      </c>
    </row>
    <row r="265" ht="22.5" customHeight="1">
      <c r="A265" s="362" t="s">
        <v>5696</v>
      </c>
    </row>
    <row r="266" ht="22.5" customHeight="1">
      <c r="A266" s="362" t="s">
        <v>6615</v>
      </c>
    </row>
    <row r="267" ht="22.5" customHeight="1">
      <c r="A267" s="362" t="s">
        <v>6750</v>
      </c>
    </row>
    <row r="268" ht="22.5" customHeight="1">
      <c r="A268" s="362" t="s">
        <v>6354</v>
      </c>
    </row>
    <row r="269" ht="22.5" customHeight="1">
      <c r="A269" s="362" t="s">
        <v>6754</v>
      </c>
    </row>
    <row r="270" ht="22.5" customHeight="1">
      <c r="A270" s="362" t="s">
        <v>5827</v>
      </c>
    </row>
    <row r="271" ht="22.5" customHeight="1">
      <c r="A271" s="362" t="s">
        <v>6070</v>
      </c>
    </row>
    <row r="272" ht="22.5" customHeight="1">
      <c r="A272" s="362" t="s">
        <v>5578</v>
      </c>
    </row>
    <row r="273" ht="22.5" customHeight="1">
      <c r="A273" s="362" t="s">
        <v>5451</v>
      </c>
    </row>
    <row r="274" ht="22.5" customHeight="1">
      <c r="A274" s="362" t="s">
        <v>6501</v>
      </c>
    </row>
    <row r="275" ht="22.5" customHeight="1">
      <c r="A275" s="362" t="s">
        <v>5699</v>
      </c>
    </row>
    <row r="276" ht="22.5" customHeight="1">
      <c r="A276" s="362" t="s">
        <v>6757</v>
      </c>
    </row>
    <row r="277" ht="22.5" customHeight="1">
      <c r="A277" s="362" t="s">
        <v>5954</v>
      </c>
    </row>
    <row r="278" ht="22.5" customHeight="1">
      <c r="A278" s="362" t="s">
        <v>5702</v>
      </c>
    </row>
    <row r="279" ht="22.5" customHeight="1">
      <c r="A279" s="362" t="s">
        <v>6618</v>
      </c>
    </row>
    <row r="280" ht="22.5" customHeight="1">
      <c r="A280" s="362" t="s">
        <v>5309</v>
      </c>
    </row>
    <row r="281" ht="22.5" customHeight="1">
      <c r="A281" s="362" t="s">
        <v>6200</v>
      </c>
    </row>
    <row r="282" ht="22.5" customHeight="1">
      <c r="A282" s="362" t="s">
        <v>6621</v>
      </c>
    </row>
    <row r="283" ht="22.5" customHeight="1">
      <c r="A283" s="363" t="s">
        <v>5312</v>
      </c>
    </row>
    <row r="284" ht="22.5" customHeight="1">
      <c r="A284" s="362" t="s">
        <v>6203</v>
      </c>
    </row>
    <row r="285" ht="22.5" customHeight="1">
      <c r="A285" s="362" t="s">
        <v>6072</v>
      </c>
    </row>
    <row r="286" ht="22.5" customHeight="1">
      <c r="A286" s="363" t="s">
        <v>5454</v>
      </c>
    </row>
    <row r="287" ht="22.5" customHeight="1">
      <c r="A287" s="363" t="s">
        <v>5457</v>
      </c>
    </row>
    <row r="288" ht="22.5" customHeight="1">
      <c r="A288" s="363" t="s">
        <v>6206</v>
      </c>
    </row>
    <row r="289" ht="22.5" customHeight="1">
      <c r="A289" s="362" t="s">
        <v>5830</v>
      </c>
    </row>
    <row r="290" ht="22.5" customHeight="1">
      <c r="A290" s="362" t="s">
        <v>5833</v>
      </c>
    </row>
    <row r="291" ht="22.5" customHeight="1">
      <c r="A291" s="362" t="s">
        <v>6209</v>
      </c>
    </row>
    <row r="292" ht="22.5" customHeight="1">
      <c r="A292" s="362" t="s">
        <v>6357</v>
      </c>
    </row>
    <row r="293" ht="22.5" customHeight="1">
      <c r="A293" s="362" t="s">
        <v>6212</v>
      </c>
    </row>
    <row r="294" ht="22.5" customHeight="1">
      <c r="A294" s="362" t="s">
        <v>6504</v>
      </c>
    </row>
    <row r="295" ht="22.5" customHeight="1">
      <c r="A295" s="362" t="s">
        <v>6624</v>
      </c>
    </row>
    <row r="296" ht="22.5" customHeight="1">
      <c r="A296" s="362" t="s">
        <v>5705</v>
      </c>
    </row>
    <row r="297" ht="22.5" customHeight="1">
      <c r="A297" s="362" t="s">
        <v>5315</v>
      </c>
    </row>
    <row r="298" ht="22.5" customHeight="1">
      <c r="A298" s="362" t="s">
        <v>6760</v>
      </c>
    </row>
    <row r="299" ht="22.5" customHeight="1">
      <c r="A299" s="362" t="s">
        <v>5460</v>
      </c>
    </row>
    <row r="300" ht="22.5" customHeight="1">
      <c r="A300" s="362" t="s">
        <v>6074</v>
      </c>
    </row>
    <row r="301" ht="22.5" customHeight="1">
      <c r="A301" s="362" t="s">
        <v>5318</v>
      </c>
    </row>
    <row r="302" ht="22.5" customHeight="1">
      <c r="A302" s="362" t="s">
        <v>6507</v>
      </c>
    </row>
    <row r="303" ht="22.5" customHeight="1">
      <c r="A303" s="362" t="s">
        <v>5463</v>
      </c>
    </row>
    <row r="304" ht="22.5" customHeight="1">
      <c r="A304" s="362" t="s">
        <v>6360</v>
      </c>
    </row>
    <row r="305" ht="22.5" customHeight="1">
      <c r="A305" s="362" t="s">
        <v>5466</v>
      </c>
    </row>
    <row r="306" ht="22.5" customHeight="1">
      <c r="A306" s="362" t="s">
        <v>6763</v>
      </c>
    </row>
    <row r="307" ht="22.5" customHeight="1">
      <c r="A307" s="362" t="s">
        <v>6076</v>
      </c>
    </row>
    <row r="308" ht="22.5" customHeight="1">
      <c r="A308" s="362" t="s">
        <v>6363</v>
      </c>
    </row>
    <row r="309" ht="22.5" customHeight="1">
      <c r="A309" s="362" t="s">
        <v>5957</v>
      </c>
    </row>
    <row r="310" ht="22.5" customHeight="1">
      <c r="A310" s="362" t="s">
        <v>5320</v>
      </c>
    </row>
    <row r="311" ht="22.5" customHeight="1">
      <c r="A311" s="362" t="s">
        <v>6366</v>
      </c>
    </row>
    <row r="312" ht="22.5" customHeight="1">
      <c r="A312" s="362" t="s">
        <v>6079</v>
      </c>
    </row>
    <row r="313" ht="22.5" customHeight="1">
      <c r="A313" s="362" t="s">
        <v>6627</v>
      </c>
    </row>
    <row r="314" ht="22.5" customHeight="1">
      <c r="A314" s="362" t="s">
        <v>6369</v>
      </c>
    </row>
    <row r="315" ht="22.5" customHeight="1">
      <c r="A315" s="362" t="s">
        <v>6630</v>
      </c>
    </row>
    <row r="316" ht="22.5" customHeight="1">
      <c r="A316" s="362" t="s">
        <v>6215</v>
      </c>
    </row>
    <row r="317" ht="22.5" customHeight="1">
      <c r="A317" s="362" t="s">
        <v>6218</v>
      </c>
    </row>
    <row r="318" ht="22.5" customHeight="1">
      <c r="A318" s="362" t="s">
        <v>5323</v>
      </c>
    </row>
    <row r="319" ht="22.5" customHeight="1">
      <c r="A319" s="362" t="s">
        <v>6081</v>
      </c>
    </row>
    <row r="320" ht="22.5" customHeight="1">
      <c r="A320" s="362" t="s">
        <v>6221</v>
      </c>
    </row>
    <row r="321" ht="22.5" customHeight="1">
      <c r="A321" s="362" t="s">
        <v>6083</v>
      </c>
    </row>
    <row r="322" ht="22.5" customHeight="1">
      <c r="A322" s="362" t="s">
        <v>6633</v>
      </c>
    </row>
    <row r="323" ht="22.5" customHeight="1">
      <c r="A323" s="362" t="s">
        <v>5708</v>
      </c>
    </row>
    <row r="324" ht="22.5" customHeight="1">
      <c r="A324" s="362" t="s">
        <v>6372</v>
      </c>
    </row>
    <row r="325" ht="22.5" customHeight="1">
      <c r="A325" s="362" t="s">
        <v>6766</v>
      </c>
    </row>
    <row r="326" ht="22.5" customHeight="1">
      <c r="A326" s="362" t="s">
        <v>5836</v>
      </c>
    </row>
    <row r="327" ht="22.5" customHeight="1">
      <c r="A327" s="362" t="s">
        <v>5469</v>
      </c>
    </row>
    <row r="328" ht="22.5" customHeight="1">
      <c r="A328" s="362" t="s">
        <v>5711</v>
      </c>
    </row>
    <row r="329" ht="22.5" customHeight="1">
      <c r="A329" s="362" t="s">
        <v>6224</v>
      </c>
    </row>
    <row r="330" ht="22.5" customHeight="1">
      <c r="A330" s="362" t="s">
        <v>5472</v>
      </c>
    </row>
    <row r="331" ht="22.5" customHeight="1">
      <c r="A331" s="362" t="s">
        <v>5839</v>
      </c>
    </row>
    <row r="332" ht="22.5" customHeight="1">
      <c r="A332" s="362" t="s">
        <v>6636</v>
      </c>
    </row>
    <row r="333" ht="22.5" customHeight="1">
      <c r="A333" s="362" t="s">
        <v>6375</v>
      </c>
    </row>
    <row r="334" ht="22.5" customHeight="1">
      <c r="A334" s="362" t="s">
        <v>5325</v>
      </c>
    </row>
    <row r="335" ht="22.5" customHeight="1">
      <c r="A335" s="362" t="s">
        <v>5328</v>
      </c>
    </row>
    <row r="336" ht="22.5" customHeight="1">
      <c r="A336" s="362" t="s">
        <v>6378</v>
      </c>
    </row>
    <row r="337" ht="22.5" customHeight="1">
      <c r="A337" s="363" t="s">
        <v>5714</v>
      </c>
    </row>
    <row r="338" ht="22.5" customHeight="1">
      <c r="A338" s="362" t="s">
        <v>5842</v>
      </c>
    </row>
    <row r="339" ht="22.5" customHeight="1">
      <c r="A339" s="362" t="s">
        <v>6510</v>
      </c>
    </row>
    <row r="340" ht="22.5" customHeight="1">
      <c r="A340" s="363" t="s">
        <v>6227</v>
      </c>
    </row>
    <row r="341" ht="22.5" customHeight="1">
      <c r="A341" s="363" t="s">
        <v>6769</v>
      </c>
    </row>
    <row r="342" ht="22.5" customHeight="1">
      <c r="A342" s="363" t="s">
        <v>5717</v>
      </c>
    </row>
    <row r="343" ht="22.5" customHeight="1">
      <c r="A343" s="362" t="s">
        <v>5845</v>
      </c>
    </row>
    <row r="344" ht="22.5" customHeight="1">
      <c r="A344" s="362" t="s">
        <v>6639</v>
      </c>
    </row>
    <row r="345" ht="22.5" customHeight="1">
      <c r="A345" s="362" t="s">
        <v>5581</v>
      </c>
    </row>
    <row r="346" ht="22.5" customHeight="1">
      <c r="A346" s="362" t="s">
        <v>5720</v>
      </c>
    </row>
    <row r="347" ht="22.5" customHeight="1">
      <c r="A347" s="362" t="s">
        <v>6086</v>
      </c>
    </row>
    <row r="348" ht="22.5" customHeight="1">
      <c r="A348" s="362" t="s">
        <v>5848</v>
      </c>
    </row>
    <row r="349" ht="22.5" customHeight="1">
      <c r="A349" s="362" t="s">
        <v>6642</v>
      </c>
    </row>
    <row r="350" ht="22.5" customHeight="1">
      <c r="A350" s="362" t="s">
        <v>5584</v>
      </c>
    </row>
    <row r="351" ht="22.5" customHeight="1">
      <c r="A351" s="362" t="s">
        <v>6772</v>
      </c>
    </row>
    <row r="352" ht="22.5" customHeight="1">
      <c r="A352" s="362" t="s">
        <v>6645</v>
      </c>
    </row>
    <row r="353" ht="22.5" customHeight="1">
      <c r="A353" s="362" t="s">
        <v>6089</v>
      </c>
    </row>
    <row r="354" ht="22.5" customHeight="1">
      <c r="A354" s="362" t="s">
        <v>5331</v>
      </c>
    </row>
    <row r="355" ht="22.5" customHeight="1">
      <c r="A355" s="362" t="s">
        <v>6775</v>
      </c>
    </row>
    <row r="356" ht="22.5" customHeight="1">
      <c r="A356" s="362" t="s">
        <v>6230</v>
      </c>
    </row>
    <row r="357" ht="22.5" customHeight="1">
      <c r="A357" s="362" t="s">
        <v>5334</v>
      </c>
    </row>
    <row r="358" ht="22.5" customHeight="1">
      <c r="A358" s="362" t="s">
        <v>5960</v>
      </c>
    </row>
    <row r="359" ht="22.5" customHeight="1">
      <c r="A359" s="362" t="s">
        <v>6233</v>
      </c>
    </row>
    <row r="360" ht="22.5" customHeight="1">
      <c r="A360" s="362" t="s">
        <v>6513</v>
      </c>
    </row>
    <row r="361" ht="22.5" customHeight="1">
      <c r="A361" s="362" t="s">
        <v>6381</v>
      </c>
    </row>
    <row r="362" ht="22.5" customHeight="1">
      <c r="A362" s="362" t="s">
        <v>6384</v>
      </c>
    </row>
    <row r="363" ht="22.5" customHeight="1">
      <c r="A363" s="362" t="s">
        <v>6236</v>
      </c>
    </row>
    <row r="364" ht="22.5" customHeight="1">
      <c r="A364" s="362" t="s">
        <v>6778</v>
      </c>
    </row>
    <row r="365" ht="22.5" customHeight="1">
      <c r="A365" s="362" t="s">
        <v>5852</v>
      </c>
    </row>
    <row r="366" ht="22.5" customHeight="1">
      <c r="A366" s="362" t="s">
        <v>6516</v>
      </c>
    </row>
    <row r="367" ht="22.5" customHeight="1">
      <c r="A367" s="362" t="s">
        <v>6519</v>
      </c>
    </row>
    <row r="368" ht="22.5" customHeight="1">
      <c r="A368" s="362" t="s">
        <v>6092</v>
      </c>
    </row>
    <row r="369" ht="22.5" customHeight="1">
      <c r="A369" s="362" t="s">
        <v>6781</v>
      </c>
    </row>
    <row r="370" ht="22.5" customHeight="1">
      <c r="A370" s="362" t="s">
        <v>6784</v>
      </c>
    </row>
    <row r="371" ht="22.5" customHeight="1">
      <c r="A371" s="362" t="s">
        <v>6239</v>
      </c>
    </row>
    <row r="372" ht="22.5" customHeight="1">
      <c r="A372" s="362" t="s">
        <v>6095</v>
      </c>
    </row>
    <row r="373" ht="22.5" customHeight="1">
      <c r="A373" s="362" t="s">
        <v>5963</v>
      </c>
    </row>
    <row r="374" ht="22.5" customHeight="1">
      <c r="A374" s="362" t="s">
        <v>6787</v>
      </c>
    </row>
    <row r="375" ht="22.5" customHeight="1">
      <c r="A375" s="362" t="s">
        <v>5855</v>
      </c>
    </row>
    <row r="376" ht="22.5" customHeight="1">
      <c r="A376" s="362" t="s">
        <v>6242</v>
      </c>
    </row>
    <row r="377" ht="22.5" customHeight="1">
      <c r="A377" s="362" t="s">
        <v>5858</v>
      </c>
    </row>
    <row r="378" ht="22.5" customHeight="1">
      <c r="A378" s="362" t="s">
        <v>5587</v>
      </c>
    </row>
    <row r="379" ht="22.5" customHeight="1">
      <c r="A379" s="362" t="s">
        <v>5475</v>
      </c>
    </row>
    <row r="380" ht="22.5" customHeight="1">
      <c r="A380" s="362" t="s">
        <v>6648</v>
      </c>
    </row>
    <row r="381" ht="22.5" customHeight="1">
      <c r="A381" s="362" t="s">
        <v>6248</v>
      </c>
    </row>
    <row r="382" ht="22.5" customHeight="1">
      <c r="A382" s="362" t="s">
        <v>5478</v>
      </c>
    </row>
    <row r="383" ht="22.5" customHeight="1">
      <c r="A383" s="362" t="s">
        <v>6245</v>
      </c>
    </row>
    <row r="384" ht="22.5" customHeight="1">
      <c r="A384" s="362" t="s">
        <v>5590</v>
      </c>
    </row>
    <row r="385" ht="22.5" customHeight="1">
      <c r="A385" s="362" t="s">
        <v>5337</v>
      </c>
    </row>
    <row r="386" ht="22.5" customHeight="1">
      <c r="A386" s="362" t="s">
        <v>5340</v>
      </c>
    </row>
    <row r="387" ht="22.5" customHeight="1">
      <c r="A387" s="362" t="s">
        <v>6387</v>
      </c>
    </row>
    <row r="388" ht="22.5" customHeight="1">
      <c r="A388" s="362" t="s">
        <v>5593</v>
      </c>
    </row>
    <row r="389" ht="22.5" customHeight="1">
      <c r="A389" s="362" t="s">
        <v>5861</v>
      </c>
    </row>
    <row r="390" ht="22.5" customHeight="1">
      <c r="A390" s="362" t="s">
        <v>6098</v>
      </c>
    </row>
    <row r="391" ht="22.5" customHeight="1">
      <c r="A391" s="363" t="s">
        <v>5864</v>
      </c>
    </row>
    <row r="392" ht="22.5" customHeight="1">
      <c r="A392" s="362" t="s">
        <v>5596</v>
      </c>
    </row>
    <row r="393" ht="22.5" customHeight="1">
      <c r="A393" s="362" t="s">
        <v>5481</v>
      </c>
    </row>
    <row r="394" ht="22.5" customHeight="1">
      <c r="A394" s="363" t="s">
        <v>5723</v>
      </c>
    </row>
    <row r="395" ht="22.5" customHeight="1">
      <c r="A395" s="363" t="s">
        <v>5343</v>
      </c>
    </row>
    <row r="396" ht="22.5" customHeight="1">
      <c r="A396" s="363" t="s">
        <v>5867</v>
      </c>
    </row>
    <row r="397" ht="22.5" customHeight="1">
      <c r="A397" s="362" t="s">
        <v>5599</v>
      </c>
    </row>
    <row r="398" ht="22.5" customHeight="1">
      <c r="A398" s="362" t="s">
        <v>5602</v>
      </c>
    </row>
    <row r="399" ht="22.5" customHeight="1">
      <c r="A399" s="362" t="s">
        <v>5484</v>
      </c>
    </row>
    <row r="400" ht="22.5" customHeight="1">
      <c r="A400" s="362" t="s">
        <v>6390</v>
      </c>
    </row>
    <row r="401" ht="22.5" customHeight="1">
      <c r="A401" s="362" t="s">
        <v>5966</v>
      </c>
    </row>
    <row r="402" ht="22.5" customHeight="1">
      <c r="A402" s="362" t="s">
        <v>6522</v>
      </c>
    </row>
    <row r="403" ht="22.5" customHeight="1">
      <c r="A403" s="362" t="s">
        <v>6251</v>
      </c>
    </row>
    <row r="404" ht="22.5" customHeight="1">
      <c r="A404" s="362" t="s">
        <v>6254</v>
      </c>
    </row>
    <row r="405" ht="22.5" customHeight="1">
      <c r="A405" s="362" t="s">
        <v>5726</v>
      </c>
    </row>
    <row r="406" ht="22.5" customHeight="1">
      <c r="A406" s="362" t="s">
        <v>6790</v>
      </c>
    </row>
    <row r="407" ht="22.5" customHeight="1">
      <c r="A407" s="362" t="s">
        <v>5969</v>
      </c>
    </row>
    <row r="408" ht="22.5" customHeight="1">
      <c r="A408" s="362" t="s">
        <v>5870</v>
      </c>
    </row>
    <row r="409" ht="22.5" customHeight="1">
      <c r="A409" s="362" t="s">
        <v>5873</v>
      </c>
    </row>
    <row r="410" ht="22.5" customHeight="1">
      <c r="A410" s="362" t="s">
        <v>5346</v>
      </c>
    </row>
    <row r="411" ht="22.5" customHeight="1">
      <c r="A411" s="362" t="s">
        <v>5972</v>
      </c>
    </row>
    <row r="412" ht="22.5" customHeight="1">
      <c r="A412" s="362" t="s">
        <v>5349</v>
      </c>
    </row>
    <row r="413" ht="22.5" customHeight="1">
      <c r="A413" s="362" t="s">
        <v>6793</v>
      </c>
    </row>
    <row r="414" ht="22.5" customHeight="1">
      <c r="A414" s="362" t="s">
        <v>6393</v>
      </c>
    </row>
    <row r="415" ht="22.5" customHeight="1">
      <c r="A415" s="362" t="s">
        <v>6651</v>
      </c>
    </row>
    <row r="416" ht="22.5" customHeight="1">
      <c r="A416" s="362" t="s">
        <v>6525</v>
      </c>
    </row>
    <row r="417" ht="22.5" customHeight="1">
      <c r="A417" s="362" t="s">
        <v>6396</v>
      </c>
    </row>
    <row r="418" ht="22.5" customHeight="1">
      <c r="A418" s="362" t="s">
        <v>5605</v>
      </c>
    </row>
    <row r="419" ht="22.5" customHeight="1">
      <c r="A419" s="362" t="s">
        <v>6528</v>
      </c>
    </row>
    <row r="420" ht="22.5" customHeight="1">
      <c r="A420" s="362" t="s">
        <v>6257</v>
      </c>
    </row>
    <row r="421" ht="22.5" customHeight="1">
      <c r="A421" s="362" t="s">
        <v>6101</v>
      </c>
    </row>
    <row r="422" ht="22.5" customHeight="1">
      <c r="A422" s="362" t="s">
        <v>6399</v>
      </c>
    </row>
    <row r="423" ht="22.5" customHeight="1">
      <c r="A423" s="362" t="s">
        <v>6104</v>
      </c>
    </row>
    <row r="424" ht="22.5" customHeight="1">
      <c r="A424" s="362" t="s">
        <v>5487</v>
      </c>
    </row>
    <row r="425" ht="22.5" customHeight="1">
      <c r="A425" s="362" t="s">
        <v>6107</v>
      </c>
    </row>
    <row r="426" ht="22.5" customHeight="1">
      <c r="A426" s="362" t="s">
        <v>6531</v>
      </c>
    </row>
    <row r="427" ht="22.5" customHeight="1">
      <c r="A427" s="362" t="s">
        <v>6260</v>
      </c>
    </row>
    <row r="428" ht="22.5" customHeight="1">
      <c r="A428" s="362" t="s">
        <v>5875</v>
      </c>
    </row>
    <row r="429" ht="22.5" customHeight="1">
      <c r="A429" s="362" t="s">
        <v>5729</v>
      </c>
    </row>
    <row r="430" ht="22.5" customHeight="1">
      <c r="A430" s="362" t="s">
        <v>6402</v>
      </c>
    </row>
    <row r="431" ht="22.5" customHeight="1">
      <c r="A431" s="362" t="s">
        <v>5490</v>
      </c>
    </row>
    <row r="432" ht="22.5" customHeight="1">
      <c r="A432" s="362" t="s">
        <v>5732</v>
      </c>
    </row>
    <row r="433" ht="22.5" customHeight="1">
      <c r="A433" s="362" t="s">
        <v>5351</v>
      </c>
    </row>
    <row r="434" ht="22.5" customHeight="1">
      <c r="A434" s="362" t="s">
        <v>5354</v>
      </c>
    </row>
    <row r="435" ht="22.5" customHeight="1">
      <c r="A435" s="362" t="s">
        <v>5975</v>
      </c>
    </row>
    <row r="436" ht="22.5" customHeight="1">
      <c r="A436" s="362" t="s">
        <v>5735</v>
      </c>
    </row>
    <row r="437" ht="22.5" customHeight="1">
      <c r="A437" s="362" t="s">
        <v>5878</v>
      </c>
    </row>
    <row r="438" ht="22.5" customHeight="1">
      <c r="A438" s="362" t="s">
        <v>6654</v>
      </c>
    </row>
    <row r="439" ht="22.5" customHeight="1">
      <c r="A439" s="362" t="s">
        <v>5738</v>
      </c>
    </row>
    <row r="440" ht="22.5" customHeight="1">
      <c r="A440" s="362" t="s">
        <v>5978</v>
      </c>
    </row>
    <row r="441" ht="22.5" customHeight="1">
      <c r="A441" s="362" t="s">
        <v>5608</v>
      </c>
    </row>
    <row r="442" ht="22.5" customHeight="1">
      <c r="A442" s="362" t="s">
        <v>5981</v>
      </c>
    </row>
    <row r="443" ht="22.5" customHeight="1">
      <c r="A443" s="362" t="s">
        <v>6405</v>
      </c>
    </row>
    <row r="444" ht="22.5" customHeight="1">
      <c r="A444" s="363" t="s">
        <v>5881</v>
      </c>
    </row>
    <row r="445" ht="22.5" customHeight="1">
      <c r="A445" s="362" t="s">
        <v>5356</v>
      </c>
    </row>
    <row r="446" ht="22.5" customHeight="1">
      <c r="A446" s="362" t="s">
        <v>6796</v>
      </c>
    </row>
    <row r="447" ht="22.5" customHeight="1">
      <c r="A447" s="363" t="s">
        <v>6110</v>
      </c>
    </row>
    <row r="448" ht="22.5" customHeight="1">
      <c r="A448" s="363" t="s">
        <v>5741</v>
      </c>
    </row>
    <row r="449" ht="22.5" customHeight="1">
      <c r="A449" s="363" t="s">
        <v>6534</v>
      </c>
    </row>
    <row r="450" ht="22.5" customHeight="1">
      <c r="A450" s="362" t="s">
        <v>6799</v>
      </c>
    </row>
    <row r="451" ht="22.5" customHeight="1">
      <c r="A451" s="362" t="s">
        <v>5984</v>
      </c>
    </row>
    <row r="452" ht="22.5" customHeight="1">
      <c r="A452" s="362" t="s">
        <v>6802</v>
      </c>
    </row>
    <row r="453" ht="22.5" customHeight="1">
      <c r="A453" s="362" t="s">
        <v>5493</v>
      </c>
    </row>
    <row r="454" ht="22.5" customHeight="1">
      <c r="A454" s="362" t="s">
        <v>6657</v>
      </c>
    </row>
    <row r="455" ht="22.5" customHeight="1">
      <c r="A455" s="362" t="s">
        <v>6263</v>
      </c>
    </row>
    <row r="456" ht="22.5" customHeight="1">
      <c r="A456" s="362" t="s">
        <v>5611</v>
      </c>
    </row>
    <row r="457" ht="22.5" customHeight="1">
      <c r="A457" s="362" t="s">
        <v>6805</v>
      </c>
    </row>
    <row r="458" ht="22.5" customHeight="1">
      <c r="A458" s="362" t="s">
        <v>6660</v>
      </c>
    </row>
    <row r="459" ht="22.5" customHeight="1">
      <c r="A459" s="362" t="s">
        <v>6112</v>
      </c>
    </row>
    <row r="460" ht="22.5" customHeight="1">
      <c r="A460" s="362" t="s">
        <v>5987</v>
      </c>
    </row>
    <row r="461" ht="22.5" customHeight="1">
      <c r="A461" s="362" t="s">
        <v>6663</v>
      </c>
    </row>
    <row r="462" ht="22.5" customHeight="1">
      <c r="A462" s="362" t="s">
        <v>5884</v>
      </c>
    </row>
    <row r="463" ht="22.5" customHeight="1">
      <c r="A463" s="362" t="s">
        <v>5359</v>
      </c>
    </row>
    <row r="464" ht="22.5" customHeight="1">
      <c r="A464" s="362" t="s">
        <v>6537</v>
      </c>
    </row>
    <row r="465" ht="22.5" customHeight="1">
      <c r="A465" s="362" t="s">
        <v>6540</v>
      </c>
    </row>
    <row r="466" ht="22.5" customHeight="1">
      <c r="A466" s="362" t="s">
        <v>6408</v>
      </c>
    </row>
    <row r="467" ht="22.5" customHeight="1">
      <c r="A467" s="362" t="s">
        <v>5744</v>
      </c>
    </row>
    <row r="468" ht="22.5" customHeight="1">
      <c r="A468" s="362" t="s">
        <v>5362</v>
      </c>
    </row>
    <row r="469" ht="22.5" customHeight="1">
      <c r="A469" s="362" t="s">
        <v>5747</v>
      </c>
    </row>
    <row r="470" ht="22.5" customHeight="1">
      <c r="A470" s="362" t="s">
        <v>5750</v>
      </c>
    </row>
    <row r="471" ht="22.5" customHeight="1">
      <c r="A471" s="362" t="s">
        <v>6808</v>
      </c>
    </row>
    <row r="472" ht="22.5" customHeight="1">
      <c r="A472" s="362" t="s">
        <v>5990</v>
      </c>
    </row>
    <row r="473" ht="22.5" customHeight="1">
      <c r="A473" s="362" t="s">
        <v>6666</v>
      </c>
    </row>
    <row r="474" ht="22.5" customHeight="1">
      <c r="A474" s="362" t="s">
        <v>5753</v>
      </c>
    </row>
    <row r="475" ht="22.5" customHeight="1">
      <c r="A475" s="362" t="s">
        <v>5614</v>
      </c>
    </row>
    <row r="476" ht="22.5" customHeight="1">
      <c r="A476" s="362" t="s">
        <v>6542</v>
      </c>
    </row>
    <row r="477" ht="22.5" customHeight="1">
      <c r="A477" s="362" t="s">
        <v>6266</v>
      </c>
    </row>
    <row r="478" ht="22.5" customHeight="1">
      <c r="A478" s="362" t="s">
        <v>6115</v>
      </c>
    </row>
    <row r="479" ht="22.5" customHeight="1">
      <c r="A479" s="362" t="s">
        <v>6669</v>
      </c>
    </row>
    <row r="480" ht="22.5" customHeight="1">
      <c r="A480" s="362" t="s">
        <v>6117</v>
      </c>
    </row>
    <row r="481" ht="22.5" customHeight="1">
      <c r="A481" s="362" t="s">
        <v>6545</v>
      </c>
    </row>
    <row r="482" ht="22.5" customHeight="1">
      <c r="A482" s="362" t="s">
        <v>6120</v>
      </c>
    </row>
    <row r="483" ht="22.5" customHeight="1">
      <c r="A483" s="362" t="s">
        <v>5993</v>
      </c>
    </row>
    <row r="484" ht="22.5" customHeight="1">
      <c r="A484" s="362" t="s">
        <v>5996</v>
      </c>
    </row>
    <row r="485" ht="22.5" customHeight="1">
      <c r="A485" s="362" t="s">
        <v>6411</v>
      </c>
    </row>
    <row r="486" ht="22.5" customHeight="1">
      <c r="A486" s="362" t="s">
        <v>6811</v>
      </c>
    </row>
    <row r="487" ht="22.5" customHeight="1">
      <c r="A487" s="362" t="s">
        <v>6123</v>
      </c>
    </row>
    <row r="488" ht="22.5" customHeight="1">
      <c r="A488" s="362" t="s">
        <v>5756</v>
      </c>
    </row>
    <row r="489" ht="22.5" customHeight="1">
      <c r="A489" s="362" t="s">
        <v>5759</v>
      </c>
    </row>
    <row r="490" ht="22.5" customHeight="1">
      <c r="A490" s="362" t="s">
        <v>5887</v>
      </c>
    </row>
    <row r="491" ht="22.5" customHeight="1">
      <c r="A491" s="362" t="s">
        <v>6269</v>
      </c>
    </row>
    <row r="492" ht="22.5" customHeight="1">
      <c r="A492" s="362" t="s">
        <v>6414</v>
      </c>
    </row>
    <row r="493" ht="22.5" customHeight="1">
      <c r="A493" s="363" t="s">
        <v>6125</v>
      </c>
    </row>
    <row r="494" ht="22.5" customHeight="1">
      <c r="A494" s="362" t="s">
        <v>5890</v>
      </c>
    </row>
    <row r="495" ht="22.5" customHeight="1">
      <c r="A495" s="362" t="s">
        <v>6417</v>
      </c>
    </row>
    <row r="496" ht="22.5" customHeight="1">
      <c r="A496" s="363" t="s">
        <v>5893</v>
      </c>
    </row>
    <row r="497" ht="22.5" customHeight="1">
      <c r="A497" s="363" t="s">
        <v>5762</v>
      </c>
    </row>
    <row r="498" ht="22.5" customHeight="1">
      <c r="A498" s="363" t="s">
        <v>6672</v>
      </c>
    </row>
    <row r="499" ht="22.5" customHeight="1">
      <c r="A499" s="362" t="s">
        <v>5496</v>
      </c>
    </row>
    <row r="500" ht="22.5" customHeight="1">
      <c r="A500" s="362" t="s">
        <v>6127</v>
      </c>
    </row>
    <row r="501" ht="22.5" customHeight="1">
      <c r="A501" s="362" t="s">
        <v>6272</v>
      </c>
    </row>
    <row r="502" ht="22.5" customHeight="1">
      <c r="A502" s="362" t="s">
        <v>5896</v>
      </c>
    </row>
    <row r="503" ht="22.5" customHeight="1">
      <c r="A503" s="362" t="s">
        <v>6814</v>
      </c>
    </row>
    <row r="504" ht="22.5" customHeight="1">
      <c r="A504" s="362" t="s">
        <v>6675</v>
      </c>
    </row>
    <row r="505" ht="22.5" customHeight="1">
      <c r="A505" s="362" t="s">
        <v>5899</v>
      </c>
    </row>
    <row r="506" ht="22.5" customHeight="1">
      <c r="A506" s="362" t="s">
        <v>5617</v>
      </c>
    </row>
    <row r="507" ht="22.5" customHeight="1">
      <c r="A507" s="362" t="s">
        <v>5620</v>
      </c>
    </row>
    <row r="508" ht="22.5" customHeight="1">
      <c r="A508" s="362" t="s">
        <v>6275</v>
      </c>
    </row>
    <row r="509" ht="22.5" customHeight="1">
      <c r="A509" s="362" t="s">
        <v>6130</v>
      </c>
    </row>
    <row r="510" ht="22.5" customHeight="1">
      <c r="A510" s="362" t="s">
        <v>5499</v>
      </c>
    </row>
    <row r="511" ht="22.5" customHeight="1">
      <c r="A511" s="362" t="s">
        <v>6678</v>
      </c>
    </row>
    <row r="512" ht="22.5" customHeight="1">
      <c r="A512" s="362" t="s">
        <v>6817</v>
      </c>
    </row>
    <row r="513" ht="22.5" customHeight="1">
      <c r="A513" s="362" t="s">
        <v>5502</v>
      </c>
    </row>
    <row r="514" ht="22.5" customHeight="1">
      <c r="A514" s="362" t="s">
        <v>5365</v>
      </c>
    </row>
    <row r="515" ht="22.5" customHeight="1">
      <c r="A515" s="362" t="s">
        <v>6681</v>
      </c>
    </row>
    <row r="516" ht="22.5" customHeight="1">
      <c r="A516" s="362" t="s">
        <v>5368</v>
      </c>
    </row>
    <row r="517" ht="22.5" customHeight="1">
      <c r="A517" s="362"/>
    </row>
    <row r="518" ht="22.5" customHeight="1">
      <c r="A518" s="362"/>
    </row>
    <row r="519" ht="22.5" customHeight="1">
      <c r="A519" s="362"/>
    </row>
    <row r="520" ht="22.5" customHeight="1">
      <c r="A520" s="362"/>
    </row>
    <row r="521" ht="22.5" customHeight="1">
      <c r="A521" s="362"/>
    </row>
    <row r="522" ht="22.5" customHeight="1">
      <c r="A522" s="362"/>
    </row>
    <row r="523" ht="22.5" customHeight="1">
      <c r="A523" s="362"/>
    </row>
    <row r="524" ht="22.5" customHeight="1">
      <c r="A524" s="362"/>
    </row>
    <row r="525" ht="22.5" customHeight="1">
      <c r="A525" s="362"/>
    </row>
    <row r="526" ht="22.5" customHeight="1">
      <c r="A526" s="362"/>
    </row>
    <row r="527" ht="22.5" customHeight="1">
      <c r="A527" s="362"/>
    </row>
    <row r="528" ht="22.5" customHeight="1">
      <c r="A528" s="362"/>
    </row>
    <row r="529" ht="22.5" customHeight="1">
      <c r="A529" s="364"/>
    </row>
    <row r="530" ht="22.5" customHeight="1">
      <c r="A530" s="364"/>
    </row>
    <row r="531" ht="22.5" customHeight="1">
      <c r="A531" s="364"/>
    </row>
    <row r="532" ht="22.5" customHeight="1">
      <c r="A532" s="364"/>
    </row>
    <row r="533" ht="22.5" customHeight="1">
      <c r="A533" s="364"/>
    </row>
    <row r="534" ht="22.5" customHeight="1">
      <c r="A534" s="364"/>
    </row>
    <row r="535" ht="22.5" customHeight="1">
      <c r="A535" s="364"/>
    </row>
    <row r="536" ht="22.5" customHeight="1">
      <c r="A536" s="364"/>
    </row>
    <row r="537" ht="22.5" customHeight="1">
      <c r="A537" s="364"/>
    </row>
    <row r="538" ht="22.5" customHeight="1">
      <c r="A538" s="364"/>
    </row>
    <row r="539" ht="22.5" customHeight="1">
      <c r="A539" s="364"/>
    </row>
    <row r="540" ht="22.5" customHeight="1">
      <c r="A540" s="362"/>
    </row>
    <row r="541" ht="22.5" customHeight="1">
      <c r="A541" s="362"/>
    </row>
    <row r="542" ht="22.5" customHeight="1">
      <c r="A542" s="362"/>
    </row>
    <row r="543" ht="22.5" customHeight="1">
      <c r="A543" s="362"/>
    </row>
    <row r="544" ht="22.5" customHeight="1">
      <c r="A544" s="363"/>
    </row>
    <row r="545" ht="22.5" customHeight="1">
      <c r="A545" s="362"/>
    </row>
    <row r="546" ht="22.5" customHeight="1">
      <c r="A546" s="362"/>
    </row>
    <row r="547" ht="22.5" customHeight="1">
      <c r="A547" s="363"/>
    </row>
    <row r="548" ht="22.5" customHeight="1">
      <c r="A548" s="363"/>
    </row>
    <row r="549" ht="22.5" customHeight="1">
      <c r="A549" s="362"/>
    </row>
    <row r="550" ht="22.5" customHeight="1">
      <c r="A550" s="362"/>
    </row>
    <row r="551" ht="22.5" customHeight="1">
      <c r="A551" s="362"/>
    </row>
    <row r="552" ht="22.5" customHeight="1">
      <c r="A552" s="365"/>
    </row>
    <row r="553" ht="22.5" customHeight="1">
      <c r="A553" s="365"/>
    </row>
    <row r="554" ht="22.5" customHeight="1">
      <c r="A554" s="365"/>
    </row>
    <row r="555" ht="22.5" customHeight="1">
      <c r="A555" s="365"/>
    </row>
    <row r="556" ht="22.5" customHeight="1">
      <c r="A556" s="365"/>
    </row>
    <row r="557" ht="22.5" customHeight="1">
      <c r="A557" s="365"/>
    </row>
    <row r="558" ht="22.5" customHeight="1">
      <c r="A558" s="365"/>
    </row>
    <row r="559" ht="22.5" customHeight="1">
      <c r="A559" s="365"/>
    </row>
    <row r="560" ht="22.5" customHeight="1">
      <c r="A560" s="365"/>
    </row>
    <row r="561" ht="22.5" customHeight="1">
      <c r="A561" s="365"/>
    </row>
    <row r="562" ht="22.5" customHeight="1">
      <c r="A562" s="365"/>
    </row>
    <row r="563" ht="22.5" customHeight="1">
      <c r="A563" s="365"/>
    </row>
    <row r="564" ht="22.5" customHeight="1">
      <c r="A564" s="365"/>
    </row>
    <row r="565" ht="22.5" customHeight="1">
      <c r="A565" s="365"/>
    </row>
    <row r="566" ht="22.5" customHeight="1">
      <c r="A566" s="365"/>
    </row>
    <row r="567" ht="22.5" customHeight="1">
      <c r="A567" s="365"/>
    </row>
    <row r="568" ht="22.5" customHeight="1">
      <c r="A568" s="365"/>
    </row>
    <row r="569" ht="22.5" customHeight="1">
      <c r="A569" s="365"/>
    </row>
    <row r="570" ht="22.5" customHeight="1">
      <c r="A570" s="365"/>
    </row>
    <row r="571" ht="22.5" customHeight="1">
      <c r="A571" s="365"/>
    </row>
    <row r="572" ht="22.5" customHeight="1">
      <c r="A572" s="365"/>
    </row>
    <row r="573" ht="22.5" customHeight="1">
      <c r="A573" s="365"/>
    </row>
    <row r="574" ht="22.5" customHeight="1">
      <c r="A574" s="365"/>
    </row>
    <row r="575" ht="22.5" customHeight="1">
      <c r="A575" s="365"/>
    </row>
    <row r="576" ht="22.5" customHeight="1">
      <c r="A576" s="365"/>
    </row>
    <row r="577" ht="22.5" customHeight="1">
      <c r="A577" s="365"/>
    </row>
    <row r="578" ht="22.5" customHeight="1">
      <c r="A578" s="365"/>
    </row>
    <row r="579" ht="22.5" customHeight="1">
      <c r="A579" s="365"/>
    </row>
    <row r="580" ht="22.5" customHeight="1">
      <c r="A580" s="365"/>
    </row>
    <row r="581" ht="22.5" customHeight="1">
      <c r="A581" s="365"/>
    </row>
    <row r="582" ht="22.5" customHeight="1">
      <c r="A582" s="365"/>
    </row>
    <row r="583" ht="22.5" customHeight="1">
      <c r="A583" s="365"/>
    </row>
    <row r="584" ht="22.5" customHeight="1">
      <c r="A584" s="365"/>
    </row>
    <row r="585" ht="22.5" customHeight="1">
      <c r="A585" s="365"/>
    </row>
    <row r="586" ht="22.5" customHeight="1">
      <c r="A586" s="365"/>
    </row>
    <row r="587" ht="22.5" customHeight="1">
      <c r="A587" s="365"/>
    </row>
    <row r="588" ht="22.5" customHeight="1">
      <c r="A588" s="365"/>
    </row>
    <row r="589" ht="22.5" customHeight="1">
      <c r="A589" s="365"/>
    </row>
    <row r="590" ht="22.5" customHeight="1">
      <c r="A590" s="365"/>
    </row>
    <row r="591" ht="22.5" customHeight="1">
      <c r="A591" s="365"/>
    </row>
    <row r="592" ht="22.5" customHeight="1">
      <c r="A592" s="365"/>
    </row>
    <row r="593" ht="22.5" customHeight="1">
      <c r="A593" s="365"/>
    </row>
    <row r="594" ht="22.5" customHeight="1">
      <c r="A594" s="366"/>
    </row>
    <row r="595" ht="22.5" customHeight="1">
      <c r="A595" s="365"/>
    </row>
    <row r="596" ht="22.5" customHeight="1">
      <c r="A596" s="365"/>
    </row>
    <row r="597" ht="22.5" customHeight="1"/>
    <row r="598" ht="22.5" customHeight="1"/>
    <row r="599" ht="22.5" customHeight="1"/>
    <row r="600" ht="22.5" customHeight="1"/>
    <row r="601" ht="22.5" customHeight="1"/>
    <row r="602" ht="22.5" customHeight="1"/>
    <row r="603" ht="22.5" customHeight="1"/>
    <row r="604" ht="22.5" customHeight="1"/>
    <row r="605" ht="22.5" customHeight="1"/>
    <row r="606" ht="22.5" customHeight="1"/>
    <row r="607" ht="22.5" customHeight="1"/>
    <row r="608" ht="22.5" customHeight="1"/>
    <row r="609" ht="22.5" customHeight="1"/>
    <row r="610" ht="22.5" customHeight="1"/>
    <row r="611" ht="22.5" customHeight="1"/>
    <row r="612" ht="22.5" customHeight="1"/>
    <row r="613" ht="22.5" customHeight="1"/>
    <row r="614" ht="22.5" customHeight="1"/>
    <row r="615" ht="22.5" customHeight="1"/>
    <row r="616" ht="22.5" customHeight="1"/>
    <row r="617" ht="22.5" customHeight="1"/>
    <row r="618" ht="22.5" customHeight="1"/>
    <row r="619" ht="22.5" customHeight="1"/>
    <row r="620" ht="22.5" customHeight="1"/>
    <row r="621" ht="22.5" customHeight="1"/>
    <row r="622" ht="22.5" customHeight="1"/>
    <row r="623" ht="22.5" customHeight="1"/>
    <row r="624" ht="22.5" customHeight="1"/>
    <row r="625" ht="22.5" customHeight="1"/>
    <row r="626" ht="22.5" customHeight="1"/>
    <row r="627" ht="22.5" customHeight="1"/>
    <row r="628" ht="22.5" customHeight="1"/>
    <row r="629" ht="22.5" customHeight="1"/>
    <row r="630" ht="22.5" customHeight="1"/>
    <row r="631" ht="22.5" customHeight="1"/>
    <row r="632" ht="22.5" customHeight="1"/>
    <row r="633" ht="22.5" customHeight="1"/>
    <row r="634" ht="22.5" customHeight="1"/>
    <row r="635" ht="22.5" customHeight="1"/>
    <row r="636" ht="22.5" customHeight="1"/>
    <row r="637" ht="22.5" customHeight="1"/>
    <row r="638" ht="22.5" customHeight="1"/>
    <row r="639" ht="22.5" customHeight="1"/>
    <row r="640" ht="22.5" customHeight="1"/>
    <row r="641" ht="22.5" customHeight="1"/>
    <row r="642" ht="22.5" customHeight="1"/>
    <row r="643" ht="22.5" customHeight="1"/>
    <row r="644" ht="22.5" customHeight="1"/>
    <row r="645" ht="22.5" customHeight="1"/>
    <row r="646" ht="22.5" customHeight="1"/>
    <row r="647" ht="22.5" customHeight="1"/>
    <row r="648" ht="22.5" customHeight="1"/>
    <row r="649" ht="22.5" customHeight="1"/>
    <row r="650" ht="22.5" customHeight="1"/>
    <row r="651" ht="22.5" customHeight="1"/>
    <row r="652" ht="22.5" customHeight="1"/>
    <row r="653" ht="22.5" customHeight="1"/>
    <row r="654" ht="22.5" customHeight="1"/>
    <row r="655" ht="22.5" customHeight="1"/>
    <row r="656" ht="22.5" customHeight="1"/>
    <row r="657" ht="22.5" customHeight="1"/>
    <row r="658" ht="22.5" customHeight="1"/>
    <row r="659" ht="22.5" customHeight="1"/>
    <row r="660" ht="22.5" customHeight="1"/>
    <row r="661" ht="22.5" customHeight="1"/>
    <row r="662" ht="22.5" customHeight="1"/>
    <row r="663" ht="22.5" customHeight="1"/>
    <row r="664" ht="22.5" customHeight="1"/>
    <row r="665" ht="22.5" customHeight="1"/>
    <row r="666" ht="22.5" customHeight="1"/>
    <row r="667" ht="22.5" customHeight="1"/>
    <row r="668" ht="22.5" customHeight="1"/>
    <row r="669" ht="22.5" customHeight="1"/>
    <row r="670" ht="22.5" customHeight="1"/>
    <row r="671" ht="22.5" customHeight="1"/>
    <row r="672" ht="22.5" customHeight="1"/>
    <row r="673" ht="22.5" customHeight="1"/>
    <row r="674" ht="22.5" customHeight="1"/>
    <row r="675" ht="22.5" customHeight="1"/>
    <row r="676" ht="22.5" customHeight="1"/>
    <row r="677" ht="22.5" customHeight="1"/>
    <row r="678" ht="22.5" customHeight="1"/>
    <row r="679" ht="22.5" customHeight="1"/>
    <row r="680" ht="22.5" customHeight="1"/>
    <row r="681" ht="22.5" customHeight="1"/>
    <row r="682" ht="22.5" customHeight="1"/>
    <row r="683" ht="22.5" customHeight="1"/>
    <row r="684" ht="22.5" customHeight="1"/>
    <row r="685" ht="22.5" customHeight="1"/>
    <row r="686" ht="22.5" customHeight="1"/>
    <row r="687" ht="22.5" customHeight="1"/>
    <row r="688" ht="22.5" customHeight="1"/>
    <row r="689" ht="22.5" customHeight="1"/>
    <row r="690" ht="22.5" customHeight="1"/>
    <row r="691" ht="22.5" customHeight="1"/>
    <row r="692" ht="22.5" customHeight="1"/>
    <row r="693" ht="22.5" customHeight="1"/>
    <row r="694" ht="22.5" customHeight="1"/>
    <row r="695" ht="22.5" customHeight="1"/>
    <row r="696" ht="22.5" customHeight="1"/>
    <row r="697" ht="22.5" customHeight="1"/>
    <row r="698" ht="22.5" customHeight="1"/>
    <row r="699" ht="22.5" customHeight="1"/>
    <row r="700" ht="22.5" customHeight="1"/>
    <row r="701" ht="22.5" customHeight="1"/>
    <row r="702" ht="22.5" customHeight="1"/>
    <row r="703" ht="22.5" customHeight="1"/>
    <row r="704" ht="22.5" customHeight="1"/>
    <row r="705" ht="22.5" customHeight="1"/>
    <row r="706" ht="22.5" customHeight="1"/>
    <row r="707" ht="22.5" customHeight="1"/>
    <row r="708" ht="22.5" customHeight="1"/>
    <row r="709" ht="22.5" customHeight="1"/>
    <row r="710" ht="22.5" customHeight="1"/>
    <row r="711" ht="22.5" customHeight="1"/>
    <row r="712" ht="22.5" customHeight="1"/>
    <row r="713" ht="22.5" customHeight="1"/>
    <row r="714" ht="22.5" customHeight="1"/>
    <row r="715" ht="22.5" customHeight="1"/>
    <row r="716" ht="22.5" customHeight="1"/>
    <row r="717" ht="22.5" customHeight="1"/>
    <row r="718" ht="22.5" customHeight="1"/>
    <row r="719" ht="22.5" customHeight="1"/>
    <row r="720" ht="22.5" customHeight="1"/>
    <row r="721" ht="22.5" customHeight="1"/>
    <row r="722" ht="22.5" customHeight="1"/>
    <row r="723" ht="22.5" customHeight="1"/>
    <row r="724" ht="22.5" customHeight="1"/>
    <row r="725" ht="22.5" customHeight="1"/>
    <row r="726" ht="22.5" customHeight="1"/>
    <row r="727" ht="22.5" customHeight="1"/>
    <row r="728" ht="22.5" customHeight="1"/>
    <row r="729" ht="22.5" customHeight="1"/>
    <row r="730" ht="22.5" customHeight="1"/>
    <row r="731" ht="22.5" customHeight="1"/>
    <row r="732" ht="22.5" customHeight="1"/>
    <row r="733" ht="22.5" customHeight="1"/>
    <row r="734" ht="22.5" customHeight="1"/>
    <row r="735" ht="22.5" customHeight="1"/>
    <row r="736" ht="22.5" customHeight="1"/>
    <row r="737" ht="22.5" customHeight="1"/>
    <row r="738" ht="22.5" customHeight="1"/>
    <row r="739" ht="22.5" customHeight="1"/>
    <row r="740" ht="22.5" customHeight="1"/>
    <row r="741" ht="22.5" customHeight="1"/>
    <row r="742" ht="22.5" customHeight="1"/>
    <row r="743" ht="22.5" customHeight="1"/>
    <row r="744" ht="22.5" customHeight="1"/>
    <row r="745" ht="22.5" customHeight="1"/>
    <row r="746" ht="22.5" customHeight="1"/>
    <row r="747" ht="22.5" customHeight="1"/>
    <row r="748" ht="22.5" customHeight="1"/>
    <row r="749" ht="22.5" customHeight="1"/>
    <row r="750" ht="22.5" customHeight="1"/>
    <row r="751" ht="22.5" customHeight="1"/>
    <row r="752" ht="22.5" customHeight="1"/>
    <row r="753" ht="22.5" customHeight="1"/>
    <row r="754" ht="22.5" customHeight="1"/>
    <row r="755" ht="22.5" customHeight="1"/>
    <row r="756" ht="22.5" customHeight="1"/>
    <row r="757" ht="22.5" customHeight="1"/>
    <row r="758" ht="22.5" customHeight="1"/>
    <row r="759" ht="22.5" customHeight="1"/>
    <row r="760" ht="22.5" customHeight="1"/>
    <row r="761" ht="22.5" customHeight="1"/>
    <row r="762" ht="22.5" customHeight="1"/>
    <row r="763" ht="22.5" customHeight="1"/>
    <row r="764" ht="22.5" customHeight="1"/>
    <row r="765" ht="22.5" customHeight="1"/>
    <row r="766" ht="22.5" customHeight="1"/>
    <row r="767" ht="22.5" customHeight="1"/>
    <row r="768" ht="22.5" customHeight="1"/>
    <row r="769" ht="22.5" customHeight="1"/>
    <row r="770" ht="22.5" customHeight="1"/>
    <row r="771" ht="22.5" customHeight="1"/>
    <row r="772" ht="22.5" customHeight="1"/>
    <row r="773" ht="22.5" customHeight="1"/>
    <row r="774" ht="22.5" customHeight="1"/>
    <row r="775" ht="22.5" customHeight="1"/>
    <row r="776" ht="22.5" customHeight="1"/>
    <row r="777" ht="22.5" customHeight="1"/>
    <row r="778" ht="22.5" customHeight="1"/>
    <row r="779" ht="22.5" customHeight="1"/>
    <row r="780" ht="22.5" customHeight="1"/>
    <row r="781" ht="22.5" customHeight="1"/>
    <row r="782" ht="22.5" customHeight="1"/>
    <row r="783" ht="22.5" customHeight="1"/>
    <row r="784" ht="22.5" customHeight="1"/>
    <row r="785" ht="22.5" customHeight="1"/>
    <row r="786" ht="22.5" customHeight="1"/>
    <row r="787" ht="22.5" customHeight="1"/>
    <row r="788" ht="22.5" customHeight="1"/>
    <row r="789" ht="22.5" customHeight="1"/>
    <row r="790" ht="22.5" customHeight="1"/>
    <row r="791" ht="22.5" customHeight="1"/>
    <row r="792" ht="22.5" customHeight="1"/>
    <row r="793" ht="22.5" customHeight="1"/>
    <row r="794" ht="22.5" customHeight="1"/>
    <row r="795" ht="22.5" customHeight="1"/>
    <row r="796" ht="22.5" customHeight="1"/>
    <row r="797" ht="22.5" customHeight="1"/>
    <row r="798" ht="22.5" customHeight="1"/>
    <row r="799" ht="22.5" customHeight="1"/>
    <row r="800" ht="22.5" customHeight="1"/>
    <row r="801" ht="22.5" customHeight="1"/>
    <row r="802" ht="22.5" customHeight="1"/>
    <row r="803" ht="22.5" customHeight="1"/>
    <row r="804" ht="22.5" customHeight="1"/>
    <row r="805" ht="22.5" customHeight="1"/>
    <row r="806" ht="22.5" customHeight="1"/>
    <row r="807" ht="22.5" customHeight="1"/>
    <row r="808" ht="22.5" customHeight="1"/>
    <row r="809" ht="22.5" customHeight="1"/>
    <row r="810" ht="22.5" customHeight="1"/>
    <row r="811" ht="22.5" customHeight="1"/>
    <row r="812" ht="22.5" customHeight="1"/>
    <row r="813" ht="22.5" customHeight="1"/>
    <row r="814" ht="22.5" customHeight="1"/>
    <row r="815" ht="22.5" customHeight="1"/>
    <row r="816" ht="22.5" customHeight="1"/>
    <row r="817" ht="22.5" customHeight="1"/>
    <row r="818" ht="22.5" customHeight="1"/>
    <row r="819" ht="22.5" customHeight="1"/>
    <row r="820" ht="22.5" customHeight="1"/>
    <row r="821" ht="22.5" customHeight="1"/>
    <row r="822" ht="22.5" customHeight="1"/>
    <row r="823" ht="22.5" customHeight="1"/>
    <row r="824" ht="22.5" customHeight="1"/>
    <row r="825" ht="22.5" customHeight="1"/>
    <row r="826" ht="22.5" customHeight="1"/>
    <row r="827" ht="22.5" customHeight="1"/>
    <row r="828" ht="22.5" customHeight="1"/>
    <row r="829" ht="22.5" customHeight="1"/>
    <row r="830" ht="22.5" customHeight="1"/>
    <row r="831" ht="22.5" customHeight="1"/>
    <row r="832" ht="22.5" customHeight="1"/>
    <row r="833" ht="22.5" customHeight="1"/>
    <row r="834" ht="22.5" customHeight="1"/>
    <row r="835" ht="22.5" customHeight="1"/>
    <row r="836" ht="22.5" customHeight="1"/>
    <row r="837" ht="22.5" customHeight="1"/>
    <row r="838" ht="22.5" customHeight="1"/>
    <row r="839" ht="22.5" customHeight="1"/>
    <row r="840" ht="22.5" customHeight="1"/>
    <row r="841" ht="22.5" customHeight="1"/>
    <row r="842" ht="22.5" customHeight="1"/>
    <row r="843" ht="22.5" customHeight="1"/>
    <row r="844" ht="22.5" customHeight="1"/>
    <row r="845" ht="22.5" customHeight="1"/>
    <row r="846" ht="22.5" customHeight="1"/>
    <row r="847" ht="22.5" customHeight="1"/>
    <row r="848" ht="22.5" customHeight="1"/>
    <row r="849" ht="22.5" customHeight="1"/>
    <row r="850" ht="22.5" customHeight="1"/>
    <row r="851" ht="22.5" customHeight="1"/>
    <row r="852" ht="22.5" customHeight="1"/>
    <row r="853" ht="22.5" customHeight="1"/>
    <row r="854" ht="22.5" customHeight="1"/>
    <row r="855" ht="22.5" customHeight="1"/>
    <row r="856" ht="22.5" customHeight="1"/>
    <row r="857" ht="22.5" customHeight="1"/>
    <row r="858" ht="22.5" customHeight="1"/>
    <row r="859" ht="22.5" customHeight="1"/>
    <row r="860" ht="22.5" customHeight="1"/>
    <row r="861" ht="22.5" customHeight="1"/>
    <row r="862" ht="22.5" customHeight="1"/>
    <row r="863" ht="22.5" customHeight="1"/>
    <row r="864" ht="22.5" customHeight="1"/>
    <row r="865" ht="22.5" customHeight="1"/>
    <row r="866" ht="22.5" customHeight="1"/>
    <row r="867" ht="22.5" customHeight="1"/>
    <row r="868" ht="22.5" customHeight="1"/>
    <row r="869" ht="22.5" customHeight="1"/>
    <row r="870" ht="22.5" customHeight="1"/>
    <row r="871" ht="22.5" customHeight="1"/>
    <row r="872" ht="22.5" customHeight="1"/>
    <row r="873" ht="22.5" customHeight="1"/>
    <row r="874" ht="22.5" customHeight="1"/>
    <row r="875" ht="22.5" customHeight="1"/>
    <row r="876" ht="22.5" customHeight="1"/>
    <row r="877" ht="22.5" customHeight="1"/>
    <row r="878" ht="22.5" customHeight="1"/>
    <row r="879" ht="22.5" customHeight="1"/>
    <row r="880" ht="22.5" customHeight="1"/>
    <row r="881" ht="22.5" customHeight="1"/>
    <row r="882" ht="22.5" customHeight="1"/>
    <row r="883" ht="22.5" customHeight="1"/>
    <row r="884" ht="22.5" customHeight="1"/>
    <row r="885" ht="22.5" customHeight="1"/>
    <row r="886" ht="22.5" customHeight="1"/>
    <row r="887" ht="22.5" customHeight="1"/>
    <row r="888" ht="22.5" customHeight="1"/>
    <row r="889" ht="22.5" customHeight="1"/>
    <row r="890" ht="22.5" customHeight="1"/>
    <row r="891" ht="22.5" customHeight="1"/>
    <row r="892" ht="22.5" customHeight="1"/>
    <row r="893" ht="22.5" customHeight="1"/>
    <row r="894" ht="22.5" customHeight="1"/>
    <row r="895" ht="22.5" customHeight="1"/>
    <row r="896" ht="22.5" customHeight="1"/>
    <row r="897" ht="22.5" customHeight="1"/>
    <row r="898" ht="22.5" customHeight="1"/>
    <row r="899" ht="22.5" customHeight="1"/>
    <row r="900" ht="22.5" customHeight="1"/>
    <row r="901" ht="22.5" customHeight="1"/>
    <row r="902" ht="22.5" customHeight="1"/>
    <row r="903" ht="22.5" customHeight="1"/>
    <row r="904" ht="22.5" customHeight="1"/>
    <row r="905" ht="22.5" customHeight="1"/>
    <row r="906" ht="22.5" customHeight="1"/>
    <row r="907" ht="22.5" customHeight="1"/>
    <row r="908" ht="22.5" customHeight="1"/>
    <row r="909" ht="22.5" customHeight="1"/>
    <row r="910" ht="22.5" customHeight="1"/>
    <row r="911" ht="22.5" customHeight="1"/>
    <row r="912" ht="22.5" customHeight="1"/>
    <row r="913" ht="22.5" customHeight="1"/>
    <row r="914" ht="22.5" customHeight="1"/>
    <row r="915" ht="22.5" customHeight="1"/>
    <row r="916" ht="22.5" customHeight="1"/>
    <row r="917" ht="22.5" customHeight="1"/>
    <row r="918" ht="22.5" customHeight="1"/>
    <row r="919" ht="22.5" customHeight="1"/>
    <row r="920" ht="22.5" customHeight="1"/>
    <row r="921" ht="22.5" customHeight="1"/>
    <row r="922" ht="22.5" customHeight="1"/>
    <row r="923" ht="22.5" customHeight="1"/>
    <row r="924" ht="22.5" customHeight="1"/>
    <row r="925" ht="22.5" customHeight="1"/>
    <row r="926" ht="22.5" customHeight="1"/>
    <row r="927" ht="22.5" customHeight="1"/>
    <row r="928" ht="22.5" customHeight="1"/>
    <row r="929" ht="22.5" customHeight="1"/>
    <row r="930" ht="22.5" customHeight="1"/>
    <row r="931" ht="22.5" customHeight="1"/>
    <row r="932" ht="22.5" customHeight="1"/>
    <row r="933" ht="22.5" customHeight="1"/>
    <row r="934" ht="22.5" customHeight="1"/>
    <row r="935" ht="22.5" customHeight="1"/>
    <row r="936" ht="22.5" customHeight="1"/>
    <row r="937" ht="22.5" customHeight="1"/>
    <row r="938" ht="22.5" customHeight="1"/>
    <row r="939" ht="22.5" customHeight="1"/>
    <row r="940" ht="22.5" customHeight="1"/>
    <row r="941" ht="22.5" customHeight="1"/>
    <row r="942" ht="22.5" customHeight="1"/>
    <row r="943" ht="22.5" customHeight="1"/>
    <row r="944" ht="22.5" customHeight="1"/>
    <row r="945" ht="22.5" customHeight="1"/>
    <row r="946" ht="22.5" customHeight="1"/>
    <row r="947" ht="22.5" customHeight="1"/>
    <row r="948" ht="22.5" customHeight="1"/>
    <row r="949" ht="22.5" customHeight="1"/>
    <row r="950" ht="22.5" customHeight="1"/>
    <row r="951" ht="22.5" customHeight="1"/>
    <row r="952" ht="22.5" customHeight="1"/>
    <row r="953" ht="22.5" customHeight="1"/>
    <row r="954" ht="22.5" customHeight="1"/>
    <row r="955" ht="22.5" customHeight="1"/>
    <row r="956" ht="22.5" customHeight="1"/>
    <row r="957" ht="22.5" customHeight="1"/>
    <row r="958" ht="22.5" customHeight="1"/>
    <row r="959" ht="22.5" customHeight="1"/>
    <row r="960" ht="22.5" customHeight="1"/>
    <row r="961" ht="22.5" customHeight="1"/>
    <row r="962" ht="22.5" customHeight="1"/>
    <row r="963" ht="22.5" customHeight="1"/>
    <row r="964" ht="22.5" customHeight="1"/>
    <row r="965" ht="22.5" customHeight="1"/>
    <row r="966" ht="22.5" customHeight="1"/>
    <row r="967" ht="22.5" customHeight="1"/>
    <row r="968" ht="22.5" customHeight="1"/>
    <row r="969" ht="22.5" customHeight="1"/>
    <row r="970" ht="22.5" customHeight="1"/>
    <row r="971" ht="22.5" customHeight="1"/>
    <row r="972" ht="22.5" customHeight="1"/>
    <row r="973" ht="22.5" customHeight="1"/>
    <row r="974" ht="22.5" customHeight="1"/>
    <row r="975" ht="22.5" customHeight="1"/>
    <row r="976" ht="22.5" customHeight="1"/>
    <row r="977" ht="22.5" customHeight="1"/>
    <row r="978" ht="22.5" customHeight="1"/>
    <row r="979" ht="22.5" customHeight="1"/>
    <row r="980" ht="22.5" customHeight="1"/>
    <row r="981" ht="22.5" customHeight="1"/>
    <row r="982" ht="22.5" customHeight="1"/>
    <row r="983" ht="22.5" customHeight="1"/>
    <row r="984" ht="22.5" customHeight="1"/>
    <row r="985" ht="22.5" customHeight="1"/>
    <row r="986" ht="22.5" customHeight="1"/>
    <row r="987" ht="22.5" customHeight="1"/>
    <row r="988" ht="22.5" customHeight="1"/>
    <row r="989" ht="22.5" customHeight="1"/>
    <row r="990" ht="22.5" customHeight="1"/>
    <row r="991" ht="22.5" customHeight="1"/>
    <row r="992" ht="22.5" customHeight="1"/>
    <row r="993" ht="22.5" customHeight="1"/>
    <row r="994" ht="22.5" customHeight="1"/>
    <row r="995" ht="22.5" customHeight="1"/>
    <row r="996" ht="22.5" customHeight="1"/>
    <row r="997" ht="22.5" customHeight="1"/>
    <row r="998" ht="22.5" customHeight="1"/>
    <row r="999" ht="22.5" customHeight="1"/>
    <row r="1000" ht="22.5" customHeight="1"/>
    <row r="1001" ht="22.5" customHeight="1"/>
  </sheetData>
  <drawing r:id="rId1"/>
  <tableParts count="1">
    <tablePart r:id="rId3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5"/>
    <col customWidth="1" min="4" max="4" width="38.38"/>
    <col customWidth="1" min="5" max="5" width="4.88"/>
    <col customWidth="1" min="7" max="7" width="3.63"/>
    <col customWidth="1" min="10" max="10" width="21.75"/>
    <col customWidth="1" min="11" max="11" width="3.63"/>
    <col customWidth="1" min="13" max="13" width="3.63"/>
    <col customWidth="1" min="16" max="16" width="20.75"/>
    <col customWidth="1" min="17" max="17" width="3.63"/>
  </cols>
  <sheetData>
    <row r="1">
      <c r="A1" s="167"/>
      <c r="B1" s="167"/>
      <c r="C1" s="167"/>
      <c r="D1" s="167"/>
      <c r="E1" s="167"/>
    </row>
    <row r="2">
      <c r="A2" s="167"/>
      <c r="B2" s="167"/>
      <c r="C2" s="167"/>
      <c r="D2" s="167"/>
      <c r="E2" s="167"/>
    </row>
    <row r="3">
      <c r="A3" s="354" t="s">
        <v>9248</v>
      </c>
      <c r="B3" s="354"/>
      <c r="C3" s="354"/>
      <c r="D3" s="354"/>
      <c r="E3" s="354" t="s">
        <v>5249</v>
      </c>
      <c r="I3" s="1" t="s">
        <v>9756</v>
      </c>
      <c r="J3" s="1" t="s">
        <v>8591</v>
      </c>
      <c r="O3" s="1" t="s">
        <v>9756</v>
      </c>
      <c r="P3" s="1" t="s">
        <v>9757</v>
      </c>
    </row>
    <row r="4">
      <c r="A4" s="355" t="s">
        <v>9249</v>
      </c>
      <c r="B4" s="356" t="s">
        <v>9</v>
      </c>
      <c r="C4" s="356" t="s">
        <v>5246</v>
      </c>
      <c r="D4" s="356" t="s">
        <v>201</v>
      </c>
      <c r="E4" s="356" t="s">
        <v>13</v>
      </c>
      <c r="G4" s="355" t="s">
        <v>9249</v>
      </c>
      <c r="H4" s="356" t="s">
        <v>9</v>
      </c>
      <c r="I4" s="356" t="s">
        <v>5246</v>
      </c>
      <c r="J4" s="356" t="s">
        <v>201</v>
      </c>
      <c r="K4" s="356" t="s">
        <v>13</v>
      </c>
      <c r="M4" s="355" t="s">
        <v>9249</v>
      </c>
      <c r="N4" s="356" t="s">
        <v>9</v>
      </c>
      <c r="O4" s="356" t="s">
        <v>5246</v>
      </c>
      <c r="P4" s="356" t="s">
        <v>201</v>
      </c>
      <c r="Q4" s="356" t="s">
        <v>13</v>
      </c>
    </row>
    <row r="5">
      <c r="A5" s="125">
        <v>1.0</v>
      </c>
      <c r="B5" s="92" t="s">
        <v>38</v>
      </c>
      <c r="C5" s="92">
        <v>2.52610008E8</v>
      </c>
      <c r="D5" s="94" t="s">
        <v>5248</v>
      </c>
      <c r="E5" s="92" t="s">
        <v>220</v>
      </c>
      <c r="G5" s="125">
        <v>1.0</v>
      </c>
      <c r="H5" s="92" t="s">
        <v>5251</v>
      </c>
      <c r="I5" s="92">
        <v>2.52610048E8</v>
      </c>
      <c r="J5" s="94" t="s">
        <v>5252</v>
      </c>
      <c r="K5" s="92" t="s">
        <v>227</v>
      </c>
      <c r="M5" s="125">
        <v>1.0</v>
      </c>
      <c r="N5" s="92" t="s">
        <v>5255</v>
      </c>
      <c r="O5" s="92">
        <v>2.52610053E8</v>
      </c>
      <c r="P5" s="94" t="s">
        <v>5256</v>
      </c>
      <c r="Q5" s="92" t="s">
        <v>227</v>
      </c>
    </row>
    <row r="6">
      <c r="A6" s="125">
        <v>2.0</v>
      </c>
      <c r="B6" s="92" t="s">
        <v>39</v>
      </c>
      <c r="C6" s="92">
        <v>2.52610082E8</v>
      </c>
      <c r="D6" s="94" t="s">
        <v>5258</v>
      </c>
      <c r="E6" s="92" t="s">
        <v>220</v>
      </c>
      <c r="G6" s="125">
        <v>2.0</v>
      </c>
      <c r="H6" s="92" t="s">
        <v>5260</v>
      </c>
      <c r="I6" s="92">
        <v>2.52610083E8</v>
      </c>
      <c r="J6" s="94" t="s">
        <v>5261</v>
      </c>
      <c r="K6" s="92" t="s">
        <v>227</v>
      </c>
      <c r="M6" s="125">
        <v>2.0</v>
      </c>
      <c r="N6" s="92" t="s">
        <v>5263</v>
      </c>
      <c r="O6" s="92">
        <v>2.52610087E8</v>
      </c>
      <c r="P6" s="94" t="s">
        <v>5264</v>
      </c>
      <c r="Q6" s="92" t="s">
        <v>227</v>
      </c>
    </row>
    <row r="7">
      <c r="A7" s="125">
        <v>3.0</v>
      </c>
      <c r="B7" s="92" t="s">
        <v>34</v>
      </c>
      <c r="C7" s="92">
        <v>2.52610126E8</v>
      </c>
      <c r="D7" s="94" t="s">
        <v>5279</v>
      </c>
      <c r="E7" s="92" t="s">
        <v>220</v>
      </c>
      <c r="G7" s="125">
        <v>3.0</v>
      </c>
      <c r="H7" s="92" t="s">
        <v>5266</v>
      </c>
      <c r="I7" s="92">
        <v>2.52610088E8</v>
      </c>
      <c r="J7" s="94" t="s">
        <v>5267</v>
      </c>
      <c r="K7" s="92" t="s">
        <v>227</v>
      </c>
      <c r="M7" s="125">
        <v>3.0</v>
      </c>
      <c r="N7" s="92" t="s">
        <v>5269</v>
      </c>
      <c r="O7" s="92">
        <v>2.526101E8</v>
      </c>
      <c r="P7" s="94" t="s">
        <v>5270</v>
      </c>
      <c r="Q7" s="92" t="s">
        <v>227</v>
      </c>
    </row>
    <row r="8">
      <c r="A8" s="125">
        <v>4.0</v>
      </c>
      <c r="B8" s="92" t="s">
        <v>41</v>
      </c>
      <c r="C8" s="92">
        <v>2.52610171E8</v>
      </c>
      <c r="D8" s="94" t="s">
        <v>5284</v>
      </c>
      <c r="E8" s="92" t="s">
        <v>220</v>
      </c>
      <c r="G8" s="125">
        <v>4.0</v>
      </c>
      <c r="H8" s="92" t="s">
        <v>5272</v>
      </c>
      <c r="I8" s="92">
        <v>2.52610101E8</v>
      </c>
      <c r="J8" s="94" t="s">
        <v>5273</v>
      </c>
      <c r="K8" s="92" t="s">
        <v>227</v>
      </c>
      <c r="M8" s="125">
        <v>4.0</v>
      </c>
      <c r="N8" s="92" t="s">
        <v>5281</v>
      </c>
      <c r="O8" s="92">
        <v>2.5261013E8</v>
      </c>
      <c r="P8" s="94" t="s">
        <v>5282</v>
      </c>
      <c r="Q8" s="92" t="s">
        <v>227</v>
      </c>
    </row>
    <row r="9">
      <c r="A9" s="125">
        <v>5.0</v>
      </c>
      <c r="B9" s="92" t="s">
        <v>5289</v>
      </c>
      <c r="C9" s="92">
        <v>2.52610193E8</v>
      </c>
      <c r="D9" s="94" t="s">
        <v>5290</v>
      </c>
      <c r="E9" s="92" t="s">
        <v>220</v>
      </c>
      <c r="G9" s="125">
        <v>5.0</v>
      </c>
      <c r="H9" s="92" t="s">
        <v>5286</v>
      </c>
      <c r="I9" s="92">
        <v>2.52610175E8</v>
      </c>
      <c r="J9" s="94" t="s">
        <v>5287</v>
      </c>
      <c r="K9" s="92" t="s">
        <v>227</v>
      </c>
      <c r="M9" s="125">
        <v>5.0</v>
      </c>
      <c r="N9" s="92" t="s">
        <v>5295</v>
      </c>
      <c r="O9" s="92">
        <v>2.52610206E8</v>
      </c>
      <c r="P9" s="94" t="s">
        <v>5296</v>
      </c>
      <c r="Q9" s="92" t="s">
        <v>227</v>
      </c>
    </row>
    <row r="10">
      <c r="A10" s="125">
        <v>6.0</v>
      </c>
      <c r="B10" s="92" t="s">
        <v>5292</v>
      </c>
      <c r="C10" s="92">
        <v>2.52610202E8</v>
      </c>
      <c r="D10" s="94" t="s">
        <v>5293</v>
      </c>
      <c r="E10" s="92" t="s">
        <v>220</v>
      </c>
      <c r="G10" s="125">
        <v>6.0</v>
      </c>
      <c r="H10" s="92" t="s">
        <v>5298</v>
      </c>
      <c r="I10" s="92">
        <v>2.52610224E8</v>
      </c>
      <c r="J10" s="94" t="s">
        <v>5299</v>
      </c>
      <c r="K10" s="92" t="s">
        <v>227</v>
      </c>
      <c r="M10" s="125">
        <v>6.0</v>
      </c>
      <c r="N10" s="92" t="s">
        <v>5301</v>
      </c>
      <c r="O10" s="92">
        <v>2.52610239E8</v>
      </c>
      <c r="P10" s="94" t="s">
        <v>5302</v>
      </c>
      <c r="Q10" s="92" t="s">
        <v>227</v>
      </c>
    </row>
    <row r="11">
      <c r="A11" s="125">
        <v>7.0</v>
      </c>
      <c r="B11" s="92" t="s">
        <v>5311</v>
      </c>
      <c r="C11" s="92">
        <v>2.52610316E8</v>
      </c>
      <c r="D11" s="94" t="s">
        <v>5312</v>
      </c>
      <c r="E11" s="92" t="s">
        <v>220</v>
      </c>
      <c r="G11" s="125">
        <v>7.0</v>
      </c>
      <c r="H11" s="92" t="s">
        <v>5305</v>
      </c>
      <c r="I11" s="92">
        <v>2.52610246E8</v>
      </c>
      <c r="J11" s="94" t="s">
        <v>5306</v>
      </c>
      <c r="K11" s="92" t="s">
        <v>227</v>
      </c>
      <c r="M11" s="125">
        <v>7.0</v>
      </c>
      <c r="N11" s="92" t="s">
        <v>5308</v>
      </c>
      <c r="O11" s="92">
        <v>2.52610311E8</v>
      </c>
      <c r="P11" s="94" t="s">
        <v>5309</v>
      </c>
      <c r="Q11" s="92" t="s">
        <v>227</v>
      </c>
    </row>
    <row r="12">
      <c r="A12" s="125">
        <v>8.0</v>
      </c>
      <c r="B12" s="92" t="s">
        <v>5314</v>
      </c>
      <c r="C12" s="92">
        <v>2.5261033E8</v>
      </c>
      <c r="D12" s="94" t="s">
        <v>5315</v>
      </c>
      <c r="E12" s="92" t="s">
        <v>220</v>
      </c>
      <c r="G12" s="125">
        <v>8.0</v>
      </c>
      <c r="H12" s="92" t="s">
        <v>5330</v>
      </c>
      <c r="I12" s="92">
        <v>2.5261039E8</v>
      </c>
      <c r="J12" s="94" t="s">
        <v>5331</v>
      </c>
      <c r="K12" s="92" t="s">
        <v>227</v>
      </c>
      <c r="M12" s="125">
        <v>8.0</v>
      </c>
      <c r="N12" s="92" t="s">
        <v>5333</v>
      </c>
      <c r="O12" s="92">
        <v>2.52610393E8</v>
      </c>
      <c r="P12" s="94" t="s">
        <v>5334</v>
      </c>
      <c r="Q12" s="92" t="s">
        <v>227</v>
      </c>
    </row>
    <row r="13">
      <c r="A13" s="125">
        <v>9.0</v>
      </c>
      <c r="B13" s="92" t="s">
        <v>40</v>
      </c>
      <c r="C13" s="92">
        <v>2.52610343E8</v>
      </c>
      <c r="D13" s="94" t="s">
        <v>5320</v>
      </c>
      <c r="E13" s="92" t="s">
        <v>220</v>
      </c>
      <c r="G13" s="125">
        <v>9.0</v>
      </c>
      <c r="H13" s="92" t="s">
        <v>5336</v>
      </c>
      <c r="I13" s="92">
        <v>2.52610423E8</v>
      </c>
      <c r="J13" s="94" t="s">
        <v>5337</v>
      </c>
      <c r="K13" s="92" t="s">
        <v>227</v>
      </c>
      <c r="M13" s="125">
        <v>9.0</v>
      </c>
      <c r="N13" s="92" t="s">
        <v>5339</v>
      </c>
      <c r="O13" s="92">
        <v>2.52610424E8</v>
      </c>
      <c r="P13" s="94" t="s">
        <v>5340</v>
      </c>
      <c r="Q13" s="92" t="s">
        <v>227</v>
      </c>
    </row>
    <row r="14">
      <c r="A14" s="125">
        <v>10.0</v>
      </c>
      <c r="B14" s="92" t="s">
        <v>5322</v>
      </c>
      <c r="C14" s="92">
        <v>2.52610351E8</v>
      </c>
      <c r="D14" s="94" t="s">
        <v>5323</v>
      </c>
      <c r="E14" s="92" t="s">
        <v>220</v>
      </c>
      <c r="G14" s="125">
        <v>10.0</v>
      </c>
      <c r="H14" s="92" t="s">
        <v>37</v>
      </c>
      <c r="I14" s="92">
        <v>2.52610489E8</v>
      </c>
      <c r="J14" s="94" t="s">
        <v>5356</v>
      </c>
      <c r="K14" s="92" t="s">
        <v>227</v>
      </c>
      <c r="M14" s="125">
        <v>10.0</v>
      </c>
      <c r="N14" s="92" t="s">
        <v>5358</v>
      </c>
      <c r="O14" s="92">
        <v>2.52610508E8</v>
      </c>
      <c r="P14" s="94" t="s">
        <v>5359</v>
      </c>
      <c r="Q14" s="92" t="s">
        <v>227</v>
      </c>
    </row>
    <row r="15">
      <c r="A15" s="125">
        <v>11.0</v>
      </c>
      <c r="B15" s="92" t="s">
        <v>36</v>
      </c>
      <c r="C15" s="92">
        <v>2.52610369E8</v>
      </c>
      <c r="D15" s="94" t="s">
        <v>5325</v>
      </c>
      <c r="E15" s="92" t="s">
        <v>220</v>
      </c>
      <c r="G15" s="125">
        <v>11.0</v>
      </c>
      <c r="H15" s="92" t="s">
        <v>5361</v>
      </c>
      <c r="I15" s="92">
        <v>2.52610513E8</v>
      </c>
      <c r="J15" s="94" t="s">
        <v>5362</v>
      </c>
      <c r="K15" s="92" t="s">
        <v>227</v>
      </c>
      <c r="M15" s="125">
        <v>11.0</v>
      </c>
      <c r="N15" s="92" t="s">
        <v>5367</v>
      </c>
      <c r="O15" s="92">
        <v>2.52610566E8</v>
      </c>
      <c r="P15" s="94" t="s">
        <v>5368</v>
      </c>
      <c r="Q15" s="92" t="s">
        <v>227</v>
      </c>
    </row>
    <row r="16">
      <c r="A16" s="357">
        <v>12.0</v>
      </c>
      <c r="B16" s="92" t="s">
        <v>5327</v>
      </c>
      <c r="C16" s="92">
        <v>2.52610371E8</v>
      </c>
      <c r="D16" s="94" t="s">
        <v>5328</v>
      </c>
      <c r="E16" s="92" t="s">
        <v>220</v>
      </c>
    </row>
    <row r="17">
      <c r="A17" s="357">
        <v>13.0</v>
      </c>
      <c r="B17" s="92" t="s">
        <v>5342</v>
      </c>
      <c r="C17" s="92">
        <v>2.52610436E8</v>
      </c>
      <c r="D17" s="94" t="s">
        <v>5343</v>
      </c>
      <c r="E17" s="92" t="s">
        <v>220</v>
      </c>
    </row>
    <row r="18">
      <c r="A18" s="92">
        <v>14.0</v>
      </c>
      <c r="B18" s="92" t="s">
        <v>5345</v>
      </c>
      <c r="C18" s="92">
        <v>2.52610452E8</v>
      </c>
      <c r="D18" s="94" t="s">
        <v>5346</v>
      </c>
      <c r="E18" s="92" t="s">
        <v>220</v>
      </c>
    </row>
    <row r="19">
      <c r="A19" s="92">
        <v>15.0</v>
      </c>
      <c r="B19" s="92" t="s">
        <v>5348</v>
      </c>
      <c r="C19" s="92">
        <v>2.52610454E8</v>
      </c>
      <c r="D19" s="94" t="s">
        <v>5349</v>
      </c>
      <c r="E19" s="92" t="s">
        <v>220</v>
      </c>
    </row>
    <row r="20">
      <c r="A20" s="92">
        <v>16.0</v>
      </c>
      <c r="B20" s="92" t="s">
        <v>42</v>
      </c>
      <c r="C20" s="92">
        <v>2.52610476E8</v>
      </c>
      <c r="D20" s="94" t="s">
        <v>5351</v>
      </c>
      <c r="E20" s="92" t="s">
        <v>220</v>
      </c>
    </row>
    <row r="21">
      <c r="A21" s="92">
        <v>17.0</v>
      </c>
      <c r="B21" s="92" t="s">
        <v>5364</v>
      </c>
      <c r="C21" s="92">
        <v>2.52610564E8</v>
      </c>
      <c r="D21" s="94" t="s">
        <v>5365</v>
      </c>
      <c r="E21" s="92" t="s">
        <v>220</v>
      </c>
    </row>
    <row r="22">
      <c r="A22" s="167"/>
      <c r="B22" s="167"/>
      <c r="C22" s="167"/>
      <c r="D22" s="167"/>
      <c r="E22" s="167"/>
    </row>
    <row r="23">
      <c r="A23" s="167"/>
      <c r="B23" s="167"/>
      <c r="C23" s="167"/>
      <c r="D23" s="94" t="s">
        <v>9262</v>
      </c>
      <c r="E23" s="124">
        <f>COUNTIF(K5:Q15,"P")</f>
        <v>22</v>
      </c>
    </row>
    <row r="24">
      <c r="A24" s="167"/>
      <c r="B24" s="167"/>
      <c r="C24" s="167"/>
      <c r="D24" s="94" t="s">
        <v>9263</v>
      </c>
      <c r="E24" s="124">
        <f>COUNTIF(E5:E21,"L")</f>
        <v>17</v>
      </c>
    </row>
    <row r="25">
      <c r="A25" s="167"/>
      <c r="B25" s="167"/>
      <c r="C25" s="167"/>
      <c r="D25" s="167"/>
      <c r="E25" s="167"/>
    </row>
    <row r="26">
      <c r="A26" s="167"/>
      <c r="B26" s="167"/>
      <c r="C26" s="167"/>
      <c r="D26" s="167"/>
      <c r="E26" s="167"/>
    </row>
    <row r="27">
      <c r="A27" s="167" t="s">
        <v>9264</v>
      </c>
      <c r="B27" s="167"/>
      <c r="C27" s="167"/>
      <c r="D27" s="167"/>
      <c r="E27" s="167" t="s">
        <v>5372</v>
      </c>
      <c r="I27" s="1" t="s">
        <v>9756</v>
      </c>
      <c r="J27" s="1" t="s">
        <v>8595</v>
      </c>
      <c r="O27" s="1" t="s">
        <v>9756</v>
      </c>
      <c r="P27" s="1" t="s">
        <v>8596</v>
      </c>
    </row>
    <row r="28">
      <c r="A28" s="355" t="s">
        <v>9249</v>
      </c>
      <c r="B28" s="356" t="s">
        <v>9</v>
      </c>
      <c r="C28" s="356" t="s">
        <v>5246</v>
      </c>
      <c r="D28" s="356" t="s">
        <v>201</v>
      </c>
      <c r="E28" s="356" t="s">
        <v>13</v>
      </c>
      <c r="G28" s="355" t="s">
        <v>9249</v>
      </c>
      <c r="H28" s="356" t="s">
        <v>9</v>
      </c>
      <c r="I28" s="356" t="s">
        <v>5246</v>
      </c>
      <c r="J28" s="356" t="s">
        <v>201</v>
      </c>
      <c r="K28" s="356" t="s">
        <v>13</v>
      </c>
      <c r="M28" s="355" t="s">
        <v>9249</v>
      </c>
      <c r="N28" s="356" t="s">
        <v>9</v>
      </c>
      <c r="O28" s="356" t="s">
        <v>5246</v>
      </c>
      <c r="P28" s="356" t="s">
        <v>201</v>
      </c>
      <c r="Q28" s="356" t="s">
        <v>13</v>
      </c>
    </row>
    <row r="29">
      <c r="A29" s="125">
        <v>1.0</v>
      </c>
      <c r="B29" s="92" t="s">
        <v>5391</v>
      </c>
      <c r="C29" s="92">
        <v>2.52610058E8</v>
      </c>
      <c r="D29" s="94" t="s">
        <v>5392</v>
      </c>
      <c r="E29" s="92" t="s">
        <v>220</v>
      </c>
      <c r="G29" s="125">
        <v>1.0</v>
      </c>
      <c r="H29" s="92" t="s">
        <v>5370</v>
      </c>
      <c r="I29" s="92">
        <v>2.52610011E8</v>
      </c>
      <c r="J29" s="94" t="s">
        <v>5371</v>
      </c>
      <c r="K29" s="92" t="s">
        <v>227</v>
      </c>
      <c r="M29" s="125">
        <v>1.0</v>
      </c>
      <c r="N29" s="92" t="s">
        <v>5431</v>
      </c>
      <c r="O29" s="92">
        <v>2.52610181E8</v>
      </c>
      <c r="P29" s="94" t="s">
        <v>5432</v>
      </c>
      <c r="Q29" s="92" t="s">
        <v>227</v>
      </c>
    </row>
    <row r="30">
      <c r="A30" s="125">
        <v>2.0</v>
      </c>
      <c r="B30" s="92" t="s">
        <v>5410</v>
      </c>
      <c r="C30" s="92">
        <v>2.52610124E8</v>
      </c>
      <c r="D30" s="94" t="s">
        <v>5411</v>
      </c>
      <c r="E30" s="92" t="s">
        <v>220</v>
      </c>
      <c r="G30" s="125">
        <v>2.0</v>
      </c>
      <c r="H30" s="92" t="s">
        <v>5379</v>
      </c>
      <c r="I30" s="92">
        <v>2.52610026E8</v>
      </c>
      <c r="J30" s="94" t="s">
        <v>5380</v>
      </c>
      <c r="K30" s="92" t="s">
        <v>227</v>
      </c>
      <c r="M30" s="125">
        <v>2.0</v>
      </c>
      <c r="N30" s="92" t="s">
        <v>5441</v>
      </c>
      <c r="O30" s="92">
        <v>2.52610238E8</v>
      </c>
      <c r="P30" s="94" t="s">
        <v>5442</v>
      </c>
      <c r="Q30" s="92" t="s">
        <v>227</v>
      </c>
    </row>
    <row r="31">
      <c r="A31" s="125">
        <v>3.0</v>
      </c>
      <c r="B31" s="92" t="s">
        <v>5416</v>
      </c>
      <c r="C31" s="92">
        <v>2.52610145E8</v>
      </c>
      <c r="D31" s="94" t="s">
        <v>5417</v>
      </c>
      <c r="E31" s="92" t="s">
        <v>220</v>
      </c>
      <c r="G31" s="125">
        <v>3.0</v>
      </c>
      <c r="H31" s="92" t="s">
        <v>5382</v>
      </c>
      <c r="I31" s="92">
        <v>2.52610039E8</v>
      </c>
      <c r="J31" s="94" t="s">
        <v>5383</v>
      </c>
      <c r="K31" s="92" t="s">
        <v>227</v>
      </c>
      <c r="M31" s="125">
        <v>3.0</v>
      </c>
      <c r="N31" s="92" t="s">
        <v>5447</v>
      </c>
      <c r="O31" s="92">
        <v>2.5261028E8</v>
      </c>
      <c r="P31" s="94" t="s">
        <v>5448</v>
      </c>
      <c r="Q31" s="92" t="s">
        <v>227</v>
      </c>
    </row>
    <row r="32">
      <c r="A32" s="125">
        <v>4.0</v>
      </c>
      <c r="B32" s="92" t="s">
        <v>5425</v>
      </c>
      <c r="C32" s="92">
        <v>2.52610164E8</v>
      </c>
      <c r="D32" s="94" t="s">
        <v>5426</v>
      </c>
      <c r="E32" s="92" t="s">
        <v>220</v>
      </c>
      <c r="G32" s="125">
        <v>4.0</v>
      </c>
      <c r="H32" s="92" t="s">
        <v>5385</v>
      </c>
      <c r="I32" s="92">
        <v>2.5261005E8</v>
      </c>
      <c r="J32" s="94" t="s">
        <v>5386</v>
      </c>
      <c r="K32" s="92" t="s">
        <v>227</v>
      </c>
      <c r="M32" s="125">
        <v>4.0</v>
      </c>
      <c r="N32" s="92" t="s">
        <v>5474</v>
      </c>
      <c r="O32" s="92">
        <v>2.52610416E8</v>
      </c>
      <c r="P32" s="94" t="s">
        <v>5475</v>
      </c>
      <c r="Q32" s="92" t="s">
        <v>227</v>
      </c>
    </row>
    <row r="33">
      <c r="A33" s="125">
        <v>5.0</v>
      </c>
      <c r="B33" s="92" t="s">
        <v>5428</v>
      </c>
      <c r="C33" s="92">
        <v>2.5261018E8</v>
      </c>
      <c r="D33" s="94" t="s">
        <v>5429</v>
      </c>
      <c r="E33" s="92" t="s">
        <v>220</v>
      </c>
      <c r="G33" s="125">
        <v>5.0</v>
      </c>
      <c r="H33" s="92" t="s">
        <v>5395</v>
      </c>
      <c r="I33" s="92">
        <v>2.52610062E8</v>
      </c>
      <c r="J33" s="94" t="s">
        <v>5396</v>
      </c>
      <c r="K33" s="92" t="s">
        <v>227</v>
      </c>
      <c r="M33" s="125">
        <v>5.0</v>
      </c>
      <c r="N33" s="92" t="s">
        <v>5477</v>
      </c>
      <c r="O33" s="92">
        <v>2.52610419E8</v>
      </c>
      <c r="P33" s="94" t="s">
        <v>5478</v>
      </c>
      <c r="Q33" s="92" t="s">
        <v>227</v>
      </c>
    </row>
    <row r="34">
      <c r="A34" s="125">
        <v>6.0</v>
      </c>
      <c r="B34" s="92" t="s">
        <v>5435</v>
      </c>
      <c r="C34" s="92">
        <v>2.52610185E8</v>
      </c>
      <c r="D34" s="94" t="s">
        <v>5436</v>
      </c>
      <c r="E34" s="92" t="s">
        <v>220</v>
      </c>
      <c r="G34" s="125">
        <v>6.0</v>
      </c>
      <c r="H34" s="92" t="s">
        <v>5398</v>
      </c>
      <c r="I34" s="92">
        <v>2.5261007E8</v>
      </c>
      <c r="J34" s="94" t="s">
        <v>5399</v>
      </c>
      <c r="K34" s="92" t="s">
        <v>227</v>
      </c>
      <c r="M34" s="125">
        <v>6.0</v>
      </c>
      <c r="N34" s="92" t="s">
        <v>5483</v>
      </c>
      <c r="O34" s="92">
        <v>2.5261044E8</v>
      </c>
      <c r="P34" s="94" t="s">
        <v>5484</v>
      </c>
      <c r="Q34" s="92" t="s">
        <v>227</v>
      </c>
    </row>
    <row r="35">
      <c r="A35" s="125">
        <v>7.0</v>
      </c>
      <c r="B35" s="92" t="s">
        <v>5438</v>
      </c>
      <c r="C35" s="92">
        <v>2.52610186E8</v>
      </c>
      <c r="D35" s="94" t="s">
        <v>5439</v>
      </c>
      <c r="E35" s="92" t="s">
        <v>220</v>
      </c>
      <c r="G35" s="125">
        <v>7.0</v>
      </c>
      <c r="H35" s="92" t="s">
        <v>5401</v>
      </c>
      <c r="I35" s="92">
        <v>2.52610084E8</v>
      </c>
      <c r="J35" s="94" t="s">
        <v>5402</v>
      </c>
      <c r="K35" s="92" t="s">
        <v>227</v>
      </c>
      <c r="M35" s="125">
        <v>7.0</v>
      </c>
      <c r="N35" s="92" t="s">
        <v>5486</v>
      </c>
      <c r="O35" s="92">
        <v>2.52610467E8</v>
      </c>
      <c r="P35" s="94" t="s">
        <v>5487</v>
      </c>
      <c r="Q35" s="92" t="s">
        <v>227</v>
      </c>
    </row>
    <row r="36">
      <c r="A36" s="125">
        <v>8.0</v>
      </c>
      <c r="B36" s="92" t="s">
        <v>5444</v>
      </c>
      <c r="C36" s="92">
        <v>2.52610277E8</v>
      </c>
      <c r="D36" s="94" t="s">
        <v>5445</v>
      </c>
      <c r="E36" s="92" t="s">
        <v>220</v>
      </c>
      <c r="G36" s="125">
        <v>8.0</v>
      </c>
      <c r="H36" s="92" t="s">
        <v>5404</v>
      </c>
      <c r="I36" s="92">
        <v>2.5261009E8</v>
      </c>
      <c r="J36" s="94" t="s">
        <v>5405</v>
      </c>
      <c r="K36" s="92" t="s">
        <v>227</v>
      </c>
      <c r="M36" s="125">
        <v>8.0</v>
      </c>
      <c r="N36" s="92" t="s">
        <v>5489</v>
      </c>
      <c r="O36" s="92">
        <v>2.52610474E8</v>
      </c>
      <c r="P36" s="94" t="s">
        <v>5490</v>
      </c>
      <c r="Q36" s="92" t="s">
        <v>227</v>
      </c>
    </row>
    <row r="37">
      <c r="A37" s="125">
        <v>9.0</v>
      </c>
      <c r="B37" s="92" t="s">
        <v>5450</v>
      </c>
      <c r="C37" s="92">
        <v>2.52610302E8</v>
      </c>
      <c r="D37" s="94" t="s">
        <v>5451</v>
      </c>
      <c r="E37" s="92" t="s">
        <v>220</v>
      </c>
      <c r="G37" s="125">
        <v>9.0</v>
      </c>
      <c r="H37" s="92" t="s">
        <v>5407</v>
      </c>
      <c r="I37" s="92">
        <v>2.52610102E8</v>
      </c>
      <c r="J37" s="94" t="s">
        <v>5408</v>
      </c>
      <c r="K37" s="92" t="s">
        <v>227</v>
      </c>
      <c r="M37" s="125">
        <v>9.0</v>
      </c>
      <c r="N37" s="92" t="s">
        <v>5492</v>
      </c>
      <c r="O37" s="92">
        <v>2.52610497E8</v>
      </c>
      <c r="P37" s="94" t="s">
        <v>5493</v>
      </c>
      <c r="Q37" s="92" t="s">
        <v>227</v>
      </c>
    </row>
    <row r="38">
      <c r="A38" s="125">
        <v>10.0</v>
      </c>
      <c r="B38" s="92" t="s">
        <v>5453</v>
      </c>
      <c r="C38" s="92">
        <v>2.52610319E8</v>
      </c>
      <c r="D38" s="94" t="s">
        <v>5454</v>
      </c>
      <c r="E38" s="92" t="s">
        <v>220</v>
      </c>
      <c r="G38" s="125">
        <v>10.0</v>
      </c>
      <c r="H38" s="92" t="s">
        <v>5413</v>
      </c>
      <c r="I38" s="92">
        <v>2.52610139E8</v>
      </c>
      <c r="J38" s="94" t="s">
        <v>5414</v>
      </c>
      <c r="K38" s="92" t="s">
        <v>227</v>
      </c>
      <c r="M38" s="125">
        <v>10.0</v>
      </c>
      <c r="N38" s="92" t="s">
        <v>5495</v>
      </c>
      <c r="O38" s="92">
        <v>2.52610546E8</v>
      </c>
      <c r="P38" s="94" t="s">
        <v>5496</v>
      </c>
      <c r="Q38" s="92" t="s">
        <v>227</v>
      </c>
    </row>
    <row r="39">
      <c r="A39" s="125">
        <v>11.0</v>
      </c>
      <c r="B39" s="92" t="s">
        <v>5459</v>
      </c>
      <c r="C39" s="92">
        <v>2.52610332E8</v>
      </c>
      <c r="D39" s="94" t="s">
        <v>5460</v>
      </c>
      <c r="E39" s="92" t="s">
        <v>220</v>
      </c>
      <c r="G39" s="125">
        <v>11.0</v>
      </c>
      <c r="H39" s="92" t="s">
        <v>5419</v>
      </c>
      <c r="I39" s="92">
        <v>2.52610153E8</v>
      </c>
      <c r="J39" s="94" t="s">
        <v>5420</v>
      </c>
      <c r="K39" s="92" t="s">
        <v>227</v>
      </c>
      <c r="M39" s="125">
        <v>11.0</v>
      </c>
      <c r="N39" s="92" t="s">
        <v>5501</v>
      </c>
      <c r="O39" s="92">
        <v>2.52610563E8</v>
      </c>
      <c r="P39" s="94" t="s">
        <v>5502</v>
      </c>
      <c r="Q39" s="92" t="s">
        <v>227</v>
      </c>
    </row>
    <row r="40">
      <c r="A40" s="125">
        <v>12.0</v>
      </c>
      <c r="B40" s="92" t="s">
        <v>5462</v>
      </c>
      <c r="C40" s="92">
        <v>2.52610336E8</v>
      </c>
      <c r="D40" s="94" t="s">
        <v>5463</v>
      </c>
      <c r="E40" s="92" t="s">
        <v>220</v>
      </c>
      <c r="G40" s="125">
        <v>12.0</v>
      </c>
      <c r="H40" s="92" t="s">
        <v>5422</v>
      </c>
      <c r="I40" s="92">
        <v>2.52610154E8</v>
      </c>
      <c r="J40" s="94" t="s">
        <v>5423</v>
      </c>
      <c r="K40" s="92" t="s">
        <v>227</v>
      </c>
    </row>
    <row r="41">
      <c r="A41" s="125">
        <v>13.0</v>
      </c>
      <c r="B41" s="92" t="s">
        <v>5468</v>
      </c>
      <c r="C41" s="92">
        <v>2.52610362E8</v>
      </c>
      <c r="D41" s="94" t="s">
        <v>5469</v>
      </c>
      <c r="E41" s="92" t="s">
        <v>220</v>
      </c>
    </row>
    <row r="42">
      <c r="A42" s="125">
        <v>14.0</v>
      </c>
      <c r="B42" s="92" t="s">
        <v>5471</v>
      </c>
      <c r="C42" s="92">
        <v>2.52610365E8</v>
      </c>
      <c r="D42" s="94" t="s">
        <v>5472</v>
      </c>
      <c r="E42" s="92" t="s">
        <v>220</v>
      </c>
    </row>
    <row r="43">
      <c r="A43" s="125">
        <v>15.0</v>
      </c>
      <c r="B43" s="92" t="s">
        <v>5498</v>
      </c>
      <c r="C43" s="92">
        <v>2.5261056E8</v>
      </c>
      <c r="D43" s="94" t="s">
        <v>5499</v>
      </c>
      <c r="E43" s="92" t="s">
        <v>220</v>
      </c>
    </row>
    <row r="44">
      <c r="A44" s="167"/>
      <c r="B44" s="167"/>
      <c r="C44" s="167"/>
      <c r="D44" s="167"/>
      <c r="E44" s="167"/>
    </row>
    <row r="45">
      <c r="A45" s="167"/>
      <c r="B45" s="167"/>
      <c r="C45" s="167"/>
      <c r="D45" s="94" t="s">
        <v>9262</v>
      </c>
      <c r="E45" s="124">
        <f>COUNTIF(K29:Q40,"P")</f>
        <v>23</v>
      </c>
    </row>
    <row r="46">
      <c r="A46" s="167"/>
      <c r="B46" s="167"/>
      <c r="C46" s="167"/>
      <c r="D46" s="94" t="s">
        <v>9263</v>
      </c>
      <c r="E46" s="124">
        <f>COUNTIF(E29:E43,"L")</f>
        <v>15</v>
      </c>
    </row>
    <row r="47">
      <c r="A47" s="167"/>
      <c r="B47" s="167"/>
      <c r="C47" s="167"/>
      <c r="D47" s="167"/>
      <c r="E47" s="167"/>
    </row>
    <row r="48">
      <c r="A48" s="167"/>
      <c r="B48" s="167"/>
      <c r="C48" s="167"/>
      <c r="D48" s="167"/>
      <c r="E48" s="167"/>
    </row>
    <row r="49">
      <c r="A49" s="167" t="s">
        <v>9071</v>
      </c>
      <c r="B49" s="167"/>
      <c r="C49" s="167"/>
      <c r="D49" s="167"/>
      <c r="E49" s="167" t="s">
        <v>5506</v>
      </c>
    </row>
    <row r="50">
      <c r="A50" s="356" t="s">
        <v>9249</v>
      </c>
      <c r="B50" s="356" t="s">
        <v>9</v>
      </c>
      <c r="C50" s="356" t="s">
        <v>5246</v>
      </c>
      <c r="D50" s="356" t="s">
        <v>201</v>
      </c>
      <c r="E50" s="356" t="s">
        <v>13</v>
      </c>
    </row>
    <row r="51">
      <c r="A51" s="92">
        <v>1.0</v>
      </c>
      <c r="B51" s="92" t="s">
        <v>5504</v>
      </c>
      <c r="C51" s="92">
        <v>2.52610002E8</v>
      </c>
      <c r="D51" s="94" t="s">
        <v>5505</v>
      </c>
      <c r="E51" s="92" t="s">
        <v>220</v>
      </c>
    </row>
    <row r="52">
      <c r="A52" s="92">
        <v>2.0</v>
      </c>
      <c r="B52" s="92" t="s">
        <v>5509</v>
      </c>
      <c r="C52" s="92">
        <v>2.52610063E8</v>
      </c>
      <c r="D52" s="94" t="s">
        <v>5510</v>
      </c>
      <c r="E52" s="92" t="s">
        <v>220</v>
      </c>
    </row>
    <row r="53">
      <c r="A53" s="92">
        <v>3.0</v>
      </c>
      <c r="B53" s="92" t="s">
        <v>5512</v>
      </c>
      <c r="C53" s="92">
        <v>2.52610065E8</v>
      </c>
      <c r="D53" s="94" t="s">
        <v>5513</v>
      </c>
      <c r="E53" s="92" t="s">
        <v>227</v>
      </c>
    </row>
    <row r="54">
      <c r="A54" s="92">
        <v>4.0</v>
      </c>
      <c r="B54" s="92" t="s">
        <v>5516</v>
      </c>
      <c r="C54" s="92">
        <v>2.52610076E8</v>
      </c>
      <c r="D54" s="94" t="s">
        <v>5517</v>
      </c>
      <c r="E54" s="92" t="s">
        <v>220</v>
      </c>
    </row>
    <row r="55">
      <c r="A55" s="92">
        <v>5.0</v>
      </c>
      <c r="B55" s="92" t="s">
        <v>5519</v>
      </c>
      <c r="C55" s="92">
        <v>2.52610079E8</v>
      </c>
      <c r="D55" s="94" t="s">
        <v>5520</v>
      </c>
      <c r="E55" s="92" t="s">
        <v>220</v>
      </c>
    </row>
    <row r="56">
      <c r="A56" s="92">
        <v>6.0</v>
      </c>
      <c r="B56" s="92" t="s">
        <v>5522</v>
      </c>
      <c r="C56" s="92">
        <v>2.52610093E8</v>
      </c>
      <c r="D56" s="94" t="s">
        <v>5523</v>
      </c>
      <c r="E56" s="92" t="s">
        <v>227</v>
      </c>
    </row>
    <row r="57">
      <c r="A57" s="92">
        <v>7.0</v>
      </c>
      <c r="B57" s="92" t="s">
        <v>5525</v>
      </c>
      <c r="C57" s="92">
        <v>2.52610094E8</v>
      </c>
      <c r="D57" s="94" t="s">
        <v>5526</v>
      </c>
      <c r="E57" s="92" t="s">
        <v>227</v>
      </c>
    </row>
    <row r="58">
      <c r="A58" s="92">
        <v>8.0</v>
      </c>
      <c r="B58" s="92" t="s">
        <v>5528</v>
      </c>
      <c r="C58" s="92">
        <v>2.52610096E8</v>
      </c>
      <c r="D58" s="94" t="s">
        <v>5529</v>
      </c>
      <c r="E58" s="92" t="s">
        <v>227</v>
      </c>
    </row>
    <row r="59">
      <c r="A59" s="92">
        <v>9.0</v>
      </c>
      <c r="B59" s="92" t="s">
        <v>5531</v>
      </c>
      <c r="C59" s="92">
        <v>2.52610121E8</v>
      </c>
      <c r="D59" s="94" t="s">
        <v>5532</v>
      </c>
      <c r="E59" s="92" t="s">
        <v>227</v>
      </c>
    </row>
    <row r="60">
      <c r="A60" s="92">
        <v>10.0</v>
      </c>
      <c r="B60" s="92" t="s">
        <v>5534</v>
      </c>
      <c r="C60" s="92">
        <v>2.52610129E8</v>
      </c>
      <c r="D60" s="94" t="s">
        <v>5535</v>
      </c>
      <c r="E60" s="92" t="s">
        <v>220</v>
      </c>
    </row>
    <row r="61">
      <c r="A61" s="92">
        <v>11.0</v>
      </c>
      <c r="B61" s="92" t="s">
        <v>5537</v>
      </c>
      <c r="C61" s="92">
        <v>2.52610136E8</v>
      </c>
      <c r="D61" s="94" t="s">
        <v>5538</v>
      </c>
      <c r="E61" s="92" t="s">
        <v>227</v>
      </c>
    </row>
    <row r="62">
      <c r="A62" s="92">
        <v>12.0</v>
      </c>
      <c r="B62" s="92" t="s">
        <v>5540</v>
      </c>
      <c r="C62" s="92">
        <v>2.52610138E8</v>
      </c>
      <c r="D62" s="94" t="s">
        <v>5541</v>
      </c>
      <c r="E62" s="92" t="s">
        <v>227</v>
      </c>
    </row>
    <row r="63">
      <c r="A63" s="92">
        <v>13.0</v>
      </c>
      <c r="B63" s="92" t="s">
        <v>5543</v>
      </c>
      <c r="C63" s="92">
        <v>2.52610148E8</v>
      </c>
      <c r="D63" s="94" t="s">
        <v>5544</v>
      </c>
      <c r="E63" s="92" t="s">
        <v>227</v>
      </c>
    </row>
    <row r="64">
      <c r="A64" s="92">
        <v>14.0</v>
      </c>
      <c r="B64" s="92" t="s">
        <v>5546</v>
      </c>
      <c r="C64" s="92">
        <v>2.52610158E8</v>
      </c>
      <c r="D64" s="94" t="s">
        <v>5547</v>
      </c>
      <c r="E64" s="92" t="s">
        <v>227</v>
      </c>
    </row>
    <row r="65">
      <c r="A65" s="92">
        <v>15.0</v>
      </c>
      <c r="B65" s="92" t="s">
        <v>5549</v>
      </c>
      <c r="C65" s="92">
        <v>2.52610187E8</v>
      </c>
      <c r="D65" s="94" t="s">
        <v>5550</v>
      </c>
      <c r="E65" s="92" t="s">
        <v>227</v>
      </c>
    </row>
    <row r="66">
      <c r="A66" s="92">
        <v>16.0</v>
      </c>
      <c r="B66" s="92" t="s">
        <v>5552</v>
      </c>
      <c r="C66" s="92">
        <v>2.5261019E8</v>
      </c>
      <c r="D66" s="94" t="s">
        <v>5553</v>
      </c>
      <c r="E66" s="92" t="s">
        <v>220</v>
      </c>
    </row>
    <row r="67">
      <c r="A67" s="92">
        <v>17.0</v>
      </c>
      <c r="B67" s="92" t="s">
        <v>5555</v>
      </c>
      <c r="C67" s="92">
        <v>2.52610201E8</v>
      </c>
      <c r="D67" s="94" t="s">
        <v>5556</v>
      </c>
      <c r="E67" s="92" t="s">
        <v>220</v>
      </c>
    </row>
    <row r="68">
      <c r="A68" s="92">
        <v>18.0</v>
      </c>
      <c r="B68" s="92" t="s">
        <v>5558</v>
      </c>
      <c r="C68" s="92">
        <v>2.52610204E8</v>
      </c>
      <c r="D68" s="94" t="s">
        <v>5559</v>
      </c>
      <c r="E68" s="92" t="s">
        <v>227</v>
      </c>
    </row>
    <row r="69">
      <c r="A69" s="92">
        <v>22.0</v>
      </c>
      <c r="B69" s="92" t="s">
        <v>5561</v>
      </c>
      <c r="C69" s="92">
        <v>2.52610237E8</v>
      </c>
      <c r="D69" s="94" t="s">
        <v>5562</v>
      </c>
      <c r="E69" s="92" t="s">
        <v>220</v>
      </c>
    </row>
    <row r="70">
      <c r="A70" s="92">
        <v>23.0</v>
      </c>
      <c r="B70" s="92" t="s">
        <v>5564</v>
      </c>
      <c r="C70" s="92">
        <v>2.52610259E8</v>
      </c>
      <c r="D70" s="94" t="s">
        <v>5565</v>
      </c>
      <c r="E70" s="92" t="s">
        <v>227</v>
      </c>
    </row>
    <row r="71">
      <c r="A71" s="92">
        <v>25.0</v>
      </c>
      <c r="B71" s="92" t="s">
        <v>5567</v>
      </c>
      <c r="C71" s="92">
        <v>2.52610276E8</v>
      </c>
      <c r="D71" s="94" t="s">
        <v>5568</v>
      </c>
      <c r="E71" s="92" t="s">
        <v>227</v>
      </c>
    </row>
    <row r="72">
      <c r="A72" s="92">
        <v>26.0</v>
      </c>
      <c r="B72" s="92" t="s">
        <v>5570</v>
      </c>
      <c r="C72" s="92">
        <v>2.52610278E8</v>
      </c>
      <c r="D72" s="94" t="s">
        <v>5571</v>
      </c>
      <c r="E72" s="92" t="s">
        <v>220</v>
      </c>
    </row>
    <row r="73">
      <c r="A73" s="92">
        <v>27.0</v>
      </c>
      <c r="B73" s="92" t="s">
        <v>5573</v>
      </c>
      <c r="C73" s="92">
        <v>2.52610287E8</v>
      </c>
      <c r="D73" s="94" t="s">
        <v>5574</v>
      </c>
      <c r="E73" s="92" t="s">
        <v>227</v>
      </c>
    </row>
    <row r="74">
      <c r="A74" s="92">
        <v>29.0</v>
      </c>
      <c r="B74" s="92" t="s">
        <v>5577</v>
      </c>
      <c r="C74" s="92">
        <v>2.52610301E8</v>
      </c>
      <c r="D74" s="94" t="s">
        <v>5578</v>
      </c>
      <c r="E74" s="92" t="s">
        <v>227</v>
      </c>
    </row>
    <row r="75">
      <c r="A75" s="92">
        <v>32.0</v>
      </c>
      <c r="B75" s="92" t="s">
        <v>5580</v>
      </c>
      <c r="C75" s="92">
        <v>2.52610381E8</v>
      </c>
      <c r="D75" s="94" t="s">
        <v>5581</v>
      </c>
      <c r="E75" s="92" t="s">
        <v>220</v>
      </c>
    </row>
    <row r="76">
      <c r="A76" s="92">
        <v>33.0</v>
      </c>
      <c r="B76" s="92" t="s">
        <v>5583</v>
      </c>
      <c r="C76" s="92">
        <v>2.52610386E8</v>
      </c>
      <c r="D76" s="94" t="s">
        <v>5584</v>
      </c>
      <c r="E76" s="92" t="s">
        <v>227</v>
      </c>
    </row>
    <row r="77">
      <c r="A77" s="92">
        <v>34.0</v>
      </c>
      <c r="B77" s="92" t="s">
        <v>5586</v>
      </c>
      <c r="C77" s="92">
        <v>2.52610415E8</v>
      </c>
      <c r="D77" s="94" t="s">
        <v>5587</v>
      </c>
      <c r="E77" s="92" t="s">
        <v>227</v>
      </c>
    </row>
    <row r="78">
      <c r="A78" s="92">
        <v>35.0</v>
      </c>
      <c r="B78" s="92" t="s">
        <v>5589</v>
      </c>
      <c r="C78" s="92">
        <v>2.52610422E8</v>
      </c>
      <c r="D78" s="94" t="s">
        <v>5590</v>
      </c>
      <c r="E78" s="92" t="s">
        <v>220</v>
      </c>
    </row>
    <row r="79">
      <c r="A79" s="92">
        <v>36.0</v>
      </c>
      <c r="B79" s="92" t="s">
        <v>5592</v>
      </c>
      <c r="C79" s="92">
        <v>2.52610426E8</v>
      </c>
      <c r="D79" s="94" t="s">
        <v>5593</v>
      </c>
      <c r="E79" s="92" t="s">
        <v>227</v>
      </c>
    </row>
    <row r="80">
      <c r="A80" s="92">
        <v>37.0</v>
      </c>
      <c r="B80" s="92" t="s">
        <v>5595</v>
      </c>
      <c r="C80" s="92">
        <v>2.52610432E8</v>
      </c>
      <c r="D80" s="94" t="s">
        <v>5596</v>
      </c>
      <c r="E80" s="92" t="s">
        <v>220</v>
      </c>
    </row>
    <row r="81">
      <c r="A81" s="92">
        <v>38.0</v>
      </c>
      <c r="B81" s="92" t="s">
        <v>5598</v>
      </c>
      <c r="C81" s="92">
        <v>2.52610438E8</v>
      </c>
      <c r="D81" s="94" t="s">
        <v>5599</v>
      </c>
      <c r="E81" s="92" t="s">
        <v>227</v>
      </c>
    </row>
    <row r="82">
      <c r="A82" s="92">
        <v>39.0</v>
      </c>
      <c r="B82" s="92" t="s">
        <v>5601</v>
      </c>
      <c r="C82" s="92">
        <v>2.52610439E8</v>
      </c>
      <c r="D82" s="94" t="s">
        <v>5602</v>
      </c>
      <c r="E82" s="92" t="s">
        <v>227</v>
      </c>
    </row>
    <row r="83">
      <c r="A83" s="92">
        <v>40.0</v>
      </c>
      <c r="B83" s="92" t="s">
        <v>5604</v>
      </c>
      <c r="C83" s="92">
        <v>2.52610461E8</v>
      </c>
      <c r="D83" s="94" t="s">
        <v>5605</v>
      </c>
      <c r="E83" s="92" t="s">
        <v>227</v>
      </c>
    </row>
    <row r="84">
      <c r="A84" s="92">
        <v>41.0</v>
      </c>
      <c r="B84" s="92" t="s">
        <v>5607</v>
      </c>
      <c r="C84" s="92">
        <v>2.52610485E8</v>
      </c>
      <c r="D84" s="94" t="s">
        <v>5608</v>
      </c>
      <c r="E84" s="92" t="s">
        <v>220</v>
      </c>
    </row>
    <row r="85">
      <c r="A85" s="92">
        <v>42.0</v>
      </c>
      <c r="B85" s="92" t="s">
        <v>5610</v>
      </c>
      <c r="C85" s="92">
        <v>2.52610501E8</v>
      </c>
      <c r="D85" s="94" t="s">
        <v>5611</v>
      </c>
      <c r="E85" s="92" t="s">
        <v>227</v>
      </c>
    </row>
    <row r="86">
      <c r="A86" s="92">
        <v>43.0</v>
      </c>
      <c r="B86" s="92" t="s">
        <v>5613</v>
      </c>
      <c r="C86" s="92">
        <v>2.5261052E8</v>
      </c>
      <c r="D86" s="94" t="s">
        <v>5614</v>
      </c>
      <c r="E86" s="92" t="s">
        <v>227</v>
      </c>
    </row>
    <row r="87">
      <c r="A87" s="92">
        <v>44.0</v>
      </c>
      <c r="B87" s="92" t="s">
        <v>5616</v>
      </c>
      <c r="C87" s="92">
        <v>2.52610555E8</v>
      </c>
      <c r="D87" s="94" t="s">
        <v>5617</v>
      </c>
      <c r="E87" s="92" t="s">
        <v>227</v>
      </c>
    </row>
    <row r="88">
      <c r="A88" s="92">
        <v>45.0</v>
      </c>
      <c r="B88" s="92" t="s">
        <v>5619</v>
      </c>
      <c r="C88" s="92">
        <v>2.52610556E8</v>
      </c>
      <c r="D88" s="94" t="s">
        <v>5620</v>
      </c>
      <c r="E88" s="92" t="s">
        <v>227</v>
      </c>
    </row>
    <row r="89">
      <c r="A89" s="92">
        <v>46.0</v>
      </c>
      <c r="B89" s="92" t="s">
        <v>5622</v>
      </c>
      <c r="C89" s="92">
        <v>2.52610247E8</v>
      </c>
      <c r="D89" s="94" t="s">
        <v>5623</v>
      </c>
      <c r="E89" s="92" t="s">
        <v>227</v>
      </c>
    </row>
    <row r="90">
      <c r="A90" s="167"/>
      <c r="B90" s="167"/>
      <c r="C90" s="167"/>
      <c r="D90" s="167"/>
      <c r="E90" s="167"/>
    </row>
    <row r="91">
      <c r="A91" s="167"/>
      <c r="B91" s="167"/>
      <c r="C91" s="167"/>
      <c r="D91" s="94" t="s">
        <v>9262</v>
      </c>
      <c r="E91" s="124">
        <f>COUNTIF(E51:E89,"P")</f>
        <v>26</v>
      </c>
    </row>
    <row r="92">
      <c r="A92" s="167"/>
      <c r="B92" s="167"/>
      <c r="C92" s="167"/>
      <c r="D92" s="94" t="s">
        <v>9263</v>
      </c>
      <c r="E92" s="124">
        <f>COUNTIF(E51:E89,"L")</f>
        <v>13</v>
      </c>
    </row>
    <row r="93">
      <c r="A93" s="167"/>
      <c r="B93" s="167"/>
      <c r="C93" s="167"/>
      <c r="D93" s="167"/>
      <c r="E93" s="167"/>
    </row>
    <row r="94">
      <c r="A94" s="167"/>
      <c r="B94" s="167"/>
      <c r="C94" s="167"/>
      <c r="D94" s="167"/>
      <c r="E94" s="167"/>
    </row>
    <row r="95">
      <c r="A95" s="167" t="s">
        <v>9287</v>
      </c>
      <c r="B95" s="167"/>
      <c r="C95" s="167"/>
      <c r="D95" s="167"/>
      <c r="E95" s="167" t="s">
        <v>5627</v>
      </c>
    </row>
    <row r="96">
      <c r="A96" s="356" t="s">
        <v>9249</v>
      </c>
      <c r="B96" s="356" t="s">
        <v>9</v>
      </c>
      <c r="C96" s="356" t="s">
        <v>5246</v>
      </c>
      <c r="D96" s="356" t="s">
        <v>201</v>
      </c>
      <c r="E96" s="356" t="s">
        <v>13</v>
      </c>
    </row>
    <row r="97">
      <c r="A97" s="92">
        <v>1.0</v>
      </c>
      <c r="B97" s="92" t="s">
        <v>5625</v>
      </c>
      <c r="C97" s="92">
        <v>2.52610016E8</v>
      </c>
      <c r="D97" s="94" t="s">
        <v>5626</v>
      </c>
      <c r="E97" s="92" t="s">
        <v>220</v>
      </c>
    </row>
    <row r="98">
      <c r="A98" s="92">
        <v>2.0</v>
      </c>
      <c r="B98" s="92" t="s">
        <v>5630</v>
      </c>
      <c r="C98" s="92">
        <v>2.52610018E8</v>
      </c>
      <c r="D98" s="94" t="s">
        <v>5631</v>
      </c>
      <c r="E98" s="92" t="s">
        <v>220</v>
      </c>
    </row>
    <row r="99">
      <c r="A99" s="92">
        <v>3.0</v>
      </c>
      <c r="B99" s="92" t="s">
        <v>5633</v>
      </c>
      <c r="C99" s="92">
        <v>2.52610038E8</v>
      </c>
      <c r="D99" s="94" t="s">
        <v>5634</v>
      </c>
      <c r="E99" s="92" t="s">
        <v>220</v>
      </c>
    </row>
    <row r="100">
      <c r="A100" s="92">
        <v>4.0</v>
      </c>
      <c r="B100" s="92" t="s">
        <v>5636</v>
      </c>
      <c r="C100" s="92">
        <v>2.52610045E8</v>
      </c>
      <c r="D100" s="94" t="s">
        <v>5637</v>
      </c>
      <c r="E100" s="92" t="s">
        <v>227</v>
      </c>
    </row>
    <row r="101">
      <c r="A101" s="92">
        <v>5.0</v>
      </c>
      <c r="B101" s="92" t="s">
        <v>5640</v>
      </c>
      <c r="C101" s="92">
        <v>2.52610049E8</v>
      </c>
      <c r="D101" s="94" t="s">
        <v>5641</v>
      </c>
      <c r="E101" s="92" t="s">
        <v>227</v>
      </c>
    </row>
    <row r="102">
      <c r="A102" s="92">
        <v>6.0</v>
      </c>
      <c r="B102" s="92" t="s">
        <v>5643</v>
      </c>
      <c r="C102" s="92">
        <v>2.52610056E8</v>
      </c>
      <c r="D102" s="94" t="s">
        <v>5644</v>
      </c>
      <c r="E102" s="92" t="s">
        <v>227</v>
      </c>
    </row>
    <row r="103">
      <c r="A103" s="92">
        <v>7.0</v>
      </c>
      <c r="B103" s="92" t="s">
        <v>5646</v>
      </c>
      <c r="C103" s="92">
        <v>2.52610069E8</v>
      </c>
      <c r="D103" s="94" t="s">
        <v>5647</v>
      </c>
      <c r="E103" s="92" t="s">
        <v>227</v>
      </c>
    </row>
    <row r="104">
      <c r="A104" s="92">
        <v>8.0</v>
      </c>
      <c r="B104" s="92" t="s">
        <v>5649</v>
      </c>
      <c r="C104" s="92">
        <v>2.52610074E8</v>
      </c>
      <c r="D104" s="94" t="s">
        <v>5650</v>
      </c>
      <c r="E104" s="92" t="s">
        <v>227</v>
      </c>
    </row>
    <row r="105">
      <c r="A105" s="92">
        <v>9.0</v>
      </c>
      <c r="B105" s="92" t="s">
        <v>5652</v>
      </c>
      <c r="C105" s="92">
        <v>2.52610132E8</v>
      </c>
      <c r="D105" s="94" t="s">
        <v>5653</v>
      </c>
      <c r="E105" s="92" t="s">
        <v>227</v>
      </c>
    </row>
    <row r="106">
      <c r="A106" s="92">
        <v>10.0</v>
      </c>
      <c r="B106" s="92" t="s">
        <v>5655</v>
      </c>
      <c r="C106" s="92">
        <v>2.52610155E8</v>
      </c>
      <c r="D106" s="94" t="s">
        <v>5656</v>
      </c>
      <c r="E106" s="92" t="s">
        <v>227</v>
      </c>
    </row>
    <row r="107">
      <c r="A107" s="92">
        <v>11.0</v>
      </c>
      <c r="B107" s="92" t="s">
        <v>5658</v>
      </c>
      <c r="C107" s="92">
        <v>2.52610162E8</v>
      </c>
      <c r="D107" s="94" t="s">
        <v>5659</v>
      </c>
      <c r="E107" s="92" t="s">
        <v>220</v>
      </c>
    </row>
    <row r="108">
      <c r="A108" s="92">
        <v>12.0</v>
      </c>
      <c r="B108" s="92" t="s">
        <v>5661</v>
      </c>
      <c r="C108" s="92">
        <v>2.52610173E8</v>
      </c>
      <c r="D108" s="94" t="s">
        <v>5662</v>
      </c>
      <c r="E108" s="92" t="s">
        <v>227</v>
      </c>
    </row>
    <row r="109">
      <c r="A109" s="92">
        <v>13.0</v>
      </c>
      <c r="B109" s="92" t="s">
        <v>5664</v>
      </c>
      <c r="C109" s="92">
        <v>2.52610183E8</v>
      </c>
      <c r="D109" s="94" t="s">
        <v>5665</v>
      </c>
      <c r="E109" s="92" t="s">
        <v>220</v>
      </c>
    </row>
    <row r="110">
      <c r="A110" s="92">
        <v>14.0</v>
      </c>
      <c r="B110" s="92" t="s">
        <v>5667</v>
      </c>
      <c r="C110" s="92">
        <v>2.52610188E8</v>
      </c>
      <c r="D110" s="94" t="s">
        <v>5668</v>
      </c>
      <c r="E110" s="92" t="s">
        <v>220</v>
      </c>
    </row>
    <row r="111">
      <c r="A111" s="92">
        <v>15.0</v>
      </c>
      <c r="B111" s="92" t="s">
        <v>5670</v>
      </c>
      <c r="C111" s="92">
        <v>2.52610191E8</v>
      </c>
      <c r="D111" s="94" t="s">
        <v>5671</v>
      </c>
      <c r="E111" s="92" t="s">
        <v>220</v>
      </c>
    </row>
    <row r="112">
      <c r="A112" s="92">
        <v>16.0</v>
      </c>
      <c r="B112" s="92" t="s">
        <v>5673</v>
      </c>
      <c r="C112" s="92">
        <v>2.52610216E8</v>
      </c>
      <c r="D112" s="94" t="s">
        <v>5674</v>
      </c>
      <c r="E112" s="92" t="s">
        <v>227</v>
      </c>
    </row>
    <row r="113">
      <c r="A113" s="92">
        <v>17.0</v>
      </c>
      <c r="B113" s="92" t="s">
        <v>5676</v>
      </c>
      <c r="C113" s="92">
        <v>2.52610233E8</v>
      </c>
      <c r="D113" s="94" t="s">
        <v>5677</v>
      </c>
      <c r="E113" s="92" t="s">
        <v>227</v>
      </c>
    </row>
    <row r="114">
      <c r="A114" s="92">
        <v>18.0</v>
      </c>
      <c r="B114" s="92" t="s">
        <v>5679</v>
      </c>
      <c r="C114" s="92">
        <v>2.52610258E8</v>
      </c>
      <c r="D114" s="94" t="s">
        <v>5680</v>
      </c>
      <c r="E114" s="92" t="s">
        <v>227</v>
      </c>
    </row>
    <row r="115">
      <c r="A115" s="92">
        <v>19.0</v>
      </c>
      <c r="B115" s="92" t="s">
        <v>5682</v>
      </c>
      <c r="C115" s="92">
        <v>2.5261026E8</v>
      </c>
      <c r="D115" s="94" t="s">
        <v>5683</v>
      </c>
      <c r="E115" s="92" t="s">
        <v>227</v>
      </c>
    </row>
    <row r="116">
      <c r="A116" s="92">
        <v>20.0</v>
      </c>
      <c r="B116" s="92" t="s">
        <v>5685</v>
      </c>
      <c r="C116" s="92">
        <v>2.52610266E8</v>
      </c>
      <c r="D116" s="94" t="s">
        <v>5686</v>
      </c>
      <c r="E116" s="92" t="s">
        <v>227</v>
      </c>
    </row>
    <row r="117">
      <c r="A117" s="92">
        <v>21.0</v>
      </c>
      <c r="B117" s="92" t="s">
        <v>5688</v>
      </c>
      <c r="C117" s="92">
        <v>2.52610275E8</v>
      </c>
      <c r="D117" s="94" t="s">
        <v>5689</v>
      </c>
      <c r="E117" s="92" t="s">
        <v>220</v>
      </c>
    </row>
    <row r="118">
      <c r="A118" s="92">
        <v>22.0</v>
      </c>
      <c r="B118" s="92" t="s">
        <v>5691</v>
      </c>
      <c r="C118" s="92">
        <v>2.52610282E8</v>
      </c>
      <c r="D118" s="94" t="s">
        <v>5692</v>
      </c>
      <c r="E118" s="92" t="s">
        <v>227</v>
      </c>
    </row>
    <row r="119">
      <c r="A119" s="92">
        <v>23.0</v>
      </c>
      <c r="B119" s="92" t="s">
        <v>5695</v>
      </c>
      <c r="C119" s="92">
        <v>2.52610294E8</v>
      </c>
      <c r="D119" s="94" t="s">
        <v>5696</v>
      </c>
      <c r="E119" s="92" t="s">
        <v>227</v>
      </c>
    </row>
    <row r="120">
      <c r="A120" s="92">
        <v>24.0</v>
      </c>
      <c r="B120" s="92" t="s">
        <v>5698</v>
      </c>
      <c r="C120" s="92">
        <v>2.52610306E8</v>
      </c>
      <c r="D120" s="94" t="s">
        <v>5699</v>
      </c>
      <c r="E120" s="92" t="s">
        <v>227</v>
      </c>
    </row>
    <row r="121">
      <c r="A121" s="92">
        <v>25.0</v>
      </c>
      <c r="B121" s="92" t="s">
        <v>5701</v>
      </c>
      <c r="C121" s="92">
        <v>2.52610309E8</v>
      </c>
      <c r="D121" s="94" t="s">
        <v>5702</v>
      </c>
      <c r="E121" s="92" t="s">
        <v>227</v>
      </c>
    </row>
    <row r="122">
      <c r="A122" s="92">
        <v>26.0</v>
      </c>
      <c r="B122" s="92" t="s">
        <v>5704</v>
      </c>
      <c r="C122" s="92">
        <v>2.52610329E8</v>
      </c>
      <c r="D122" s="94" t="s">
        <v>5705</v>
      </c>
      <c r="E122" s="92" t="s">
        <v>220</v>
      </c>
    </row>
    <row r="123">
      <c r="A123" s="92">
        <v>27.0</v>
      </c>
      <c r="B123" s="92" t="s">
        <v>5707</v>
      </c>
      <c r="C123" s="92">
        <v>2.52610357E8</v>
      </c>
      <c r="D123" s="94" t="s">
        <v>5708</v>
      </c>
      <c r="E123" s="92" t="s">
        <v>220</v>
      </c>
    </row>
    <row r="124">
      <c r="A124" s="92">
        <v>28.0</v>
      </c>
      <c r="B124" s="92" t="s">
        <v>5710</v>
      </c>
      <c r="C124" s="92">
        <v>2.52610363E8</v>
      </c>
      <c r="D124" s="94" t="s">
        <v>5711</v>
      </c>
      <c r="E124" s="92" t="s">
        <v>220</v>
      </c>
    </row>
    <row r="125">
      <c r="A125" s="92">
        <v>29.0</v>
      </c>
      <c r="B125" s="92" t="s">
        <v>5713</v>
      </c>
      <c r="C125" s="92">
        <v>2.52610373E8</v>
      </c>
      <c r="D125" s="94" t="s">
        <v>5714</v>
      </c>
      <c r="E125" s="92" t="s">
        <v>220</v>
      </c>
    </row>
    <row r="126">
      <c r="A126" s="92">
        <v>30.0</v>
      </c>
      <c r="B126" s="92" t="s">
        <v>5716</v>
      </c>
      <c r="C126" s="92">
        <v>2.52610378E8</v>
      </c>
      <c r="D126" s="94" t="s">
        <v>5717</v>
      </c>
      <c r="E126" s="92" t="s">
        <v>220</v>
      </c>
    </row>
    <row r="127">
      <c r="A127" s="92">
        <v>31.0</v>
      </c>
      <c r="B127" s="92" t="s">
        <v>5719</v>
      </c>
      <c r="C127" s="92">
        <v>2.52610382E8</v>
      </c>
      <c r="D127" s="94" t="s">
        <v>5720</v>
      </c>
      <c r="E127" s="92" t="s">
        <v>227</v>
      </c>
    </row>
    <row r="128">
      <c r="A128" s="92">
        <v>33.0</v>
      </c>
      <c r="B128" s="92" t="s">
        <v>5722</v>
      </c>
      <c r="C128" s="92">
        <v>2.52610435E8</v>
      </c>
      <c r="D128" s="94" t="s">
        <v>5723</v>
      </c>
      <c r="E128" s="92" t="s">
        <v>220</v>
      </c>
    </row>
    <row r="129">
      <c r="A129" s="92">
        <v>34.0</v>
      </c>
      <c r="B129" s="92" t="s">
        <v>5725</v>
      </c>
      <c r="C129" s="92">
        <v>2.52610447E8</v>
      </c>
      <c r="D129" s="94" t="s">
        <v>5726</v>
      </c>
      <c r="E129" s="92" t="s">
        <v>220</v>
      </c>
    </row>
    <row r="130">
      <c r="A130" s="92">
        <v>35.0</v>
      </c>
      <c r="B130" s="92" t="s">
        <v>5728</v>
      </c>
      <c r="C130" s="92">
        <v>2.52610472E8</v>
      </c>
      <c r="D130" s="94" t="s">
        <v>5729</v>
      </c>
      <c r="E130" s="92" t="s">
        <v>220</v>
      </c>
    </row>
    <row r="131">
      <c r="A131" s="92">
        <v>36.0</v>
      </c>
      <c r="B131" s="92" t="s">
        <v>5731</v>
      </c>
      <c r="C131" s="92">
        <v>2.52610475E8</v>
      </c>
      <c r="D131" s="94" t="s">
        <v>5732</v>
      </c>
      <c r="E131" s="358"/>
    </row>
    <row r="132">
      <c r="A132" s="92">
        <v>37.0</v>
      </c>
      <c r="B132" s="92" t="s">
        <v>5734</v>
      </c>
      <c r="C132" s="92">
        <v>2.5261048E8</v>
      </c>
      <c r="D132" s="94" t="s">
        <v>5735</v>
      </c>
      <c r="E132" s="92" t="s">
        <v>220</v>
      </c>
    </row>
    <row r="133">
      <c r="A133" s="92">
        <v>38.0</v>
      </c>
      <c r="B133" s="92" t="s">
        <v>5737</v>
      </c>
      <c r="C133" s="92">
        <v>2.52610483E8</v>
      </c>
      <c r="D133" s="94" t="s">
        <v>5738</v>
      </c>
      <c r="E133" s="92" t="s">
        <v>227</v>
      </c>
    </row>
    <row r="134">
      <c r="A134" s="92">
        <v>39.0</v>
      </c>
      <c r="B134" s="92" t="s">
        <v>5740</v>
      </c>
      <c r="C134" s="92">
        <v>2.52610492E8</v>
      </c>
      <c r="D134" s="94" t="s">
        <v>5741</v>
      </c>
      <c r="E134" s="92" t="s">
        <v>220</v>
      </c>
    </row>
    <row r="135">
      <c r="A135" s="92">
        <v>40.0</v>
      </c>
      <c r="B135" s="92" t="s">
        <v>5743</v>
      </c>
      <c r="C135" s="92">
        <v>2.52610512E8</v>
      </c>
      <c r="D135" s="94" t="s">
        <v>5744</v>
      </c>
      <c r="E135" s="92" t="s">
        <v>227</v>
      </c>
    </row>
    <row r="136">
      <c r="A136" s="92">
        <v>41.0</v>
      </c>
      <c r="B136" s="92" t="s">
        <v>5746</v>
      </c>
      <c r="C136" s="92">
        <v>2.52610514E8</v>
      </c>
      <c r="D136" s="94" t="s">
        <v>5747</v>
      </c>
      <c r="E136" s="92" t="s">
        <v>227</v>
      </c>
    </row>
    <row r="137">
      <c r="A137" s="92">
        <v>42.0</v>
      </c>
      <c r="B137" s="92" t="s">
        <v>5749</v>
      </c>
      <c r="C137" s="92">
        <v>2.52610515E8</v>
      </c>
      <c r="D137" s="94" t="s">
        <v>5750</v>
      </c>
      <c r="E137" s="92" t="s">
        <v>227</v>
      </c>
    </row>
    <row r="138">
      <c r="A138" s="92">
        <v>43.0</v>
      </c>
      <c r="B138" s="92" t="s">
        <v>5752</v>
      </c>
      <c r="C138" s="92">
        <v>2.52610519E8</v>
      </c>
      <c r="D138" s="94" t="s">
        <v>5753</v>
      </c>
      <c r="E138" s="92" t="s">
        <v>227</v>
      </c>
    </row>
    <row r="139">
      <c r="A139" s="92">
        <v>44.0</v>
      </c>
      <c r="B139" s="92" t="s">
        <v>5755</v>
      </c>
      <c r="C139" s="92">
        <v>2.52610533E8</v>
      </c>
      <c r="D139" s="94" t="s">
        <v>5756</v>
      </c>
      <c r="E139" s="92" t="s">
        <v>227</v>
      </c>
    </row>
    <row r="140">
      <c r="A140" s="92">
        <v>45.0</v>
      </c>
      <c r="B140" s="92" t="s">
        <v>5758</v>
      </c>
      <c r="C140" s="92">
        <v>2.52610534E8</v>
      </c>
      <c r="D140" s="94" t="s">
        <v>5759</v>
      </c>
      <c r="E140" s="92" t="s">
        <v>227</v>
      </c>
    </row>
    <row r="141">
      <c r="A141" s="92">
        <v>46.0</v>
      </c>
      <c r="B141" s="92" t="s">
        <v>5761</v>
      </c>
      <c r="C141" s="92">
        <v>2.52610544E8</v>
      </c>
      <c r="D141" s="94" t="s">
        <v>5762</v>
      </c>
      <c r="E141" s="92" t="s">
        <v>227</v>
      </c>
    </row>
    <row r="142">
      <c r="A142" s="167"/>
      <c r="B142" s="167"/>
      <c r="C142" s="167"/>
      <c r="D142" s="167"/>
      <c r="E142" s="167"/>
    </row>
    <row r="143">
      <c r="A143" s="167"/>
      <c r="B143" s="167"/>
      <c r="C143" s="167"/>
      <c r="D143" s="94" t="s">
        <v>9262</v>
      </c>
      <c r="E143" s="124">
        <f>COUNTIF(E97:E141,"P")</f>
        <v>26</v>
      </c>
    </row>
    <row r="144">
      <c r="A144" s="167"/>
      <c r="B144" s="167"/>
      <c r="C144" s="167"/>
      <c r="D144" s="94" t="s">
        <v>9263</v>
      </c>
      <c r="E144" s="124">
        <f>COUNTIF(E97:E141,"L")</f>
        <v>18</v>
      </c>
    </row>
    <row r="145">
      <c r="A145" s="167"/>
      <c r="B145" s="167"/>
      <c r="C145" s="167"/>
      <c r="D145" s="167"/>
      <c r="E145" s="167"/>
    </row>
    <row r="146">
      <c r="A146" s="167"/>
      <c r="B146" s="167"/>
      <c r="C146" s="167"/>
      <c r="D146" s="167"/>
      <c r="E146" s="167"/>
    </row>
    <row r="147">
      <c r="A147" s="167"/>
      <c r="B147" s="167"/>
      <c r="C147" s="167"/>
      <c r="D147" s="167"/>
      <c r="E147" s="167"/>
    </row>
    <row r="148">
      <c r="A148" s="167" t="s">
        <v>9290</v>
      </c>
      <c r="B148" s="167"/>
      <c r="C148" s="167"/>
      <c r="D148" s="167"/>
      <c r="E148" s="167" t="s">
        <v>5766</v>
      </c>
    </row>
    <row r="149">
      <c r="A149" s="356" t="s">
        <v>9249</v>
      </c>
      <c r="B149" s="356" t="s">
        <v>9</v>
      </c>
      <c r="C149" s="356" t="s">
        <v>5246</v>
      </c>
      <c r="D149" s="356" t="s">
        <v>201</v>
      </c>
      <c r="E149" s="356" t="s">
        <v>13</v>
      </c>
    </row>
    <row r="150">
      <c r="A150" s="92">
        <v>1.0</v>
      </c>
      <c r="B150" s="92" t="s">
        <v>5764</v>
      </c>
      <c r="C150" s="92">
        <v>2.52610004E8</v>
      </c>
      <c r="D150" s="94" t="s">
        <v>5765</v>
      </c>
      <c r="E150" s="92" t="s">
        <v>220</v>
      </c>
    </row>
    <row r="151">
      <c r="A151" s="92">
        <v>2.0</v>
      </c>
      <c r="B151" s="92" t="s">
        <v>5768</v>
      </c>
      <c r="C151" s="92">
        <v>2.52610013E8</v>
      </c>
      <c r="D151" s="94" t="s">
        <v>5769</v>
      </c>
      <c r="E151" s="92" t="s">
        <v>220</v>
      </c>
    </row>
    <row r="152">
      <c r="A152" s="92">
        <v>3.0</v>
      </c>
      <c r="B152" s="92" t="s">
        <v>5772</v>
      </c>
      <c r="C152" s="92">
        <v>2.52610022E8</v>
      </c>
      <c r="D152" s="94" t="s">
        <v>5773</v>
      </c>
      <c r="E152" s="92" t="s">
        <v>227</v>
      </c>
    </row>
    <row r="153">
      <c r="A153" s="92">
        <v>4.0</v>
      </c>
      <c r="B153" s="92" t="s">
        <v>5775</v>
      </c>
      <c r="C153" s="92">
        <v>2.52610024E8</v>
      </c>
      <c r="D153" s="94" t="s">
        <v>5776</v>
      </c>
      <c r="E153" s="92" t="s">
        <v>227</v>
      </c>
    </row>
    <row r="154">
      <c r="A154" s="92">
        <v>5.0</v>
      </c>
      <c r="B154" s="92" t="s">
        <v>5779</v>
      </c>
      <c r="C154" s="92">
        <v>2.52610034E8</v>
      </c>
      <c r="D154" s="94" t="s">
        <v>5780</v>
      </c>
      <c r="E154" s="92" t="s">
        <v>220</v>
      </c>
    </row>
    <row r="155">
      <c r="A155" s="92">
        <v>6.0</v>
      </c>
      <c r="B155" s="92" t="s">
        <v>5782</v>
      </c>
      <c r="C155" s="92">
        <v>2.52610043E8</v>
      </c>
      <c r="D155" s="94" t="s">
        <v>5783</v>
      </c>
      <c r="E155" s="92" t="s">
        <v>227</v>
      </c>
    </row>
    <row r="156">
      <c r="A156" s="92">
        <v>7.0</v>
      </c>
      <c r="B156" s="92" t="s">
        <v>5785</v>
      </c>
      <c r="C156" s="92">
        <v>2.52610055E8</v>
      </c>
      <c r="D156" s="94" t="s">
        <v>5786</v>
      </c>
      <c r="E156" s="92" t="s">
        <v>227</v>
      </c>
    </row>
    <row r="157">
      <c r="A157" s="92">
        <v>8.0</v>
      </c>
      <c r="B157" s="92" t="s">
        <v>5788</v>
      </c>
      <c r="C157" s="92">
        <v>2.52610057E8</v>
      </c>
      <c r="D157" s="94" t="s">
        <v>5789</v>
      </c>
      <c r="E157" s="92" t="s">
        <v>227</v>
      </c>
    </row>
    <row r="158">
      <c r="A158" s="92">
        <v>9.0</v>
      </c>
      <c r="B158" s="92" t="s">
        <v>48</v>
      </c>
      <c r="C158" s="92">
        <v>2.5261006E8</v>
      </c>
      <c r="D158" s="94" t="s">
        <v>5791</v>
      </c>
      <c r="E158" s="92" t="s">
        <v>220</v>
      </c>
    </row>
    <row r="159">
      <c r="A159" s="92">
        <v>10.0</v>
      </c>
      <c r="B159" s="92" t="s">
        <v>5793</v>
      </c>
      <c r="C159" s="92">
        <v>2.52610067E8</v>
      </c>
      <c r="D159" s="94" t="s">
        <v>5794</v>
      </c>
      <c r="E159" s="92" t="s">
        <v>227</v>
      </c>
    </row>
    <row r="160">
      <c r="A160" s="92">
        <v>11.0</v>
      </c>
      <c r="B160" s="92" t="s">
        <v>5796</v>
      </c>
      <c r="C160" s="92">
        <v>2.52610115E8</v>
      </c>
      <c r="D160" s="94" t="s">
        <v>5797</v>
      </c>
      <c r="E160" s="92" t="s">
        <v>220</v>
      </c>
    </row>
    <row r="161">
      <c r="A161" s="92">
        <v>12.0</v>
      </c>
      <c r="B161" s="92" t="s">
        <v>5799</v>
      </c>
      <c r="C161" s="92">
        <v>2.52610123E8</v>
      </c>
      <c r="D161" s="94" t="s">
        <v>5800</v>
      </c>
      <c r="E161" s="92" t="s">
        <v>227</v>
      </c>
    </row>
    <row r="162">
      <c r="A162" s="92">
        <v>13.0</v>
      </c>
      <c r="B162" s="92" t="s">
        <v>5802</v>
      </c>
      <c r="C162" s="92">
        <v>2.52610163E8</v>
      </c>
      <c r="D162" s="94" t="s">
        <v>5803</v>
      </c>
      <c r="E162" s="92" t="s">
        <v>227</v>
      </c>
    </row>
    <row r="163">
      <c r="A163" s="92">
        <v>14.0</v>
      </c>
      <c r="B163" s="92" t="s">
        <v>5805</v>
      </c>
      <c r="C163" s="92">
        <v>2.52610166E8</v>
      </c>
      <c r="D163" s="94" t="s">
        <v>5806</v>
      </c>
      <c r="E163" s="92" t="s">
        <v>227</v>
      </c>
    </row>
    <row r="164">
      <c r="A164" s="92">
        <v>17.0</v>
      </c>
      <c r="B164" s="92" t="s">
        <v>5808</v>
      </c>
      <c r="C164" s="92">
        <v>2.52610205E8</v>
      </c>
      <c r="D164" s="94" t="s">
        <v>5809</v>
      </c>
      <c r="E164" s="92" t="s">
        <v>227</v>
      </c>
    </row>
    <row r="165">
      <c r="A165" s="92">
        <v>18.0</v>
      </c>
      <c r="B165" s="92" t="s">
        <v>5811</v>
      </c>
      <c r="C165" s="92">
        <v>2.52610229E8</v>
      </c>
      <c r="D165" s="94" t="s">
        <v>5812</v>
      </c>
      <c r="E165" s="92" t="s">
        <v>227</v>
      </c>
    </row>
    <row r="166">
      <c r="A166" s="92">
        <v>19.0</v>
      </c>
      <c r="B166" s="92" t="s">
        <v>5814</v>
      </c>
      <c r="C166" s="92">
        <v>2.5261023E8</v>
      </c>
      <c r="D166" s="94" t="s">
        <v>5815</v>
      </c>
      <c r="E166" s="92" t="s">
        <v>220</v>
      </c>
    </row>
    <row r="167">
      <c r="A167" s="92">
        <v>20.0</v>
      </c>
      <c r="B167" s="92" t="s">
        <v>5817</v>
      </c>
      <c r="C167" s="92">
        <v>2.52610245E8</v>
      </c>
      <c r="D167" s="94" t="s">
        <v>5818</v>
      </c>
      <c r="E167" s="92" t="s">
        <v>227</v>
      </c>
    </row>
    <row r="168">
      <c r="A168" s="92">
        <v>21.0</v>
      </c>
      <c r="B168" s="92" t="s">
        <v>5820</v>
      </c>
      <c r="C168" s="92">
        <v>2.52610281E8</v>
      </c>
      <c r="D168" s="94" t="s">
        <v>5821</v>
      </c>
      <c r="E168" s="92" t="s">
        <v>227</v>
      </c>
    </row>
    <row r="169">
      <c r="A169" s="92">
        <v>22.0</v>
      </c>
      <c r="B169" s="92" t="s">
        <v>5823</v>
      </c>
      <c r="C169" s="92">
        <v>2.52610286E8</v>
      </c>
      <c r="D169" s="94" t="s">
        <v>5824</v>
      </c>
      <c r="E169" s="92" t="s">
        <v>227</v>
      </c>
    </row>
    <row r="170">
      <c r="A170" s="92">
        <v>23.0</v>
      </c>
      <c r="B170" s="92" t="s">
        <v>5826</v>
      </c>
      <c r="C170" s="92">
        <v>2.52610299E8</v>
      </c>
      <c r="D170" s="94" t="s">
        <v>5827</v>
      </c>
      <c r="E170" s="92" t="s">
        <v>227</v>
      </c>
    </row>
    <row r="171">
      <c r="A171" s="92">
        <v>24.0</v>
      </c>
      <c r="B171" s="92" t="s">
        <v>5829</v>
      </c>
      <c r="C171" s="92">
        <v>2.52610322E8</v>
      </c>
      <c r="D171" s="94" t="s">
        <v>5830</v>
      </c>
      <c r="E171" s="92" t="s">
        <v>220</v>
      </c>
    </row>
    <row r="172">
      <c r="A172" s="92">
        <v>25.0</v>
      </c>
      <c r="B172" s="92" t="s">
        <v>5832</v>
      </c>
      <c r="C172" s="92">
        <v>2.52610323E8</v>
      </c>
      <c r="D172" s="94" t="s">
        <v>5833</v>
      </c>
      <c r="E172" s="92" t="s">
        <v>220</v>
      </c>
    </row>
    <row r="173">
      <c r="A173" s="92">
        <v>26.0</v>
      </c>
      <c r="B173" s="92" t="s">
        <v>5835</v>
      </c>
      <c r="C173" s="92">
        <v>2.52610361E8</v>
      </c>
      <c r="D173" s="94" t="s">
        <v>5836</v>
      </c>
      <c r="E173" s="92" t="s">
        <v>220</v>
      </c>
    </row>
    <row r="174">
      <c r="A174" s="92">
        <v>27.0</v>
      </c>
      <c r="B174" s="92" t="s">
        <v>5838</v>
      </c>
      <c r="C174" s="92">
        <v>2.52610366E8</v>
      </c>
      <c r="D174" s="94" t="s">
        <v>5839</v>
      </c>
      <c r="E174" s="92" t="s">
        <v>220</v>
      </c>
    </row>
    <row r="175">
      <c r="A175" s="92">
        <v>28.0</v>
      </c>
      <c r="B175" s="92" t="s">
        <v>5841</v>
      </c>
      <c r="C175" s="92">
        <v>2.52610374E8</v>
      </c>
      <c r="D175" s="94" t="s">
        <v>5842</v>
      </c>
      <c r="E175" s="92" t="s">
        <v>220</v>
      </c>
    </row>
    <row r="176">
      <c r="A176" s="92">
        <v>29.0</v>
      </c>
      <c r="B176" s="92" t="s">
        <v>5844</v>
      </c>
      <c r="C176" s="92">
        <v>2.52610379E8</v>
      </c>
      <c r="D176" s="94" t="s">
        <v>5845</v>
      </c>
      <c r="E176" s="92" t="s">
        <v>220</v>
      </c>
    </row>
    <row r="177">
      <c r="A177" s="92">
        <v>30.0</v>
      </c>
      <c r="B177" s="92" t="s">
        <v>5847</v>
      </c>
      <c r="C177" s="92">
        <v>2.52610384E8</v>
      </c>
      <c r="D177" s="94" t="s">
        <v>5848</v>
      </c>
      <c r="E177" s="92" t="s">
        <v>227</v>
      </c>
    </row>
    <row r="178">
      <c r="A178" s="92">
        <v>31.0</v>
      </c>
      <c r="B178" s="92" t="s">
        <v>5851</v>
      </c>
      <c r="C178" s="92">
        <v>2.52610401E8</v>
      </c>
      <c r="D178" s="94" t="s">
        <v>5852</v>
      </c>
      <c r="E178" s="92" t="s">
        <v>220</v>
      </c>
    </row>
    <row r="179">
      <c r="A179" s="92">
        <v>32.0</v>
      </c>
      <c r="B179" s="92" t="s">
        <v>5854</v>
      </c>
      <c r="C179" s="92">
        <v>2.52610412E8</v>
      </c>
      <c r="D179" s="94" t="s">
        <v>5855</v>
      </c>
      <c r="E179" s="92" t="s">
        <v>227</v>
      </c>
    </row>
    <row r="180">
      <c r="A180" s="92">
        <v>33.0</v>
      </c>
      <c r="B180" s="92" t="s">
        <v>5857</v>
      </c>
      <c r="C180" s="92">
        <v>2.52610414E8</v>
      </c>
      <c r="D180" s="94" t="s">
        <v>5858</v>
      </c>
      <c r="E180" s="92" t="s">
        <v>227</v>
      </c>
    </row>
    <row r="181">
      <c r="A181" s="92">
        <v>34.0</v>
      </c>
      <c r="B181" s="92" t="s">
        <v>5860</v>
      </c>
      <c r="C181" s="92">
        <v>2.52610427E8</v>
      </c>
      <c r="D181" s="94" t="s">
        <v>5861</v>
      </c>
      <c r="E181" s="92" t="s">
        <v>227</v>
      </c>
    </row>
    <row r="182">
      <c r="A182" s="92">
        <v>35.0</v>
      </c>
      <c r="B182" s="92" t="s">
        <v>5863</v>
      </c>
      <c r="C182" s="92">
        <v>2.52610429E8</v>
      </c>
      <c r="D182" s="94" t="s">
        <v>5864</v>
      </c>
      <c r="E182" s="92" t="s">
        <v>220</v>
      </c>
    </row>
    <row r="183">
      <c r="A183" s="92">
        <v>36.0</v>
      </c>
      <c r="B183" s="92" t="s">
        <v>5866</v>
      </c>
      <c r="C183" s="92">
        <v>2.52610437E8</v>
      </c>
      <c r="D183" s="94" t="s">
        <v>5867</v>
      </c>
      <c r="E183" s="92" t="s">
        <v>227</v>
      </c>
    </row>
    <row r="184">
      <c r="A184" s="92">
        <v>37.0</v>
      </c>
      <c r="B184" s="92" t="s">
        <v>5869</v>
      </c>
      <c r="C184" s="92">
        <v>2.5261045E8</v>
      </c>
      <c r="D184" s="94" t="s">
        <v>5870</v>
      </c>
      <c r="E184" s="92" t="s">
        <v>227</v>
      </c>
    </row>
    <row r="185">
      <c r="A185" s="92">
        <v>38.0</v>
      </c>
      <c r="B185" s="92" t="s">
        <v>5872</v>
      </c>
      <c r="C185" s="92">
        <v>2.52610451E8</v>
      </c>
      <c r="D185" s="94" t="s">
        <v>5873</v>
      </c>
      <c r="E185" s="92" t="s">
        <v>227</v>
      </c>
    </row>
    <row r="186">
      <c r="A186" s="92">
        <v>39.0</v>
      </c>
      <c r="B186" s="92" t="s">
        <v>47</v>
      </c>
      <c r="C186" s="92">
        <v>2.52610471E8</v>
      </c>
      <c r="D186" s="94" t="s">
        <v>5875</v>
      </c>
      <c r="E186" s="92" t="s">
        <v>220</v>
      </c>
    </row>
    <row r="187">
      <c r="A187" s="92">
        <v>40.0</v>
      </c>
      <c r="B187" s="92" t="s">
        <v>5877</v>
      </c>
      <c r="C187" s="92">
        <v>2.52610481E8</v>
      </c>
      <c r="D187" s="94" t="s">
        <v>5878</v>
      </c>
      <c r="E187" s="92" t="s">
        <v>227</v>
      </c>
    </row>
    <row r="188">
      <c r="A188" s="92">
        <v>41.0</v>
      </c>
      <c r="B188" s="92" t="s">
        <v>5880</v>
      </c>
      <c r="C188" s="92">
        <v>2.52610488E8</v>
      </c>
      <c r="D188" s="94" t="s">
        <v>5881</v>
      </c>
      <c r="E188" s="92" t="s">
        <v>227</v>
      </c>
    </row>
    <row r="189">
      <c r="A189" s="92">
        <v>42.0</v>
      </c>
      <c r="B189" s="92" t="s">
        <v>5883</v>
      </c>
      <c r="C189" s="92">
        <v>2.52610507E8</v>
      </c>
      <c r="D189" s="94" t="s">
        <v>5884</v>
      </c>
      <c r="E189" s="92" t="s">
        <v>227</v>
      </c>
    </row>
    <row r="190">
      <c r="A190" s="92">
        <v>43.0</v>
      </c>
      <c r="B190" s="92" t="s">
        <v>5886</v>
      </c>
      <c r="C190" s="92">
        <v>2.52610535E8</v>
      </c>
      <c r="D190" s="94" t="s">
        <v>5887</v>
      </c>
      <c r="E190" s="92" t="s">
        <v>227</v>
      </c>
    </row>
    <row r="191">
      <c r="A191" s="92">
        <v>44.0</v>
      </c>
      <c r="B191" s="92" t="s">
        <v>5889</v>
      </c>
      <c r="C191" s="92">
        <v>2.5261054E8</v>
      </c>
      <c r="D191" s="94" t="s">
        <v>5890</v>
      </c>
      <c r="E191" s="92" t="s">
        <v>227</v>
      </c>
    </row>
    <row r="192">
      <c r="A192" s="92">
        <v>45.0</v>
      </c>
      <c r="B192" s="92" t="s">
        <v>5892</v>
      </c>
      <c r="C192" s="92">
        <v>2.52610543E8</v>
      </c>
      <c r="D192" s="94" t="s">
        <v>5893</v>
      </c>
      <c r="E192" s="92" t="s">
        <v>227</v>
      </c>
    </row>
    <row r="193">
      <c r="A193" s="92">
        <v>46.0</v>
      </c>
      <c r="B193" s="92" t="s">
        <v>5895</v>
      </c>
      <c r="C193" s="92">
        <v>2.52610549E8</v>
      </c>
      <c r="D193" s="94" t="s">
        <v>5896</v>
      </c>
      <c r="E193" s="92" t="s">
        <v>220</v>
      </c>
    </row>
    <row r="194">
      <c r="A194" s="92">
        <v>47.0</v>
      </c>
      <c r="B194" s="92" t="s">
        <v>5898</v>
      </c>
      <c r="C194" s="92">
        <v>2.52610554E8</v>
      </c>
      <c r="D194" s="94" t="s">
        <v>5899</v>
      </c>
      <c r="E194" s="92" t="s">
        <v>227</v>
      </c>
    </row>
    <row r="195">
      <c r="A195" s="167"/>
      <c r="B195" s="167"/>
      <c r="C195" s="167"/>
      <c r="D195" s="167"/>
      <c r="E195" s="167"/>
    </row>
    <row r="196">
      <c r="A196" s="167"/>
      <c r="B196" s="167"/>
      <c r="C196" s="167"/>
      <c r="D196" s="94" t="s">
        <v>9262</v>
      </c>
      <c r="E196" s="124">
        <f>COUNTIF(E150:E194,"P")</f>
        <v>29</v>
      </c>
    </row>
    <row r="197">
      <c r="A197" s="167"/>
      <c r="B197" s="167"/>
      <c r="C197" s="167"/>
      <c r="D197" s="94" t="s">
        <v>9263</v>
      </c>
      <c r="E197" s="124">
        <f>COUNTIF(E150:E194,"L")</f>
        <v>16</v>
      </c>
    </row>
    <row r="198">
      <c r="A198" s="167"/>
      <c r="B198" s="167"/>
      <c r="C198" s="167"/>
      <c r="D198" s="167"/>
      <c r="E198" s="167"/>
    </row>
    <row r="199">
      <c r="A199" s="167"/>
      <c r="B199" s="167"/>
      <c r="C199" s="167"/>
      <c r="D199" s="167"/>
      <c r="E199" s="167"/>
    </row>
    <row r="200">
      <c r="A200" s="167" t="s">
        <v>9293</v>
      </c>
      <c r="B200" s="167"/>
      <c r="C200" s="167"/>
      <c r="D200" s="167"/>
      <c r="E200" s="167" t="s">
        <v>5903</v>
      </c>
    </row>
    <row r="201">
      <c r="A201" s="356" t="s">
        <v>9249</v>
      </c>
      <c r="B201" s="356" t="s">
        <v>9</v>
      </c>
      <c r="C201" s="356" t="s">
        <v>5246</v>
      </c>
      <c r="D201" s="356" t="s">
        <v>201</v>
      </c>
      <c r="E201" s="356" t="s">
        <v>13</v>
      </c>
    </row>
    <row r="202">
      <c r="A202" s="92">
        <v>3.0</v>
      </c>
      <c r="B202" s="92" t="s">
        <v>5901</v>
      </c>
      <c r="C202" s="92">
        <v>2.52610036E8</v>
      </c>
      <c r="D202" s="94" t="s">
        <v>5902</v>
      </c>
      <c r="E202" s="92" t="s">
        <v>227</v>
      </c>
    </row>
    <row r="203">
      <c r="A203" s="92">
        <v>4.0</v>
      </c>
      <c r="B203" s="92" t="s">
        <v>5906</v>
      </c>
      <c r="C203" s="92">
        <v>2.52610042E8</v>
      </c>
      <c r="D203" s="94" t="s">
        <v>5907</v>
      </c>
      <c r="E203" s="92" t="s">
        <v>227</v>
      </c>
    </row>
    <row r="204">
      <c r="A204" s="92">
        <v>5.0</v>
      </c>
      <c r="B204" s="92" t="s">
        <v>5909</v>
      </c>
      <c r="C204" s="92">
        <v>2.52610072E8</v>
      </c>
      <c r="D204" s="94" t="s">
        <v>5910</v>
      </c>
      <c r="E204" s="92" t="s">
        <v>227</v>
      </c>
    </row>
    <row r="205">
      <c r="A205" s="92">
        <v>7.0</v>
      </c>
      <c r="B205" s="92" t="s">
        <v>5912</v>
      </c>
      <c r="C205" s="92">
        <v>2.52610134E8</v>
      </c>
      <c r="D205" s="94" t="s">
        <v>5913</v>
      </c>
      <c r="E205" s="92" t="s">
        <v>227</v>
      </c>
    </row>
    <row r="206">
      <c r="A206" s="92">
        <v>9.0</v>
      </c>
      <c r="B206" s="92" t="s">
        <v>5915</v>
      </c>
      <c r="C206" s="92">
        <v>2.52610157E8</v>
      </c>
      <c r="D206" s="94" t="s">
        <v>5916</v>
      </c>
      <c r="E206" s="92" t="s">
        <v>227</v>
      </c>
    </row>
    <row r="207">
      <c r="A207" s="92">
        <v>10.0</v>
      </c>
      <c r="B207" s="92" t="s">
        <v>5918</v>
      </c>
      <c r="C207" s="92">
        <v>2.52610167E8</v>
      </c>
      <c r="D207" s="94" t="s">
        <v>5919</v>
      </c>
      <c r="E207" s="92" t="s">
        <v>227</v>
      </c>
    </row>
    <row r="208">
      <c r="A208" s="92">
        <v>11.0</v>
      </c>
      <c r="B208" s="92" t="s">
        <v>5921</v>
      </c>
      <c r="C208" s="92">
        <v>2.52610172E8</v>
      </c>
      <c r="D208" s="94" t="s">
        <v>5922</v>
      </c>
      <c r="E208" s="92" t="s">
        <v>220</v>
      </c>
    </row>
    <row r="209">
      <c r="A209" s="92">
        <v>12.0</v>
      </c>
      <c r="B209" s="92" t="s">
        <v>5924</v>
      </c>
      <c r="C209" s="92">
        <v>2.52610176E8</v>
      </c>
      <c r="D209" s="94" t="s">
        <v>5925</v>
      </c>
      <c r="E209" s="92" t="s">
        <v>220</v>
      </c>
    </row>
    <row r="210">
      <c r="A210" s="92">
        <v>14.0</v>
      </c>
      <c r="B210" s="92" t="s">
        <v>5928</v>
      </c>
      <c r="C210" s="92">
        <v>2.52610194E8</v>
      </c>
      <c r="D210" s="94" t="s">
        <v>5929</v>
      </c>
      <c r="E210" s="92" t="s">
        <v>227</v>
      </c>
    </row>
    <row r="211">
      <c r="A211" s="92">
        <v>15.0</v>
      </c>
      <c r="B211" s="92" t="s">
        <v>5931</v>
      </c>
      <c r="C211" s="92">
        <v>2.52610195E8</v>
      </c>
      <c r="D211" s="94" t="s">
        <v>5932</v>
      </c>
      <c r="E211" s="92" t="s">
        <v>227</v>
      </c>
    </row>
    <row r="212">
      <c r="A212" s="92">
        <v>17.0</v>
      </c>
      <c r="B212" s="92" t="s">
        <v>5934</v>
      </c>
      <c r="C212" s="92">
        <v>2.52610209E8</v>
      </c>
      <c r="D212" s="94" t="s">
        <v>5935</v>
      </c>
      <c r="E212" s="92" t="s">
        <v>227</v>
      </c>
    </row>
    <row r="213">
      <c r="A213" s="92">
        <v>18.0</v>
      </c>
      <c r="B213" s="92" t="s">
        <v>5937</v>
      </c>
      <c r="C213" s="92">
        <v>2.5261021E8</v>
      </c>
      <c r="D213" s="94" t="s">
        <v>5938</v>
      </c>
      <c r="E213" s="92" t="s">
        <v>227</v>
      </c>
    </row>
    <row r="214">
      <c r="A214" s="92">
        <v>19.0</v>
      </c>
      <c r="B214" s="92" t="s">
        <v>5940</v>
      </c>
      <c r="C214" s="92">
        <v>2.52610214E8</v>
      </c>
      <c r="D214" s="94" t="s">
        <v>5941</v>
      </c>
      <c r="E214" s="92" t="s">
        <v>227</v>
      </c>
    </row>
    <row r="215">
      <c r="A215" s="92">
        <v>20.0</v>
      </c>
      <c r="B215" s="92" t="s">
        <v>5943</v>
      </c>
      <c r="C215" s="92">
        <v>2.52610227E8</v>
      </c>
      <c r="D215" s="94" t="s">
        <v>5944</v>
      </c>
      <c r="E215" s="92" t="s">
        <v>227</v>
      </c>
    </row>
    <row r="216">
      <c r="A216" s="92">
        <v>23.0</v>
      </c>
      <c r="B216" s="92" t="s">
        <v>5946</v>
      </c>
      <c r="C216" s="92">
        <v>2.52610273E8</v>
      </c>
      <c r="D216" s="94" t="s">
        <v>5947</v>
      </c>
      <c r="E216" s="92" t="s">
        <v>227</v>
      </c>
    </row>
    <row r="217">
      <c r="A217" s="92">
        <v>24.0</v>
      </c>
      <c r="B217" s="92" t="s">
        <v>5949</v>
      </c>
      <c r="C217" s="92">
        <v>2.52610279E8</v>
      </c>
      <c r="D217" s="94" t="s">
        <v>5950</v>
      </c>
      <c r="E217" s="92" t="s">
        <v>227</v>
      </c>
    </row>
    <row r="218">
      <c r="A218" s="92">
        <v>26.0</v>
      </c>
      <c r="B218" s="92" t="s">
        <v>5953</v>
      </c>
      <c r="C218" s="92">
        <v>2.52610308E8</v>
      </c>
      <c r="D218" s="94" t="s">
        <v>5954</v>
      </c>
      <c r="E218" s="92" t="s">
        <v>227</v>
      </c>
    </row>
    <row r="219">
      <c r="A219" s="92">
        <v>28.0</v>
      </c>
      <c r="B219" s="92" t="s">
        <v>5956</v>
      </c>
      <c r="C219" s="92">
        <v>2.52610342E8</v>
      </c>
      <c r="D219" s="94" t="s">
        <v>5957</v>
      </c>
      <c r="E219" s="92" t="s">
        <v>220</v>
      </c>
    </row>
    <row r="220">
      <c r="A220" s="92">
        <v>31.0</v>
      </c>
      <c r="B220" s="92" t="s">
        <v>5959</v>
      </c>
      <c r="C220" s="92">
        <v>2.52610394E8</v>
      </c>
      <c r="D220" s="94" t="s">
        <v>5960</v>
      </c>
      <c r="E220" s="92" t="s">
        <v>227</v>
      </c>
    </row>
    <row r="221">
      <c r="A221" s="92">
        <v>32.0</v>
      </c>
      <c r="B221" s="92" t="s">
        <v>5962</v>
      </c>
      <c r="C221" s="92">
        <v>2.5261041E8</v>
      </c>
      <c r="D221" s="94" t="s">
        <v>5963</v>
      </c>
      <c r="E221" s="92" t="s">
        <v>227</v>
      </c>
    </row>
    <row r="222">
      <c r="A222" s="92">
        <v>33.0</v>
      </c>
      <c r="B222" s="92" t="s">
        <v>5965</v>
      </c>
      <c r="C222" s="92">
        <v>2.52610442E8</v>
      </c>
      <c r="D222" s="94" t="s">
        <v>5966</v>
      </c>
      <c r="E222" s="92" t="s">
        <v>227</v>
      </c>
    </row>
    <row r="223">
      <c r="A223" s="92">
        <v>35.0</v>
      </c>
      <c r="B223" s="92" t="s">
        <v>5968</v>
      </c>
      <c r="C223" s="92">
        <v>2.52610449E8</v>
      </c>
      <c r="D223" s="94" t="s">
        <v>5969</v>
      </c>
      <c r="E223" s="92" t="s">
        <v>220</v>
      </c>
    </row>
    <row r="224">
      <c r="A224" s="92">
        <v>36.0</v>
      </c>
      <c r="B224" s="92" t="s">
        <v>5971</v>
      </c>
      <c r="C224" s="92">
        <v>2.52610453E8</v>
      </c>
      <c r="D224" s="94" t="s">
        <v>5972</v>
      </c>
      <c r="E224" s="92" t="s">
        <v>220</v>
      </c>
    </row>
    <row r="225">
      <c r="A225" s="92">
        <v>39.0</v>
      </c>
      <c r="B225" s="92" t="s">
        <v>5974</v>
      </c>
      <c r="C225" s="92">
        <v>2.52610479E8</v>
      </c>
      <c r="D225" s="94" t="s">
        <v>5975</v>
      </c>
      <c r="E225" s="92" t="s">
        <v>220</v>
      </c>
    </row>
    <row r="226">
      <c r="A226" s="92">
        <v>40.0</v>
      </c>
      <c r="B226" s="92" t="s">
        <v>5977</v>
      </c>
      <c r="C226" s="92">
        <v>2.52610484E8</v>
      </c>
      <c r="D226" s="94" t="s">
        <v>5978</v>
      </c>
      <c r="E226" s="92" t="s">
        <v>227</v>
      </c>
    </row>
    <row r="227">
      <c r="A227" s="92">
        <v>41.0</v>
      </c>
      <c r="B227" s="92" t="s">
        <v>5980</v>
      </c>
      <c r="C227" s="92">
        <v>2.52610486E8</v>
      </c>
      <c r="D227" s="94" t="s">
        <v>5981</v>
      </c>
      <c r="E227" s="92" t="s">
        <v>227</v>
      </c>
    </row>
    <row r="228">
      <c r="A228" s="92">
        <v>42.0</v>
      </c>
      <c r="B228" s="92" t="s">
        <v>5983</v>
      </c>
      <c r="C228" s="92">
        <v>2.52610495E8</v>
      </c>
      <c r="D228" s="94" t="s">
        <v>5984</v>
      </c>
      <c r="E228" s="92" t="s">
        <v>227</v>
      </c>
    </row>
    <row r="229">
      <c r="A229" s="92">
        <v>43.0</v>
      </c>
      <c r="B229" s="92" t="s">
        <v>5986</v>
      </c>
      <c r="C229" s="92">
        <v>2.52610505E8</v>
      </c>
      <c r="D229" s="94" t="s">
        <v>5987</v>
      </c>
      <c r="E229" s="92" t="s">
        <v>227</v>
      </c>
    </row>
    <row r="230">
      <c r="A230" s="92">
        <v>44.0</v>
      </c>
      <c r="B230" s="92" t="s">
        <v>5989</v>
      </c>
      <c r="C230" s="92">
        <v>2.52610517E8</v>
      </c>
      <c r="D230" s="94" t="s">
        <v>5990</v>
      </c>
      <c r="E230" s="92" t="s">
        <v>227</v>
      </c>
    </row>
    <row r="231">
      <c r="A231" s="92">
        <v>45.0</v>
      </c>
      <c r="B231" s="92" t="s">
        <v>5992</v>
      </c>
      <c r="C231" s="92">
        <v>2.52610528E8</v>
      </c>
      <c r="D231" s="94" t="s">
        <v>5993</v>
      </c>
      <c r="E231" s="92" t="s">
        <v>220</v>
      </c>
    </row>
    <row r="232">
      <c r="A232" s="92">
        <v>46.0</v>
      </c>
      <c r="B232" s="92" t="s">
        <v>5995</v>
      </c>
      <c r="C232" s="92">
        <v>2.52610529E8</v>
      </c>
      <c r="D232" s="94" t="s">
        <v>5996</v>
      </c>
      <c r="E232" s="92" t="s">
        <v>227</v>
      </c>
    </row>
    <row r="233">
      <c r="A233" s="167"/>
      <c r="B233" s="167"/>
      <c r="C233" s="167"/>
      <c r="D233" s="167"/>
      <c r="E233" s="167"/>
    </row>
    <row r="234">
      <c r="A234" s="167"/>
      <c r="B234" s="167"/>
      <c r="C234" s="167"/>
      <c r="D234" s="94" t="s">
        <v>9262</v>
      </c>
      <c r="E234" s="124">
        <f>COUNTIF(E202:E232,"P")</f>
        <v>24</v>
      </c>
    </row>
    <row r="235">
      <c r="A235" s="167"/>
      <c r="B235" s="167"/>
      <c r="C235" s="167"/>
      <c r="D235" s="94" t="s">
        <v>9263</v>
      </c>
      <c r="E235" s="124">
        <f>COUNTIF(E202:E232,"L")</f>
        <v>7</v>
      </c>
    </row>
    <row r="236">
      <c r="A236" s="167"/>
      <c r="B236" s="167"/>
      <c r="C236" s="167"/>
      <c r="D236" s="167"/>
      <c r="E236" s="167"/>
    </row>
    <row r="237">
      <c r="A237" s="167"/>
      <c r="B237" s="167"/>
      <c r="C237" s="167"/>
      <c r="D237" s="167"/>
      <c r="E237" s="167"/>
    </row>
    <row r="238">
      <c r="A238" s="167" t="s">
        <v>9326</v>
      </c>
      <c r="B238" s="167"/>
      <c r="C238" s="167"/>
      <c r="D238" s="167"/>
      <c r="E238" s="167" t="s">
        <v>6000</v>
      </c>
    </row>
    <row r="239">
      <c r="A239" s="356" t="s">
        <v>9249</v>
      </c>
      <c r="B239" s="356" t="s">
        <v>9</v>
      </c>
      <c r="C239" s="356" t="s">
        <v>5246</v>
      </c>
      <c r="D239" s="356" t="s">
        <v>201</v>
      </c>
      <c r="E239" s="356" t="s">
        <v>13</v>
      </c>
    </row>
    <row r="240">
      <c r="A240" s="92">
        <v>1.0</v>
      </c>
      <c r="B240" s="92" t="s">
        <v>5998</v>
      </c>
      <c r="C240" s="92">
        <v>2.52610006E8</v>
      </c>
      <c r="D240" s="94" t="s">
        <v>5999</v>
      </c>
      <c r="E240" s="92" t="s">
        <v>227</v>
      </c>
    </row>
    <row r="241">
      <c r="A241" s="92">
        <v>2.0</v>
      </c>
      <c r="B241" s="92" t="s">
        <v>6003</v>
      </c>
      <c r="C241" s="92">
        <v>2.52610017E8</v>
      </c>
      <c r="D241" s="94" t="s">
        <v>6004</v>
      </c>
      <c r="E241" s="92" t="s">
        <v>220</v>
      </c>
    </row>
    <row r="242">
      <c r="A242" s="92">
        <v>3.0</v>
      </c>
      <c r="B242" s="92" t="s">
        <v>6007</v>
      </c>
      <c r="C242" s="92">
        <v>2.52610025E8</v>
      </c>
      <c r="D242" s="94" t="s">
        <v>6008</v>
      </c>
      <c r="E242" s="92" t="s">
        <v>227</v>
      </c>
    </row>
    <row r="243">
      <c r="A243" s="92">
        <v>4.0</v>
      </c>
      <c r="B243" s="92" t="s">
        <v>6010</v>
      </c>
      <c r="C243" s="92">
        <v>2.52610044E8</v>
      </c>
      <c r="D243" s="94" t="s">
        <v>6011</v>
      </c>
      <c r="E243" s="92" t="s">
        <v>227</v>
      </c>
    </row>
    <row r="244">
      <c r="A244" s="92">
        <v>5.0</v>
      </c>
      <c r="B244" s="92" t="s">
        <v>6013</v>
      </c>
      <c r="C244" s="92">
        <v>2.52610051E8</v>
      </c>
      <c r="D244" s="94" t="s">
        <v>6014</v>
      </c>
      <c r="E244" s="92" t="s">
        <v>227</v>
      </c>
    </row>
    <row r="245">
      <c r="A245" s="92">
        <v>6.0</v>
      </c>
      <c r="B245" s="92" t="s">
        <v>6016</v>
      </c>
      <c r="C245" s="92">
        <v>2.52610064E8</v>
      </c>
      <c r="D245" s="94" t="s">
        <v>6017</v>
      </c>
      <c r="E245" s="92" t="s">
        <v>227</v>
      </c>
    </row>
    <row r="246">
      <c r="A246" s="92">
        <v>7.0</v>
      </c>
      <c r="B246" s="92" t="s">
        <v>6019</v>
      </c>
      <c r="C246" s="92">
        <v>2.52610113E8</v>
      </c>
      <c r="D246" s="94" t="s">
        <v>6020</v>
      </c>
      <c r="E246" s="92" t="s">
        <v>220</v>
      </c>
    </row>
    <row r="247">
      <c r="A247" s="92">
        <v>8.0</v>
      </c>
      <c r="B247" s="92" t="s">
        <v>6022</v>
      </c>
      <c r="C247" s="92">
        <v>2.5261014E8</v>
      </c>
      <c r="D247" s="94" t="s">
        <v>6023</v>
      </c>
      <c r="E247" s="92" t="s">
        <v>227</v>
      </c>
    </row>
    <row r="248">
      <c r="A248" s="92">
        <v>9.0</v>
      </c>
      <c r="B248" s="92" t="s">
        <v>6025</v>
      </c>
      <c r="C248" s="92">
        <v>2.52610141E8</v>
      </c>
      <c r="D248" s="94" t="s">
        <v>6026</v>
      </c>
      <c r="E248" s="92" t="s">
        <v>227</v>
      </c>
    </row>
    <row r="249">
      <c r="A249" s="92">
        <v>10.0</v>
      </c>
      <c r="B249" s="92" t="s">
        <v>6028</v>
      </c>
      <c r="C249" s="92">
        <v>2.52610144E8</v>
      </c>
      <c r="D249" s="94" t="s">
        <v>6029</v>
      </c>
      <c r="E249" s="92" t="s">
        <v>220</v>
      </c>
    </row>
    <row r="250">
      <c r="A250" s="92">
        <v>11.0</v>
      </c>
      <c r="B250" s="92" t="s">
        <v>6031</v>
      </c>
      <c r="C250" s="92">
        <v>2.52610156E8</v>
      </c>
      <c r="D250" s="94" t="s">
        <v>6032</v>
      </c>
      <c r="E250" s="92" t="s">
        <v>227</v>
      </c>
    </row>
    <row r="251">
      <c r="A251" s="92">
        <v>12.0</v>
      </c>
      <c r="B251" s="92" t="s">
        <v>6034</v>
      </c>
      <c r="C251" s="92">
        <v>2.52610159E8</v>
      </c>
      <c r="D251" s="94" t="s">
        <v>6035</v>
      </c>
      <c r="E251" s="92" t="s">
        <v>227</v>
      </c>
    </row>
    <row r="252">
      <c r="A252" s="92">
        <v>13.0</v>
      </c>
      <c r="B252" s="92" t="s">
        <v>6037</v>
      </c>
      <c r="C252" s="92">
        <v>2.52610179E8</v>
      </c>
      <c r="D252" s="94" t="s">
        <v>6038</v>
      </c>
      <c r="E252" s="92" t="s">
        <v>227</v>
      </c>
    </row>
    <row r="253">
      <c r="A253" s="92">
        <v>15.0</v>
      </c>
      <c r="B253" s="92" t="s">
        <v>6040</v>
      </c>
      <c r="C253" s="92">
        <v>2.52610197E8</v>
      </c>
      <c r="D253" s="94" t="s">
        <v>6041</v>
      </c>
      <c r="E253" s="92" t="s">
        <v>220</v>
      </c>
    </row>
    <row r="254">
      <c r="A254" s="92">
        <v>16.0</v>
      </c>
      <c r="B254" s="92" t="s">
        <v>26</v>
      </c>
      <c r="C254" s="92">
        <v>2.526102E8</v>
      </c>
      <c r="D254" s="94" t="s">
        <v>6043</v>
      </c>
      <c r="E254" s="92" t="s">
        <v>220</v>
      </c>
    </row>
    <row r="255">
      <c r="A255" s="92">
        <v>17.0</v>
      </c>
      <c r="B255" s="92" t="s">
        <v>6045</v>
      </c>
      <c r="C255" s="92">
        <v>2.52610221E8</v>
      </c>
      <c r="D255" s="94" t="s">
        <v>6046</v>
      </c>
      <c r="E255" s="92" t="s">
        <v>227</v>
      </c>
    </row>
    <row r="256">
      <c r="A256" s="92">
        <v>18.0</v>
      </c>
      <c r="B256" s="92" t="s">
        <v>6048</v>
      </c>
      <c r="C256" s="92">
        <v>2.52610225E8</v>
      </c>
      <c r="D256" s="94" t="s">
        <v>6049</v>
      </c>
      <c r="E256" s="92" t="s">
        <v>220</v>
      </c>
    </row>
    <row r="257">
      <c r="A257" s="92">
        <v>19.0</v>
      </c>
      <c r="B257" s="92" t="s">
        <v>30</v>
      </c>
      <c r="C257" s="92">
        <v>2.52610252E8</v>
      </c>
      <c r="D257" s="94" t="s">
        <v>6051</v>
      </c>
      <c r="E257" s="92" t="s">
        <v>220</v>
      </c>
    </row>
    <row r="258">
      <c r="A258" s="92">
        <v>20.0</v>
      </c>
      <c r="B258" s="92" t="s">
        <v>6053</v>
      </c>
      <c r="C258" s="92">
        <v>2.52610254E8</v>
      </c>
      <c r="D258" s="94" t="s">
        <v>6054</v>
      </c>
      <c r="E258" s="92" t="s">
        <v>227</v>
      </c>
    </row>
    <row r="259">
      <c r="A259" s="92">
        <v>21.0</v>
      </c>
      <c r="B259" s="92" t="s">
        <v>6056</v>
      </c>
      <c r="C259" s="92">
        <v>2.52610264E8</v>
      </c>
      <c r="D259" s="94" t="s">
        <v>6057</v>
      </c>
      <c r="E259" s="92" t="s">
        <v>227</v>
      </c>
    </row>
    <row r="260">
      <c r="A260" s="92">
        <v>22.0</v>
      </c>
      <c r="B260" s="92" t="s">
        <v>6059</v>
      </c>
      <c r="C260" s="92">
        <v>2.52610268E8</v>
      </c>
      <c r="D260" s="94" t="s">
        <v>6060</v>
      </c>
      <c r="E260" s="92" t="s">
        <v>227</v>
      </c>
    </row>
    <row r="261">
      <c r="A261" s="92">
        <v>23.0</v>
      </c>
      <c r="B261" s="92" t="s">
        <v>6062</v>
      </c>
      <c r="C261" s="92">
        <v>2.52610284E8</v>
      </c>
      <c r="D261" s="94" t="s">
        <v>6063</v>
      </c>
      <c r="E261" s="92" t="s">
        <v>227</v>
      </c>
    </row>
    <row r="262">
      <c r="A262" s="92">
        <v>24.0</v>
      </c>
      <c r="B262" s="92" t="s">
        <v>6066</v>
      </c>
      <c r="C262" s="92">
        <v>2.52610291E8</v>
      </c>
      <c r="D262" s="94" t="s">
        <v>6067</v>
      </c>
      <c r="E262" s="92" t="s">
        <v>227</v>
      </c>
    </row>
    <row r="263">
      <c r="A263" s="92">
        <v>25.0</v>
      </c>
      <c r="B263" s="92" t="s">
        <v>6069</v>
      </c>
      <c r="C263" s="92">
        <v>2.526103E8</v>
      </c>
      <c r="D263" s="94" t="s">
        <v>6070</v>
      </c>
      <c r="E263" s="92" t="s">
        <v>220</v>
      </c>
    </row>
    <row r="264">
      <c r="A264" s="92">
        <v>26.0</v>
      </c>
      <c r="B264" s="92" t="s">
        <v>24</v>
      </c>
      <c r="C264" s="92">
        <v>2.52610318E8</v>
      </c>
      <c r="D264" s="94" t="s">
        <v>6072</v>
      </c>
      <c r="E264" s="92" t="s">
        <v>220</v>
      </c>
    </row>
    <row r="265">
      <c r="A265" s="92">
        <v>27.0</v>
      </c>
      <c r="B265" s="92" t="s">
        <v>29</v>
      </c>
      <c r="C265" s="92">
        <v>2.52610333E8</v>
      </c>
      <c r="D265" s="94" t="s">
        <v>6074</v>
      </c>
      <c r="E265" s="92" t="s">
        <v>220</v>
      </c>
    </row>
    <row r="266">
      <c r="A266" s="92">
        <v>28.0</v>
      </c>
      <c r="B266" s="92" t="s">
        <v>25</v>
      </c>
      <c r="C266" s="92">
        <v>2.5261034E8</v>
      </c>
      <c r="D266" s="94" t="s">
        <v>6076</v>
      </c>
      <c r="E266" s="92" t="s">
        <v>220</v>
      </c>
    </row>
    <row r="267">
      <c r="A267" s="92">
        <v>29.0</v>
      </c>
      <c r="B267" s="92" t="s">
        <v>6078</v>
      </c>
      <c r="C267" s="92">
        <v>2.52610345E8</v>
      </c>
      <c r="D267" s="94" t="s">
        <v>6079</v>
      </c>
      <c r="E267" s="92" t="s">
        <v>220</v>
      </c>
    </row>
    <row r="268">
      <c r="A268" s="92">
        <v>30.0</v>
      </c>
      <c r="B268" s="92" t="s">
        <v>20</v>
      </c>
      <c r="C268" s="92">
        <v>2.52610352E8</v>
      </c>
      <c r="D268" s="94" t="s">
        <v>6081</v>
      </c>
      <c r="E268" s="92" t="s">
        <v>220</v>
      </c>
    </row>
    <row r="269">
      <c r="A269" s="92">
        <v>31.0</v>
      </c>
      <c r="B269" s="92" t="s">
        <v>32</v>
      </c>
      <c r="C269" s="92">
        <v>2.52610354E8</v>
      </c>
      <c r="D269" s="94" t="s">
        <v>6083</v>
      </c>
      <c r="E269" s="92" t="s">
        <v>220</v>
      </c>
    </row>
    <row r="270">
      <c r="A270" s="92">
        <v>32.0</v>
      </c>
      <c r="B270" s="92" t="s">
        <v>6085</v>
      </c>
      <c r="C270" s="92">
        <v>2.52610383E8</v>
      </c>
      <c r="D270" s="94" t="s">
        <v>6086</v>
      </c>
      <c r="E270" s="92" t="s">
        <v>227</v>
      </c>
    </row>
    <row r="271">
      <c r="A271" s="92">
        <v>33.0</v>
      </c>
      <c r="B271" s="92" t="s">
        <v>6088</v>
      </c>
      <c r="C271" s="92">
        <v>2.52610389E8</v>
      </c>
      <c r="D271" s="94" t="s">
        <v>6089</v>
      </c>
      <c r="E271" s="92" t="s">
        <v>227</v>
      </c>
    </row>
    <row r="272">
      <c r="A272" s="92">
        <v>34.0</v>
      </c>
      <c r="B272" s="92" t="s">
        <v>6091</v>
      </c>
      <c r="C272" s="92">
        <v>2.52610404E8</v>
      </c>
      <c r="D272" s="94" t="s">
        <v>6092</v>
      </c>
      <c r="E272" s="92" t="s">
        <v>227</v>
      </c>
    </row>
    <row r="273">
      <c r="A273" s="92">
        <v>35.0</v>
      </c>
      <c r="B273" s="92" t="s">
        <v>6094</v>
      </c>
      <c r="C273" s="92">
        <v>2.52610409E8</v>
      </c>
      <c r="D273" s="94" t="s">
        <v>6095</v>
      </c>
      <c r="E273" s="92" t="s">
        <v>227</v>
      </c>
    </row>
    <row r="274">
      <c r="A274" s="92">
        <v>36.0</v>
      </c>
      <c r="B274" s="92" t="s">
        <v>6097</v>
      </c>
      <c r="C274" s="92">
        <v>2.52610428E8</v>
      </c>
      <c r="D274" s="94" t="s">
        <v>6098</v>
      </c>
      <c r="E274" s="92" t="s">
        <v>227</v>
      </c>
    </row>
    <row r="275">
      <c r="A275" s="92">
        <v>37.0</v>
      </c>
      <c r="B275" s="92" t="s">
        <v>6100</v>
      </c>
      <c r="C275" s="92">
        <v>2.52610464E8</v>
      </c>
      <c r="D275" s="94" t="s">
        <v>6101</v>
      </c>
      <c r="E275" s="92" t="s">
        <v>227</v>
      </c>
    </row>
    <row r="276">
      <c r="A276" s="92">
        <v>38.0</v>
      </c>
      <c r="B276" s="92" t="s">
        <v>6103</v>
      </c>
      <c r="C276" s="92">
        <v>2.52610466E8</v>
      </c>
      <c r="D276" s="94" t="s">
        <v>6104</v>
      </c>
      <c r="E276" s="92" t="s">
        <v>227</v>
      </c>
    </row>
    <row r="277">
      <c r="A277" s="92">
        <v>39.0</v>
      </c>
      <c r="B277" s="92" t="s">
        <v>6106</v>
      </c>
      <c r="C277" s="92">
        <v>2.52610468E8</v>
      </c>
      <c r="D277" s="94" t="s">
        <v>6107</v>
      </c>
      <c r="E277" s="92" t="s">
        <v>227</v>
      </c>
    </row>
    <row r="278">
      <c r="A278" s="92">
        <v>40.0</v>
      </c>
      <c r="B278" s="92" t="s">
        <v>6109</v>
      </c>
      <c r="C278" s="92">
        <v>2.52610491E8</v>
      </c>
      <c r="D278" s="94" t="s">
        <v>6110</v>
      </c>
      <c r="E278" s="92" t="s">
        <v>227</v>
      </c>
    </row>
    <row r="279">
      <c r="A279" s="92">
        <v>41.0</v>
      </c>
      <c r="B279" s="92" t="s">
        <v>28</v>
      </c>
      <c r="C279" s="92">
        <v>2.52610504E8</v>
      </c>
      <c r="D279" s="94" t="s">
        <v>6112</v>
      </c>
      <c r="E279" s="92" t="s">
        <v>220</v>
      </c>
    </row>
    <row r="280">
      <c r="A280" s="92">
        <v>42.0</v>
      </c>
      <c r="B280" s="92" t="s">
        <v>6114</v>
      </c>
      <c r="C280" s="92">
        <v>2.52610523E8</v>
      </c>
      <c r="D280" s="94" t="s">
        <v>6115</v>
      </c>
      <c r="E280" s="92" t="s">
        <v>227</v>
      </c>
    </row>
    <row r="281">
      <c r="A281" s="92">
        <v>43.0</v>
      </c>
      <c r="B281" s="92" t="s">
        <v>23</v>
      </c>
      <c r="C281" s="92">
        <v>2.52610525E8</v>
      </c>
      <c r="D281" s="94" t="s">
        <v>6117</v>
      </c>
      <c r="E281" s="92" t="s">
        <v>220</v>
      </c>
    </row>
    <row r="282">
      <c r="A282" s="92">
        <v>44.0</v>
      </c>
      <c r="B282" s="92" t="s">
        <v>6119</v>
      </c>
      <c r="C282" s="92">
        <v>2.52610527E8</v>
      </c>
      <c r="D282" s="94" t="s">
        <v>6120</v>
      </c>
      <c r="E282" s="92" t="s">
        <v>227</v>
      </c>
    </row>
    <row r="283">
      <c r="A283" s="92">
        <v>45.0</v>
      </c>
      <c r="B283" s="92" t="s">
        <v>6122</v>
      </c>
      <c r="C283" s="92">
        <v>2.52610532E8</v>
      </c>
      <c r="D283" s="94" t="s">
        <v>6123</v>
      </c>
      <c r="E283" s="92" t="s">
        <v>227</v>
      </c>
    </row>
    <row r="284">
      <c r="A284" s="92">
        <v>46.0</v>
      </c>
      <c r="B284" s="92" t="s">
        <v>31</v>
      </c>
      <c r="C284" s="92">
        <v>2.52610539E8</v>
      </c>
      <c r="D284" s="94" t="s">
        <v>6125</v>
      </c>
      <c r="E284" s="92" t="s">
        <v>220</v>
      </c>
    </row>
    <row r="285">
      <c r="A285" s="92">
        <v>47.0</v>
      </c>
      <c r="B285" s="92" t="s">
        <v>27</v>
      </c>
      <c r="C285" s="92">
        <v>2.52610547E8</v>
      </c>
      <c r="D285" s="94" t="s">
        <v>6127</v>
      </c>
      <c r="E285" s="92" t="s">
        <v>220</v>
      </c>
    </row>
    <row r="286">
      <c r="A286" s="92">
        <v>48.0</v>
      </c>
      <c r="B286" s="92" t="s">
        <v>6129</v>
      </c>
      <c r="C286" s="92">
        <v>2.52610559E8</v>
      </c>
      <c r="D286" s="94" t="s">
        <v>6130</v>
      </c>
      <c r="E286" s="92" t="s">
        <v>227</v>
      </c>
    </row>
    <row r="287">
      <c r="A287" s="167"/>
      <c r="B287" s="167"/>
      <c r="C287" s="167"/>
      <c r="D287" s="167"/>
      <c r="E287" s="167"/>
    </row>
    <row r="288">
      <c r="A288" s="167"/>
      <c r="B288" s="167"/>
      <c r="C288" s="167"/>
      <c r="D288" s="94" t="s">
        <v>9262</v>
      </c>
      <c r="E288" s="92">
        <f>COUNTIF(E240:E286,"P")</f>
        <v>29</v>
      </c>
    </row>
    <row r="289">
      <c r="A289" s="167"/>
      <c r="B289" s="167"/>
      <c r="C289" s="167"/>
      <c r="D289" s="94" t="s">
        <v>9263</v>
      </c>
      <c r="E289" s="92">
        <f>COUNTIF(E240:E286,"L")</f>
        <v>18</v>
      </c>
    </row>
    <row r="290">
      <c r="A290" s="167"/>
      <c r="B290" s="167"/>
      <c r="C290" s="167"/>
      <c r="D290" s="167"/>
      <c r="E290" s="167"/>
    </row>
    <row r="291">
      <c r="A291" s="167"/>
      <c r="B291" s="167"/>
      <c r="C291" s="167"/>
      <c r="D291" s="167"/>
      <c r="E291" s="167"/>
    </row>
    <row r="292">
      <c r="A292" s="167" t="s">
        <v>9329</v>
      </c>
      <c r="B292" s="167"/>
      <c r="C292" s="167"/>
      <c r="D292" s="167"/>
      <c r="E292" s="167" t="s">
        <v>6134</v>
      </c>
    </row>
    <row r="293">
      <c r="A293" s="356" t="s">
        <v>9249</v>
      </c>
      <c r="B293" s="356" t="s">
        <v>9</v>
      </c>
      <c r="C293" s="356" t="s">
        <v>5246</v>
      </c>
      <c r="D293" s="356" t="s">
        <v>201</v>
      </c>
      <c r="E293" s="356" t="s">
        <v>13</v>
      </c>
    </row>
    <row r="294">
      <c r="A294" s="92">
        <v>1.0</v>
      </c>
      <c r="B294" s="92" t="s">
        <v>6132</v>
      </c>
      <c r="C294" s="92">
        <v>2.52610007E8</v>
      </c>
      <c r="D294" s="94" t="s">
        <v>6133</v>
      </c>
      <c r="E294" s="92" t="s">
        <v>227</v>
      </c>
    </row>
    <row r="295">
      <c r="A295" s="92">
        <v>2.0</v>
      </c>
      <c r="B295" s="92" t="s">
        <v>6137</v>
      </c>
      <c r="C295" s="92">
        <v>2.52610028E8</v>
      </c>
      <c r="D295" s="94" t="s">
        <v>6138</v>
      </c>
      <c r="E295" s="92" t="s">
        <v>227</v>
      </c>
    </row>
    <row r="296">
      <c r="A296" s="92">
        <v>3.0</v>
      </c>
      <c r="B296" s="92" t="s">
        <v>6140</v>
      </c>
      <c r="C296" s="92">
        <v>2.52610035E8</v>
      </c>
      <c r="D296" s="94" t="s">
        <v>6141</v>
      </c>
      <c r="E296" s="92" t="s">
        <v>227</v>
      </c>
    </row>
    <row r="297">
      <c r="A297" s="92">
        <v>4.0</v>
      </c>
      <c r="B297" s="92" t="s">
        <v>6143</v>
      </c>
      <c r="C297" s="92">
        <v>2.5261004E8</v>
      </c>
      <c r="D297" s="94" t="s">
        <v>6144</v>
      </c>
      <c r="E297" s="92" t="s">
        <v>227</v>
      </c>
    </row>
    <row r="298">
      <c r="A298" s="92">
        <v>5.0</v>
      </c>
      <c r="B298" s="92" t="s">
        <v>6146</v>
      </c>
      <c r="C298" s="92">
        <v>2.52610041E8</v>
      </c>
      <c r="D298" s="94" t="s">
        <v>6147</v>
      </c>
      <c r="E298" s="92" t="s">
        <v>227</v>
      </c>
    </row>
    <row r="299">
      <c r="A299" s="92">
        <v>6.0</v>
      </c>
      <c r="B299" s="92" t="s">
        <v>6149</v>
      </c>
      <c r="C299" s="92">
        <v>2.52610061E8</v>
      </c>
      <c r="D299" s="94" t="s">
        <v>6150</v>
      </c>
      <c r="E299" s="92" t="s">
        <v>227</v>
      </c>
    </row>
    <row r="300">
      <c r="A300" s="92">
        <v>7.0</v>
      </c>
      <c r="B300" s="92" t="s">
        <v>6152</v>
      </c>
      <c r="C300" s="92">
        <v>2.52610077E8</v>
      </c>
      <c r="D300" s="94" t="s">
        <v>6153</v>
      </c>
      <c r="E300" s="92" t="s">
        <v>227</v>
      </c>
    </row>
    <row r="301">
      <c r="A301" s="92">
        <v>8.0</v>
      </c>
      <c r="B301" s="92" t="s">
        <v>6155</v>
      </c>
      <c r="C301" s="92">
        <v>2.52610097E8</v>
      </c>
      <c r="D301" s="94" t="s">
        <v>6156</v>
      </c>
      <c r="E301" s="92" t="s">
        <v>227</v>
      </c>
    </row>
    <row r="302">
      <c r="A302" s="92">
        <v>9.0</v>
      </c>
      <c r="B302" s="92" t="s">
        <v>6158</v>
      </c>
      <c r="C302" s="92">
        <v>2.52610108E8</v>
      </c>
      <c r="D302" s="94" t="s">
        <v>6159</v>
      </c>
      <c r="E302" s="92" t="s">
        <v>227</v>
      </c>
    </row>
    <row r="303">
      <c r="A303" s="92">
        <v>10.0</v>
      </c>
      <c r="B303" s="92" t="s">
        <v>6161</v>
      </c>
      <c r="C303" s="92">
        <v>2.52610118E8</v>
      </c>
      <c r="D303" s="94" t="s">
        <v>6162</v>
      </c>
      <c r="E303" s="92" t="s">
        <v>227</v>
      </c>
    </row>
    <row r="304">
      <c r="A304" s="92">
        <v>11.0</v>
      </c>
      <c r="B304" s="92" t="s">
        <v>6164</v>
      </c>
      <c r="C304" s="92">
        <v>2.52610125E8</v>
      </c>
      <c r="D304" s="94" t="s">
        <v>6165</v>
      </c>
      <c r="E304" s="92" t="s">
        <v>220</v>
      </c>
    </row>
    <row r="305">
      <c r="A305" s="92">
        <v>12.0</v>
      </c>
      <c r="B305" s="92" t="s">
        <v>6168</v>
      </c>
      <c r="C305" s="92">
        <v>2.52610151E8</v>
      </c>
      <c r="D305" s="94" t="s">
        <v>6169</v>
      </c>
      <c r="E305" s="92" t="s">
        <v>227</v>
      </c>
    </row>
    <row r="306">
      <c r="A306" s="92">
        <v>13.0</v>
      </c>
      <c r="B306" s="92" t="s">
        <v>6171</v>
      </c>
      <c r="C306" s="92">
        <v>2.5261016E8</v>
      </c>
      <c r="D306" s="94" t="s">
        <v>6172</v>
      </c>
      <c r="E306" s="92" t="s">
        <v>227</v>
      </c>
    </row>
    <row r="307">
      <c r="A307" s="92">
        <v>14.0</v>
      </c>
      <c r="B307" s="92" t="s">
        <v>6174</v>
      </c>
      <c r="C307" s="92">
        <v>2.52610161E8</v>
      </c>
      <c r="D307" s="94" t="s">
        <v>6175</v>
      </c>
      <c r="E307" s="92" t="s">
        <v>227</v>
      </c>
    </row>
    <row r="308">
      <c r="A308" s="92">
        <v>15.0</v>
      </c>
      <c r="B308" s="92" t="s">
        <v>6177</v>
      </c>
      <c r="C308" s="92">
        <v>2.5261017E8</v>
      </c>
      <c r="D308" s="94" t="s">
        <v>6178</v>
      </c>
      <c r="E308" s="92" t="s">
        <v>227</v>
      </c>
    </row>
    <row r="309">
      <c r="A309" s="92">
        <v>16.0</v>
      </c>
      <c r="B309" s="92" t="s">
        <v>6180</v>
      </c>
      <c r="C309" s="92">
        <v>2.52610174E8</v>
      </c>
      <c r="D309" s="94" t="s">
        <v>6181</v>
      </c>
      <c r="E309" s="92" t="s">
        <v>227</v>
      </c>
    </row>
    <row r="310">
      <c r="A310" s="92">
        <v>17.0</v>
      </c>
      <c r="B310" s="92" t="s">
        <v>6183</v>
      </c>
      <c r="C310" s="92">
        <v>2.52610199E8</v>
      </c>
      <c r="D310" s="94" t="s">
        <v>6184</v>
      </c>
      <c r="E310" s="92" t="s">
        <v>220</v>
      </c>
    </row>
    <row r="311">
      <c r="A311" s="92">
        <v>18.0</v>
      </c>
      <c r="B311" s="92" t="s">
        <v>6186</v>
      </c>
      <c r="C311" s="92">
        <v>2.52610203E8</v>
      </c>
      <c r="D311" s="94" t="s">
        <v>6187</v>
      </c>
      <c r="E311" s="92" t="s">
        <v>227</v>
      </c>
    </row>
    <row r="312">
      <c r="A312" s="92">
        <v>20.0</v>
      </c>
      <c r="B312" s="92" t="s">
        <v>6189</v>
      </c>
      <c r="C312" s="92">
        <v>2.52610255E8</v>
      </c>
      <c r="D312" s="94" t="s">
        <v>6190</v>
      </c>
      <c r="E312" s="92" t="s">
        <v>227</v>
      </c>
    </row>
    <row r="313">
      <c r="A313" s="92">
        <v>21.0</v>
      </c>
      <c r="B313" s="92" t="s">
        <v>6193</v>
      </c>
      <c r="C313" s="92">
        <v>2.52610265E8</v>
      </c>
      <c r="D313" s="94" t="s">
        <v>6194</v>
      </c>
      <c r="E313" s="92" t="s">
        <v>220</v>
      </c>
    </row>
    <row r="314">
      <c r="A314" s="92">
        <v>22.0</v>
      </c>
      <c r="B314" s="92" t="s">
        <v>6196</v>
      </c>
      <c r="C314" s="92">
        <v>2.52610293E8</v>
      </c>
      <c r="D314" s="94" t="s">
        <v>6197</v>
      </c>
      <c r="E314" s="92" t="s">
        <v>220</v>
      </c>
    </row>
    <row r="315">
      <c r="A315" s="92">
        <v>23.0</v>
      </c>
      <c r="B315" s="92" t="s">
        <v>6199</v>
      </c>
      <c r="C315" s="92">
        <v>2.52610314E8</v>
      </c>
      <c r="D315" s="94" t="s">
        <v>6200</v>
      </c>
      <c r="E315" s="92" t="s">
        <v>220</v>
      </c>
    </row>
    <row r="316">
      <c r="A316" s="92">
        <v>24.0</v>
      </c>
      <c r="B316" s="92" t="s">
        <v>6202</v>
      </c>
      <c r="C316" s="92">
        <v>2.52610317E8</v>
      </c>
      <c r="D316" s="94" t="s">
        <v>6203</v>
      </c>
      <c r="E316" s="92" t="s">
        <v>220</v>
      </c>
    </row>
    <row r="317">
      <c r="A317" s="92">
        <v>25.0</v>
      </c>
      <c r="B317" s="92" t="s">
        <v>6205</v>
      </c>
      <c r="C317" s="92">
        <v>2.52610321E8</v>
      </c>
      <c r="D317" s="94" t="s">
        <v>6206</v>
      </c>
      <c r="E317" s="92" t="s">
        <v>227</v>
      </c>
    </row>
    <row r="318">
      <c r="A318" s="92">
        <v>26.0</v>
      </c>
      <c r="B318" s="92" t="s">
        <v>6208</v>
      </c>
      <c r="C318" s="92">
        <v>2.52610324E8</v>
      </c>
      <c r="D318" s="94" t="s">
        <v>6209</v>
      </c>
      <c r="E318" s="92" t="s">
        <v>220</v>
      </c>
    </row>
    <row r="319">
      <c r="A319" s="92">
        <v>27.0</v>
      </c>
      <c r="B319" s="92" t="s">
        <v>6211</v>
      </c>
      <c r="C319" s="92">
        <v>2.52610326E8</v>
      </c>
      <c r="D319" s="94" t="s">
        <v>6212</v>
      </c>
      <c r="E319" s="92" t="s">
        <v>220</v>
      </c>
    </row>
    <row r="320">
      <c r="A320" s="92">
        <v>28.0</v>
      </c>
      <c r="B320" s="92" t="s">
        <v>6214</v>
      </c>
      <c r="C320" s="92">
        <v>2.52610349E8</v>
      </c>
      <c r="D320" s="94" t="s">
        <v>6215</v>
      </c>
      <c r="E320" s="92" t="s">
        <v>220</v>
      </c>
    </row>
    <row r="321">
      <c r="A321" s="92">
        <v>29.0</v>
      </c>
      <c r="B321" s="92" t="s">
        <v>6217</v>
      </c>
      <c r="C321" s="92">
        <v>2.5261035E8</v>
      </c>
      <c r="D321" s="94" t="s">
        <v>6218</v>
      </c>
      <c r="E321" s="92" t="s">
        <v>220</v>
      </c>
    </row>
    <row r="322">
      <c r="A322" s="92">
        <v>30.0</v>
      </c>
      <c r="B322" s="92" t="s">
        <v>6220</v>
      </c>
      <c r="C322" s="92">
        <v>2.52610353E8</v>
      </c>
      <c r="D322" s="94" t="s">
        <v>6221</v>
      </c>
      <c r="E322" s="92" t="s">
        <v>220</v>
      </c>
    </row>
    <row r="323">
      <c r="A323" s="92">
        <v>31.0</v>
      </c>
      <c r="B323" s="92" t="s">
        <v>6223</v>
      </c>
      <c r="C323" s="92">
        <v>2.52610364E8</v>
      </c>
      <c r="D323" s="94" t="s">
        <v>6224</v>
      </c>
      <c r="E323" s="92" t="s">
        <v>220</v>
      </c>
    </row>
    <row r="324">
      <c r="A324" s="92">
        <v>32.0</v>
      </c>
      <c r="B324" s="92" t="s">
        <v>6226</v>
      </c>
      <c r="C324" s="92">
        <v>2.52610376E8</v>
      </c>
      <c r="D324" s="94" t="s">
        <v>6227</v>
      </c>
      <c r="E324" s="92" t="s">
        <v>220</v>
      </c>
    </row>
    <row r="325">
      <c r="A325" s="92">
        <v>33.0</v>
      </c>
      <c r="B325" s="92" t="s">
        <v>6229</v>
      </c>
      <c r="C325" s="92">
        <v>2.52610392E8</v>
      </c>
      <c r="D325" s="94" t="s">
        <v>6230</v>
      </c>
      <c r="E325" s="92" t="s">
        <v>227</v>
      </c>
    </row>
    <row r="326">
      <c r="A326" s="92">
        <v>34.0</v>
      </c>
      <c r="B326" s="92" t="s">
        <v>6232</v>
      </c>
      <c r="C326" s="92">
        <v>2.52610395E8</v>
      </c>
      <c r="D326" s="94" t="s">
        <v>6233</v>
      </c>
      <c r="E326" s="92" t="s">
        <v>227</v>
      </c>
    </row>
    <row r="327">
      <c r="A327" s="92">
        <v>35.0</v>
      </c>
      <c r="B327" s="92" t="s">
        <v>6235</v>
      </c>
      <c r="C327" s="92">
        <v>2.52610399E8</v>
      </c>
      <c r="D327" s="94" t="s">
        <v>6236</v>
      </c>
      <c r="E327" s="92" t="s">
        <v>227</v>
      </c>
    </row>
    <row r="328">
      <c r="A328" s="92">
        <v>36.0</v>
      </c>
      <c r="B328" s="92" t="s">
        <v>6238</v>
      </c>
      <c r="C328" s="92">
        <v>2.52610408E8</v>
      </c>
      <c r="D328" s="94" t="s">
        <v>6239</v>
      </c>
      <c r="E328" s="92" t="s">
        <v>227</v>
      </c>
    </row>
    <row r="329">
      <c r="A329" s="92">
        <v>37.0</v>
      </c>
      <c r="B329" s="92" t="s">
        <v>6241</v>
      </c>
      <c r="C329" s="92">
        <v>2.52610413E8</v>
      </c>
      <c r="D329" s="94" t="s">
        <v>6242</v>
      </c>
      <c r="E329" s="92" t="s">
        <v>227</v>
      </c>
    </row>
    <row r="330">
      <c r="A330" s="92">
        <v>38.0</v>
      </c>
      <c r="B330" s="92" t="s">
        <v>6244</v>
      </c>
      <c r="C330" s="92">
        <v>2.5261042E8</v>
      </c>
      <c r="D330" s="94" t="s">
        <v>6245</v>
      </c>
      <c r="E330" s="92" t="s">
        <v>227</v>
      </c>
    </row>
    <row r="331">
      <c r="A331" s="92">
        <v>39.0</v>
      </c>
      <c r="B331" s="92" t="s">
        <v>6247</v>
      </c>
      <c r="C331" s="92">
        <v>2.52610421E8</v>
      </c>
      <c r="D331" s="94" t="s">
        <v>6248</v>
      </c>
      <c r="E331" s="92" t="s">
        <v>227</v>
      </c>
    </row>
    <row r="332">
      <c r="A332" s="92">
        <v>40.0</v>
      </c>
      <c r="B332" s="92" t="s">
        <v>6250</v>
      </c>
      <c r="C332" s="92">
        <v>2.52610444E8</v>
      </c>
      <c r="D332" s="94" t="s">
        <v>6251</v>
      </c>
      <c r="E332" s="92" t="s">
        <v>227</v>
      </c>
    </row>
    <row r="333">
      <c r="A333" s="92">
        <v>41.0</v>
      </c>
      <c r="B333" s="92" t="s">
        <v>6253</v>
      </c>
      <c r="C333" s="92">
        <v>2.52610445E8</v>
      </c>
      <c r="D333" s="94" t="s">
        <v>6254</v>
      </c>
      <c r="E333" s="92" t="s">
        <v>227</v>
      </c>
    </row>
    <row r="334">
      <c r="A334" s="92">
        <v>42.0</v>
      </c>
      <c r="B334" s="92" t="s">
        <v>6256</v>
      </c>
      <c r="C334" s="92">
        <v>2.52610463E8</v>
      </c>
      <c r="D334" s="94" t="s">
        <v>6257</v>
      </c>
      <c r="E334" s="92" t="s">
        <v>220</v>
      </c>
    </row>
    <row r="335">
      <c r="A335" s="92">
        <v>43.0</v>
      </c>
      <c r="B335" s="92" t="s">
        <v>6259</v>
      </c>
      <c r="C335" s="92">
        <v>2.5261047E8</v>
      </c>
      <c r="D335" s="94" t="s">
        <v>6260</v>
      </c>
      <c r="E335" s="92" t="s">
        <v>220</v>
      </c>
    </row>
    <row r="336">
      <c r="A336" s="92">
        <v>44.0</v>
      </c>
      <c r="B336" s="92" t="s">
        <v>6262</v>
      </c>
      <c r="C336" s="92">
        <v>2.526105E8</v>
      </c>
      <c r="D336" s="94" t="s">
        <v>6263</v>
      </c>
      <c r="E336" s="92" t="s">
        <v>220</v>
      </c>
    </row>
    <row r="337">
      <c r="A337" s="92">
        <v>45.0</v>
      </c>
      <c r="B337" s="92" t="s">
        <v>6265</v>
      </c>
      <c r="C337" s="92">
        <v>2.52610522E8</v>
      </c>
      <c r="D337" s="94" t="s">
        <v>6266</v>
      </c>
      <c r="E337" s="92" t="s">
        <v>227</v>
      </c>
    </row>
    <row r="338">
      <c r="A338" s="92">
        <v>46.0</v>
      </c>
      <c r="B338" s="92" t="s">
        <v>6268</v>
      </c>
      <c r="C338" s="92">
        <v>2.52610536E8</v>
      </c>
      <c r="D338" s="94" t="s">
        <v>6269</v>
      </c>
      <c r="E338" s="92" t="s">
        <v>227</v>
      </c>
    </row>
    <row r="339">
      <c r="A339" s="92">
        <v>47.0</v>
      </c>
      <c r="B339" s="92" t="s">
        <v>6271</v>
      </c>
      <c r="C339" s="92">
        <v>2.52610548E8</v>
      </c>
      <c r="D339" s="94" t="s">
        <v>6272</v>
      </c>
      <c r="E339" s="92" t="s">
        <v>227</v>
      </c>
    </row>
    <row r="340">
      <c r="A340" s="92">
        <v>48.0</v>
      </c>
      <c r="B340" s="92" t="s">
        <v>6274</v>
      </c>
      <c r="C340" s="92">
        <v>2.52610558E8</v>
      </c>
      <c r="D340" s="94" t="s">
        <v>6275</v>
      </c>
      <c r="E340" s="92" t="s">
        <v>220</v>
      </c>
    </row>
    <row r="341">
      <c r="A341" s="167"/>
      <c r="B341" s="167"/>
      <c r="C341" s="167"/>
      <c r="D341" s="167"/>
      <c r="E341" s="167"/>
    </row>
    <row r="342">
      <c r="A342" s="167"/>
      <c r="B342" s="167"/>
      <c r="C342" s="167"/>
      <c r="D342" s="94" t="s">
        <v>9262</v>
      </c>
      <c r="E342" s="92">
        <f>COUNTIF(E294:E340,"P")</f>
        <v>30</v>
      </c>
    </row>
    <row r="343">
      <c r="A343" s="167"/>
      <c r="B343" s="167"/>
      <c r="C343" s="167"/>
      <c r="D343" s="94" t="s">
        <v>9263</v>
      </c>
      <c r="E343" s="92">
        <f>COUNTIF(E294:E340,"L")</f>
        <v>17</v>
      </c>
    </row>
    <row r="344">
      <c r="A344" s="167"/>
      <c r="B344" s="167"/>
      <c r="C344" s="167"/>
      <c r="D344" s="167"/>
      <c r="E344" s="167"/>
    </row>
    <row r="345">
      <c r="A345" s="167"/>
      <c r="B345" s="167"/>
      <c r="C345" s="167"/>
      <c r="D345" s="167"/>
      <c r="E345" s="167"/>
    </row>
    <row r="346">
      <c r="A346" s="167" t="s">
        <v>8874</v>
      </c>
      <c r="B346" s="167"/>
      <c r="C346" s="167"/>
      <c r="D346" s="167"/>
      <c r="E346" s="167" t="s">
        <v>6279</v>
      </c>
    </row>
    <row r="347">
      <c r="A347" s="356" t="s">
        <v>9249</v>
      </c>
      <c r="B347" s="356" t="s">
        <v>9</v>
      </c>
      <c r="C347" s="356" t="s">
        <v>5246</v>
      </c>
      <c r="D347" s="356" t="s">
        <v>201</v>
      </c>
      <c r="E347" s="356" t="s">
        <v>13</v>
      </c>
    </row>
    <row r="348">
      <c r="A348" s="92">
        <v>1.0</v>
      </c>
      <c r="B348" s="92" t="s">
        <v>6277</v>
      </c>
      <c r="C348" s="92">
        <v>2.52610003E8</v>
      </c>
      <c r="D348" s="94" t="s">
        <v>6278</v>
      </c>
      <c r="E348" s="92" t="s">
        <v>220</v>
      </c>
    </row>
    <row r="349">
      <c r="A349" s="92">
        <v>2.0</v>
      </c>
      <c r="B349" s="92" t="s">
        <v>6281</v>
      </c>
      <c r="C349" s="92">
        <v>2.52610019E8</v>
      </c>
      <c r="D349" s="94" t="s">
        <v>6282</v>
      </c>
      <c r="E349" s="92" t="s">
        <v>220</v>
      </c>
    </row>
    <row r="350">
      <c r="A350" s="92">
        <v>3.0</v>
      </c>
      <c r="B350" s="92" t="s">
        <v>6284</v>
      </c>
      <c r="C350" s="92">
        <v>2.52610027E8</v>
      </c>
      <c r="D350" s="94" t="s">
        <v>6285</v>
      </c>
      <c r="E350" s="92" t="s">
        <v>227</v>
      </c>
    </row>
    <row r="351">
      <c r="A351" s="92">
        <v>4.0</v>
      </c>
      <c r="B351" s="92" t="s">
        <v>6288</v>
      </c>
      <c r="C351" s="92">
        <v>2.52610071E8</v>
      </c>
      <c r="D351" s="94" t="s">
        <v>6289</v>
      </c>
      <c r="E351" s="92" t="s">
        <v>227</v>
      </c>
    </row>
    <row r="352">
      <c r="A352" s="92">
        <v>5.0</v>
      </c>
      <c r="B352" s="92" t="s">
        <v>6291</v>
      </c>
      <c r="C352" s="92">
        <v>2.52610073E8</v>
      </c>
      <c r="D352" s="94" t="s">
        <v>6292</v>
      </c>
      <c r="E352" s="92" t="s">
        <v>227</v>
      </c>
    </row>
    <row r="353">
      <c r="A353" s="92">
        <v>6.0</v>
      </c>
      <c r="B353" s="92" t="s">
        <v>6294</v>
      </c>
      <c r="C353" s="92">
        <v>2.52610078E8</v>
      </c>
      <c r="D353" s="94" t="s">
        <v>6295</v>
      </c>
      <c r="E353" s="92" t="s">
        <v>220</v>
      </c>
    </row>
    <row r="354">
      <c r="A354" s="92">
        <v>7.0</v>
      </c>
      <c r="B354" s="92" t="s">
        <v>6298</v>
      </c>
      <c r="C354" s="92">
        <v>2.52610086E8</v>
      </c>
      <c r="D354" s="94" t="s">
        <v>6299</v>
      </c>
      <c r="E354" s="92" t="s">
        <v>227</v>
      </c>
    </row>
    <row r="355">
      <c r="A355" s="92">
        <v>8.0</v>
      </c>
      <c r="B355" s="92" t="s">
        <v>6301</v>
      </c>
      <c r="C355" s="92">
        <v>2.52610092E8</v>
      </c>
      <c r="D355" s="94" t="s">
        <v>6302</v>
      </c>
      <c r="E355" s="92" t="s">
        <v>220</v>
      </c>
    </row>
    <row r="356">
      <c r="A356" s="92">
        <v>9.0</v>
      </c>
      <c r="B356" s="92" t="s">
        <v>6304</v>
      </c>
      <c r="C356" s="92">
        <v>2.52610095E8</v>
      </c>
      <c r="D356" s="94" t="s">
        <v>6305</v>
      </c>
      <c r="E356" s="92" t="s">
        <v>227</v>
      </c>
    </row>
    <row r="357">
      <c r="A357" s="92">
        <v>10.0</v>
      </c>
      <c r="B357" s="92" t="s">
        <v>6307</v>
      </c>
      <c r="C357" s="92">
        <v>2.52610117E8</v>
      </c>
      <c r="D357" s="94" t="s">
        <v>6308</v>
      </c>
      <c r="E357" s="92" t="s">
        <v>227</v>
      </c>
    </row>
    <row r="358">
      <c r="A358" s="92">
        <v>11.0</v>
      </c>
      <c r="B358" s="92" t="s">
        <v>6310</v>
      </c>
      <c r="C358" s="92">
        <v>2.52610133E8</v>
      </c>
      <c r="D358" s="94" t="s">
        <v>6311</v>
      </c>
      <c r="E358" s="92" t="s">
        <v>227</v>
      </c>
    </row>
    <row r="359">
      <c r="A359" s="92">
        <v>12.0</v>
      </c>
      <c r="B359" s="92" t="s">
        <v>6313</v>
      </c>
      <c r="C359" s="92">
        <v>2.52610135E8</v>
      </c>
      <c r="D359" s="94" t="s">
        <v>6314</v>
      </c>
      <c r="E359" s="92" t="s">
        <v>220</v>
      </c>
    </row>
    <row r="360">
      <c r="A360" s="92">
        <v>13.0</v>
      </c>
      <c r="B360" s="92" t="s">
        <v>6316</v>
      </c>
      <c r="C360" s="92">
        <v>2.52610146E8</v>
      </c>
      <c r="D360" s="94" t="s">
        <v>6317</v>
      </c>
      <c r="E360" s="92" t="s">
        <v>227</v>
      </c>
    </row>
    <row r="361">
      <c r="A361" s="92">
        <v>14.0</v>
      </c>
      <c r="B361" s="92" t="s">
        <v>6319</v>
      </c>
      <c r="C361" s="92">
        <v>2.52610178E8</v>
      </c>
      <c r="D361" s="94" t="s">
        <v>6320</v>
      </c>
      <c r="E361" s="92" t="s">
        <v>227</v>
      </c>
    </row>
    <row r="362">
      <c r="A362" s="92">
        <v>15.0</v>
      </c>
      <c r="B362" s="92" t="s">
        <v>6322</v>
      </c>
      <c r="C362" s="92">
        <v>2.52610211E8</v>
      </c>
      <c r="D362" s="94" t="s">
        <v>6323</v>
      </c>
      <c r="E362" s="92" t="s">
        <v>220</v>
      </c>
    </row>
    <row r="363">
      <c r="A363" s="92">
        <v>16.0</v>
      </c>
      <c r="B363" s="92" t="s">
        <v>6325</v>
      </c>
      <c r="C363" s="92">
        <v>2.52610212E8</v>
      </c>
      <c r="D363" s="94" t="s">
        <v>6326</v>
      </c>
      <c r="E363" s="92" t="s">
        <v>227</v>
      </c>
    </row>
    <row r="364">
      <c r="A364" s="92">
        <v>17.0</v>
      </c>
      <c r="B364" s="92" t="s">
        <v>6328</v>
      </c>
      <c r="C364" s="92">
        <v>2.5261022E8</v>
      </c>
      <c r="D364" s="94" t="s">
        <v>6329</v>
      </c>
      <c r="E364" s="92" t="s">
        <v>227</v>
      </c>
    </row>
    <row r="365">
      <c r="A365" s="92">
        <v>18.0</v>
      </c>
      <c r="B365" s="92" t="s">
        <v>6331</v>
      </c>
      <c r="C365" s="92">
        <v>2.52610231E8</v>
      </c>
      <c r="D365" s="94" t="s">
        <v>6332</v>
      </c>
      <c r="E365" s="92" t="s">
        <v>220</v>
      </c>
    </row>
    <row r="366">
      <c r="A366" s="92">
        <v>19.0</v>
      </c>
      <c r="B366" s="92" t="s">
        <v>6334</v>
      </c>
      <c r="C366" s="92">
        <v>2.52610232E8</v>
      </c>
      <c r="D366" s="94" t="s">
        <v>6335</v>
      </c>
      <c r="E366" s="92" t="s">
        <v>220</v>
      </c>
    </row>
    <row r="367">
      <c r="A367" s="92">
        <v>20.0</v>
      </c>
      <c r="B367" s="92" t="s">
        <v>6337</v>
      </c>
      <c r="C367" s="92">
        <v>2.52610236E8</v>
      </c>
      <c r="D367" s="94" t="s">
        <v>6338</v>
      </c>
      <c r="E367" s="92" t="s">
        <v>227</v>
      </c>
    </row>
    <row r="368">
      <c r="A368" s="92">
        <v>21.0</v>
      </c>
      <c r="B368" s="92" t="s">
        <v>6340</v>
      </c>
      <c r="C368" s="92">
        <v>2.5261024E8</v>
      </c>
      <c r="D368" s="94" t="s">
        <v>6341</v>
      </c>
      <c r="E368" s="92" t="s">
        <v>220</v>
      </c>
    </row>
    <row r="369">
      <c r="A369" s="92">
        <v>22.0</v>
      </c>
      <c r="B369" s="92" t="s">
        <v>6343</v>
      </c>
      <c r="C369" s="92">
        <v>2.52610248E8</v>
      </c>
      <c r="D369" s="94" t="s">
        <v>6344</v>
      </c>
      <c r="E369" s="92" t="s">
        <v>227</v>
      </c>
    </row>
    <row r="370">
      <c r="A370" s="92">
        <v>23.0</v>
      </c>
      <c r="B370" s="92" t="s">
        <v>6346</v>
      </c>
      <c r="C370" s="92">
        <v>2.52610256E8</v>
      </c>
      <c r="D370" s="94" t="s">
        <v>6347</v>
      </c>
      <c r="E370" s="92" t="s">
        <v>227</v>
      </c>
    </row>
    <row r="371">
      <c r="A371" s="92">
        <v>24.0</v>
      </c>
      <c r="B371" s="92" t="s">
        <v>6350</v>
      </c>
      <c r="C371" s="92">
        <v>2.52610263E8</v>
      </c>
      <c r="D371" s="94" t="s">
        <v>6351</v>
      </c>
      <c r="E371" s="92" t="s">
        <v>227</v>
      </c>
    </row>
    <row r="372">
      <c r="A372" s="92">
        <v>25.0</v>
      </c>
      <c r="B372" s="92" t="s">
        <v>6353</v>
      </c>
      <c r="C372" s="92">
        <v>2.52610297E8</v>
      </c>
      <c r="D372" s="94" t="s">
        <v>6354</v>
      </c>
      <c r="E372" s="92" t="s">
        <v>227</v>
      </c>
    </row>
    <row r="373">
      <c r="A373" s="92">
        <v>26.0</v>
      </c>
      <c r="B373" s="92" t="s">
        <v>6356</v>
      </c>
      <c r="C373" s="92">
        <v>2.52610325E8</v>
      </c>
      <c r="D373" s="94" t="s">
        <v>6357</v>
      </c>
      <c r="E373" s="92" t="s">
        <v>220</v>
      </c>
    </row>
    <row r="374">
      <c r="A374" s="92">
        <v>27.0</v>
      </c>
      <c r="B374" s="92" t="s">
        <v>6359</v>
      </c>
      <c r="C374" s="92">
        <v>2.52610337E8</v>
      </c>
      <c r="D374" s="94" t="s">
        <v>6360</v>
      </c>
      <c r="E374" s="92" t="s">
        <v>220</v>
      </c>
    </row>
    <row r="375">
      <c r="A375" s="92">
        <v>28.0</v>
      </c>
      <c r="B375" s="92" t="s">
        <v>6362</v>
      </c>
      <c r="C375" s="92">
        <v>2.52610341E8</v>
      </c>
      <c r="D375" s="94" t="s">
        <v>6363</v>
      </c>
      <c r="E375" s="92" t="s">
        <v>220</v>
      </c>
    </row>
    <row r="376">
      <c r="A376" s="92">
        <v>29.0</v>
      </c>
      <c r="B376" s="92" t="s">
        <v>6365</v>
      </c>
      <c r="C376" s="92">
        <v>2.52610344E8</v>
      </c>
      <c r="D376" s="94" t="s">
        <v>6366</v>
      </c>
      <c r="E376" s="92" t="s">
        <v>220</v>
      </c>
    </row>
    <row r="377">
      <c r="A377" s="92">
        <v>30.0</v>
      </c>
      <c r="B377" s="92" t="s">
        <v>6368</v>
      </c>
      <c r="C377" s="92">
        <v>2.52610347E8</v>
      </c>
      <c r="D377" s="94" t="s">
        <v>6369</v>
      </c>
      <c r="E377" s="92" t="s">
        <v>220</v>
      </c>
    </row>
    <row r="378">
      <c r="A378" s="92">
        <v>31.0</v>
      </c>
      <c r="B378" s="92" t="s">
        <v>6371</v>
      </c>
      <c r="C378" s="92">
        <v>2.52610358E8</v>
      </c>
      <c r="D378" s="94" t="s">
        <v>6372</v>
      </c>
      <c r="E378" s="92" t="s">
        <v>220</v>
      </c>
    </row>
    <row r="379">
      <c r="A379" s="92">
        <v>32.0</v>
      </c>
      <c r="B379" s="92" t="s">
        <v>6374</v>
      </c>
      <c r="C379" s="92">
        <v>2.52610368E8</v>
      </c>
      <c r="D379" s="94" t="s">
        <v>6375</v>
      </c>
      <c r="E379" s="92" t="s">
        <v>220</v>
      </c>
    </row>
    <row r="380">
      <c r="A380" s="92">
        <v>33.0</v>
      </c>
      <c r="B380" s="92" t="s">
        <v>6377</v>
      </c>
      <c r="C380" s="92">
        <v>2.52610372E8</v>
      </c>
      <c r="D380" s="94" t="s">
        <v>6378</v>
      </c>
      <c r="E380" s="92" t="s">
        <v>220</v>
      </c>
    </row>
    <row r="381">
      <c r="A381" s="92">
        <v>34.0</v>
      </c>
      <c r="B381" s="92" t="s">
        <v>6380</v>
      </c>
      <c r="C381" s="92">
        <v>2.52610397E8</v>
      </c>
      <c r="D381" s="94" t="s">
        <v>6381</v>
      </c>
      <c r="E381" s="92" t="s">
        <v>220</v>
      </c>
    </row>
    <row r="382">
      <c r="A382" s="92">
        <v>35.0</v>
      </c>
      <c r="B382" s="92" t="s">
        <v>6383</v>
      </c>
      <c r="C382" s="92">
        <v>2.52610398E8</v>
      </c>
      <c r="D382" s="94" t="s">
        <v>6384</v>
      </c>
      <c r="E382" s="92" t="s">
        <v>227</v>
      </c>
    </row>
    <row r="383">
      <c r="A383" s="92">
        <v>36.0</v>
      </c>
      <c r="B383" s="92" t="s">
        <v>6386</v>
      </c>
      <c r="C383" s="92">
        <v>2.52610425E8</v>
      </c>
      <c r="D383" s="94" t="s">
        <v>6387</v>
      </c>
      <c r="E383" s="92" t="s">
        <v>227</v>
      </c>
    </row>
    <row r="384">
      <c r="A384" s="92">
        <v>37.0</v>
      </c>
      <c r="B384" s="92" t="s">
        <v>6389</v>
      </c>
      <c r="C384" s="92">
        <v>2.52610441E8</v>
      </c>
      <c r="D384" s="94" t="s">
        <v>6390</v>
      </c>
      <c r="E384" s="92" t="s">
        <v>227</v>
      </c>
    </row>
    <row r="385">
      <c r="A385" s="92">
        <v>38.0</v>
      </c>
      <c r="B385" s="92" t="s">
        <v>6392</v>
      </c>
      <c r="C385" s="92">
        <v>2.52610457E8</v>
      </c>
      <c r="D385" s="94" t="s">
        <v>6393</v>
      </c>
      <c r="E385" s="92" t="s">
        <v>227</v>
      </c>
    </row>
    <row r="386">
      <c r="A386" s="92">
        <v>39.0</v>
      </c>
      <c r="B386" s="92" t="s">
        <v>6395</v>
      </c>
      <c r="C386" s="92">
        <v>2.5261046E8</v>
      </c>
      <c r="D386" s="94" t="s">
        <v>6396</v>
      </c>
      <c r="E386" s="92" t="s">
        <v>220</v>
      </c>
    </row>
    <row r="387">
      <c r="A387" s="92">
        <v>40.0</v>
      </c>
      <c r="B387" s="92" t="s">
        <v>6398</v>
      </c>
      <c r="C387" s="92">
        <v>2.52610465E8</v>
      </c>
      <c r="D387" s="94" t="s">
        <v>6399</v>
      </c>
      <c r="E387" s="92" t="s">
        <v>227</v>
      </c>
    </row>
    <row r="388">
      <c r="A388" s="92">
        <v>41.0</v>
      </c>
      <c r="B388" s="92" t="s">
        <v>6401</v>
      </c>
      <c r="C388" s="92">
        <v>2.52610473E8</v>
      </c>
      <c r="D388" s="94" t="s">
        <v>6402</v>
      </c>
      <c r="E388" s="92" t="s">
        <v>227</v>
      </c>
    </row>
    <row r="389">
      <c r="A389" s="92">
        <v>42.0</v>
      </c>
      <c r="B389" s="92" t="s">
        <v>6404</v>
      </c>
      <c r="C389" s="92">
        <v>2.52610487E8</v>
      </c>
      <c r="D389" s="94" t="s">
        <v>6405</v>
      </c>
      <c r="E389" s="92" t="s">
        <v>220</v>
      </c>
    </row>
    <row r="390">
      <c r="A390" s="92">
        <v>43.0</v>
      </c>
      <c r="B390" s="92" t="s">
        <v>6407</v>
      </c>
      <c r="C390" s="92">
        <v>2.52610511E8</v>
      </c>
      <c r="D390" s="94" t="s">
        <v>6408</v>
      </c>
      <c r="E390" s="92" t="s">
        <v>227</v>
      </c>
    </row>
    <row r="391">
      <c r="A391" s="92">
        <v>44.0</v>
      </c>
      <c r="B391" s="92" t="s">
        <v>6410</v>
      </c>
      <c r="C391" s="92">
        <v>2.5261053E8</v>
      </c>
      <c r="D391" s="94" t="s">
        <v>6411</v>
      </c>
      <c r="E391" s="92" t="s">
        <v>227</v>
      </c>
    </row>
    <row r="392">
      <c r="A392" s="92">
        <v>45.0</v>
      </c>
      <c r="B392" s="92" t="s">
        <v>6413</v>
      </c>
      <c r="C392" s="92">
        <v>2.52610537E8</v>
      </c>
      <c r="D392" s="94" t="s">
        <v>6414</v>
      </c>
      <c r="E392" s="92" t="s">
        <v>227</v>
      </c>
    </row>
    <row r="393">
      <c r="A393" s="92">
        <v>46.0</v>
      </c>
      <c r="B393" s="92" t="s">
        <v>6416</v>
      </c>
      <c r="C393" s="92">
        <v>2.52610542E8</v>
      </c>
      <c r="D393" s="94" t="s">
        <v>6417</v>
      </c>
      <c r="E393" s="92" t="s">
        <v>227</v>
      </c>
    </row>
    <row r="394">
      <c r="A394" s="167"/>
      <c r="B394" s="167"/>
      <c r="C394" s="167"/>
      <c r="D394" s="167"/>
      <c r="E394" s="167"/>
    </row>
    <row r="395">
      <c r="A395" s="167"/>
      <c r="B395" s="167"/>
      <c r="C395" s="167"/>
      <c r="D395" s="94" t="s">
        <v>9262</v>
      </c>
      <c r="E395" s="92">
        <f>COUNTIF(E348:E393,"P")</f>
        <v>26</v>
      </c>
    </row>
    <row r="396">
      <c r="A396" s="167"/>
      <c r="B396" s="167"/>
      <c r="C396" s="167"/>
      <c r="D396" s="94" t="s">
        <v>9263</v>
      </c>
      <c r="E396" s="92">
        <f>COUNTIF(E347:E393,"L")</f>
        <v>20</v>
      </c>
    </row>
    <row r="397">
      <c r="A397" s="167"/>
      <c r="B397" s="167"/>
      <c r="C397" s="167"/>
      <c r="D397" s="167"/>
      <c r="E397" s="167"/>
    </row>
    <row r="398">
      <c r="A398" s="167"/>
      <c r="B398" s="167"/>
      <c r="C398" s="167"/>
      <c r="D398" s="167"/>
      <c r="E398" s="167"/>
    </row>
    <row r="399">
      <c r="A399" s="167" t="s">
        <v>9332</v>
      </c>
      <c r="B399" s="167"/>
      <c r="C399" s="167"/>
      <c r="D399" s="167"/>
      <c r="E399" s="167" t="s">
        <v>6421</v>
      </c>
    </row>
    <row r="400">
      <c r="A400" s="356" t="s">
        <v>9249</v>
      </c>
      <c r="B400" s="356" t="s">
        <v>9</v>
      </c>
      <c r="C400" s="356" t="s">
        <v>5246</v>
      </c>
      <c r="D400" s="356" t="s">
        <v>201</v>
      </c>
      <c r="E400" s="356" t="s">
        <v>13</v>
      </c>
    </row>
    <row r="401">
      <c r="A401" s="92">
        <v>1.0</v>
      </c>
      <c r="B401" s="92" t="s">
        <v>6419</v>
      </c>
      <c r="C401" s="92">
        <v>2.52610001E8</v>
      </c>
      <c r="D401" s="94" t="s">
        <v>6420</v>
      </c>
      <c r="E401" s="92" t="s">
        <v>220</v>
      </c>
    </row>
    <row r="402">
      <c r="A402" s="92">
        <v>2.0</v>
      </c>
      <c r="B402" s="92" t="s">
        <v>6423</v>
      </c>
      <c r="C402" s="92">
        <v>2.52610012E8</v>
      </c>
      <c r="D402" s="94" t="s">
        <v>6424</v>
      </c>
      <c r="E402" s="92" t="s">
        <v>220</v>
      </c>
    </row>
    <row r="403">
      <c r="A403" s="92">
        <v>3.0</v>
      </c>
      <c r="B403" s="92" t="s">
        <v>6427</v>
      </c>
      <c r="C403" s="92">
        <v>2.52610014E8</v>
      </c>
      <c r="D403" s="94" t="s">
        <v>6428</v>
      </c>
      <c r="E403" s="92" t="s">
        <v>227</v>
      </c>
    </row>
    <row r="404">
      <c r="A404" s="92">
        <v>4.0</v>
      </c>
      <c r="B404" s="92" t="s">
        <v>6430</v>
      </c>
      <c r="C404" s="92">
        <v>2.5261002E8</v>
      </c>
      <c r="D404" s="94" t="s">
        <v>6431</v>
      </c>
      <c r="E404" s="92" t="s">
        <v>220</v>
      </c>
    </row>
    <row r="405">
      <c r="A405" s="92">
        <v>5.0</v>
      </c>
      <c r="B405" s="92" t="s">
        <v>6433</v>
      </c>
      <c r="C405" s="92">
        <v>2.52610032E8</v>
      </c>
      <c r="D405" s="94" t="s">
        <v>6434</v>
      </c>
      <c r="E405" s="92" t="s">
        <v>220</v>
      </c>
    </row>
    <row r="406">
      <c r="A406" s="92">
        <v>6.0</v>
      </c>
      <c r="B406" s="92" t="s">
        <v>6436</v>
      </c>
      <c r="C406" s="92">
        <v>2.52610037E8</v>
      </c>
      <c r="D406" s="94" t="s">
        <v>6437</v>
      </c>
      <c r="E406" s="92" t="s">
        <v>227</v>
      </c>
    </row>
    <row r="407">
      <c r="A407" s="92">
        <v>7.0</v>
      </c>
      <c r="B407" s="92" t="s">
        <v>6440</v>
      </c>
      <c r="C407" s="92">
        <v>2.52610054E8</v>
      </c>
      <c r="D407" s="94" t="s">
        <v>6441</v>
      </c>
      <c r="E407" s="92" t="s">
        <v>227</v>
      </c>
    </row>
    <row r="408">
      <c r="A408" s="92">
        <v>8.0</v>
      </c>
      <c r="B408" s="92" t="s">
        <v>6443</v>
      </c>
      <c r="C408" s="92">
        <v>2.52610059E8</v>
      </c>
      <c r="D408" s="94" t="s">
        <v>6444</v>
      </c>
      <c r="E408" s="92" t="s">
        <v>220</v>
      </c>
    </row>
    <row r="409">
      <c r="A409" s="92">
        <v>9.0</v>
      </c>
      <c r="B409" s="92" t="s">
        <v>6446</v>
      </c>
      <c r="C409" s="92">
        <v>2.52610089E8</v>
      </c>
      <c r="D409" s="94" t="s">
        <v>6447</v>
      </c>
      <c r="E409" s="92" t="s">
        <v>227</v>
      </c>
    </row>
    <row r="410">
      <c r="A410" s="92">
        <v>10.0</v>
      </c>
      <c r="B410" s="92" t="s">
        <v>6449</v>
      </c>
      <c r="C410" s="92">
        <v>2.52610091E8</v>
      </c>
      <c r="D410" s="94" t="s">
        <v>6450</v>
      </c>
      <c r="E410" s="92" t="s">
        <v>227</v>
      </c>
    </row>
    <row r="411">
      <c r="A411" s="92">
        <v>11.0</v>
      </c>
      <c r="B411" s="92" t="s">
        <v>6452</v>
      </c>
      <c r="C411" s="92">
        <v>2.52610099E8</v>
      </c>
      <c r="D411" s="94" t="s">
        <v>6453</v>
      </c>
      <c r="E411" s="92" t="s">
        <v>227</v>
      </c>
    </row>
    <row r="412">
      <c r="A412" s="92">
        <v>12.0</v>
      </c>
      <c r="B412" s="92" t="s">
        <v>6455</v>
      </c>
      <c r="C412" s="92">
        <v>2.52610103E8</v>
      </c>
      <c r="D412" s="94" t="s">
        <v>6456</v>
      </c>
      <c r="E412" s="92" t="s">
        <v>227</v>
      </c>
    </row>
    <row r="413">
      <c r="A413" s="92">
        <v>13.0</v>
      </c>
      <c r="B413" s="92" t="s">
        <v>6458</v>
      </c>
      <c r="C413" s="92">
        <v>2.52610119E8</v>
      </c>
      <c r="D413" s="94" t="s">
        <v>6459</v>
      </c>
      <c r="E413" s="92" t="s">
        <v>227</v>
      </c>
    </row>
    <row r="414">
      <c r="A414" s="92">
        <v>14.0</v>
      </c>
      <c r="B414" s="92" t="s">
        <v>6461</v>
      </c>
      <c r="C414" s="92">
        <v>2.52610128E8</v>
      </c>
      <c r="D414" s="94" t="s">
        <v>6462</v>
      </c>
      <c r="E414" s="92" t="s">
        <v>220</v>
      </c>
    </row>
    <row r="415">
      <c r="A415" s="92">
        <v>16.0</v>
      </c>
      <c r="B415" s="92" t="s">
        <v>6464</v>
      </c>
      <c r="C415" s="92">
        <v>2.52610165E8</v>
      </c>
      <c r="D415" s="94" t="s">
        <v>6465</v>
      </c>
      <c r="E415" s="92" t="s">
        <v>227</v>
      </c>
    </row>
    <row r="416">
      <c r="A416" s="92">
        <v>17.0</v>
      </c>
      <c r="B416" s="92" t="s">
        <v>6467</v>
      </c>
      <c r="C416" s="92">
        <v>2.52610168E8</v>
      </c>
      <c r="D416" s="94" t="s">
        <v>6468</v>
      </c>
      <c r="E416" s="92" t="s">
        <v>227</v>
      </c>
    </row>
    <row r="417">
      <c r="A417" s="92">
        <v>18.0</v>
      </c>
      <c r="B417" s="92" t="s">
        <v>6470</v>
      </c>
      <c r="C417" s="92">
        <v>2.52610169E8</v>
      </c>
      <c r="D417" s="94" t="s">
        <v>6471</v>
      </c>
      <c r="E417" s="92" t="s">
        <v>220</v>
      </c>
    </row>
    <row r="418">
      <c r="A418" s="92">
        <v>19.0</v>
      </c>
      <c r="B418" s="92" t="s">
        <v>6473</v>
      </c>
      <c r="C418" s="92">
        <v>2.52610222E8</v>
      </c>
      <c r="D418" s="94" t="s">
        <v>6474</v>
      </c>
      <c r="E418" s="92" t="s">
        <v>227</v>
      </c>
    </row>
    <row r="419">
      <c r="A419" s="92">
        <v>20.0</v>
      </c>
      <c r="B419" s="92" t="s">
        <v>6476</v>
      </c>
      <c r="C419" s="92">
        <v>2.52610226E8</v>
      </c>
      <c r="D419" s="94" t="s">
        <v>6477</v>
      </c>
      <c r="E419" s="92" t="s">
        <v>227</v>
      </c>
    </row>
    <row r="420">
      <c r="A420" s="92">
        <v>21.0</v>
      </c>
      <c r="B420" s="92" t="s">
        <v>6479</v>
      </c>
      <c r="C420" s="92">
        <v>2.52610234E8</v>
      </c>
      <c r="D420" s="94" t="s">
        <v>6480</v>
      </c>
      <c r="E420" s="92" t="s">
        <v>227</v>
      </c>
    </row>
    <row r="421">
      <c r="A421" s="92">
        <v>22.0</v>
      </c>
      <c r="B421" s="92" t="s">
        <v>6482</v>
      </c>
      <c r="C421" s="92">
        <v>2.52610235E8</v>
      </c>
      <c r="D421" s="94" t="s">
        <v>6483</v>
      </c>
      <c r="E421" s="92" t="s">
        <v>227</v>
      </c>
    </row>
    <row r="422">
      <c r="A422" s="92">
        <v>24.0</v>
      </c>
      <c r="B422" s="92" t="s">
        <v>6485</v>
      </c>
      <c r="C422" s="92">
        <v>2.52610243E8</v>
      </c>
      <c r="D422" s="94" t="s">
        <v>6486</v>
      </c>
      <c r="E422" s="92" t="s">
        <v>220</v>
      </c>
    </row>
    <row r="423">
      <c r="A423" s="92">
        <v>25.0</v>
      </c>
      <c r="B423" s="92" t="s">
        <v>6488</v>
      </c>
      <c r="C423" s="92">
        <v>2.52610251E8</v>
      </c>
      <c r="D423" s="94" t="s">
        <v>6489</v>
      </c>
      <c r="E423" s="92" t="s">
        <v>220</v>
      </c>
    </row>
    <row r="424">
      <c r="A424" s="92">
        <v>26.0</v>
      </c>
      <c r="B424" s="92" t="s">
        <v>6491</v>
      </c>
      <c r="C424" s="92">
        <v>2.52610262E8</v>
      </c>
      <c r="D424" s="94" t="s">
        <v>6492</v>
      </c>
      <c r="E424" s="92" t="s">
        <v>227</v>
      </c>
    </row>
    <row r="425">
      <c r="A425" s="92">
        <v>27.0</v>
      </c>
      <c r="B425" s="92" t="s">
        <v>6494</v>
      </c>
      <c r="C425" s="92">
        <v>2.52610272E8</v>
      </c>
      <c r="D425" s="94" t="s">
        <v>6495</v>
      </c>
      <c r="E425" s="92" t="s">
        <v>227</v>
      </c>
    </row>
    <row r="426">
      <c r="A426" s="92">
        <v>28.0</v>
      </c>
      <c r="B426" s="92" t="s">
        <v>94</v>
      </c>
      <c r="C426" s="92">
        <v>2.52610283E8</v>
      </c>
      <c r="D426" s="94" t="s">
        <v>6498</v>
      </c>
      <c r="E426" s="92" t="s">
        <v>227</v>
      </c>
    </row>
    <row r="427">
      <c r="A427" s="92">
        <v>29.0</v>
      </c>
      <c r="B427" s="92" t="s">
        <v>6500</v>
      </c>
      <c r="C427" s="92">
        <v>2.52610305E8</v>
      </c>
      <c r="D427" s="94" t="s">
        <v>6501</v>
      </c>
      <c r="E427" s="92" t="s">
        <v>220</v>
      </c>
    </row>
    <row r="428">
      <c r="A428" s="92">
        <v>30.0</v>
      </c>
      <c r="B428" s="92" t="s">
        <v>6503</v>
      </c>
      <c r="C428" s="92">
        <v>2.52610327E8</v>
      </c>
      <c r="D428" s="94" t="s">
        <v>6504</v>
      </c>
      <c r="E428" s="92" t="s">
        <v>220</v>
      </c>
    </row>
    <row r="429">
      <c r="A429" s="92">
        <v>31.0</v>
      </c>
      <c r="B429" s="92" t="s">
        <v>6506</v>
      </c>
      <c r="C429" s="92">
        <v>2.52610335E8</v>
      </c>
      <c r="D429" s="94" t="s">
        <v>6507</v>
      </c>
      <c r="E429" s="92" t="s">
        <v>220</v>
      </c>
    </row>
    <row r="430">
      <c r="A430" s="92">
        <v>32.0</v>
      </c>
      <c r="B430" s="92" t="s">
        <v>6509</v>
      </c>
      <c r="C430" s="92">
        <v>2.52610375E8</v>
      </c>
      <c r="D430" s="94" t="s">
        <v>6510</v>
      </c>
      <c r="E430" s="92" t="s">
        <v>220</v>
      </c>
    </row>
    <row r="431">
      <c r="A431" s="92">
        <v>33.0</v>
      </c>
      <c r="B431" s="92" t="s">
        <v>6512</v>
      </c>
      <c r="C431" s="92">
        <v>2.52610396E8</v>
      </c>
      <c r="D431" s="94" t="s">
        <v>6513</v>
      </c>
      <c r="E431" s="92" t="s">
        <v>227</v>
      </c>
    </row>
    <row r="432">
      <c r="A432" s="92">
        <v>34.0</v>
      </c>
      <c r="B432" s="92" t="s">
        <v>6515</v>
      </c>
      <c r="C432" s="92">
        <v>2.52610402E8</v>
      </c>
      <c r="D432" s="94" t="s">
        <v>6516</v>
      </c>
      <c r="E432" s="92" t="s">
        <v>220</v>
      </c>
    </row>
    <row r="433">
      <c r="A433" s="92">
        <v>35.0</v>
      </c>
      <c r="B433" s="92" t="s">
        <v>6518</v>
      </c>
      <c r="C433" s="92">
        <v>2.52610403E8</v>
      </c>
      <c r="D433" s="94" t="s">
        <v>6519</v>
      </c>
      <c r="E433" s="92" t="s">
        <v>227</v>
      </c>
    </row>
    <row r="434">
      <c r="A434" s="92">
        <v>37.0</v>
      </c>
      <c r="B434" s="92" t="s">
        <v>6521</v>
      </c>
      <c r="C434" s="92">
        <v>2.52610443E8</v>
      </c>
      <c r="D434" s="94" t="s">
        <v>6522</v>
      </c>
      <c r="E434" s="92" t="s">
        <v>227</v>
      </c>
    </row>
    <row r="435">
      <c r="A435" s="92">
        <v>38.0</v>
      </c>
      <c r="B435" s="92" t="s">
        <v>6524</v>
      </c>
      <c r="C435" s="92">
        <v>2.52610459E8</v>
      </c>
      <c r="D435" s="94" t="s">
        <v>6525</v>
      </c>
      <c r="E435" s="92" t="s">
        <v>220</v>
      </c>
    </row>
    <row r="436">
      <c r="A436" s="92">
        <v>39.0</v>
      </c>
      <c r="B436" s="92" t="s">
        <v>6527</v>
      </c>
      <c r="C436" s="92">
        <v>2.52610462E8</v>
      </c>
      <c r="D436" s="94" t="s">
        <v>6528</v>
      </c>
      <c r="E436" s="92" t="s">
        <v>227</v>
      </c>
    </row>
    <row r="437">
      <c r="A437" s="92">
        <v>40.0</v>
      </c>
      <c r="B437" s="92" t="s">
        <v>6530</v>
      </c>
      <c r="C437" s="92">
        <v>2.52610469E8</v>
      </c>
      <c r="D437" s="94" t="s">
        <v>6531</v>
      </c>
      <c r="E437" s="92" t="s">
        <v>220</v>
      </c>
    </row>
    <row r="438">
      <c r="A438" s="92">
        <v>41.0</v>
      </c>
      <c r="B438" s="92" t="s">
        <v>6533</v>
      </c>
      <c r="C438" s="92">
        <v>2.52610493E8</v>
      </c>
      <c r="D438" s="94" t="s">
        <v>6534</v>
      </c>
      <c r="E438" s="92" t="s">
        <v>227</v>
      </c>
    </row>
    <row r="439">
      <c r="A439" s="92">
        <v>42.0</v>
      </c>
      <c r="B439" s="92" t="s">
        <v>6536</v>
      </c>
      <c r="C439" s="92">
        <v>2.52610509E8</v>
      </c>
      <c r="D439" s="94" t="s">
        <v>6537</v>
      </c>
      <c r="E439" s="92" t="s">
        <v>227</v>
      </c>
    </row>
    <row r="440">
      <c r="A440" s="92">
        <v>43.0</v>
      </c>
      <c r="B440" s="92" t="s">
        <v>6539</v>
      </c>
      <c r="C440" s="92">
        <v>2.5261051E8</v>
      </c>
      <c r="D440" s="94" t="s">
        <v>6540</v>
      </c>
      <c r="E440" s="92" t="s">
        <v>227</v>
      </c>
    </row>
    <row r="441">
      <c r="A441" s="92">
        <v>44.0</v>
      </c>
      <c r="B441" s="92" t="s">
        <v>92</v>
      </c>
      <c r="C441" s="92">
        <v>2.52610521E8</v>
      </c>
      <c r="D441" s="94" t="s">
        <v>6542</v>
      </c>
      <c r="E441" s="92" t="s">
        <v>227</v>
      </c>
    </row>
    <row r="442">
      <c r="A442" s="92">
        <v>45.0</v>
      </c>
      <c r="B442" s="92" t="s">
        <v>6544</v>
      </c>
      <c r="C442" s="92">
        <v>2.52610526E8</v>
      </c>
      <c r="D442" s="94" t="s">
        <v>6545</v>
      </c>
      <c r="E442" s="92" t="s">
        <v>227</v>
      </c>
    </row>
    <row r="443">
      <c r="A443" s="167"/>
      <c r="B443" s="167"/>
      <c r="C443" s="167"/>
      <c r="D443" s="167"/>
      <c r="E443" s="167"/>
    </row>
    <row r="444">
      <c r="A444" s="167"/>
      <c r="B444" s="167"/>
      <c r="C444" s="167"/>
      <c r="D444" s="94" t="s">
        <v>9262</v>
      </c>
      <c r="E444" s="92">
        <f>COUNTIF(E401:E442,"P")</f>
        <v>26</v>
      </c>
    </row>
    <row r="445">
      <c r="A445" s="167"/>
      <c r="B445" s="167"/>
      <c r="C445" s="167"/>
      <c r="D445" s="94" t="s">
        <v>9263</v>
      </c>
      <c r="E445" s="92">
        <f>COUNTIF(E401:E442,"L")</f>
        <v>16</v>
      </c>
    </row>
    <row r="446">
      <c r="A446" s="167"/>
      <c r="B446" s="167"/>
      <c r="C446" s="167"/>
      <c r="D446" s="167"/>
      <c r="E446" s="167"/>
    </row>
    <row r="447">
      <c r="A447" s="167"/>
      <c r="B447" s="167"/>
      <c r="C447" s="167"/>
      <c r="D447" s="167"/>
      <c r="E447" s="167"/>
    </row>
    <row r="448">
      <c r="A448" s="167" t="s">
        <v>9341</v>
      </c>
      <c r="B448" s="167"/>
      <c r="C448" s="167"/>
      <c r="D448" s="167"/>
      <c r="E448" s="167" t="s">
        <v>6549</v>
      </c>
    </row>
    <row r="449">
      <c r="A449" s="356" t="s">
        <v>9249</v>
      </c>
      <c r="B449" s="356" t="s">
        <v>9</v>
      </c>
      <c r="C449" s="356" t="s">
        <v>5246</v>
      </c>
      <c r="D449" s="356" t="s">
        <v>201</v>
      </c>
      <c r="E449" s="356" t="s">
        <v>13</v>
      </c>
    </row>
    <row r="450">
      <c r="A450" s="92">
        <v>1.0</v>
      </c>
      <c r="B450" s="92" t="s">
        <v>6547</v>
      </c>
      <c r="C450" s="92">
        <v>2.5261001E8</v>
      </c>
      <c r="D450" s="94" t="s">
        <v>6548</v>
      </c>
      <c r="E450" s="92" t="s">
        <v>227</v>
      </c>
    </row>
    <row r="451">
      <c r="A451" s="92">
        <v>2.0</v>
      </c>
      <c r="B451" s="92" t="s">
        <v>6552</v>
      </c>
      <c r="C451" s="92">
        <v>2.52610031E8</v>
      </c>
      <c r="D451" s="94" t="s">
        <v>6553</v>
      </c>
      <c r="E451" s="92" t="s">
        <v>227</v>
      </c>
    </row>
    <row r="452">
      <c r="A452" s="92">
        <v>3.0</v>
      </c>
      <c r="B452" s="92" t="s">
        <v>6555</v>
      </c>
      <c r="C452" s="92">
        <v>2.52610033E8</v>
      </c>
      <c r="D452" s="94" t="s">
        <v>6556</v>
      </c>
      <c r="E452" s="92" t="s">
        <v>220</v>
      </c>
    </row>
    <row r="453">
      <c r="A453" s="92">
        <v>4.0</v>
      </c>
      <c r="B453" s="92" t="s">
        <v>6559</v>
      </c>
      <c r="C453" s="92">
        <v>2.52610047E8</v>
      </c>
      <c r="D453" s="94" t="s">
        <v>6560</v>
      </c>
      <c r="E453" s="92" t="s">
        <v>227</v>
      </c>
    </row>
    <row r="454">
      <c r="A454" s="92">
        <v>5.0</v>
      </c>
      <c r="B454" s="92" t="s">
        <v>6562</v>
      </c>
      <c r="C454" s="92">
        <v>2.52610066E8</v>
      </c>
      <c r="D454" s="94" t="s">
        <v>6563</v>
      </c>
      <c r="E454" s="92" t="s">
        <v>227</v>
      </c>
    </row>
    <row r="455">
      <c r="A455" s="92">
        <v>6.0</v>
      </c>
      <c r="B455" s="92" t="s">
        <v>6565</v>
      </c>
      <c r="C455" s="92">
        <v>2.52610085E8</v>
      </c>
      <c r="D455" s="94" t="s">
        <v>6566</v>
      </c>
      <c r="E455" s="92" t="s">
        <v>227</v>
      </c>
    </row>
    <row r="456">
      <c r="A456" s="92">
        <v>7.0</v>
      </c>
      <c r="B456" s="92" t="s">
        <v>6568</v>
      </c>
      <c r="C456" s="92">
        <v>2.52610098E8</v>
      </c>
      <c r="D456" s="94" t="s">
        <v>6569</v>
      </c>
      <c r="E456" s="92" t="s">
        <v>227</v>
      </c>
    </row>
    <row r="457">
      <c r="A457" s="92">
        <v>8.0</v>
      </c>
      <c r="B457" s="92" t="s">
        <v>6571</v>
      </c>
      <c r="C457" s="92">
        <v>2.52610105E8</v>
      </c>
      <c r="D457" s="94" t="s">
        <v>6572</v>
      </c>
      <c r="E457" s="92" t="s">
        <v>220</v>
      </c>
    </row>
    <row r="458">
      <c r="A458" s="92">
        <v>9.0</v>
      </c>
      <c r="B458" s="92" t="s">
        <v>6574</v>
      </c>
      <c r="C458" s="92">
        <v>2.5261011E8</v>
      </c>
      <c r="D458" s="94" t="s">
        <v>6575</v>
      </c>
      <c r="E458" s="92" t="s">
        <v>220</v>
      </c>
    </row>
    <row r="459">
      <c r="A459" s="92">
        <v>10.0</v>
      </c>
      <c r="B459" s="92" t="s">
        <v>6577</v>
      </c>
      <c r="C459" s="92">
        <v>2.52610111E8</v>
      </c>
      <c r="D459" s="94" t="s">
        <v>6578</v>
      </c>
      <c r="E459" s="92" t="s">
        <v>220</v>
      </c>
    </row>
    <row r="460">
      <c r="A460" s="92">
        <v>11.0</v>
      </c>
      <c r="B460" s="92" t="s">
        <v>6580</v>
      </c>
      <c r="C460" s="92">
        <v>2.52610112E8</v>
      </c>
      <c r="D460" s="94" t="s">
        <v>6581</v>
      </c>
      <c r="E460" s="92" t="s">
        <v>227</v>
      </c>
    </row>
    <row r="461">
      <c r="A461" s="92">
        <v>12.0</v>
      </c>
      <c r="B461" s="92" t="s">
        <v>6583</v>
      </c>
      <c r="C461" s="92">
        <v>2.52610114E8</v>
      </c>
      <c r="D461" s="94" t="s">
        <v>6584</v>
      </c>
      <c r="E461" s="92" t="s">
        <v>227</v>
      </c>
    </row>
    <row r="462">
      <c r="A462" s="92">
        <v>13.0</v>
      </c>
      <c r="B462" s="92" t="s">
        <v>6586</v>
      </c>
      <c r="C462" s="92">
        <v>2.52610116E8</v>
      </c>
      <c r="D462" s="94" t="s">
        <v>6587</v>
      </c>
      <c r="E462" s="92" t="s">
        <v>227</v>
      </c>
    </row>
    <row r="463">
      <c r="A463" s="92">
        <v>14.0</v>
      </c>
      <c r="B463" s="92" t="s">
        <v>6589</v>
      </c>
      <c r="C463" s="92">
        <v>2.52610131E8</v>
      </c>
      <c r="D463" s="94" t="s">
        <v>6590</v>
      </c>
      <c r="E463" s="92" t="s">
        <v>227</v>
      </c>
    </row>
    <row r="464">
      <c r="A464" s="92">
        <v>16.0</v>
      </c>
      <c r="B464" s="92" t="s">
        <v>6592</v>
      </c>
      <c r="C464" s="92">
        <v>2.52610184E8</v>
      </c>
      <c r="D464" s="94" t="s">
        <v>6593</v>
      </c>
      <c r="E464" s="92" t="s">
        <v>220</v>
      </c>
    </row>
    <row r="465">
      <c r="A465" s="92">
        <v>17.0</v>
      </c>
      <c r="B465" s="92" t="s">
        <v>6595</v>
      </c>
      <c r="C465" s="92">
        <v>2.52610196E8</v>
      </c>
      <c r="D465" s="94" t="s">
        <v>6596</v>
      </c>
      <c r="E465" s="92" t="s">
        <v>227</v>
      </c>
    </row>
    <row r="466">
      <c r="A466" s="92">
        <v>18.0</v>
      </c>
      <c r="B466" s="92" t="s">
        <v>6598</v>
      </c>
      <c r="C466" s="92">
        <v>2.52610217E8</v>
      </c>
      <c r="D466" s="94" t="s">
        <v>6599</v>
      </c>
      <c r="E466" s="92" t="s">
        <v>227</v>
      </c>
    </row>
    <row r="467">
      <c r="A467" s="92">
        <v>20.0</v>
      </c>
      <c r="B467" s="92" t="s">
        <v>6601</v>
      </c>
      <c r="C467" s="92">
        <v>2.52610241E8</v>
      </c>
      <c r="D467" s="94" t="s">
        <v>6602</v>
      </c>
      <c r="E467" s="92" t="s">
        <v>227</v>
      </c>
    </row>
    <row r="468">
      <c r="A468" s="92">
        <v>21.0</v>
      </c>
      <c r="B468" s="92" t="s">
        <v>6604</v>
      </c>
      <c r="C468" s="92">
        <v>2.52610253E8</v>
      </c>
      <c r="D468" s="94" t="s">
        <v>6605</v>
      </c>
      <c r="E468" s="92" t="s">
        <v>227</v>
      </c>
    </row>
    <row r="469">
      <c r="A469" s="92">
        <v>22.0</v>
      </c>
      <c r="B469" s="92" t="s">
        <v>6608</v>
      </c>
      <c r="C469" s="92">
        <v>2.52610289E8</v>
      </c>
      <c r="D469" s="94" t="s">
        <v>6609</v>
      </c>
      <c r="E469" s="92" t="s">
        <v>220</v>
      </c>
    </row>
    <row r="470">
      <c r="A470" s="92">
        <v>23.0</v>
      </c>
      <c r="B470" s="92" t="s">
        <v>6611</v>
      </c>
      <c r="C470" s="92">
        <v>2.52610292E8</v>
      </c>
      <c r="D470" s="94" t="s">
        <v>6612</v>
      </c>
      <c r="E470" s="92" t="s">
        <v>227</v>
      </c>
    </row>
    <row r="471">
      <c r="A471" s="92">
        <v>24.0</v>
      </c>
      <c r="B471" s="92" t="s">
        <v>6614</v>
      </c>
      <c r="C471" s="92">
        <v>2.52610295E8</v>
      </c>
      <c r="D471" s="94" t="s">
        <v>6615</v>
      </c>
      <c r="E471" s="92" t="s">
        <v>227</v>
      </c>
    </row>
    <row r="472">
      <c r="A472" s="92">
        <v>25.0</v>
      </c>
      <c r="B472" s="92" t="s">
        <v>6617</v>
      </c>
      <c r="C472" s="92">
        <v>2.5261031E8</v>
      </c>
      <c r="D472" s="94" t="s">
        <v>6618</v>
      </c>
      <c r="E472" s="92" t="s">
        <v>220</v>
      </c>
    </row>
    <row r="473">
      <c r="A473" s="92">
        <v>26.0</v>
      </c>
      <c r="B473" s="92" t="s">
        <v>6620</v>
      </c>
      <c r="C473" s="92">
        <v>2.52610315E8</v>
      </c>
      <c r="D473" s="94" t="s">
        <v>6621</v>
      </c>
      <c r="E473" s="92" t="s">
        <v>220</v>
      </c>
    </row>
    <row r="474">
      <c r="A474" s="92">
        <v>27.0</v>
      </c>
      <c r="B474" s="92" t="s">
        <v>6623</v>
      </c>
      <c r="C474" s="92">
        <v>2.52610328E8</v>
      </c>
      <c r="D474" s="94" t="s">
        <v>6624</v>
      </c>
      <c r="E474" s="92" t="s">
        <v>220</v>
      </c>
    </row>
    <row r="475">
      <c r="A475" s="92">
        <v>28.0</v>
      </c>
      <c r="B475" s="92" t="s">
        <v>6626</v>
      </c>
      <c r="C475" s="92">
        <v>2.52610346E8</v>
      </c>
      <c r="D475" s="94" t="s">
        <v>6627</v>
      </c>
      <c r="E475" s="92" t="s">
        <v>220</v>
      </c>
    </row>
    <row r="476">
      <c r="A476" s="92">
        <v>29.0</v>
      </c>
      <c r="B476" s="92" t="s">
        <v>6629</v>
      </c>
      <c r="C476" s="92">
        <v>2.52610348E8</v>
      </c>
      <c r="D476" s="94" t="s">
        <v>6630</v>
      </c>
      <c r="E476" s="92" t="s">
        <v>220</v>
      </c>
    </row>
    <row r="477">
      <c r="A477" s="92">
        <v>30.0</v>
      </c>
      <c r="B477" s="92" t="s">
        <v>6632</v>
      </c>
      <c r="C477" s="92">
        <v>2.52610356E8</v>
      </c>
      <c r="D477" s="94" t="s">
        <v>6633</v>
      </c>
      <c r="E477" s="92" t="s">
        <v>220</v>
      </c>
    </row>
    <row r="478">
      <c r="A478" s="92">
        <v>31.0</v>
      </c>
      <c r="B478" s="92" t="s">
        <v>6635</v>
      </c>
      <c r="C478" s="92">
        <v>2.52610367E8</v>
      </c>
      <c r="D478" s="94" t="s">
        <v>6636</v>
      </c>
      <c r="E478" s="92" t="s">
        <v>220</v>
      </c>
    </row>
    <row r="479">
      <c r="A479" s="92">
        <v>32.0</v>
      </c>
      <c r="B479" s="92" t="s">
        <v>6638</v>
      </c>
      <c r="C479" s="92">
        <v>2.5261038E8</v>
      </c>
      <c r="D479" s="94" t="s">
        <v>6639</v>
      </c>
      <c r="E479" s="92" t="s">
        <v>220</v>
      </c>
    </row>
    <row r="480">
      <c r="A480" s="92">
        <v>33.0</v>
      </c>
      <c r="B480" s="92" t="s">
        <v>6641</v>
      </c>
      <c r="C480" s="92">
        <v>2.52610385E8</v>
      </c>
      <c r="D480" s="94" t="s">
        <v>6642</v>
      </c>
      <c r="E480" s="92" t="s">
        <v>227</v>
      </c>
    </row>
    <row r="481">
      <c r="A481" s="92">
        <v>34.0</v>
      </c>
      <c r="B481" s="92" t="s">
        <v>6644</v>
      </c>
      <c r="C481" s="92">
        <v>2.52610388E8</v>
      </c>
      <c r="D481" s="94" t="s">
        <v>6645</v>
      </c>
      <c r="E481" s="92" t="s">
        <v>227</v>
      </c>
    </row>
    <row r="482">
      <c r="A482" s="92">
        <v>35.0</v>
      </c>
      <c r="B482" s="92" t="s">
        <v>6647</v>
      </c>
      <c r="C482" s="92">
        <v>2.52610417E8</v>
      </c>
      <c r="D482" s="94" t="s">
        <v>6648</v>
      </c>
      <c r="E482" s="92" t="s">
        <v>227</v>
      </c>
    </row>
    <row r="483">
      <c r="A483" s="92">
        <v>36.0</v>
      </c>
      <c r="B483" s="92" t="s">
        <v>6650</v>
      </c>
      <c r="C483" s="92">
        <v>2.52610458E8</v>
      </c>
      <c r="D483" s="94" t="s">
        <v>6651</v>
      </c>
      <c r="E483" s="92" t="s">
        <v>220</v>
      </c>
    </row>
    <row r="484">
      <c r="A484" s="92">
        <v>37.0</v>
      </c>
      <c r="B484" s="92" t="s">
        <v>6653</v>
      </c>
      <c r="C484" s="92">
        <v>2.52610482E8</v>
      </c>
      <c r="D484" s="94" t="s">
        <v>6654</v>
      </c>
      <c r="E484" s="92" t="s">
        <v>220</v>
      </c>
    </row>
    <row r="485">
      <c r="A485" s="92">
        <v>38.0</v>
      </c>
      <c r="B485" s="92" t="s">
        <v>6656</v>
      </c>
      <c r="C485" s="92">
        <v>2.52610499E8</v>
      </c>
      <c r="D485" s="94" t="s">
        <v>6657</v>
      </c>
      <c r="E485" s="92" t="s">
        <v>227</v>
      </c>
    </row>
    <row r="486">
      <c r="A486" s="92">
        <v>39.0</v>
      </c>
      <c r="B486" s="92" t="s">
        <v>6659</v>
      </c>
      <c r="C486" s="92">
        <v>2.52610503E8</v>
      </c>
      <c r="D486" s="94" t="s">
        <v>6660</v>
      </c>
      <c r="E486" s="92" t="s">
        <v>227</v>
      </c>
    </row>
    <row r="487">
      <c r="A487" s="92">
        <v>40.0</v>
      </c>
      <c r="B487" s="92" t="s">
        <v>6662</v>
      </c>
      <c r="C487" s="92">
        <v>2.52610506E8</v>
      </c>
      <c r="D487" s="94" t="s">
        <v>6663</v>
      </c>
      <c r="E487" s="92" t="s">
        <v>227</v>
      </c>
    </row>
    <row r="488">
      <c r="A488" s="92">
        <v>41.0</v>
      </c>
      <c r="B488" s="92" t="s">
        <v>6665</v>
      </c>
      <c r="C488" s="92">
        <v>2.52610518E8</v>
      </c>
      <c r="D488" s="94" t="s">
        <v>6666</v>
      </c>
      <c r="E488" s="92" t="s">
        <v>227</v>
      </c>
    </row>
    <row r="489">
      <c r="A489" s="92">
        <v>42.0</v>
      </c>
      <c r="B489" s="92" t="s">
        <v>6668</v>
      </c>
      <c r="C489" s="92">
        <v>2.52610524E8</v>
      </c>
      <c r="D489" s="94" t="s">
        <v>6669</v>
      </c>
      <c r="E489" s="92" t="s">
        <v>227</v>
      </c>
    </row>
    <row r="490">
      <c r="A490" s="92">
        <v>43.0</v>
      </c>
      <c r="B490" s="92" t="s">
        <v>6671</v>
      </c>
      <c r="C490" s="92">
        <v>2.52610545E8</v>
      </c>
      <c r="D490" s="94" t="s">
        <v>6672</v>
      </c>
      <c r="E490" s="92" t="s">
        <v>227</v>
      </c>
    </row>
    <row r="491">
      <c r="A491" s="92">
        <v>44.0</v>
      </c>
      <c r="B491" s="92" t="s">
        <v>6674</v>
      </c>
      <c r="C491" s="92">
        <v>2.52610551E8</v>
      </c>
      <c r="D491" s="94" t="s">
        <v>6675</v>
      </c>
      <c r="E491" s="92" t="s">
        <v>227</v>
      </c>
    </row>
    <row r="492">
      <c r="A492" s="92">
        <v>47.0</v>
      </c>
      <c r="B492" s="92" t="s">
        <v>6677</v>
      </c>
      <c r="C492" s="92">
        <v>2.52610561E8</v>
      </c>
      <c r="D492" s="94" t="s">
        <v>6678</v>
      </c>
      <c r="E492" s="92" t="s">
        <v>220</v>
      </c>
    </row>
    <row r="493">
      <c r="A493" s="92">
        <v>48.0</v>
      </c>
      <c r="B493" s="92" t="s">
        <v>6680</v>
      </c>
      <c r="C493" s="92">
        <v>2.52610565E8</v>
      </c>
      <c r="D493" s="94" t="s">
        <v>6681</v>
      </c>
      <c r="E493" s="92" t="s">
        <v>227</v>
      </c>
    </row>
    <row r="494">
      <c r="A494" s="167"/>
      <c r="B494" s="167"/>
      <c r="C494" s="167"/>
      <c r="D494" s="167"/>
      <c r="E494" s="167"/>
    </row>
    <row r="495">
      <c r="A495" s="167"/>
      <c r="B495" s="167"/>
      <c r="C495" s="167"/>
      <c r="D495" s="94" t="s">
        <v>9262</v>
      </c>
      <c r="E495" s="124">
        <f>COUNTIF(E450:E493,"P")</f>
        <v>27</v>
      </c>
    </row>
    <row r="496">
      <c r="A496" s="167"/>
      <c r="B496" s="167"/>
      <c r="C496" s="167"/>
      <c r="D496" s="94" t="s">
        <v>9263</v>
      </c>
      <c r="E496" s="124">
        <f>COUNTIF(E450:E493,"L")</f>
        <v>17</v>
      </c>
    </row>
    <row r="497">
      <c r="A497" s="167"/>
      <c r="B497" s="167"/>
      <c r="C497" s="167"/>
      <c r="D497" s="167"/>
      <c r="E497" s="167"/>
    </row>
    <row r="498">
      <c r="A498" s="167" t="s">
        <v>9350</v>
      </c>
      <c r="B498" s="167"/>
      <c r="C498" s="167"/>
      <c r="D498" s="167"/>
      <c r="E498" s="167" t="s">
        <v>6685</v>
      </c>
    </row>
    <row r="499">
      <c r="A499" s="356" t="s">
        <v>9249</v>
      </c>
      <c r="B499" s="356" t="s">
        <v>9</v>
      </c>
      <c r="C499" s="356" t="s">
        <v>5246</v>
      </c>
      <c r="D499" s="356" t="s">
        <v>201</v>
      </c>
      <c r="E499" s="356" t="s">
        <v>13</v>
      </c>
    </row>
    <row r="500">
      <c r="A500" s="92">
        <v>1.0</v>
      </c>
      <c r="B500" s="92" t="s">
        <v>6683</v>
      </c>
      <c r="C500" s="92">
        <v>2.52610015E8</v>
      </c>
      <c r="D500" s="94" t="s">
        <v>6684</v>
      </c>
      <c r="E500" s="92" t="s">
        <v>220</v>
      </c>
    </row>
    <row r="501">
      <c r="A501" s="92">
        <v>2.0</v>
      </c>
      <c r="B501" s="92" t="s">
        <v>6688</v>
      </c>
      <c r="C501" s="92">
        <v>2.52610021E8</v>
      </c>
      <c r="D501" s="94" t="s">
        <v>6689</v>
      </c>
      <c r="E501" s="92" t="s">
        <v>227</v>
      </c>
    </row>
    <row r="502">
      <c r="A502" s="92">
        <v>3.0</v>
      </c>
      <c r="B502" s="92" t="s">
        <v>6692</v>
      </c>
      <c r="C502" s="92">
        <v>2.52610029E8</v>
      </c>
      <c r="D502" s="94" t="s">
        <v>6693</v>
      </c>
      <c r="E502" s="92" t="s">
        <v>227</v>
      </c>
    </row>
    <row r="503">
      <c r="A503" s="92">
        <v>4.0</v>
      </c>
      <c r="B503" s="92" t="s">
        <v>6695</v>
      </c>
      <c r="C503" s="92">
        <v>2.5261003E8</v>
      </c>
      <c r="D503" s="94" t="s">
        <v>6696</v>
      </c>
      <c r="E503" s="92" t="s">
        <v>227</v>
      </c>
    </row>
    <row r="504">
      <c r="A504" s="92">
        <v>5.0</v>
      </c>
      <c r="B504" s="92" t="s">
        <v>6698</v>
      </c>
      <c r="C504" s="92">
        <v>2.52610046E8</v>
      </c>
      <c r="D504" s="94" t="s">
        <v>6699</v>
      </c>
      <c r="E504" s="92" t="s">
        <v>227</v>
      </c>
    </row>
    <row r="505">
      <c r="A505" s="92">
        <v>6.0</v>
      </c>
      <c r="B505" s="92" t="s">
        <v>6701</v>
      </c>
      <c r="C505" s="92">
        <v>2.52610068E8</v>
      </c>
      <c r="D505" s="94" t="s">
        <v>6702</v>
      </c>
      <c r="E505" s="92" t="s">
        <v>227</v>
      </c>
    </row>
    <row r="506">
      <c r="A506" s="92">
        <v>7.0</v>
      </c>
      <c r="B506" s="92" t="s">
        <v>6704</v>
      </c>
      <c r="C506" s="92">
        <v>2.5261008E8</v>
      </c>
      <c r="D506" s="94" t="s">
        <v>6705</v>
      </c>
      <c r="E506" s="92" t="s">
        <v>220</v>
      </c>
    </row>
    <row r="507">
      <c r="A507" s="92">
        <v>8.0</v>
      </c>
      <c r="B507" s="92" t="s">
        <v>6707</v>
      </c>
      <c r="C507" s="92">
        <v>2.52610081E8</v>
      </c>
      <c r="D507" s="94" t="s">
        <v>6708</v>
      </c>
      <c r="E507" s="92" t="s">
        <v>227</v>
      </c>
    </row>
    <row r="508">
      <c r="A508" s="92">
        <v>10.0</v>
      </c>
      <c r="B508" s="92" t="s">
        <v>6710</v>
      </c>
      <c r="C508" s="92">
        <v>2.52610106E8</v>
      </c>
      <c r="D508" s="94" t="s">
        <v>6711</v>
      </c>
      <c r="E508" s="92" t="s">
        <v>227</v>
      </c>
    </row>
    <row r="509">
      <c r="A509" s="92">
        <v>11.0</v>
      </c>
      <c r="B509" s="92" t="s">
        <v>6713</v>
      </c>
      <c r="C509" s="92">
        <v>2.52610107E8</v>
      </c>
      <c r="D509" s="94" t="s">
        <v>6714</v>
      </c>
      <c r="E509" s="92" t="s">
        <v>227</v>
      </c>
    </row>
    <row r="510">
      <c r="A510" s="92">
        <v>12.0</v>
      </c>
      <c r="B510" s="92" t="s">
        <v>6716</v>
      </c>
      <c r="C510" s="92">
        <v>2.52610127E8</v>
      </c>
      <c r="D510" s="94" t="s">
        <v>6717</v>
      </c>
      <c r="E510" s="92" t="s">
        <v>220</v>
      </c>
    </row>
    <row r="511">
      <c r="A511" s="92">
        <v>13.0</v>
      </c>
      <c r="B511" s="92" t="s">
        <v>6719</v>
      </c>
      <c r="C511" s="92">
        <v>2.52610143E8</v>
      </c>
      <c r="D511" s="94" t="s">
        <v>6720</v>
      </c>
      <c r="E511" s="92" t="s">
        <v>220</v>
      </c>
    </row>
    <row r="512">
      <c r="A512" s="92">
        <v>14.0</v>
      </c>
      <c r="B512" s="92" t="s">
        <v>6722</v>
      </c>
      <c r="C512" s="92">
        <v>2.52610147E8</v>
      </c>
      <c r="D512" s="94" t="s">
        <v>6723</v>
      </c>
      <c r="E512" s="92" t="s">
        <v>220</v>
      </c>
    </row>
    <row r="513">
      <c r="A513" s="92">
        <v>15.0</v>
      </c>
      <c r="B513" s="92" t="s">
        <v>6725</v>
      </c>
      <c r="C513" s="92">
        <v>2.52610149E8</v>
      </c>
      <c r="D513" s="94" t="s">
        <v>6726</v>
      </c>
      <c r="E513" s="92" t="s">
        <v>227</v>
      </c>
    </row>
    <row r="514">
      <c r="A514" s="92">
        <v>16.0</v>
      </c>
      <c r="B514" s="92" t="s">
        <v>6728</v>
      </c>
      <c r="C514" s="92">
        <v>2.52610152E8</v>
      </c>
      <c r="D514" s="94" t="s">
        <v>6729</v>
      </c>
      <c r="E514" s="92" t="s">
        <v>227</v>
      </c>
    </row>
    <row r="515">
      <c r="A515" s="92">
        <v>17.0</v>
      </c>
      <c r="B515" s="92" t="s">
        <v>6731</v>
      </c>
      <c r="C515" s="92">
        <v>2.52610208E8</v>
      </c>
      <c r="D515" s="94" t="s">
        <v>6732</v>
      </c>
      <c r="E515" s="92" t="s">
        <v>227</v>
      </c>
    </row>
    <row r="516">
      <c r="A516" s="92">
        <v>18.0</v>
      </c>
      <c r="B516" s="92" t="s">
        <v>6734</v>
      </c>
      <c r="C516" s="92">
        <v>2.52610218E8</v>
      </c>
      <c r="D516" s="94" t="s">
        <v>6735</v>
      </c>
      <c r="E516" s="92" t="s">
        <v>220</v>
      </c>
    </row>
    <row r="517">
      <c r="A517" s="92">
        <v>19.0</v>
      </c>
      <c r="B517" s="92" t="s">
        <v>6737</v>
      </c>
      <c r="C517" s="92">
        <v>2.52610267E8</v>
      </c>
      <c r="D517" s="94" t="s">
        <v>6738</v>
      </c>
      <c r="E517" s="92" t="s">
        <v>227</v>
      </c>
    </row>
    <row r="518">
      <c r="A518" s="92">
        <v>20.0</v>
      </c>
      <c r="B518" s="92" t="s">
        <v>6740</v>
      </c>
      <c r="C518" s="92">
        <v>2.52610269E8</v>
      </c>
      <c r="D518" s="94" t="s">
        <v>6741</v>
      </c>
      <c r="E518" s="92" t="s">
        <v>220</v>
      </c>
    </row>
    <row r="519">
      <c r="A519" s="92">
        <v>21.0</v>
      </c>
      <c r="B519" s="92" t="s">
        <v>6743</v>
      </c>
      <c r="C519" s="92">
        <v>2.5261027E8</v>
      </c>
      <c r="D519" s="94" t="s">
        <v>6744</v>
      </c>
      <c r="E519" s="92" t="s">
        <v>227</v>
      </c>
    </row>
    <row r="520">
      <c r="A520" s="92">
        <v>22.0</v>
      </c>
      <c r="B520" s="92" t="s">
        <v>6746</v>
      </c>
      <c r="C520" s="92">
        <v>2.52610271E8</v>
      </c>
      <c r="D520" s="94" t="s">
        <v>6747</v>
      </c>
      <c r="E520" s="92" t="s">
        <v>220</v>
      </c>
    </row>
    <row r="521">
      <c r="A521" s="92">
        <v>23.0</v>
      </c>
      <c r="B521" s="92" t="s">
        <v>6749</v>
      </c>
      <c r="C521" s="92">
        <v>2.52610296E8</v>
      </c>
      <c r="D521" s="94" t="s">
        <v>6750</v>
      </c>
      <c r="E521" s="92" t="s">
        <v>227</v>
      </c>
    </row>
    <row r="522">
      <c r="A522" s="92">
        <v>24.0</v>
      </c>
      <c r="B522" s="92" t="s">
        <v>6753</v>
      </c>
      <c r="C522" s="92">
        <v>2.52610298E8</v>
      </c>
      <c r="D522" s="94" t="s">
        <v>6754</v>
      </c>
      <c r="E522" s="92" t="s">
        <v>220</v>
      </c>
    </row>
    <row r="523">
      <c r="A523" s="92">
        <v>26.0</v>
      </c>
      <c r="B523" s="92" t="s">
        <v>6756</v>
      </c>
      <c r="C523" s="92">
        <v>2.52610307E8</v>
      </c>
      <c r="D523" s="94" t="s">
        <v>6757</v>
      </c>
      <c r="E523" s="92" t="s">
        <v>227</v>
      </c>
    </row>
    <row r="524">
      <c r="A524" s="92">
        <v>27.0</v>
      </c>
      <c r="B524" s="92" t="s">
        <v>6759</v>
      </c>
      <c r="C524" s="92">
        <v>2.52610331E8</v>
      </c>
      <c r="D524" s="94" t="s">
        <v>6760</v>
      </c>
      <c r="E524" s="92" t="s">
        <v>220</v>
      </c>
    </row>
    <row r="525">
      <c r="A525" s="92">
        <v>28.0</v>
      </c>
      <c r="B525" s="92" t="s">
        <v>6762</v>
      </c>
      <c r="C525" s="92">
        <v>2.52610339E8</v>
      </c>
      <c r="D525" s="94" t="s">
        <v>6763</v>
      </c>
      <c r="E525" s="92" t="s">
        <v>220</v>
      </c>
    </row>
    <row r="526">
      <c r="A526" s="92">
        <v>29.0</v>
      </c>
      <c r="B526" s="92" t="s">
        <v>6765</v>
      </c>
      <c r="C526" s="92">
        <v>2.52610359E8</v>
      </c>
      <c r="D526" s="94" t="s">
        <v>6766</v>
      </c>
      <c r="E526" s="92" t="s">
        <v>220</v>
      </c>
    </row>
    <row r="527">
      <c r="A527" s="92">
        <v>30.0</v>
      </c>
      <c r="B527" s="92" t="s">
        <v>6768</v>
      </c>
      <c r="C527" s="92">
        <v>2.52610377E8</v>
      </c>
      <c r="D527" s="94" t="s">
        <v>6769</v>
      </c>
      <c r="E527" s="92" t="s">
        <v>220</v>
      </c>
    </row>
    <row r="528">
      <c r="A528" s="92">
        <v>31.0</v>
      </c>
      <c r="B528" s="92" t="s">
        <v>6771</v>
      </c>
      <c r="C528" s="92">
        <v>2.52610387E8</v>
      </c>
      <c r="D528" s="94" t="s">
        <v>6772</v>
      </c>
      <c r="E528" s="92" t="s">
        <v>227</v>
      </c>
    </row>
    <row r="529">
      <c r="A529" s="92">
        <v>32.0</v>
      </c>
      <c r="B529" s="92" t="s">
        <v>6774</v>
      </c>
      <c r="C529" s="92">
        <v>2.52610391E8</v>
      </c>
      <c r="D529" s="94" t="s">
        <v>6775</v>
      </c>
      <c r="E529" s="92" t="s">
        <v>227</v>
      </c>
    </row>
    <row r="530">
      <c r="A530" s="92">
        <v>33.0</v>
      </c>
      <c r="B530" s="92" t="s">
        <v>6777</v>
      </c>
      <c r="C530" s="92">
        <v>2.526104E8</v>
      </c>
      <c r="D530" s="94" t="s">
        <v>6778</v>
      </c>
      <c r="E530" s="92" t="s">
        <v>220</v>
      </c>
    </row>
    <row r="531">
      <c r="A531" s="92">
        <v>34.0</v>
      </c>
      <c r="B531" s="92" t="s">
        <v>6780</v>
      </c>
      <c r="C531" s="92">
        <v>2.52610405E8</v>
      </c>
      <c r="D531" s="94" t="s">
        <v>6781</v>
      </c>
      <c r="E531" s="92" t="s">
        <v>227</v>
      </c>
    </row>
    <row r="532">
      <c r="A532" s="92">
        <v>35.0</v>
      </c>
      <c r="B532" s="92" t="s">
        <v>6783</v>
      </c>
      <c r="C532" s="92">
        <v>2.52610407E8</v>
      </c>
      <c r="D532" s="94" t="s">
        <v>6784</v>
      </c>
      <c r="E532" s="92" t="s">
        <v>227</v>
      </c>
    </row>
    <row r="533">
      <c r="A533" s="92">
        <v>36.0</v>
      </c>
      <c r="B533" s="92" t="s">
        <v>6786</v>
      </c>
      <c r="C533" s="92">
        <v>2.52610411E8</v>
      </c>
      <c r="D533" s="94" t="s">
        <v>6787</v>
      </c>
      <c r="E533" s="92" t="s">
        <v>227</v>
      </c>
    </row>
    <row r="534">
      <c r="A534" s="92">
        <v>39.0</v>
      </c>
      <c r="B534" s="92" t="s">
        <v>6789</v>
      </c>
      <c r="C534" s="92">
        <v>2.52610448E8</v>
      </c>
      <c r="D534" s="94" t="s">
        <v>6790</v>
      </c>
      <c r="E534" s="92" t="s">
        <v>220</v>
      </c>
    </row>
    <row r="535">
      <c r="A535" s="92">
        <v>40.0</v>
      </c>
      <c r="B535" s="92" t="s">
        <v>6792</v>
      </c>
      <c r="C535" s="92">
        <v>2.52610455E8</v>
      </c>
      <c r="D535" s="94" t="s">
        <v>6793</v>
      </c>
      <c r="E535" s="92" t="s">
        <v>220</v>
      </c>
    </row>
    <row r="536">
      <c r="A536" s="92">
        <v>41.0</v>
      </c>
      <c r="B536" s="92" t="s">
        <v>6795</v>
      </c>
      <c r="C536" s="92">
        <v>2.5261049E8</v>
      </c>
      <c r="D536" s="94" t="s">
        <v>6796</v>
      </c>
      <c r="E536" s="92" t="s">
        <v>227</v>
      </c>
    </row>
    <row r="537">
      <c r="A537" s="92">
        <v>42.0</v>
      </c>
      <c r="B537" s="92" t="s">
        <v>6798</v>
      </c>
      <c r="C537" s="92">
        <v>2.52610494E8</v>
      </c>
      <c r="D537" s="94" t="s">
        <v>6799</v>
      </c>
      <c r="E537" s="92" t="s">
        <v>220</v>
      </c>
    </row>
    <row r="538">
      <c r="A538" s="92">
        <v>43.0</v>
      </c>
      <c r="B538" s="92" t="s">
        <v>6801</v>
      </c>
      <c r="C538" s="92">
        <v>2.52610496E8</v>
      </c>
      <c r="D538" s="94" t="s">
        <v>6802</v>
      </c>
      <c r="E538" s="92" t="s">
        <v>227</v>
      </c>
    </row>
    <row r="539">
      <c r="A539" s="92">
        <v>44.0</v>
      </c>
      <c r="B539" s="92" t="s">
        <v>6804</v>
      </c>
      <c r="C539" s="92">
        <v>2.52610502E8</v>
      </c>
      <c r="D539" s="94" t="s">
        <v>6805</v>
      </c>
      <c r="E539" s="92" t="s">
        <v>227</v>
      </c>
    </row>
    <row r="540">
      <c r="A540" s="92">
        <v>45.0</v>
      </c>
      <c r="B540" s="92" t="s">
        <v>6807</v>
      </c>
      <c r="C540" s="92">
        <v>2.52610516E8</v>
      </c>
      <c r="D540" s="94" t="s">
        <v>6808</v>
      </c>
      <c r="E540" s="92" t="s">
        <v>227</v>
      </c>
    </row>
    <row r="541">
      <c r="A541" s="92">
        <v>46.0</v>
      </c>
      <c r="B541" s="92" t="s">
        <v>6810</v>
      </c>
      <c r="C541" s="92">
        <v>2.52610531E8</v>
      </c>
      <c r="D541" s="94" t="s">
        <v>6811</v>
      </c>
      <c r="E541" s="92" t="s">
        <v>227</v>
      </c>
    </row>
    <row r="542">
      <c r="A542" s="92">
        <v>47.0</v>
      </c>
      <c r="B542" s="92" t="s">
        <v>6813</v>
      </c>
      <c r="C542" s="92">
        <v>2.5261055E8</v>
      </c>
      <c r="D542" s="94" t="s">
        <v>6814</v>
      </c>
      <c r="E542" s="92" t="s">
        <v>227</v>
      </c>
    </row>
    <row r="543">
      <c r="A543" s="92">
        <v>48.0</v>
      </c>
      <c r="B543" s="92" t="s">
        <v>6816</v>
      </c>
      <c r="C543" s="92">
        <v>2.52610562E8</v>
      </c>
      <c r="D543" s="94" t="s">
        <v>6817</v>
      </c>
      <c r="E543" s="92" t="s">
        <v>227</v>
      </c>
    </row>
    <row r="544">
      <c r="A544" s="167"/>
      <c r="B544" s="167"/>
      <c r="C544" s="167"/>
      <c r="D544" s="167"/>
      <c r="E544" s="167"/>
    </row>
    <row r="545">
      <c r="A545" s="167"/>
      <c r="B545" s="167"/>
      <c r="C545" s="167"/>
      <c r="D545" s="94" t="s">
        <v>9262</v>
      </c>
      <c r="E545" s="124">
        <f>COUNTIF(E500:E543,"P")</f>
        <v>27</v>
      </c>
    </row>
    <row r="546">
      <c r="A546" s="167"/>
      <c r="B546" s="167"/>
      <c r="C546" s="167"/>
      <c r="D546" s="94" t="s">
        <v>9263</v>
      </c>
      <c r="E546" s="124">
        <f>COUNTIF(E500:E543,"L")</f>
        <v>17</v>
      </c>
    </row>
    <row r="547">
      <c r="A547" s="167"/>
      <c r="B547" s="167"/>
      <c r="C547" s="167"/>
      <c r="D547" s="167"/>
      <c r="E547" s="167"/>
    </row>
    <row r="548">
      <c r="A548" s="167"/>
      <c r="B548" s="167"/>
      <c r="C548" s="167"/>
      <c r="D548" s="167"/>
      <c r="E548" s="167"/>
    </row>
    <row r="549">
      <c r="A549" s="167"/>
      <c r="B549" s="167"/>
      <c r="C549" s="167"/>
      <c r="D549" s="167"/>
      <c r="E549" s="167"/>
    </row>
    <row r="550">
      <c r="A550" s="167"/>
      <c r="B550" s="167"/>
      <c r="C550" s="167"/>
      <c r="D550" s="167"/>
      <c r="E550" s="167"/>
    </row>
    <row r="551">
      <c r="A551" s="167"/>
      <c r="B551" s="167"/>
      <c r="C551" s="167"/>
      <c r="D551" s="167"/>
      <c r="E551" s="167"/>
    </row>
    <row r="552">
      <c r="A552" s="167"/>
      <c r="B552" s="167"/>
      <c r="C552" s="167"/>
      <c r="D552" s="167"/>
      <c r="E552" s="167"/>
    </row>
    <row r="553">
      <c r="A553" s="167"/>
      <c r="B553" s="167"/>
      <c r="C553" s="167"/>
      <c r="D553" s="167"/>
      <c r="E553" s="167"/>
    </row>
    <row r="554">
      <c r="A554" s="167"/>
      <c r="B554" s="167"/>
      <c r="C554" s="167"/>
      <c r="D554" s="167"/>
      <c r="E554" s="167"/>
    </row>
    <row r="555">
      <c r="A555" s="167"/>
      <c r="B555" s="167"/>
      <c r="C555" s="167"/>
      <c r="D555" s="167"/>
      <c r="E555" s="167"/>
    </row>
    <row r="556">
      <c r="A556" s="167"/>
      <c r="B556" s="167"/>
      <c r="C556" s="167"/>
      <c r="D556" s="167"/>
      <c r="E556" s="167"/>
    </row>
    <row r="557">
      <c r="A557" s="167"/>
      <c r="B557" s="167"/>
      <c r="C557" s="167"/>
      <c r="D557" s="167"/>
      <c r="E557" s="167"/>
    </row>
    <row r="558">
      <c r="A558" s="167"/>
      <c r="B558" s="167"/>
      <c r="C558" s="167"/>
      <c r="D558" s="167"/>
      <c r="E558" s="167"/>
    </row>
    <row r="559">
      <c r="A559" s="167"/>
      <c r="B559" s="167"/>
      <c r="C559" s="167"/>
      <c r="D559" s="167"/>
      <c r="E559" s="167"/>
    </row>
    <row r="560">
      <c r="A560" s="167"/>
      <c r="B560" s="167"/>
      <c r="C560" s="167"/>
      <c r="D560" s="167"/>
      <c r="E560" s="167"/>
    </row>
    <row r="561">
      <c r="A561" s="167"/>
      <c r="B561" s="167"/>
      <c r="C561" s="167"/>
      <c r="D561" s="167"/>
      <c r="E561" s="167"/>
    </row>
    <row r="562">
      <c r="A562" s="167"/>
      <c r="B562" s="167"/>
      <c r="C562" s="167"/>
      <c r="D562" s="167"/>
      <c r="E562" s="167"/>
    </row>
    <row r="563">
      <c r="A563" s="167"/>
      <c r="B563" s="167"/>
      <c r="C563" s="167"/>
      <c r="D563" s="167"/>
      <c r="E563" s="167"/>
    </row>
    <row r="564">
      <c r="A564" s="167"/>
      <c r="B564" s="167"/>
      <c r="C564" s="167"/>
      <c r="D564" s="167"/>
      <c r="E564" s="167"/>
    </row>
    <row r="565">
      <c r="A565" s="167"/>
      <c r="B565" s="167"/>
      <c r="C565" s="167"/>
      <c r="D565" s="167"/>
      <c r="E565" s="167"/>
    </row>
    <row r="566">
      <c r="A566" s="167"/>
      <c r="B566" s="167"/>
      <c r="C566" s="167"/>
      <c r="D566" s="167"/>
      <c r="E566" s="167"/>
    </row>
    <row r="567">
      <c r="A567" s="167"/>
      <c r="B567" s="167"/>
      <c r="C567" s="167"/>
      <c r="D567" s="167"/>
      <c r="E567" s="167"/>
    </row>
    <row r="568">
      <c r="A568" s="167"/>
      <c r="B568" s="167"/>
      <c r="C568" s="167"/>
      <c r="D568" s="167"/>
      <c r="E568" s="167"/>
    </row>
    <row r="569">
      <c r="A569" s="167"/>
      <c r="B569" s="167"/>
      <c r="C569" s="167"/>
      <c r="D569" s="167"/>
      <c r="E569" s="167"/>
    </row>
    <row r="570">
      <c r="A570" s="167"/>
      <c r="B570" s="167"/>
      <c r="C570" s="167"/>
      <c r="D570" s="167"/>
      <c r="E570" s="167"/>
    </row>
    <row r="571">
      <c r="A571" s="167"/>
      <c r="B571" s="167"/>
      <c r="C571" s="167"/>
      <c r="D571" s="167"/>
      <c r="E571" s="167"/>
    </row>
    <row r="572">
      <c r="A572" s="167"/>
      <c r="B572" s="167"/>
      <c r="C572" s="167"/>
      <c r="D572" s="167"/>
      <c r="E572" s="167"/>
    </row>
    <row r="573">
      <c r="A573" s="167"/>
      <c r="B573" s="167"/>
      <c r="C573" s="167"/>
      <c r="D573" s="167"/>
      <c r="E573" s="167"/>
    </row>
    <row r="574">
      <c r="A574" s="167"/>
      <c r="B574" s="167"/>
      <c r="C574" s="167"/>
      <c r="D574" s="167"/>
      <c r="E574" s="167"/>
    </row>
    <row r="575">
      <c r="A575" s="167"/>
      <c r="B575" s="167"/>
      <c r="C575" s="167"/>
      <c r="D575" s="167"/>
      <c r="E575" s="167"/>
    </row>
    <row r="576">
      <c r="A576" s="167"/>
      <c r="B576" s="167"/>
      <c r="C576" s="167"/>
      <c r="D576" s="167"/>
      <c r="E576" s="167"/>
    </row>
    <row r="577">
      <c r="A577" s="167"/>
      <c r="B577" s="167"/>
      <c r="C577" s="167"/>
      <c r="D577" s="167"/>
      <c r="E577" s="167"/>
    </row>
    <row r="578">
      <c r="A578" s="167"/>
      <c r="B578" s="167"/>
      <c r="C578" s="167"/>
      <c r="D578" s="167"/>
      <c r="E578" s="167"/>
    </row>
    <row r="579">
      <c r="A579" s="167"/>
      <c r="B579" s="167"/>
      <c r="C579" s="167"/>
      <c r="D579" s="167"/>
      <c r="E579" s="167"/>
    </row>
    <row r="580">
      <c r="A580" s="167"/>
      <c r="B580" s="167"/>
      <c r="C580" s="167"/>
      <c r="D580" s="167"/>
      <c r="E580" s="167"/>
    </row>
    <row r="581">
      <c r="A581" s="167"/>
      <c r="B581" s="167"/>
      <c r="C581" s="167"/>
      <c r="D581" s="167"/>
      <c r="E581" s="167"/>
    </row>
    <row r="582">
      <c r="A582" s="167"/>
      <c r="B582" s="167"/>
      <c r="C582" s="167"/>
      <c r="D582" s="167"/>
      <c r="E582" s="167"/>
    </row>
    <row r="583">
      <c r="A583" s="167"/>
      <c r="B583" s="167"/>
      <c r="C583" s="167"/>
      <c r="D583" s="167"/>
      <c r="E583" s="167"/>
    </row>
    <row r="584">
      <c r="A584" s="167"/>
      <c r="B584" s="167"/>
      <c r="C584" s="167"/>
      <c r="D584" s="167"/>
      <c r="E584" s="167"/>
    </row>
    <row r="585">
      <c r="A585" s="167"/>
      <c r="B585" s="167"/>
      <c r="C585" s="167"/>
      <c r="D585" s="167"/>
      <c r="E585" s="167"/>
    </row>
    <row r="586">
      <c r="A586" s="167"/>
      <c r="B586" s="167"/>
      <c r="C586" s="167"/>
      <c r="D586" s="167"/>
      <c r="E586" s="167"/>
    </row>
    <row r="587">
      <c r="A587" s="167"/>
      <c r="B587" s="167"/>
      <c r="C587" s="167"/>
      <c r="D587" s="167"/>
      <c r="E587" s="167"/>
    </row>
    <row r="588">
      <c r="A588" s="167"/>
      <c r="B588" s="167"/>
      <c r="C588" s="167"/>
      <c r="D588" s="167"/>
      <c r="E588" s="167"/>
    </row>
    <row r="589">
      <c r="A589" s="167"/>
      <c r="B589" s="167"/>
      <c r="C589" s="167"/>
      <c r="D589" s="167"/>
      <c r="E589" s="167"/>
    </row>
    <row r="590">
      <c r="A590" s="167"/>
      <c r="B590" s="167"/>
      <c r="C590" s="167"/>
      <c r="D590" s="167"/>
      <c r="E590" s="167"/>
    </row>
    <row r="591">
      <c r="A591" s="167"/>
      <c r="B591" s="167"/>
      <c r="C591" s="167"/>
      <c r="D591" s="167"/>
      <c r="E591" s="167"/>
    </row>
    <row r="592">
      <c r="A592" s="167"/>
      <c r="B592" s="167"/>
      <c r="C592" s="167"/>
      <c r="D592" s="167"/>
      <c r="E592" s="167"/>
    </row>
    <row r="593">
      <c r="A593" s="167"/>
      <c r="B593" s="167"/>
      <c r="C593" s="167"/>
      <c r="D593" s="167"/>
      <c r="E593" s="167"/>
    </row>
    <row r="594">
      <c r="A594" s="167"/>
      <c r="B594" s="167"/>
      <c r="C594" s="167"/>
      <c r="D594" s="167"/>
      <c r="E594" s="167"/>
    </row>
    <row r="595">
      <c r="A595" s="167"/>
      <c r="B595" s="167"/>
      <c r="C595" s="167"/>
      <c r="D595" s="167"/>
      <c r="E595" s="167"/>
    </row>
    <row r="596">
      <c r="A596" s="167"/>
      <c r="B596" s="167"/>
      <c r="C596" s="167"/>
      <c r="D596" s="167"/>
      <c r="E596" s="167"/>
    </row>
    <row r="597">
      <c r="A597" s="167"/>
      <c r="B597" s="167"/>
      <c r="C597" s="167"/>
      <c r="D597" s="167"/>
      <c r="E597" s="167"/>
    </row>
    <row r="598">
      <c r="A598" s="167"/>
      <c r="B598" s="167"/>
      <c r="C598" s="167"/>
      <c r="D598" s="167"/>
      <c r="E598" s="167"/>
    </row>
    <row r="599">
      <c r="A599" s="167"/>
      <c r="B599" s="167"/>
      <c r="C599" s="167"/>
      <c r="D599" s="167"/>
      <c r="E599" s="167"/>
    </row>
    <row r="600">
      <c r="A600" s="167"/>
      <c r="B600" s="167"/>
      <c r="C600" s="167"/>
      <c r="D600" s="167"/>
      <c r="E600" s="167"/>
    </row>
    <row r="601">
      <c r="A601" s="167"/>
      <c r="B601" s="167"/>
      <c r="C601" s="167"/>
      <c r="D601" s="167"/>
      <c r="E601" s="167"/>
    </row>
    <row r="602">
      <c r="A602" s="167"/>
      <c r="B602" s="167"/>
      <c r="C602" s="167"/>
      <c r="D602" s="167"/>
      <c r="E602" s="167"/>
    </row>
    <row r="603">
      <c r="A603" s="167"/>
      <c r="B603" s="167"/>
      <c r="C603" s="167"/>
      <c r="D603" s="167"/>
      <c r="E603" s="167"/>
    </row>
    <row r="604">
      <c r="A604" s="167"/>
      <c r="B604" s="167"/>
      <c r="C604" s="167"/>
      <c r="D604" s="167"/>
      <c r="E604" s="167"/>
    </row>
    <row r="605">
      <c r="A605" s="167"/>
      <c r="B605" s="167"/>
      <c r="C605" s="167"/>
      <c r="D605" s="167"/>
      <c r="E605" s="167"/>
    </row>
    <row r="606">
      <c r="A606" s="167"/>
      <c r="B606" s="167"/>
      <c r="C606" s="167"/>
      <c r="D606" s="167"/>
      <c r="E606" s="167"/>
    </row>
    <row r="607">
      <c r="A607" s="167"/>
      <c r="B607" s="167"/>
      <c r="C607" s="167"/>
      <c r="D607" s="167"/>
      <c r="E607" s="167"/>
    </row>
    <row r="608">
      <c r="A608" s="167"/>
      <c r="B608" s="167"/>
      <c r="C608" s="167"/>
      <c r="D608" s="167"/>
      <c r="E608" s="167"/>
    </row>
    <row r="609">
      <c r="A609" s="167"/>
      <c r="B609" s="167"/>
      <c r="C609" s="167"/>
      <c r="D609" s="167"/>
      <c r="E609" s="167"/>
    </row>
    <row r="610">
      <c r="A610" s="167"/>
      <c r="B610" s="167"/>
      <c r="C610" s="167"/>
      <c r="D610" s="167"/>
      <c r="E610" s="167"/>
    </row>
    <row r="611">
      <c r="A611" s="167"/>
      <c r="B611" s="167"/>
      <c r="C611" s="167"/>
      <c r="D611" s="167"/>
      <c r="E611" s="167"/>
    </row>
    <row r="612">
      <c r="A612" s="167"/>
      <c r="B612" s="167"/>
      <c r="C612" s="167"/>
      <c r="D612" s="167"/>
      <c r="E612" s="167"/>
    </row>
    <row r="613">
      <c r="A613" s="167"/>
      <c r="B613" s="167"/>
      <c r="C613" s="167"/>
      <c r="D613" s="167"/>
      <c r="E613" s="167"/>
    </row>
    <row r="614">
      <c r="A614" s="167"/>
      <c r="B614" s="167"/>
      <c r="C614" s="167"/>
      <c r="D614" s="167"/>
      <c r="E614" s="167"/>
    </row>
    <row r="615">
      <c r="A615" s="167"/>
      <c r="B615" s="167"/>
      <c r="C615" s="167"/>
      <c r="D615" s="167"/>
      <c r="E615" s="167"/>
    </row>
    <row r="616">
      <c r="A616" s="167"/>
      <c r="B616" s="167"/>
      <c r="C616" s="167"/>
      <c r="D616" s="167"/>
      <c r="E616" s="167"/>
    </row>
    <row r="617">
      <c r="A617" s="167"/>
      <c r="B617" s="167"/>
      <c r="C617" s="167"/>
      <c r="D617" s="167"/>
      <c r="E617" s="167"/>
    </row>
    <row r="618">
      <c r="A618" s="167"/>
      <c r="B618" s="167"/>
      <c r="C618" s="167"/>
      <c r="D618" s="167"/>
      <c r="E618" s="167"/>
    </row>
    <row r="619">
      <c r="A619" s="167"/>
      <c r="B619" s="167"/>
      <c r="C619" s="167"/>
      <c r="D619" s="167"/>
      <c r="E619" s="167"/>
    </row>
    <row r="620">
      <c r="A620" s="167"/>
      <c r="B620" s="167"/>
      <c r="C620" s="167"/>
      <c r="D620" s="167"/>
      <c r="E620" s="167"/>
    </row>
    <row r="621">
      <c r="A621" s="167"/>
      <c r="B621" s="167"/>
      <c r="C621" s="167"/>
      <c r="D621" s="167"/>
      <c r="E621" s="167"/>
    </row>
    <row r="622">
      <c r="A622" s="167"/>
      <c r="B622" s="167"/>
      <c r="C622" s="167"/>
      <c r="D622" s="167"/>
      <c r="E622" s="167"/>
    </row>
    <row r="623">
      <c r="A623" s="167"/>
      <c r="B623" s="167"/>
      <c r="C623" s="167"/>
      <c r="D623" s="167"/>
      <c r="E623" s="167"/>
    </row>
    <row r="624">
      <c r="A624" s="167"/>
      <c r="B624" s="167"/>
      <c r="C624" s="167"/>
      <c r="D624" s="167"/>
      <c r="E624" s="167"/>
    </row>
    <row r="625">
      <c r="A625" s="167"/>
      <c r="B625" s="167"/>
      <c r="C625" s="167"/>
      <c r="D625" s="167"/>
      <c r="E625" s="167"/>
    </row>
    <row r="626">
      <c r="A626" s="167"/>
      <c r="B626" s="167"/>
      <c r="C626" s="167"/>
      <c r="D626" s="167"/>
      <c r="E626" s="167"/>
    </row>
    <row r="627">
      <c r="A627" s="167"/>
      <c r="B627" s="167"/>
      <c r="C627" s="167"/>
      <c r="D627" s="167"/>
      <c r="E627" s="167"/>
    </row>
    <row r="628">
      <c r="A628" s="167"/>
      <c r="B628" s="167"/>
      <c r="C628" s="167"/>
      <c r="D628" s="167"/>
      <c r="E628" s="167"/>
    </row>
    <row r="629">
      <c r="A629" s="167"/>
      <c r="B629" s="167"/>
      <c r="C629" s="167"/>
      <c r="D629" s="167"/>
      <c r="E629" s="167"/>
    </row>
    <row r="630">
      <c r="A630" s="167"/>
      <c r="B630" s="167"/>
      <c r="C630" s="167"/>
      <c r="D630" s="167"/>
      <c r="E630" s="167"/>
    </row>
    <row r="631">
      <c r="A631" s="167"/>
      <c r="B631" s="167"/>
      <c r="C631" s="167"/>
      <c r="D631" s="167"/>
      <c r="E631" s="167"/>
    </row>
    <row r="632">
      <c r="A632" s="167"/>
      <c r="B632" s="167"/>
      <c r="C632" s="167"/>
      <c r="D632" s="167"/>
      <c r="E632" s="167"/>
    </row>
    <row r="633">
      <c r="A633" s="167"/>
      <c r="B633" s="167"/>
      <c r="C633" s="167"/>
      <c r="D633" s="167"/>
      <c r="E633" s="167"/>
    </row>
    <row r="634">
      <c r="A634" s="167"/>
      <c r="B634" s="167"/>
      <c r="C634" s="167"/>
      <c r="D634" s="167"/>
      <c r="E634" s="167"/>
    </row>
    <row r="635">
      <c r="A635" s="167"/>
      <c r="B635" s="167"/>
      <c r="C635" s="167"/>
      <c r="D635" s="167"/>
      <c r="E635" s="167"/>
    </row>
    <row r="636">
      <c r="A636" s="167"/>
      <c r="B636" s="167"/>
      <c r="C636" s="167"/>
      <c r="D636" s="167"/>
      <c r="E636" s="167"/>
    </row>
    <row r="637">
      <c r="A637" s="167"/>
      <c r="B637" s="167"/>
      <c r="C637" s="167"/>
      <c r="D637" s="167"/>
      <c r="E637" s="167"/>
    </row>
    <row r="638">
      <c r="A638" s="167"/>
      <c r="B638" s="167"/>
      <c r="C638" s="167"/>
      <c r="D638" s="167"/>
      <c r="E638" s="167"/>
    </row>
    <row r="639">
      <c r="A639" s="167"/>
      <c r="B639" s="167"/>
      <c r="C639" s="167"/>
      <c r="D639" s="167"/>
      <c r="E639" s="167"/>
    </row>
    <row r="640">
      <c r="A640" s="167"/>
      <c r="B640" s="167"/>
      <c r="C640" s="167"/>
      <c r="D640" s="167"/>
      <c r="E640" s="167"/>
    </row>
    <row r="641">
      <c r="A641" s="167"/>
      <c r="B641" s="167"/>
      <c r="C641" s="167"/>
      <c r="D641" s="167"/>
      <c r="E641" s="167"/>
    </row>
    <row r="642">
      <c r="A642" s="167"/>
      <c r="B642" s="167"/>
      <c r="C642" s="167"/>
      <c r="D642" s="167"/>
      <c r="E642" s="167"/>
    </row>
    <row r="643">
      <c r="A643" s="167"/>
      <c r="B643" s="167"/>
      <c r="C643" s="167"/>
      <c r="D643" s="167"/>
      <c r="E643" s="167"/>
    </row>
    <row r="644">
      <c r="A644" s="167"/>
      <c r="B644" s="167"/>
      <c r="C644" s="167"/>
      <c r="D644" s="167"/>
      <c r="E644" s="167"/>
    </row>
    <row r="645">
      <c r="A645" s="167"/>
      <c r="B645" s="167"/>
      <c r="C645" s="167"/>
      <c r="D645" s="167"/>
      <c r="E645" s="167"/>
    </row>
    <row r="646">
      <c r="A646" s="167"/>
      <c r="B646" s="167"/>
      <c r="C646" s="167"/>
      <c r="D646" s="167"/>
      <c r="E646" s="167"/>
    </row>
    <row r="647">
      <c r="A647" s="167"/>
      <c r="B647" s="167"/>
      <c r="C647" s="167"/>
      <c r="D647" s="167"/>
      <c r="E647" s="167"/>
    </row>
    <row r="648">
      <c r="A648" s="167"/>
      <c r="B648" s="167"/>
      <c r="C648" s="167"/>
      <c r="D648" s="167"/>
      <c r="E648" s="167"/>
    </row>
    <row r="649">
      <c r="A649" s="167"/>
      <c r="B649" s="167"/>
      <c r="C649" s="167"/>
      <c r="D649" s="167"/>
      <c r="E649" s="167"/>
    </row>
    <row r="650">
      <c r="A650" s="167"/>
      <c r="B650" s="167"/>
      <c r="C650" s="167"/>
      <c r="D650" s="167"/>
      <c r="E650" s="167"/>
    </row>
    <row r="651">
      <c r="A651" s="167"/>
      <c r="B651" s="167"/>
      <c r="C651" s="167"/>
      <c r="D651" s="167"/>
      <c r="E651" s="167"/>
    </row>
    <row r="652">
      <c r="A652" s="167"/>
      <c r="B652" s="167"/>
      <c r="C652" s="167"/>
      <c r="D652" s="167"/>
      <c r="E652" s="167"/>
    </row>
    <row r="653">
      <c r="A653" s="167"/>
      <c r="B653" s="167"/>
      <c r="C653" s="167"/>
      <c r="D653" s="167"/>
      <c r="E653" s="167"/>
    </row>
    <row r="654">
      <c r="A654" s="167"/>
      <c r="B654" s="167"/>
      <c r="C654" s="167"/>
      <c r="D654" s="167"/>
      <c r="E654" s="167"/>
    </row>
    <row r="655">
      <c r="A655" s="167"/>
      <c r="B655" s="167"/>
      <c r="C655" s="167"/>
      <c r="D655" s="167"/>
      <c r="E655" s="167"/>
    </row>
    <row r="656">
      <c r="A656" s="167"/>
      <c r="B656" s="167"/>
      <c r="C656" s="167"/>
      <c r="D656" s="167"/>
      <c r="E656" s="167"/>
    </row>
    <row r="657">
      <c r="A657" s="167"/>
      <c r="B657" s="167"/>
      <c r="C657" s="167"/>
      <c r="D657" s="167"/>
      <c r="E657" s="167"/>
    </row>
    <row r="658">
      <c r="A658" s="167"/>
      <c r="B658" s="167"/>
      <c r="C658" s="167"/>
      <c r="D658" s="167"/>
      <c r="E658" s="167"/>
    </row>
    <row r="659">
      <c r="A659" s="167"/>
      <c r="B659" s="167"/>
      <c r="C659" s="167"/>
      <c r="D659" s="167"/>
      <c r="E659" s="167"/>
    </row>
    <row r="660">
      <c r="A660" s="167"/>
      <c r="B660" s="167"/>
      <c r="C660" s="167"/>
      <c r="D660" s="167"/>
      <c r="E660" s="167"/>
    </row>
    <row r="661">
      <c r="A661" s="167"/>
      <c r="B661" s="167"/>
      <c r="C661" s="167"/>
      <c r="D661" s="167"/>
      <c r="E661" s="167"/>
    </row>
    <row r="662">
      <c r="A662" s="167"/>
      <c r="B662" s="167"/>
      <c r="C662" s="167"/>
      <c r="D662" s="167"/>
      <c r="E662" s="167"/>
    </row>
    <row r="663">
      <c r="A663" s="167"/>
      <c r="B663" s="167"/>
      <c r="C663" s="167"/>
      <c r="D663" s="167"/>
      <c r="E663" s="167"/>
    </row>
    <row r="664">
      <c r="A664" s="167"/>
      <c r="B664" s="167"/>
      <c r="C664" s="167"/>
      <c r="D664" s="167"/>
      <c r="E664" s="167"/>
    </row>
    <row r="665">
      <c r="A665" s="167"/>
      <c r="B665" s="167"/>
      <c r="C665" s="167"/>
      <c r="D665" s="167"/>
      <c r="E665" s="167"/>
    </row>
    <row r="666">
      <c r="A666" s="167"/>
      <c r="B666" s="167"/>
      <c r="C666" s="167"/>
      <c r="D666" s="167"/>
      <c r="E666" s="167"/>
    </row>
    <row r="667">
      <c r="A667" s="167"/>
      <c r="B667" s="167"/>
      <c r="C667" s="167"/>
      <c r="D667" s="167"/>
      <c r="E667" s="167"/>
    </row>
    <row r="668">
      <c r="A668" s="167"/>
      <c r="B668" s="167"/>
      <c r="C668" s="167"/>
      <c r="D668" s="167"/>
      <c r="E668" s="167"/>
    </row>
    <row r="669">
      <c r="A669" s="167"/>
      <c r="B669" s="167"/>
      <c r="C669" s="167"/>
      <c r="D669" s="167"/>
      <c r="E669" s="167"/>
    </row>
    <row r="670">
      <c r="A670" s="167"/>
      <c r="B670" s="167"/>
      <c r="C670" s="167"/>
      <c r="D670" s="167"/>
      <c r="E670" s="167"/>
    </row>
    <row r="671">
      <c r="A671" s="167"/>
      <c r="B671" s="167"/>
      <c r="C671" s="167"/>
      <c r="D671" s="167"/>
      <c r="E671" s="167"/>
    </row>
    <row r="672">
      <c r="A672" s="167"/>
      <c r="B672" s="167"/>
      <c r="C672" s="167"/>
      <c r="D672" s="167"/>
      <c r="E672" s="167"/>
    </row>
    <row r="673">
      <c r="A673" s="167"/>
      <c r="B673" s="167"/>
      <c r="C673" s="167"/>
      <c r="D673" s="167"/>
      <c r="E673" s="167"/>
    </row>
    <row r="674">
      <c r="A674" s="167"/>
      <c r="B674" s="167"/>
      <c r="C674" s="167"/>
      <c r="D674" s="167"/>
      <c r="E674" s="167"/>
    </row>
    <row r="675">
      <c r="A675" s="167"/>
      <c r="B675" s="167"/>
      <c r="C675" s="167"/>
      <c r="D675" s="167"/>
      <c r="E675" s="167"/>
    </row>
    <row r="676">
      <c r="A676" s="167"/>
      <c r="B676" s="167"/>
      <c r="C676" s="167"/>
      <c r="D676" s="167"/>
      <c r="E676" s="167"/>
    </row>
    <row r="677">
      <c r="A677" s="167"/>
      <c r="B677" s="167"/>
      <c r="C677" s="167"/>
      <c r="D677" s="167"/>
      <c r="E677" s="167"/>
    </row>
    <row r="678">
      <c r="A678" s="167"/>
      <c r="B678" s="167"/>
      <c r="C678" s="167"/>
      <c r="D678" s="167"/>
      <c r="E678" s="167"/>
    </row>
    <row r="679">
      <c r="A679" s="167"/>
      <c r="B679" s="167"/>
      <c r="C679" s="167"/>
      <c r="D679" s="167"/>
      <c r="E679" s="167"/>
    </row>
    <row r="680">
      <c r="A680" s="167"/>
      <c r="B680" s="167"/>
      <c r="C680" s="167"/>
      <c r="D680" s="167"/>
      <c r="E680" s="167"/>
    </row>
    <row r="681">
      <c r="A681" s="167"/>
      <c r="B681" s="167"/>
      <c r="C681" s="167"/>
      <c r="D681" s="167"/>
      <c r="E681" s="167"/>
    </row>
    <row r="682">
      <c r="A682" s="167"/>
      <c r="B682" s="167"/>
      <c r="C682" s="167"/>
      <c r="D682" s="167"/>
      <c r="E682" s="167"/>
    </row>
    <row r="683">
      <c r="A683" s="167"/>
      <c r="B683" s="167"/>
      <c r="C683" s="167"/>
      <c r="D683" s="167"/>
      <c r="E683" s="167"/>
    </row>
    <row r="684">
      <c r="A684" s="167"/>
      <c r="B684" s="167"/>
      <c r="C684" s="167"/>
      <c r="D684" s="167"/>
      <c r="E684" s="167"/>
    </row>
    <row r="685">
      <c r="A685" s="167"/>
      <c r="B685" s="167"/>
      <c r="C685" s="167"/>
      <c r="D685" s="167"/>
      <c r="E685" s="167"/>
    </row>
    <row r="686">
      <c r="A686" s="167"/>
      <c r="B686" s="167"/>
      <c r="C686" s="167"/>
      <c r="D686" s="167"/>
      <c r="E686" s="167"/>
    </row>
    <row r="687">
      <c r="A687" s="167"/>
      <c r="B687" s="167"/>
      <c r="C687" s="167"/>
      <c r="D687" s="167"/>
      <c r="E687" s="167"/>
    </row>
    <row r="688">
      <c r="A688" s="167"/>
      <c r="B688" s="167"/>
      <c r="C688" s="167"/>
      <c r="D688" s="167"/>
      <c r="E688" s="167"/>
    </row>
    <row r="689">
      <c r="A689" s="167"/>
      <c r="B689" s="167"/>
      <c r="C689" s="167"/>
      <c r="D689" s="167"/>
      <c r="E689" s="167"/>
    </row>
    <row r="690">
      <c r="A690" s="167"/>
      <c r="B690" s="167"/>
      <c r="C690" s="167"/>
      <c r="D690" s="167"/>
      <c r="E690" s="167"/>
    </row>
    <row r="691">
      <c r="A691" s="167"/>
      <c r="B691" s="167"/>
      <c r="C691" s="167"/>
      <c r="D691" s="167"/>
      <c r="E691" s="167"/>
    </row>
    <row r="692">
      <c r="A692" s="167"/>
      <c r="B692" s="167"/>
      <c r="C692" s="167"/>
      <c r="D692" s="167"/>
      <c r="E692" s="167"/>
    </row>
    <row r="693">
      <c r="A693" s="167"/>
      <c r="B693" s="167"/>
      <c r="C693" s="167"/>
      <c r="D693" s="167"/>
      <c r="E693" s="167"/>
    </row>
    <row r="694">
      <c r="A694" s="167"/>
      <c r="B694" s="167"/>
      <c r="C694" s="167"/>
      <c r="D694" s="167"/>
      <c r="E694" s="167"/>
    </row>
    <row r="695">
      <c r="A695" s="167"/>
      <c r="B695" s="167"/>
      <c r="C695" s="167"/>
      <c r="D695" s="167"/>
      <c r="E695" s="167"/>
    </row>
    <row r="696">
      <c r="A696" s="167"/>
      <c r="B696" s="167"/>
      <c r="C696" s="167"/>
      <c r="D696" s="167"/>
      <c r="E696" s="167"/>
    </row>
    <row r="697">
      <c r="A697" s="167"/>
      <c r="B697" s="167"/>
      <c r="C697" s="167"/>
      <c r="D697" s="167"/>
      <c r="E697" s="167"/>
    </row>
    <row r="698">
      <c r="A698" s="167"/>
      <c r="B698" s="167"/>
      <c r="C698" s="167"/>
      <c r="D698" s="167"/>
      <c r="E698" s="167"/>
    </row>
    <row r="699">
      <c r="A699" s="167"/>
      <c r="B699" s="167"/>
      <c r="C699" s="167"/>
      <c r="D699" s="167"/>
      <c r="E699" s="167"/>
    </row>
    <row r="700">
      <c r="A700" s="167"/>
      <c r="B700" s="167"/>
      <c r="C700" s="167"/>
      <c r="D700" s="167"/>
      <c r="E700" s="167"/>
    </row>
    <row r="701">
      <c r="A701" s="167"/>
      <c r="B701" s="167"/>
      <c r="C701" s="167"/>
      <c r="D701" s="167"/>
      <c r="E701" s="167"/>
    </row>
    <row r="702">
      <c r="A702" s="167"/>
      <c r="B702" s="167"/>
      <c r="C702" s="167"/>
      <c r="D702" s="167"/>
      <c r="E702" s="167"/>
    </row>
    <row r="703">
      <c r="A703" s="167"/>
      <c r="B703" s="167"/>
      <c r="C703" s="167"/>
      <c r="D703" s="167"/>
      <c r="E703" s="167"/>
    </row>
    <row r="704">
      <c r="A704" s="167"/>
      <c r="B704" s="167"/>
      <c r="C704" s="167"/>
      <c r="D704" s="167"/>
      <c r="E704" s="167"/>
    </row>
    <row r="705">
      <c r="A705" s="167"/>
      <c r="B705" s="167"/>
      <c r="C705" s="167"/>
      <c r="D705" s="167"/>
      <c r="E705" s="167"/>
    </row>
    <row r="706">
      <c r="A706" s="167"/>
      <c r="B706" s="167"/>
      <c r="C706" s="167"/>
      <c r="D706" s="167"/>
      <c r="E706" s="167"/>
    </row>
    <row r="707">
      <c r="A707" s="167"/>
      <c r="B707" s="167"/>
      <c r="C707" s="167"/>
      <c r="D707" s="167"/>
      <c r="E707" s="167"/>
    </row>
    <row r="708">
      <c r="A708" s="167"/>
      <c r="B708" s="167"/>
      <c r="C708" s="167"/>
      <c r="D708" s="167"/>
      <c r="E708" s="167"/>
    </row>
    <row r="709">
      <c r="A709" s="167"/>
      <c r="B709" s="167"/>
      <c r="C709" s="167"/>
      <c r="D709" s="167"/>
      <c r="E709" s="167"/>
    </row>
    <row r="710">
      <c r="A710" s="167"/>
      <c r="B710" s="167"/>
      <c r="C710" s="167"/>
      <c r="D710" s="167"/>
      <c r="E710" s="167"/>
    </row>
    <row r="711">
      <c r="A711" s="167"/>
      <c r="B711" s="167"/>
      <c r="C711" s="167"/>
      <c r="D711" s="167"/>
      <c r="E711" s="167"/>
    </row>
    <row r="712">
      <c r="A712" s="167"/>
      <c r="B712" s="167"/>
      <c r="C712" s="167"/>
      <c r="D712" s="167"/>
      <c r="E712" s="167"/>
    </row>
    <row r="713">
      <c r="A713" s="167"/>
      <c r="B713" s="167"/>
      <c r="C713" s="167"/>
      <c r="D713" s="167"/>
      <c r="E713" s="167"/>
    </row>
    <row r="714">
      <c r="A714" s="167"/>
      <c r="B714" s="167"/>
      <c r="C714" s="167"/>
      <c r="D714" s="167"/>
      <c r="E714" s="167"/>
    </row>
    <row r="715">
      <c r="A715" s="167"/>
      <c r="B715" s="167"/>
      <c r="C715" s="167"/>
      <c r="D715" s="167"/>
      <c r="E715" s="167"/>
    </row>
    <row r="716">
      <c r="A716" s="167"/>
      <c r="B716" s="167"/>
      <c r="C716" s="167"/>
      <c r="D716" s="167"/>
      <c r="E716" s="167"/>
    </row>
    <row r="717">
      <c r="A717" s="167"/>
      <c r="B717" s="167"/>
      <c r="C717" s="167"/>
      <c r="D717" s="167"/>
      <c r="E717" s="167"/>
    </row>
    <row r="718">
      <c r="A718" s="167"/>
      <c r="B718" s="167"/>
      <c r="C718" s="167"/>
      <c r="D718" s="167"/>
      <c r="E718" s="167"/>
    </row>
    <row r="719">
      <c r="A719" s="167"/>
      <c r="B719" s="167"/>
      <c r="C719" s="167"/>
      <c r="D719" s="167"/>
      <c r="E719" s="167"/>
    </row>
    <row r="720">
      <c r="A720" s="167"/>
      <c r="B720" s="167"/>
      <c r="C720" s="167"/>
      <c r="D720" s="167"/>
      <c r="E720" s="167"/>
    </row>
    <row r="721">
      <c r="A721" s="167"/>
      <c r="B721" s="167"/>
      <c r="C721" s="167"/>
      <c r="D721" s="167"/>
      <c r="E721" s="167"/>
    </row>
    <row r="722">
      <c r="A722" s="167"/>
      <c r="B722" s="167"/>
      <c r="C722" s="167"/>
      <c r="D722" s="167"/>
      <c r="E722" s="167"/>
    </row>
    <row r="723">
      <c r="A723" s="167"/>
      <c r="B723" s="167"/>
      <c r="C723" s="167"/>
      <c r="D723" s="167"/>
      <c r="E723" s="167"/>
    </row>
    <row r="724">
      <c r="A724" s="167"/>
      <c r="B724" s="167"/>
      <c r="C724" s="167"/>
      <c r="D724" s="167"/>
      <c r="E724" s="167"/>
    </row>
    <row r="725">
      <c r="A725" s="167"/>
      <c r="B725" s="167"/>
      <c r="C725" s="167"/>
      <c r="D725" s="167"/>
      <c r="E725" s="167"/>
    </row>
    <row r="726">
      <c r="A726" s="167"/>
      <c r="B726" s="167"/>
      <c r="C726" s="167"/>
      <c r="D726" s="167"/>
      <c r="E726" s="167"/>
    </row>
    <row r="727">
      <c r="A727" s="167"/>
      <c r="B727" s="167"/>
      <c r="C727" s="167"/>
      <c r="D727" s="167"/>
      <c r="E727" s="167"/>
    </row>
    <row r="728">
      <c r="A728" s="167"/>
      <c r="B728" s="167"/>
      <c r="C728" s="167"/>
      <c r="D728" s="167"/>
      <c r="E728" s="167"/>
    </row>
    <row r="729">
      <c r="A729" s="167"/>
      <c r="B729" s="167"/>
      <c r="C729" s="167"/>
      <c r="D729" s="167"/>
      <c r="E729" s="167"/>
    </row>
    <row r="730">
      <c r="A730" s="167"/>
      <c r="B730" s="167"/>
      <c r="C730" s="167"/>
      <c r="D730" s="167"/>
      <c r="E730" s="167"/>
    </row>
    <row r="731">
      <c r="A731" s="167"/>
      <c r="B731" s="167"/>
      <c r="C731" s="167"/>
      <c r="D731" s="167"/>
      <c r="E731" s="167"/>
    </row>
    <row r="732">
      <c r="A732" s="167"/>
      <c r="B732" s="167"/>
      <c r="C732" s="167"/>
      <c r="D732" s="167"/>
      <c r="E732" s="167"/>
    </row>
    <row r="733">
      <c r="A733" s="167"/>
      <c r="B733" s="167"/>
      <c r="C733" s="167"/>
      <c r="D733" s="167"/>
      <c r="E733" s="167"/>
    </row>
    <row r="734">
      <c r="A734" s="167"/>
      <c r="B734" s="167"/>
      <c r="C734" s="167"/>
      <c r="D734" s="167"/>
      <c r="E734" s="167"/>
    </row>
    <row r="735">
      <c r="A735" s="167"/>
      <c r="B735" s="167"/>
      <c r="C735" s="167"/>
      <c r="D735" s="167"/>
      <c r="E735" s="167"/>
    </row>
    <row r="736">
      <c r="A736" s="167"/>
      <c r="B736" s="167"/>
      <c r="C736" s="167"/>
      <c r="D736" s="167"/>
      <c r="E736" s="167"/>
    </row>
    <row r="737">
      <c r="A737" s="167"/>
      <c r="B737" s="167"/>
      <c r="C737" s="167"/>
      <c r="D737" s="167"/>
      <c r="E737" s="167"/>
    </row>
    <row r="738">
      <c r="A738" s="167"/>
      <c r="B738" s="167"/>
      <c r="C738" s="167"/>
      <c r="D738" s="167"/>
      <c r="E738" s="167"/>
    </row>
    <row r="739">
      <c r="A739" s="167"/>
      <c r="B739" s="167"/>
      <c r="C739" s="167"/>
      <c r="D739" s="167"/>
      <c r="E739" s="167"/>
    </row>
    <row r="740">
      <c r="A740" s="167"/>
      <c r="B740" s="167"/>
      <c r="C740" s="167"/>
      <c r="D740" s="167"/>
      <c r="E740" s="167"/>
    </row>
    <row r="741">
      <c r="A741" s="167"/>
      <c r="B741" s="167"/>
      <c r="C741" s="167"/>
      <c r="D741" s="167"/>
      <c r="E741" s="167"/>
    </row>
    <row r="742">
      <c r="A742" s="167"/>
      <c r="B742" s="167"/>
      <c r="C742" s="167"/>
      <c r="D742" s="167"/>
      <c r="E742" s="167"/>
    </row>
    <row r="743">
      <c r="A743" s="167"/>
      <c r="B743" s="167"/>
      <c r="C743" s="167"/>
      <c r="D743" s="167"/>
      <c r="E743" s="167"/>
    </row>
    <row r="744">
      <c r="A744" s="167"/>
      <c r="B744" s="167"/>
      <c r="C744" s="167"/>
      <c r="D744" s="167"/>
      <c r="E744" s="167"/>
    </row>
    <row r="745">
      <c r="A745" s="167"/>
      <c r="B745" s="167"/>
      <c r="C745" s="167"/>
      <c r="D745" s="167"/>
      <c r="E745" s="167"/>
    </row>
    <row r="746">
      <c r="A746" s="167"/>
      <c r="B746" s="167"/>
      <c r="C746" s="167"/>
      <c r="D746" s="167"/>
      <c r="E746" s="167"/>
    </row>
    <row r="747">
      <c r="A747" s="167"/>
      <c r="B747" s="167"/>
      <c r="C747" s="167"/>
      <c r="D747" s="167"/>
      <c r="E747" s="167"/>
    </row>
    <row r="748">
      <c r="A748" s="167"/>
      <c r="B748" s="167"/>
      <c r="C748" s="167"/>
      <c r="D748" s="167"/>
      <c r="E748" s="167"/>
    </row>
    <row r="749">
      <c r="A749" s="167"/>
      <c r="B749" s="167"/>
      <c r="C749" s="167"/>
      <c r="D749" s="167"/>
      <c r="E749" s="167"/>
    </row>
    <row r="750">
      <c r="A750" s="167"/>
      <c r="B750" s="167"/>
      <c r="C750" s="167"/>
      <c r="D750" s="167"/>
      <c r="E750" s="167"/>
    </row>
    <row r="751">
      <c r="A751" s="167"/>
      <c r="B751" s="167"/>
      <c r="C751" s="167"/>
      <c r="D751" s="167"/>
      <c r="E751" s="167"/>
    </row>
    <row r="752">
      <c r="A752" s="167"/>
      <c r="B752" s="167"/>
      <c r="C752" s="167"/>
      <c r="D752" s="167"/>
      <c r="E752" s="167"/>
    </row>
    <row r="753">
      <c r="A753" s="167"/>
      <c r="B753" s="167"/>
      <c r="C753" s="167"/>
      <c r="D753" s="167"/>
      <c r="E753" s="167"/>
    </row>
    <row r="754">
      <c r="A754" s="167"/>
      <c r="B754" s="167"/>
      <c r="C754" s="167"/>
      <c r="D754" s="167"/>
      <c r="E754" s="167"/>
    </row>
    <row r="755">
      <c r="A755" s="167"/>
      <c r="B755" s="167"/>
      <c r="C755" s="167"/>
      <c r="D755" s="167"/>
      <c r="E755" s="167"/>
    </row>
    <row r="756">
      <c r="A756" s="167"/>
      <c r="B756" s="167"/>
      <c r="C756" s="167"/>
      <c r="D756" s="167"/>
      <c r="E756" s="167"/>
    </row>
    <row r="757">
      <c r="A757" s="167"/>
      <c r="B757" s="167"/>
      <c r="C757" s="167"/>
      <c r="D757" s="167"/>
      <c r="E757" s="167"/>
    </row>
    <row r="758">
      <c r="A758" s="167"/>
      <c r="B758" s="167"/>
      <c r="C758" s="167"/>
      <c r="D758" s="167"/>
      <c r="E758" s="167"/>
    </row>
    <row r="759">
      <c r="A759" s="167"/>
      <c r="B759" s="167"/>
      <c r="C759" s="167"/>
      <c r="D759" s="167"/>
      <c r="E759" s="167"/>
    </row>
    <row r="760">
      <c r="A760" s="167"/>
      <c r="B760" s="167"/>
      <c r="C760" s="167"/>
      <c r="D760" s="167"/>
      <c r="E760" s="167"/>
    </row>
    <row r="761">
      <c r="A761" s="167"/>
      <c r="B761" s="167"/>
      <c r="C761" s="167"/>
      <c r="D761" s="167"/>
      <c r="E761" s="167"/>
    </row>
    <row r="762">
      <c r="A762" s="167"/>
      <c r="B762" s="167"/>
      <c r="C762" s="167"/>
      <c r="D762" s="167"/>
      <c r="E762" s="167"/>
    </row>
    <row r="763">
      <c r="A763" s="167"/>
      <c r="B763" s="167"/>
      <c r="C763" s="167"/>
      <c r="D763" s="167"/>
      <c r="E763" s="167"/>
    </row>
    <row r="764">
      <c r="A764" s="167"/>
      <c r="B764" s="167"/>
      <c r="C764" s="167"/>
      <c r="D764" s="167"/>
      <c r="E764" s="167"/>
    </row>
    <row r="765">
      <c r="A765" s="167"/>
      <c r="B765" s="167"/>
      <c r="C765" s="167"/>
      <c r="D765" s="167"/>
      <c r="E765" s="167"/>
    </row>
    <row r="766">
      <c r="A766" s="167"/>
      <c r="B766" s="167"/>
      <c r="C766" s="167"/>
      <c r="D766" s="167"/>
      <c r="E766" s="167"/>
    </row>
    <row r="767">
      <c r="A767" s="167"/>
      <c r="B767" s="167"/>
      <c r="C767" s="167"/>
      <c r="D767" s="167"/>
      <c r="E767" s="167"/>
    </row>
    <row r="768">
      <c r="A768" s="167"/>
      <c r="B768" s="167"/>
      <c r="C768" s="167"/>
      <c r="D768" s="167"/>
      <c r="E768" s="167"/>
    </row>
    <row r="769">
      <c r="A769" s="167"/>
      <c r="B769" s="167"/>
      <c r="C769" s="167"/>
      <c r="D769" s="167"/>
      <c r="E769" s="167"/>
    </row>
    <row r="770">
      <c r="A770" s="167"/>
      <c r="B770" s="167"/>
      <c r="C770" s="167"/>
      <c r="D770" s="167"/>
      <c r="E770" s="167"/>
    </row>
    <row r="771">
      <c r="A771" s="167"/>
      <c r="B771" s="167"/>
      <c r="C771" s="167"/>
      <c r="D771" s="167"/>
      <c r="E771" s="167"/>
    </row>
    <row r="772">
      <c r="A772" s="167"/>
      <c r="B772" s="167"/>
      <c r="C772" s="167"/>
      <c r="D772" s="167"/>
      <c r="E772" s="167"/>
    </row>
    <row r="773">
      <c r="A773" s="167"/>
      <c r="B773" s="167"/>
      <c r="C773" s="167"/>
      <c r="D773" s="167"/>
      <c r="E773" s="167"/>
    </row>
    <row r="774">
      <c r="A774" s="167"/>
      <c r="B774" s="167"/>
      <c r="C774" s="167"/>
      <c r="D774" s="167"/>
      <c r="E774" s="167"/>
    </row>
    <row r="775">
      <c r="A775" s="167"/>
      <c r="B775" s="167"/>
      <c r="C775" s="167"/>
      <c r="D775" s="167"/>
      <c r="E775" s="167"/>
    </row>
    <row r="776">
      <c r="A776" s="167"/>
      <c r="B776" s="167"/>
      <c r="C776" s="167"/>
      <c r="D776" s="167"/>
      <c r="E776" s="167"/>
    </row>
    <row r="777">
      <c r="A777" s="167"/>
      <c r="B777" s="167"/>
      <c r="C777" s="167"/>
      <c r="D777" s="167"/>
      <c r="E777" s="167"/>
    </row>
    <row r="778">
      <c r="A778" s="167"/>
      <c r="B778" s="167"/>
      <c r="C778" s="167"/>
      <c r="D778" s="167"/>
      <c r="E778" s="167"/>
    </row>
    <row r="779">
      <c r="A779" s="167"/>
      <c r="B779" s="167"/>
      <c r="C779" s="167"/>
      <c r="D779" s="167"/>
      <c r="E779" s="167"/>
    </row>
    <row r="780">
      <c r="A780" s="167"/>
      <c r="B780" s="167"/>
      <c r="C780" s="167"/>
      <c r="D780" s="167"/>
      <c r="E780" s="167"/>
    </row>
    <row r="781">
      <c r="A781" s="167"/>
      <c r="B781" s="167"/>
      <c r="C781" s="167"/>
      <c r="D781" s="167"/>
      <c r="E781" s="167"/>
    </row>
    <row r="782">
      <c r="A782" s="167"/>
      <c r="B782" s="167"/>
      <c r="C782" s="167"/>
      <c r="D782" s="167"/>
      <c r="E782" s="167"/>
    </row>
    <row r="783">
      <c r="A783" s="167"/>
      <c r="B783" s="167"/>
      <c r="C783" s="167"/>
      <c r="D783" s="167"/>
      <c r="E783" s="167"/>
    </row>
    <row r="784">
      <c r="A784" s="167"/>
      <c r="B784" s="167"/>
      <c r="C784" s="167"/>
      <c r="D784" s="167"/>
      <c r="E784" s="167"/>
    </row>
    <row r="785">
      <c r="A785" s="167"/>
      <c r="B785" s="167"/>
      <c r="C785" s="167"/>
      <c r="D785" s="167"/>
      <c r="E785" s="167"/>
    </row>
    <row r="786">
      <c r="A786" s="167"/>
      <c r="B786" s="167"/>
      <c r="C786" s="167"/>
      <c r="D786" s="167"/>
      <c r="E786" s="167"/>
    </row>
    <row r="787">
      <c r="A787" s="167"/>
      <c r="B787" s="167"/>
      <c r="C787" s="167"/>
      <c r="D787" s="167"/>
      <c r="E787" s="167"/>
    </row>
    <row r="788">
      <c r="A788" s="167"/>
      <c r="B788" s="167"/>
      <c r="C788" s="167"/>
      <c r="D788" s="167"/>
      <c r="E788" s="167"/>
    </row>
    <row r="789">
      <c r="A789" s="167"/>
      <c r="B789" s="167"/>
      <c r="C789" s="167"/>
      <c r="D789" s="167"/>
      <c r="E789" s="167"/>
    </row>
    <row r="790">
      <c r="A790" s="167"/>
      <c r="B790" s="167"/>
      <c r="C790" s="167"/>
      <c r="D790" s="167"/>
      <c r="E790" s="167"/>
    </row>
    <row r="791">
      <c r="A791" s="167"/>
      <c r="B791" s="167"/>
      <c r="C791" s="167"/>
      <c r="D791" s="167"/>
      <c r="E791" s="167"/>
    </row>
    <row r="792">
      <c r="A792" s="167"/>
      <c r="B792" s="167"/>
      <c r="C792" s="167"/>
      <c r="D792" s="167"/>
      <c r="E792" s="167"/>
    </row>
    <row r="793">
      <c r="A793" s="167"/>
      <c r="B793" s="167"/>
      <c r="C793" s="167"/>
      <c r="D793" s="167"/>
      <c r="E793" s="167"/>
    </row>
    <row r="794">
      <c r="A794" s="167"/>
      <c r="B794" s="167"/>
      <c r="C794" s="167"/>
      <c r="D794" s="167"/>
      <c r="E794" s="167"/>
    </row>
    <row r="795">
      <c r="A795" s="167"/>
      <c r="B795" s="167"/>
      <c r="C795" s="167"/>
      <c r="D795" s="167"/>
      <c r="E795" s="167"/>
    </row>
    <row r="796">
      <c r="A796" s="167"/>
      <c r="B796" s="167"/>
      <c r="C796" s="167"/>
      <c r="D796" s="167"/>
      <c r="E796" s="167"/>
    </row>
    <row r="797">
      <c r="A797" s="167"/>
      <c r="B797" s="167"/>
      <c r="C797" s="167"/>
      <c r="D797" s="167"/>
      <c r="E797" s="167"/>
    </row>
    <row r="798">
      <c r="A798" s="167"/>
      <c r="B798" s="167"/>
      <c r="C798" s="167"/>
      <c r="D798" s="167"/>
      <c r="E798" s="167"/>
    </row>
    <row r="799">
      <c r="A799" s="167"/>
      <c r="B799" s="167"/>
      <c r="C799" s="167"/>
      <c r="D799" s="167"/>
      <c r="E799" s="167"/>
    </row>
    <row r="800">
      <c r="A800" s="167"/>
      <c r="B800" s="167"/>
      <c r="C800" s="167"/>
      <c r="D800" s="167"/>
      <c r="E800" s="167"/>
    </row>
    <row r="801">
      <c r="A801" s="167"/>
      <c r="B801" s="167"/>
      <c r="C801" s="167"/>
      <c r="D801" s="167"/>
      <c r="E801" s="167"/>
    </row>
    <row r="802">
      <c r="A802" s="167"/>
      <c r="B802" s="167"/>
      <c r="C802" s="167"/>
      <c r="D802" s="167"/>
      <c r="E802" s="167"/>
    </row>
    <row r="803">
      <c r="A803" s="167"/>
      <c r="B803" s="167"/>
      <c r="C803" s="167"/>
      <c r="D803" s="167"/>
      <c r="E803" s="167"/>
    </row>
    <row r="804">
      <c r="A804" s="167"/>
      <c r="B804" s="167"/>
      <c r="C804" s="167"/>
      <c r="D804" s="167"/>
      <c r="E804" s="167"/>
    </row>
    <row r="805">
      <c r="A805" s="167"/>
      <c r="B805" s="167"/>
      <c r="C805" s="167"/>
      <c r="D805" s="167"/>
      <c r="E805" s="167"/>
    </row>
    <row r="806">
      <c r="A806" s="167"/>
      <c r="B806" s="167"/>
      <c r="C806" s="167"/>
      <c r="D806" s="167"/>
      <c r="E806" s="167"/>
    </row>
    <row r="807">
      <c r="A807" s="167"/>
      <c r="B807" s="167"/>
      <c r="C807" s="167"/>
      <c r="D807" s="167"/>
      <c r="E807" s="167"/>
    </row>
    <row r="808">
      <c r="A808" s="167"/>
      <c r="B808" s="167"/>
      <c r="C808" s="167"/>
      <c r="D808" s="167"/>
      <c r="E808" s="167"/>
    </row>
    <row r="809">
      <c r="A809" s="167"/>
      <c r="B809" s="167"/>
      <c r="C809" s="167"/>
      <c r="D809" s="167"/>
      <c r="E809" s="167"/>
    </row>
    <row r="810">
      <c r="A810" s="167"/>
      <c r="B810" s="167"/>
      <c r="C810" s="167"/>
      <c r="D810" s="167"/>
      <c r="E810" s="167"/>
    </row>
    <row r="811">
      <c r="A811" s="167"/>
      <c r="B811" s="167"/>
      <c r="C811" s="167"/>
      <c r="D811" s="167"/>
      <c r="E811" s="167"/>
    </row>
    <row r="812">
      <c r="A812" s="167"/>
      <c r="B812" s="167"/>
      <c r="C812" s="167"/>
      <c r="D812" s="167"/>
      <c r="E812" s="167"/>
    </row>
    <row r="813">
      <c r="A813" s="167"/>
      <c r="B813" s="167"/>
      <c r="C813" s="167"/>
      <c r="D813" s="167"/>
      <c r="E813" s="167"/>
    </row>
    <row r="814">
      <c r="A814" s="167"/>
      <c r="B814" s="167"/>
      <c r="C814" s="167"/>
      <c r="D814" s="167"/>
      <c r="E814" s="167"/>
    </row>
    <row r="815">
      <c r="A815" s="167"/>
      <c r="B815" s="167"/>
      <c r="C815" s="167"/>
      <c r="D815" s="167"/>
      <c r="E815" s="167"/>
    </row>
    <row r="816">
      <c r="A816" s="167"/>
      <c r="B816" s="167"/>
      <c r="C816" s="167"/>
      <c r="D816" s="167"/>
      <c r="E816" s="167"/>
    </row>
    <row r="817">
      <c r="A817" s="167"/>
      <c r="B817" s="167"/>
      <c r="C817" s="167"/>
      <c r="D817" s="167"/>
      <c r="E817" s="167"/>
    </row>
    <row r="818">
      <c r="A818" s="167"/>
      <c r="B818" s="167"/>
      <c r="C818" s="167"/>
      <c r="D818" s="167"/>
      <c r="E818" s="167"/>
    </row>
    <row r="819">
      <c r="A819" s="167"/>
      <c r="B819" s="167"/>
      <c r="C819" s="167"/>
      <c r="D819" s="167"/>
      <c r="E819" s="167"/>
    </row>
    <row r="820">
      <c r="A820" s="167"/>
      <c r="B820" s="167"/>
      <c r="C820" s="167"/>
      <c r="D820" s="167"/>
      <c r="E820" s="167"/>
    </row>
    <row r="821">
      <c r="A821" s="167"/>
      <c r="B821" s="167"/>
      <c r="C821" s="167"/>
      <c r="D821" s="167"/>
      <c r="E821" s="167"/>
    </row>
    <row r="822">
      <c r="A822" s="167"/>
      <c r="B822" s="167"/>
      <c r="C822" s="167"/>
      <c r="D822" s="167"/>
      <c r="E822" s="167"/>
    </row>
    <row r="823">
      <c r="A823" s="167"/>
      <c r="B823" s="167"/>
      <c r="C823" s="167"/>
      <c r="D823" s="167"/>
      <c r="E823" s="167"/>
    </row>
    <row r="824">
      <c r="A824" s="167"/>
      <c r="B824" s="167"/>
      <c r="C824" s="167"/>
      <c r="D824" s="167"/>
      <c r="E824" s="167"/>
    </row>
    <row r="825">
      <c r="A825" s="167"/>
      <c r="B825" s="167"/>
      <c r="C825" s="167"/>
      <c r="D825" s="167"/>
      <c r="E825" s="167"/>
    </row>
    <row r="826">
      <c r="A826" s="167"/>
      <c r="B826" s="167"/>
      <c r="C826" s="167"/>
      <c r="D826" s="167"/>
      <c r="E826" s="167"/>
    </row>
    <row r="827">
      <c r="A827" s="167"/>
      <c r="B827" s="167"/>
      <c r="C827" s="167"/>
      <c r="D827" s="167"/>
      <c r="E827" s="167"/>
    </row>
    <row r="828">
      <c r="A828" s="167"/>
      <c r="B828" s="167"/>
      <c r="C828" s="167"/>
      <c r="D828" s="167"/>
      <c r="E828" s="167"/>
    </row>
    <row r="829">
      <c r="A829" s="167"/>
      <c r="B829" s="167"/>
      <c r="C829" s="167"/>
      <c r="D829" s="167"/>
      <c r="E829" s="167"/>
    </row>
    <row r="830">
      <c r="A830" s="167"/>
      <c r="B830" s="167"/>
      <c r="C830" s="167"/>
      <c r="D830" s="167"/>
      <c r="E830" s="167"/>
    </row>
    <row r="831">
      <c r="A831" s="167"/>
      <c r="B831" s="167"/>
      <c r="C831" s="167"/>
      <c r="D831" s="167"/>
      <c r="E831" s="167"/>
    </row>
    <row r="832">
      <c r="A832" s="167"/>
      <c r="B832" s="167"/>
      <c r="C832" s="167"/>
      <c r="D832" s="167"/>
      <c r="E832" s="167"/>
    </row>
    <row r="833">
      <c r="A833" s="167"/>
      <c r="B833" s="167"/>
      <c r="C833" s="167"/>
      <c r="D833" s="167"/>
      <c r="E833" s="167"/>
    </row>
    <row r="834">
      <c r="A834" s="167"/>
      <c r="B834" s="167"/>
      <c r="C834" s="167"/>
      <c r="D834" s="167"/>
      <c r="E834" s="167"/>
    </row>
    <row r="835">
      <c r="A835" s="167"/>
      <c r="B835" s="167"/>
      <c r="C835" s="167"/>
      <c r="D835" s="167"/>
      <c r="E835" s="167"/>
    </row>
    <row r="836">
      <c r="A836" s="167"/>
      <c r="B836" s="167"/>
      <c r="C836" s="167"/>
      <c r="D836" s="167"/>
      <c r="E836" s="167"/>
    </row>
    <row r="837">
      <c r="A837" s="167"/>
      <c r="B837" s="167"/>
      <c r="C837" s="167"/>
      <c r="D837" s="167"/>
      <c r="E837" s="167"/>
    </row>
    <row r="838">
      <c r="A838" s="167"/>
      <c r="B838" s="167"/>
      <c r="C838" s="167"/>
      <c r="D838" s="167"/>
      <c r="E838" s="167"/>
    </row>
    <row r="839">
      <c r="A839" s="167"/>
      <c r="B839" s="167"/>
      <c r="C839" s="167"/>
      <c r="D839" s="167"/>
      <c r="E839" s="167"/>
    </row>
    <row r="840">
      <c r="A840" s="167"/>
      <c r="B840" s="167"/>
      <c r="C840" s="167"/>
      <c r="D840" s="167"/>
      <c r="E840" s="167"/>
    </row>
    <row r="841">
      <c r="A841" s="167"/>
      <c r="B841" s="167"/>
      <c r="C841" s="167"/>
      <c r="D841" s="167"/>
      <c r="E841" s="167"/>
    </row>
    <row r="842">
      <c r="A842" s="167"/>
      <c r="B842" s="167"/>
      <c r="C842" s="167"/>
      <c r="D842" s="167"/>
      <c r="E842" s="167"/>
    </row>
    <row r="843">
      <c r="A843" s="167"/>
      <c r="B843" s="167"/>
      <c r="C843" s="167"/>
      <c r="D843" s="167"/>
      <c r="E843" s="167"/>
    </row>
    <row r="844">
      <c r="A844" s="167"/>
      <c r="B844" s="167"/>
      <c r="C844" s="167"/>
      <c r="D844" s="167"/>
      <c r="E844" s="167"/>
    </row>
    <row r="845">
      <c r="A845" s="167"/>
      <c r="B845" s="167"/>
      <c r="C845" s="167"/>
      <c r="D845" s="167"/>
      <c r="E845" s="167"/>
    </row>
    <row r="846">
      <c r="A846" s="167"/>
      <c r="B846" s="167"/>
      <c r="C846" s="167"/>
      <c r="D846" s="167"/>
      <c r="E846" s="167"/>
    </row>
    <row r="847">
      <c r="A847" s="167"/>
      <c r="B847" s="167"/>
      <c r="C847" s="167"/>
      <c r="D847" s="167"/>
      <c r="E847" s="167"/>
    </row>
    <row r="848">
      <c r="A848" s="167"/>
      <c r="B848" s="167"/>
      <c r="C848" s="167"/>
      <c r="D848" s="167"/>
      <c r="E848" s="167"/>
    </row>
    <row r="849">
      <c r="A849" s="167"/>
      <c r="B849" s="167"/>
      <c r="C849" s="167"/>
      <c r="D849" s="167"/>
      <c r="E849" s="167"/>
    </row>
    <row r="850">
      <c r="A850" s="167"/>
      <c r="B850" s="167"/>
      <c r="C850" s="167"/>
      <c r="D850" s="167"/>
      <c r="E850" s="167"/>
    </row>
    <row r="851">
      <c r="A851" s="167"/>
      <c r="B851" s="167"/>
      <c r="C851" s="167"/>
      <c r="D851" s="167"/>
      <c r="E851" s="167"/>
    </row>
    <row r="852">
      <c r="A852" s="167"/>
      <c r="B852" s="167"/>
      <c r="C852" s="167"/>
      <c r="D852" s="167"/>
      <c r="E852" s="167"/>
    </row>
    <row r="853">
      <c r="A853" s="167"/>
      <c r="B853" s="167"/>
      <c r="C853" s="167"/>
      <c r="D853" s="167"/>
      <c r="E853" s="167"/>
    </row>
    <row r="854">
      <c r="A854" s="167"/>
      <c r="B854" s="167"/>
      <c r="C854" s="167"/>
      <c r="D854" s="167"/>
      <c r="E854" s="167"/>
    </row>
    <row r="855">
      <c r="A855" s="167"/>
      <c r="B855" s="167"/>
      <c r="C855" s="167"/>
      <c r="D855" s="167"/>
      <c r="E855" s="167"/>
    </row>
    <row r="856">
      <c r="A856" s="167"/>
      <c r="B856" s="167"/>
      <c r="C856" s="167"/>
      <c r="D856" s="167"/>
      <c r="E856" s="167"/>
    </row>
    <row r="857">
      <c r="A857" s="167"/>
      <c r="B857" s="167"/>
      <c r="C857" s="167"/>
      <c r="D857" s="167"/>
      <c r="E857" s="167"/>
    </row>
    <row r="858">
      <c r="A858" s="167"/>
      <c r="B858" s="167"/>
      <c r="C858" s="167"/>
      <c r="D858" s="167"/>
      <c r="E858" s="167"/>
    </row>
    <row r="859">
      <c r="A859" s="167"/>
      <c r="B859" s="167"/>
      <c r="C859" s="167"/>
      <c r="D859" s="167"/>
      <c r="E859" s="167"/>
    </row>
    <row r="860">
      <c r="A860" s="167"/>
      <c r="B860" s="167"/>
      <c r="C860" s="167"/>
      <c r="D860" s="167"/>
      <c r="E860" s="167"/>
    </row>
    <row r="861">
      <c r="A861" s="167"/>
      <c r="B861" s="167"/>
      <c r="C861" s="167"/>
      <c r="D861" s="167"/>
      <c r="E861" s="167"/>
    </row>
    <row r="862">
      <c r="A862" s="167"/>
      <c r="B862" s="167"/>
      <c r="C862" s="167"/>
      <c r="D862" s="167"/>
      <c r="E862" s="167"/>
    </row>
    <row r="863">
      <c r="A863" s="167"/>
      <c r="B863" s="167"/>
      <c r="C863" s="167"/>
      <c r="D863" s="167"/>
      <c r="E863" s="167"/>
    </row>
    <row r="864">
      <c r="A864" s="167"/>
      <c r="B864" s="167"/>
      <c r="C864" s="167"/>
      <c r="D864" s="167"/>
      <c r="E864" s="167"/>
    </row>
    <row r="865">
      <c r="A865" s="167"/>
      <c r="B865" s="167"/>
      <c r="C865" s="167"/>
      <c r="D865" s="167"/>
      <c r="E865" s="167"/>
    </row>
    <row r="866">
      <c r="A866" s="167"/>
      <c r="B866" s="167"/>
      <c r="C866" s="167"/>
      <c r="D866" s="167"/>
      <c r="E866" s="167"/>
    </row>
    <row r="867">
      <c r="A867" s="167"/>
      <c r="B867" s="167"/>
      <c r="C867" s="167"/>
      <c r="D867" s="167"/>
      <c r="E867" s="167"/>
    </row>
    <row r="868">
      <c r="A868" s="167"/>
      <c r="B868" s="167"/>
      <c r="C868" s="167"/>
      <c r="D868" s="167"/>
      <c r="E868" s="167"/>
    </row>
    <row r="869">
      <c r="A869" s="167"/>
      <c r="B869" s="167"/>
      <c r="C869" s="167"/>
      <c r="D869" s="167"/>
      <c r="E869" s="167"/>
    </row>
    <row r="870">
      <c r="A870" s="167"/>
      <c r="B870" s="167"/>
      <c r="C870" s="167"/>
      <c r="D870" s="167"/>
      <c r="E870" s="167"/>
    </row>
    <row r="871">
      <c r="A871" s="167"/>
      <c r="B871" s="167"/>
      <c r="C871" s="167"/>
      <c r="D871" s="167"/>
      <c r="E871" s="167"/>
    </row>
    <row r="872">
      <c r="A872" s="167"/>
      <c r="B872" s="167"/>
      <c r="C872" s="167"/>
      <c r="D872" s="167"/>
      <c r="E872" s="167"/>
    </row>
    <row r="873">
      <c r="A873" s="167"/>
      <c r="B873" s="167"/>
      <c r="C873" s="167"/>
      <c r="D873" s="167"/>
      <c r="E873" s="167"/>
    </row>
    <row r="874">
      <c r="A874" s="167"/>
      <c r="B874" s="167"/>
      <c r="C874" s="167"/>
      <c r="D874" s="167"/>
      <c r="E874" s="167"/>
    </row>
    <row r="875">
      <c r="A875" s="167"/>
      <c r="B875" s="167"/>
      <c r="C875" s="167"/>
      <c r="D875" s="167"/>
      <c r="E875" s="167"/>
    </row>
    <row r="876">
      <c r="A876" s="167"/>
      <c r="B876" s="167"/>
      <c r="C876" s="167"/>
      <c r="D876" s="167"/>
      <c r="E876" s="167"/>
    </row>
    <row r="877">
      <c r="A877" s="167"/>
      <c r="B877" s="167"/>
      <c r="C877" s="167"/>
      <c r="D877" s="167"/>
      <c r="E877" s="167"/>
    </row>
    <row r="878">
      <c r="A878" s="167"/>
      <c r="B878" s="167"/>
      <c r="C878" s="167"/>
      <c r="D878" s="167"/>
      <c r="E878" s="167"/>
    </row>
    <row r="879">
      <c r="A879" s="167"/>
      <c r="B879" s="167"/>
      <c r="C879" s="167"/>
      <c r="D879" s="167"/>
      <c r="E879" s="167"/>
    </row>
    <row r="880">
      <c r="A880" s="167"/>
      <c r="B880" s="167"/>
      <c r="C880" s="167"/>
      <c r="D880" s="167"/>
      <c r="E880" s="167"/>
    </row>
    <row r="881">
      <c r="A881" s="167"/>
      <c r="B881" s="167"/>
      <c r="C881" s="167"/>
      <c r="D881" s="167"/>
      <c r="E881" s="167"/>
    </row>
    <row r="882">
      <c r="A882" s="167"/>
      <c r="B882" s="167"/>
      <c r="C882" s="167"/>
      <c r="D882" s="167"/>
      <c r="E882" s="167"/>
    </row>
    <row r="883">
      <c r="A883" s="167"/>
      <c r="B883" s="167"/>
      <c r="C883" s="167"/>
      <c r="D883" s="167"/>
      <c r="E883" s="167"/>
    </row>
    <row r="884">
      <c r="A884" s="167"/>
      <c r="B884" s="167"/>
      <c r="C884" s="167"/>
      <c r="D884" s="167"/>
      <c r="E884" s="167"/>
    </row>
    <row r="885">
      <c r="A885" s="167"/>
      <c r="B885" s="167"/>
      <c r="C885" s="167"/>
      <c r="D885" s="167"/>
      <c r="E885" s="167"/>
    </row>
    <row r="886">
      <c r="A886" s="167"/>
      <c r="B886" s="167"/>
      <c r="C886" s="167"/>
      <c r="D886" s="167"/>
      <c r="E886" s="167"/>
    </row>
    <row r="887">
      <c r="A887" s="167"/>
      <c r="B887" s="167"/>
      <c r="C887" s="167"/>
      <c r="D887" s="167"/>
      <c r="E887" s="167"/>
    </row>
    <row r="888">
      <c r="A888" s="167"/>
      <c r="B888" s="167"/>
      <c r="C888" s="167"/>
      <c r="D888" s="167"/>
      <c r="E888" s="167"/>
    </row>
    <row r="889">
      <c r="A889" s="167"/>
      <c r="B889" s="167"/>
      <c r="C889" s="167"/>
      <c r="D889" s="167"/>
      <c r="E889" s="167"/>
    </row>
    <row r="890">
      <c r="A890" s="167"/>
      <c r="B890" s="167"/>
      <c r="C890" s="167"/>
      <c r="D890" s="167"/>
      <c r="E890" s="167"/>
    </row>
    <row r="891">
      <c r="A891" s="167"/>
      <c r="B891" s="167"/>
      <c r="C891" s="167"/>
      <c r="D891" s="167"/>
      <c r="E891" s="167"/>
    </row>
    <row r="892">
      <c r="A892" s="167"/>
      <c r="B892" s="167"/>
      <c r="C892" s="167"/>
      <c r="D892" s="167"/>
      <c r="E892" s="167"/>
    </row>
    <row r="893">
      <c r="A893" s="167"/>
      <c r="B893" s="167"/>
      <c r="C893" s="167"/>
      <c r="D893" s="167"/>
      <c r="E893" s="167"/>
    </row>
    <row r="894">
      <c r="A894" s="167"/>
      <c r="B894" s="167"/>
      <c r="C894" s="167"/>
      <c r="D894" s="167"/>
      <c r="E894" s="167"/>
    </row>
    <row r="895">
      <c r="A895" s="167"/>
      <c r="B895" s="167"/>
      <c r="C895" s="167"/>
      <c r="D895" s="167"/>
      <c r="E895" s="167"/>
    </row>
    <row r="896">
      <c r="A896" s="167"/>
      <c r="B896" s="167"/>
      <c r="C896" s="167"/>
      <c r="D896" s="167"/>
      <c r="E896" s="167"/>
    </row>
    <row r="897">
      <c r="A897" s="167"/>
      <c r="B897" s="167"/>
      <c r="C897" s="167"/>
      <c r="D897" s="167"/>
      <c r="E897" s="167"/>
    </row>
    <row r="898">
      <c r="A898" s="167"/>
      <c r="B898" s="167"/>
      <c r="C898" s="167"/>
      <c r="D898" s="167"/>
      <c r="E898" s="167"/>
    </row>
    <row r="899">
      <c r="A899" s="167"/>
      <c r="B899" s="167"/>
      <c r="C899" s="167"/>
      <c r="D899" s="167"/>
      <c r="E899" s="167"/>
    </row>
    <row r="900">
      <c r="A900" s="167"/>
      <c r="B900" s="167"/>
      <c r="C900" s="167"/>
      <c r="D900" s="167"/>
      <c r="E900" s="167"/>
    </row>
    <row r="901">
      <c r="A901" s="167"/>
      <c r="B901" s="167"/>
      <c r="C901" s="167"/>
      <c r="D901" s="167"/>
      <c r="E901" s="167"/>
    </row>
    <row r="902">
      <c r="A902" s="167"/>
      <c r="B902" s="167"/>
      <c r="C902" s="167"/>
      <c r="D902" s="167"/>
      <c r="E902" s="167"/>
    </row>
    <row r="903">
      <c r="A903" s="167"/>
      <c r="B903" s="167"/>
      <c r="C903" s="167"/>
      <c r="D903" s="167"/>
      <c r="E903" s="167"/>
    </row>
    <row r="904">
      <c r="A904" s="167"/>
      <c r="B904" s="167"/>
      <c r="C904" s="167"/>
      <c r="D904" s="167"/>
      <c r="E904" s="167"/>
    </row>
    <row r="905">
      <c r="A905" s="167"/>
      <c r="B905" s="167"/>
      <c r="C905" s="167"/>
      <c r="D905" s="167"/>
      <c r="E905" s="167"/>
    </row>
    <row r="906">
      <c r="A906" s="167"/>
      <c r="B906" s="167"/>
      <c r="C906" s="167"/>
      <c r="D906" s="167"/>
      <c r="E906" s="167"/>
    </row>
    <row r="907">
      <c r="A907" s="167"/>
      <c r="B907" s="167"/>
      <c r="C907" s="167"/>
      <c r="D907" s="167"/>
      <c r="E907" s="167"/>
    </row>
    <row r="908">
      <c r="A908" s="167"/>
      <c r="B908" s="167"/>
      <c r="C908" s="167"/>
      <c r="D908" s="167"/>
      <c r="E908" s="167"/>
    </row>
    <row r="909">
      <c r="A909" s="167"/>
      <c r="B909" s="167"/>
      <c r="C909" s="167"/>
      <c r="D909" s="167"/>
      <c r="E909" s="167"/>
    </row>
    <row r="910">
      <c r="A910" s="167"/>
      <c r="B910" s="167"/>
      <c r="C910" s="167"/>
      <c r="D910" s="167"/>
      <c r="E910" s="167"/>
    </row>
    <row r="911">
      <c r="A911" s="167"/>
      <c r="B911" s="167"/>
      <c r="C911" s="167"/>
      <c r="D911" s="167"/>
      <c r="E911" s="167"/>
    </row>
    <row r="912">
      <c r="A912" s="167"/>
      <c r="B912" s="167"/>
      <c r="C912" s="167"/>
      <c r="D912" s="167"/>
      <c r="E912" s="167"/>
    </row>
    <row r="913">
      <c r="A913" s="167"/>
      <c r="B913" s="167"/>
      <c r="C913" s="167"/>
      <c r="D913" s="167"/>
      <c r="E913" s="167"/>
    </row>
    <row r="914">
      <c r="A914" s="167"/>
      <c r="B914" s="167"/>
      <c r="C914" s="167"/>
      <c r="D914" s="167"/>
      <c r="E914" s="167"/>
    </row>
    <row r="915">
      <c r="A915" s="167"/>
      <c r="B915" s="167"/>
      <c r="C915" s="167"/>
      <c r="D915" s="167"/>
      <c r="E915" s="167"/>
    </row>
    <row r="916">
      <c r="A916" s="167"/>
      <c r="B916" s="167"/>
      <c r="C916" s="167"/>
      <c r="D916" s="167"/>
      <c r="E916" s="167"/>
    </row>
    <row r="917">
      <c r="A917" s="167"/>
      <c r="B917" s="167"/>
      <c r="C917" s="167"/>
      <c r="D917" s="167"/>
      <c r="E917" s="167"/>
    </row>
    <row r="918">
      <c r="A918" s="167"/>
      <c r="B918" s="167"/>
      <c r="C918" s="167"/>
      <c r="D918" s="167"/>
      <c r="E918" s="167"/>
    </row>
    <row r="919">
      <c r="A919" s="167"/>
      <c r="B919" s="167"/>
      <c r="C919" s="167"/>
      <c r="D919" s="167"/>
      <c r="E919" s="167"/>
    </row>
    <row r="920">
      <c r="A920" s="167"/>
      <c r="B920" s="167"/>
      <c r="C920" s="167"/>
      <c r="D920" s="167"/>
      <c r="E920" s="167"/>
    </row>
    <row r="921">
      <c r="A921" s="167"/>
      <c r="B921" s="167"/>
      <c r="C921" s="167"/>
      <c r="D921" s="167"/>
      <c r="E921" s="167"/>
    </row>
    <row r="922">
      <c r="A922" s="167"/>
      <c r="B922" s="167"/>
      <c r="C922" s="167"/>
      <c r="D922" s="167"/>
      <c r="E922" s="167"/>
    </row>
    <row r="923">
      <c r="A923" s="167"/>
      <c r="B923" s="167"/>
      <c r="C923" s="167"/>
      <c r="D923" s="167"/>
      <c r="E923" s="167"/>
    </row>
    <row r="924">
      <c r="A924" s="167"/>
      <c r="B924" s="167"/>
      <c r="C924" s="167"/>
      <c r="D924" s="167"/>
      <c r="E924" s="167"/>
    </row>
    <row r="925">
      <c r="A925" s="167"/>
      <c r="B925" s="167"/>
      <c r="C925" s="167"/>
      <c r="D925" s="167"/>
      <c r="E925" s="167"/>
    </row>
    <row r="926">
      <c r="A926" s="167"/>
      <c r="B926" s="167"/>
      <c r="C926" s="167"/>
      <c r="D926" s="167"/>
      <c r="E926" s="167"/>
    </row>
    <row r="927">
      <c r="A927" s="167"/>
      <c r="B927" s="167"/>
      <c r="C927" s="167"/>
      <c r="D927" s="167"/>
      <c r="E927" s="167"/>
    </row>
    <row r="928">
      <c r="A928" s="167"/>
      <c r="B928" s="167"/>
      <c r="C928" s="167"/>
      <c r="D928" s="167"/>
      <c r="E928" s="167"/>
    </row>
    <row r="929">
      <c r="A929" s="167"/>
      <c r="B929" s="167"/>
      <c r="C929" s="167"/>
      <c r="D929" s="167"/>
      <c r="E929" s="167"/>
    </row>
    <row r="930">
      <c r="A930" s="167"/>
      <c r="B930" s="167"/>
      <c r="C930" s="167"/>
      <c r="D930" s="167"/>
      <c r="E930" s="167"/>
    </row>
    <row r="931">
      <c r="A931" s="167"/>
      <c r="B931" s="167"/>
      <c r="C931" s="167"/>
      <c r="D931" s="167"/>
      <c r="E931" s="167"/>
    </row>
    <row r="932">
      <c r="A932" s="167"/>
      <c r="B932" s="167"/>
      <c r="C932" s="167"/>
      <c r="D932" s="167"/>
      <c r="E932" s="167"/>
    </row>
    <row r="933">
      <c r="A933" s="167"/>
      <c r="B933" s="167"/>
      <c r="C933" s="167"/>
      <c r="D933" s="167"/>
      <c r="E933" s="167"/>
    </row>
    <row r="934">
      <c r="A934" s="167"/>
      <c r="B934" s="167"/>
      <c r="C934" s="167"/>
      <c r="D934" s="167"/>
      <c r="E934" s="167"/>
    </row>
    <row r="935">
      <c r="A935" s="167"/>
      <c r="B935" s="167"/>
      <c r="C935" s="167"/>
      <c r="D935" s="167"/>
      <c r="E935" s="167"/>
    </row>
    <row r="936">
      <c r="A936" s="167"/>
      <c r="B936" s="167"/>
      <c r="C936" s="167"/>
      <c r="D936" s="167"/>
      <c r="E936" s="167"/>
    </row>
    <row r="937">
      <c r="A937" s="167"/>
      <c r="B937" s="167"/>
      <c r="C937" s="167"/>
      <c r="D937" s="167"/>
      <c r="E937" s="167"/>
    </row>
    <row r="938">
      <c r="A938" s="167"/>
      <c r="B938" s="167"/>
      <c r="C938" s="167"/>
      <c r="D938" s="167"/>
      <c r="E938" s="167"/>
    </row>
    <row r="939">
      <c r="A939" s="167"/>
      <c r="B939" s="167"/>
      <c r="C939" s="167"/>
      <c r="D939" s="167"/>
      <c r="E939" s="167"/>
    </row>
    <row r="940">
      <c r="A940" s="167"/>
      <c r="B940" s="167"/>
      <c r="C940" s="167"/>
      <c r="D940" s="167"/>
      <c r="E940" s="167"/>
    </row>
    <row r="941">
      <c r="A941" s="167"/>
      <c r="B941" s="167"/>
      <c r="C941" s="167"/>
      <c r="D941" s="167"/>
      <c r="E941" s="167"/>
    </row>
    <row r="942">
      <c r="A942" s="167"/>
      <c r="B942" s="167"/>
      <c r="C942" s="167"/>
      <c r="D942" s="167"/>
      <c r="E942" s="167"/>
    </row>
    <row r="943">
      <c r="A943" s="167"/>
      <c r="B943" s="167"/>
      <c r="C943" s="167"/>
      <c r="D943" s="167"/>
      <c r="E943" s="167"/>
    </row>
    <row r="944">
      <c r="A944" s="167"/>
      <c r="B944" s="167"/>
      <c r="C944" s="167"/>
      <c r="D944" s="167"/>
      <c r="E944" s="167"/>
    </row>
    <row r="945">
      <c r="A945" s="167"/>
      <c r="B945" s="167"/>
      <c r="C945" s="167"/>
      <c r="D945" s="167"/>
      <c r="E945" s="167"/>
    </row>
    <row r="946">
      <c r="A946" s="167"/>
      <c r="B946" s="167"/>
      <c r="C946" s="167"/>
      <c r="D946" s="167"/>
      <c r="E946" s="167"/>
    </row>
    <row r="947">
      <c r="A947" s="167"/>
      <c r="B947" s="167"/>
      <c r="C947" s="167"/>
      <c r="D947" s="167"/>
      <c r="E947" s="167"/>
    </row>
    <row r="948">
      <c r="A948" s="167"/>
      <c r="B948" s="167"/>
      <c r="C948" s="167"/>
      <c r="D948" s="167"/>
      <c r="E948" s="167"/>
    </row>
    <row r="949">
      <c r="A949" s="167"/>
      <c r="B949" s="167"/>
      <c r="C949" s="167"/>
      <c r="D949" s="167"/>
      <c r="E949" s="167"/>
    </row>
    <row r="950">
      <c r="A950" s="167"/>
      <c r="B950" s="167"/>
      <c r="C950" s="167"/>
      <c r="D950" s="167"/>
      <c r="E950" s="167"/>
    </row>
    <row r="951">
      <c r="A951" s="167"/>
      <c r="B951" s="167"/>
      <c r="C951" s="167"/>
      <c r="D951" s="167"/>
      <c r="E951" s="167"/>
    </row>
    <row r="952">
      <c r="A952" s="167"/>
      <c r="B952" s="167"/>
      <c r="C952" s="167"/>
      <c r="D952" s="167"/>
      <c r="E952" s="167"/>
    </row>
  </sheetData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9758</v>
      </c>
      <c r="B1" s="1" t="s">
        <v>9759</v>
      </c>
      <c r="C1" s="1" t="s">
        <v>9760</v>
      </c>
      <c r="D1" s="1" t="s">
        <v>9761</v>
      </c>
      <c r="E1" s="1" t="s">
        <v>9762</v>
      </c>
      <c r="F1" s="1" t="s">
        <v>9763</v>
      </c>
      <c r="G1" s="1" t="s">
        <v>9764</v>
      </c>
      <c r="H1" s="1" t="s">
        <v>9765</v>
      </c>
      <c r="I1" s="1" t="s">
        <v>9766</v>
      </c>
      <c r="J1" s="1" t="s">
        <v>9767</v>
      </c>
      <c r="K1" s="1" t="s">
        <v>9768</v>
      </c>
      <c r="L1" s="1" t="s">
        <v>9769</v>
      </c>
      <c r="M1" s="1" t="s">
        <v>9770</v>
      </c>
      <c r="N1" s="1" t="s">
        <v>9771</v>
      </c>
      <c r="O1" s="1" t="s">
        <v>9772</v>
      </c>
      <c r="P1" s="1" t="s">
        <v>9773</v>
      </c>
      <c r="Q1" s="1" t="s">
        <v>9774</v>
      </c>
      <c r="R1" s="1" t="s">
        <v>9775</v>
      </c>
      <c r="S1" s="1" t="s">
        <v>9776</v>
      </c>
      <c r="T1" s="1" t="s">
        <v>9777</v>
      </c>
      <c r="U1" s="1" t="s">
        <v>9778</v>
      </c>
      <c r="V1" s="1" t="s">
        <v>9779</v>
      </c>
      <c r="W1" s="1" t="s">
        <v>9780</v>
      </c>
      <c r="X1" s="1" t="s">
        <v>9781</v>
      </c>
      <c r="Y1" s="1" t="s">
        <v>9782</v>
      </c>
      <c r="Z1" s="1" t="s">
        <v>9783</v>
      </c>
      <c r="AA1" s="1" t="s">
        <v>9784</v>
      </c>
      <c r="AB1" s="1" t="s">
        <v>9785</v>
      </c>
      <c r="AC1" s="1" t="s">
        <v>9786</v>
      </c>
    </row>
    <row r="2">
      <c r="A2" s="1" t="s">
        <v>9787</v>
      </c>
      <c r="B2" s="1" t="s">
        <v>9788</v>
      </c>
      <c r="C2" s="1" t="s">
        <v>9789</v>
      </c>
      <c r="D2" s="367">
        <v>1.3051252E9</v>
      </c>
      <c r="E2" s="367">
        <v>1.0</v>
      </c>
      <c r="F2" s="367">
        <v>2.0</v>
      </c>
      <c r="G2" s="1" t="s">
        <v>9790</v>
      </c>
      <c r="H2" s="1" t="s">
        <v>9791</v>
      </c>
      <c r="I2" s="1" t="s">
        <v>9791</v>
      </c>
      <c r="J2" s="1" t="s">
        <v>9792</v>
      </c>
      <c r="K2" s="1" t="s">
        <v>9793</v>
      </c>
      <c r="L2" s="1" t="s">
        <v>9794</v>
      </c>
      <c r="M2" s="1" t="s">
        <v>9795</v>
      </c>
      <c r="N2" s="1" t="b">
        <v>1</v>
      </c>
      <c r="O2" s="1" t="s">
        <v>9796</v>
      </c>
      <c r="P2" s="1" t="b">
        <v>0</v>
      </c>
      <c r="R2" s="1" t="b">
        <v>0</v>
      </c>
      <c r="S2" s="1" t="b">
        <v>0</v>
      </c>
      <c r="X2" s="1" t="b">
        <v>0</v>
      </c>
      <c r="AA2" s="1" t="b">
        <v>0</v>
      </c>
    </row>
  </sheetData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0.13"/>
    <col customWidth="1" min="2" max="2" width="11.25"/>
    <col customWidth="1" min="3" max="3" width="10.75"/>
    <col customWidth="1" min="4" max="4" width="33.38"/>
    <col customWidth="1" min="5" max="5" width="3.25"/>
    <col customWidth="1" min="6" max="6" width="27.75"/>
    <col customWidth="1" min="7" max="14" width="3.13"/>
    <col customWidth="1" min="15" max="15" width="3.88"/>
    <col customWidth="1" min="16" max="16" width="3.75"/>
    <col customWidth="1" min="17" max="17" width="3.88"/>
    <col customWidth="1" min="18" max="18" width="5.13"/>
    <col customWidth="1" min="19" max="19" width="2.63"/>
    <col customWidth="1" min="20" max="20" width="2.25"/>
    <col customWidth="1" min="21" max="26" width="15.25"/>
  </cols>
  <sheetData>
    <row r="1" ht="75.75" customHeight="1">
      <c r="A1" s="216" t="s">
        <v>8743</v>
      </c>
      <c r="B1" s="216" t="s">
        <v>9360</v>
      </c>
      <c r="C1" s="216" t="s">
        <v>9361</v>
      </c>
      <c r="D1" s="216" t="s">
        <v>9362</v>
      </c>
      <c r="E1" s="216" t="s">
        <v>9363</v>
      </c>
      <c r="F1" s="216" t="s">
        <v>9364</v>
      </c>
      <c r="G1" s="216" t="s">
        <v>9700</v>
      </c>
      <c r="H1" s="216" t="s">
        <v>9701</v>
      </c>
      <c r="I1" s="216" t="s">
        <v>9702</v>
      </c>
      <c r="J1" s="216" t="s">
        <v>9703</v>
      </c>
      <c r="K1" s="216" t="s">
        <v>5245</v>
      </c>
      <c r="L1" s="216" t="s">
        <v>9704</v>
      </c>
      <c r="M1" s="216" t="s">
        <v>9705</v>
      </c>
      <c r="N1" s="216" t="s">
        <v>9706</v>
      </c>
      <c r="O1" s="216" t="s">
        <v>9707</v>
      </c>
      <c r="P1" s="216" t="s">
        <v>9708</v>
      </c>
      <c r="Q1" s="216" t="s">
        <v>9709</v>
      </c>
      <c r="R1" s="216" t="s">
        <v>9710</v>
      </c>
      <c r="S1" s="216" t="s">
        <v>9711</v>
      </c>
      <c r="T1" s="216" t="s">
        <v>9712</v>
      </c>
      <c r="U1" s="217"/>
      <c r="V1" s="217"/>
      <c r="W1" s="217"/>
      <c r="X1" s="217"/>
      <c r="Y1" s="217"/>
      <c r="Z1" s="217"/>
    </row>
    <row r="2" ht="16.5" hidden="1" customHeight="1">
      <c r="A2" s="219" t="s">
        <v>9365</v>
      </c>
      <c r="B2" s="220"/>
      <c r="C2" s="220"/>
      <c r="D2" s="220"/>
      <c r="E2" s="220"/>
      <c r="F2" s="220"/>
      <c r="G2" s="220"/>
      <c r="H2" s="220"/>
      <c r="I2" s="220"/>
      <c r="J2" s="220"/>
      <c r="K2" s="220"/>
      <c r="L2" s="220"/>
      <c r="M2" s="220"/>
      <c r="N2" s="220"/>
      <c r="O2" s="220"/>
      <c r="P2" s="220"/>
      <c r="Q2" s="220"/>
      <c r="R2" s="220"/>
      <c r="S2" s="220"/>
      <c r="T2" s="221"/>
      <c r="U2" s="217"/>
      <c r="V2" s="217" t="s">
        <v>9797</v>
      </c>
      <c r="W2" s="217">
        <f t="shared" ref="W2:W3" si="1">SUM(D45,D92,D139,D186,D233,D280,D327,D374,D421,D468,D515,D562)</f>
        <v>165</v>
      </c>
      <c r="X2" s="217"/>
      <c r="Y2" s="217"/>
      <c r="Z2" s="217"/>
    </row>
    <row r="3" ht="16.5" hidden="1" customHeight="1">
      <c r="A3" s="222" t="s">
        <v>9798</v>
      </c>
      <c r="B3" s="223"/>
      <c r="C3" s="223"/>
      <c r="D3" s="223"/>
      <c r="E3" s="223"/>
      <c r="F3" s="223"/>
      <c r="G3" s="223"/>
      <c r="H3" s="223"/>
      <c r="I3" s="223"/>
      <c r="J3" s="223"/>
      <c r="K3" s="223"/>
      <c r="L3" s="223"/>
      <c r="M3" s="223"/>
      <c r="N3" s="223"/>
      <c r="O3" s="223"/>
      <c r="P3" s="223"/>
      <c r="Q3" s="223"/>
      <c r="R3" s="223"/>
      <c r="S3" s="223"/>
      <c r="T3" s="224"/>
      <c r="U3" s="217"/>
      <c r="V3" s="217" t="s">
        <v>9799</v>
      </c>
      <c r="W3" s="217">
        <f t="shared" si="1"/>
        <v>267</v>
      </c>
      <c r="X3" s="217"/>
      <c r="Y3" s="217"/>
      <c r="Z3" s="217"/>
    </row>
    <row r="4" ht="14.25" hidden="1" customHeight="1">
      <c r="A4" s="225" t="s">
        <v>9366</v>
      </c>
      <c r="B4" s="226"/>
      <c r="C4" s="226"/>
      <c r="D4" s="226"/>
      <c r="E4" s="226"/>
      <c r="F4" s="226"/>
      <c r="G4" s="226"/>
      <c r="H4" s="226"/>
      <c r="I4" s="226"/>
      <c r="J4" s="226"/>
      <c r="K4" s="226"/>
      <c r="L4" s="226"/>
      <c r="M4" s="226"/>
      <c r="N4" s="226"/>
      <c r="O4" s="226"/>
      <c r="P4" s="226"/>
      <c r="Q4" s="226"/>
      <c r="R4" s="226"/>
      <c r="S4" s="226"/>
      <c r="T4" s="227"/>
      <c r="U4" s="217"/>
      <c r="V4" s="217" t="s">
        <v>8635</v>
      </c>
      <c r="W4" s="217">
        <f>SUM(W2:W3)</f>
        <v>432</v>
      </c>
      <c r="X4" s="217"/>
      <c r="Y4" s="217"/>
      <c r="Z4" s="217"/>
    </row>
    <row r="5" ht="14.25" hidden="1" customHeight="1">
      <c r="A5" s="228" t="s">
        <v>9800</v>
      </c>
      <c r="B5" s="229"/>
      <c r="C5" s="229"/>
      <c r="D5" s="229"/>
      <c r="E5" s="229"/>
      <c r="F5" s="230"/>
      <c r="G5" s="230"/>
      <c r="H5" s="230"/>
      <c r="I5" s="230"/>
      <c r="J5" s="230"/>
      <c r="K5" s="230"/>
      <c r="L5" s="230"/>
      <c r="M5" s="230"/>
      <c r="N5" s="230"/>
      <c r="O5" s="230"/>
      <c r="P5" s="230"/>
      <c r="Q5" s="230"/>
      <c r="R5" s="230"/>
      <c r="S5" s="230"/>
      <c r="T5" s="230"/>
      <c r="U5" s="217"/>
      <c r="V5" s="217"/>
      <c r="W5" s="217"/>
      <c r="X5" s="217"/>
      <c r="Y5" s="217"/>
      <c r="Z5" s="217"/>
    </row>
    <row r="6" ht="13.5" hidden="1" customHeight="1">
      <c r="A6" s="231" t="s">
        <v>8748</v>
      </c>
      <c r="B6" s="231" t="s">
        <v>9</v>
      </c>
      <c r="C6" s="231" t="s">
        <v>5246</v>
      </c>
      <c r="D6" s="231" t="s">
        <v>8680</v>
      </c>
      <c r="E6" s="232" t="s">
        <v>13</v>
      </c>
      <c r="F6" s="233" t="s">
        <v>9801</v>
      </c>
      <c r="G6" s="234"/>
      <c r="H6" s="234"/>
      <c r="I6" s="234"/>
      <c r="J6" s="234"/>
      <c r="K6" s="234"/>
      <c r="L6" s="234"/>
      <c r="M6" s="234"/>
      <c r="N6" s="234"/>
      <c r="O6" s="234"/>
      <c r="P6" s="234"/>
      <c r="Q6" s="234"/>
      <c r="R6" s="234"/>
      <c r="S6" s="234"/>
      <c r="T6" s="235"/>
      <c r="U6" s="217"/>
      <c r="V6" s="217"/>
      <c r="W6" s="217"/>
      <c r="X6" s="217"/>
      <c r="Y6" s="217"/>
      <c r="Z6" s="217"/>
    </row>
    <row r="7" ht="13.5" hidden="1" customHeight="1">
      <c r="A7" s="236"/>
      <c r="B7" s="236"/>
      <c r="C7" s="236"/>
      <c r="D7" s="236"/>
      <c r="E7" s="237"/>
      <c r="F7" s="238" t="s">
        <v>9802</v>
      </c>
      <c r="G7" s="239"/>
      <c r="H7" s="239"/>
      <c r="I7" s="239"/>
      <c r="J7" s="239"/>
      <c r="K7" s="239"/>
      <c r="L7" s="239"/>
      <c r="M7" s="239"/>
      <c r="N7" s="239"/>
      <c r="O7" s="239"/>
      <c r="P7" s="239"/>
      <c r="Q7" s="240"/>
      <c r="R7" s="233" t="s">
        <v>9713</v>
      </c>
      <c r="S7" s="234"/>
      <c r="T7" s="235"/>
      <c r="U7" s="217"/>
      <c r="V7" s="217"/>
      <c r="W7" s="217"/>
      <c r="X7" s="217"/>
      <c r="Y7" s="217"/>
      <c r="Z7" s="217"/>
    </row>
    <row r="8" ht="13.5" hidden="1" customHeight="1">
      <c r="A8" s="241"/>
      <c r="B8" s="241"/>
      <c r="C8" s="241"/>
      <c r="D8" s="241"/>
      <c r="E8" s="242"/>
      <c r="F8" s="243">
        <v>1.0</v>
      </c>
      <c r="G8" s="243">
        <v>2.0</v>
      </c>
      <c r="H8" s="243">
        <v>3.0</v>
      </c>
      <c r="I8" s="243">
        <v>4.0</v>
      </c>
      <c r="J8" s="243">
        <v>5.0</v>
      </c>
      <c r="K8" s="243">
        <v>6.0</v>
      </c>
      <c r="L8" s="243">
        <v>7.0</v>
      </c>
      <c r="M8" s="243">
        <v>8.0</v>
      </c>
      <c r="N8" s="243">
        <v>9.0</v>
      </c>
      <c r="O8" s="243">
        <v>10.0</v>
      </c>
      <c r="P8" s="243">
        <v>11.0</v>
      </c>
      <c r="Q8" s="243">
        <v>12.0</v>
      </c>
      <c r="R8" s="243" t="s">
        <v>9714</v>
      </c>
      <c r="S8" s="243" t="s">
        <v>9715</v>
      </c>
      <c r="T8" s="244" t="s">
        <v>9716</v>
      </c>
      <c r="U8" s="217"/>
      <c r="V8" s="217"/>
      <c r="W8" s="217"/>
      <c r="X8" s="217"/>
      <c r="Y8" s="217">
        <f>248+6</f>
        <v>254</v>
      </c>
      <c r="Z8" s="217"/>
    </row>
    <row r="9" ht="18.75" customHeight="1">
      <c r="A9" s="245">
        <v>1.0</v>
      </c>
      <c r="B9" s="246" t="s">
        <v>6819</v>
      </c>
      <c r="C9" s="245">
        <v>2.42510008E8</v>
      </c>
      <c r="D9" s="247" t="s">
        <v>2994</v>
      </c>
      <c r="E9" s="248" t="s">
        <v>9803</v>
      </c>
      <c r="F9" s="249"/>
      <c r="G9" s="249"/>
      <c r="H9" s="249"/>
      <c r="I9" s="249"/>
      <c r="J9" s="249"/>
      <c r="K9" s="249"/>
      <c r="L9" s="249"/>
      <c r="M9" s="249"/>
      <c r="N9" s="249"/>
      <c r="O9" s="249"/>
      <c r="P9" s="249"/>
      <c r="Q9" s="249"/>
      <c r="R9" s="249"/>
      <c r="S9" s="249"/>
      <c r="T9" s="249"/>
      <c r="V9" s="217"/>
      <c r="W9" s="217"/>
      <c r="X9" s="217"/>
      <c r="Y9" s="217"/>
      <c r="Z9" s="217"/>
    </row>
    <row r="10" ht="18.75" customHeight="1">
      <c r="A10" s="245">
        <v>2.0</v>
      </c>
      <c r="B10" s="246" t="s">
        <v>6823</v>
      </c>
      <c r="C10" s="245">
        <v>2.42510011E8</v>
      </c>
      <c r="D10" s="247" t="s">
        <v>3001</v>
      </c>
      <c r="E10" s="248" t="s">
        <v>9804</v>
      </c>
      <c r="F10" s="249"/>
      <c r="G10" s="249"/>
      <c r="H10" s="249"/>
      <c r="I10" s="249"/>
      <c r="J10" s="249"/>
      <c r="K10" s="249"/>
      <c r="L10" s="249"/>
      <c r="M10" s="249"/>
      <c r="N10" s="249"/>
      <c r="O10" s="249"/>
      <c r="P10" s="249"/>
      <c r="Q10" s="249"/>
      <c r="R10" s="249"/>
      <c r="S10" s="249"/>
      <c r="T10" s="249"/>
      <c r="V10" s="217"/>
      <c r="W10" s="217"/>
      <c r="X10" s="217"/>
      <c r="Y10" s="217"/>
      <c r="Z10" s="217"/>
    </row>
    <row r="11" ht="18.75" customHeight="1">
      <c r="A11" s="245">
        <v>3.0</v>
      </c>
      <c r="B11" s="246" t="s">
        <v>6825</v>
      </c>
      <c r="C11" s="250">
        <v>2.42510025E8</v>
      </c>
      <c r="D11" s="247" t="s">
        <v>3006</v>
      </c>
      <c r="E11" s="248" t="s">
        <v>9805</v>
      </c>
      <c r="F11" s="249"/>
      <c r="G11" s="249"/>
      <c r="H11" s="249"/>
      <c r="I11" s="249"/>
      <c r="J11" s="249"/>
      <c r="K11" s="249"/>
      <c r="L11" s="249"/>
      <c r="M11" s="249"/>
      <c r="N11" s="249"/>
      <c r="O11" s="249"/>
      <c r="P11" s="249"/>
      <c r="Q11" s="249"/>
      <c r="R11" s="249"/>
      <c r="S11" s="249"/>
      <c r="T11" s="249"/>
      <c r="V11" s="217"/>
      <c r="W11" s="217"/>
      <c r="X11" s="217"/>
      <c r="Y11" s="217"/>
      <c r="Z11" s="217"/>
    </row>
    <row r="12" ht="18.75" customHeight="1">
      <c r="A12" s="245">
        <v>4.0</v>
      </c>
      <c r="B12" s="246" t="s">
        <v>6828</v>
      </c>
      <c r="C12" s="245">
        <v>2.42510031E8</v>
      </c>
      <c r="D12" s="247" t="s">
        <v>3011</v>
      </c>
      <c r="E12" s="248" t="s">
        <v>9806</v>
      </c>
      <c r="F12" s="249"/>
      <c r="G12" s="249"/>
      <c r="H12" s="249"/>
      <c r="I12" s="249"/>
      <c r="J12" s="249"/>
      <c r="K12" s="249"/>
      <c r="L12" s="249"/>
      <c r="M12" s="249"/>
      <c r="N12" s="249"/>
      <c r="O12" s="249"/>
      <c r="P12" s="249"/>
      <c r="Q12" s="249"/>
      <c r="R12" s="249"/>
      <c r="S12" s="249"/>
      <c r="T12" s="249"/>
      <c r="V12" s="217"/>
      <c r="W12" s="217"/>
      <c r="X12" s="217"/>
      <c r="Y12" s="217"/>
      <c r="Z12" s="217"/>
    </row>
    <row r="13" ht="18.75" customHeight="1">
      <c r="A13" s="245">
        <v>5.0</v>
      </c>
      <c r="B13" s="246" t="s">
        <v>6831</v>
      </c>
      <c r="C13" s="245">
        <v>2.42510069E8</v>
      </c>
      <c r="D13" s="247" t="s">
        <v>3016</v>
      </c>
      <c r="E13" s="248" t="s">
        <v>9807</v>
      </c>
      <c r="F13" s="249"/>
      <c r="G13" s="249"/>
      <c r="H13" s="249"/>
      <c r="I13" s="249"/>
      <c r="J13" s="249"/>
      <c r="K13" s="249"/>
      <c r="L13" s="249"/>
      <c r="M13" s="249"/>
      <c r="N13" s="249"/>
      <c r="O13" s="249"/>
      <c r="P13" s="249"/>
      <c r="Q13" s="249"/>
      <c r="R13" s="249"/>
      <c r="S13" s="249"/>
      <c r="T13" s="249"/>
      <c r="V13" s="217"/>
      <c r="W13" s="217"/>
      <c r="X13" s="217"/>
      <c r="Y13" s="217"/>
      <c r="Z13" s="217"/>
    </row>
    <row r="14" ht="18.75" customHeight="1">
      <c r="A14" s="245">
        <v>6.0</v>
      </c>
      <c r="B14" s="251">
        <v>3.086190678E9</v>
      </c>
      <c r="C14" s="245">
        <v>2.42510079E8</v>
      </c>
      <c r="D14" s="247" t="s">
        <v>3021</v>
      </c>
      <c r="E14" s="248" t="s">
        <v>9808</v>
      </c>
      <c r="F14" s="249"/>
      <c r="G14" s="249"/>
      <c r="H14" s="249"/>
      <c r="I14" s="249"/>
      <c r="J14" s="249"/>
      <c r="K14" s="249"/>
      <c r="L14" s="249"/>
      <c r="M14" s="249"/>
      <c r="N14" s="249"/>
      <c r="O14" s="249"/>
      <c r="P14" s="249"/>
      <c r="Q14" s="249"/>
      <c r="R14" s="249"/>
      <c r="S14" s="249"/>
      <c r="T14" s="249"/>
      <c r="V14" s="217"/>
      <c r="W14" s="217"/>
      <c r="X14" s="217"/>
      <c r="Y14" s="217"/>
      <c r="Z14" s="217"/>
    </row>
    <row r="15" ht="18.75" customHeight="1">
      <c r="A15" s="245">
        <v>7.0</v>
      </c>
      <c r="B15" s="246" t="s">
        <v>6834</v>
      </c>
      <c r="C15" s="245">
        <v>2.42510095E8</v>
      </c>
      <c r="D15" s="247" t="s">
        <v>3027</v>
      </c>
      <c r="E15" s="248" t="s">
        <v>9809</v>
      </c>
      <c r="F15" s="249"/>
      <c r="G15" s="249"/>
      <c r="H15" s="249"/>
      <c r="I15" s="249"/>
      <c r="J15" s="249"/>
      <c r="K15" s="249"/>
      <c r="L15" s="249"/>
      <c r="M15" s="249"/>
      <c r="N15" s="249"/>
      <c r="O15" s="249"/>
      <c r="P15" s="249"/>
      <c r="Q15" s="249"/>
      <c r="R15" s="249"/>
      <c r="S15" s="249"/>
      <c r="T15" s="249"/>
      <c r="V15" s="217"/>
      <c r="W15" s="217"/>
      <c r="X15" s="217"/>
      <c r="Y15" s="217"/>
      <c r="Z15" s="217"/>
    </row>
    <row r="16" ht="18.75" customHeight="1">
      <c r="A16" s="245">
        <v>8.0</v>
      </c>
      <c r="B16" s="251">
        <v>3.092678408E9</v>
      </c>
      <c r="C16" s="245">
        <v>2.42510108E8</v>
      </c>
      <c r="D16" s="247" t="s">
        <v>3032</v>
      </c>
      <c r="E16" s="248" t="s">
        <v>9810</v>
      </c>
      <c r="F16" s="249"/>
      <c r="G16" s="249"/>
      <c r="H16" s="249"/>
      <c r="I16" s="249"/>
      <c r="J16" s="249"/>
      <c r="K16" s="249"/>
      <c r="L16" s="249"/>
      <c r="M16" s="249"/>
      <c r="N16" s="249"/>
      <c r="O16" s="249"/>
      <c r="P16" s="249"/>
      <c r="Q16" s="249"/>
      <c r="R16" s="249"/>
      <c r="S16" s="249"/>
      <c r="T16" s="249"/>
      <c r="V16" s="217"/>
      <c r="W16" s="217"/>
      <c r="X16" s="217"/>
      <c r="Y16" s="217"/>
      <c r="Z16" s="217"/>
    </row>
    <row r="17" ht="18.75" customHeight="1">
      <c r="A17" s="245">
        <v>9.0</v>
      </c>
      <c r="B17" s="246" t="s">
        <v>6837</v>
      </c>
      <c r="C17" s="245">
        <v>2.42510111E8</v>
      </c>
      <c r="D17" s="247" t="s">
        <v>3037</v>
      </c>
      <c r="E17" s="248" t="s">
        <v>9811</v>
      </c>
      <c r="F17" s="249"/>
      <c r="G17" s="249"/>
      <c r="H17" s="249"/>
      <c r="I17" s="249"/>
      <c r="J17" s="249"/>
      <c r="K17" s="249"/>
      <c r="L17" s="249"/>
      <c r="M17" s="249"/>
      <c r="N17" s="249"/>
      <c r="O17" s="249"/>
      <c r="P17" s="249"/>
      <c r="Q17" s="249"/>
      <c r="R17" s="249"/>
      <c r="S17" s="249"/>
      <c r="T17" s="249"/>
      <c r="V17" s="217"/>
      <c r="W17" s="217"/>
      <c r="X17" s="217"/>
      <c r="Y17" s="217"/>
      <c r="Z17" s="217"/>
    </row>
    <row r="18" ht="18.75" customHeight="1">
      <c r="A18" s="245">
        <v>10.0</v>
      </c>
      <c r="B18" s="251">
        <v>3.081717964E9</v>
      </c>
      <c r="C18" s="245">
        <v>2.42510114E8</v>
      </c>
      <c r="D18" s="247" t="s">
        <v>3042</v>
      </c>
      <c r="E18" s="248" t="s">
        <v>9812</v>
      </c>
      <c r="F18" s="249"/>
      <c r="G18" s="249"/>
      <c r="H18" s="249"/>
      <c r="I18" s="249"/>
      <c r="J18" s="249"/>
      <c r="K18" s="249"/>
      <c r="L18" s="249"/>
      <c r="M18" s="249"/>
      <c r="N18" s="249"/>
      <c r="O18" s="249"/>
      <c r="P18" s="249"/>
      <c r="Q18" s="249"/>
      <c r="R18" s="249"/>
      <c r="S18" s="249"/>
      <c r="T18" s="249"/>
      <c r="U18" s="217"/>
      <c r="V18" s="217"/>
      <c r="W18" s="217"/>
      <c r="X18" s="217"/>
      <c r="Y18" s="217"/>
      <c r="Z18" s="217"/>
    </row>
    <row r="19" ht="18.75" customHeight="1">
      <c r="A19" s="245">
        <v>11.0</v>
      </c>
      <c r="B19" s="246" t="s">
        <v>6841</v>
      </c>
      <c r="C19" s="245">
        <v>2.42510116E8</v>
      </c>
      <c r="D19" s="247" t="s">
        <v>3047</v>
      </c>
      <c r="E19" s="248" t="s">
        <v>9813</v>
      </c>
      <c r="F19" s="249"/>
      <c r="G19" s="249"/>
      <c r="H19" s="249"/>
      <c r="I19" s="249"/>
      <c r="J19" s="249"/>
      <c r="K19" s="249"/>
      <c r="L19" s="249"/>
      <c r="M19" s="249"/>
      <c r="N19" s="249"/>
      <c r="O19" s="249"/>
      <c r="P19" s="249"/>
      <c r="Q19" s="249"/>
      <c r="R19" s="249"/>
      <c r="S19" s="249"/>
      <c r="T19" s="249"/>
      <c r="U19" s="217"/>
      <c r="V19" s="217"/>
      <c r="W19" s="217"/>
      <c r="X19" s="217"/>
      <c r="Y19" s="217"/>
      <c r="Z19" s="217"/>
    </row>
    <row r="20" ht="18.75" customHeight="1">
      <c r="A20" s="245">
        <v>12.0</v>
      </c>
      <c r="B20" s="246" t="s">
        <v>6844</v>
      </c>
      <c r="C20" s="245">
        <v>2.42510126E8</v>
      </c>
      <c r="D20" s="247" t="s">
        <v>3052</v>
      </c>
      <c r="E20" s="248" t="s">
        <v>9814</v>
      </c>
      <c r="F20" s="249"/>
      <c r="G20" s="249"/>
      <c r="H20" s="249"/>
      <c r="I20" s="249"/>
      <c r="J20" s="249"/>
      <c r="K20" s="249"/>
      <c r="L20" s="249"/>
      <c r="M20" s="249"/>
      <c r="N20" s="249"/>
      <c r="O20" s="249"/>
      <c r="P20" s="249"/>
      <c r="Q20" s="249"/>
      <c r="R20" s="249"/>
      <c r="S20" s="249"/>
      <c r="T20" s="249"/>
      <c r="U20" s="217"/>
      <c r="V20" s="217"/>
      <c r="W20" s="217"/>
      <c r="X20" s="217"/>
      <c r="Y20" s="217"/>
      <c r="Z20" s="217"/>
    </row>
    <row r="21" ht="18.75" customHeight="1">
      <c r="A21" s="245">
        <v>13.0</v>
      </c>
      <c r="B21" s="251">
        <v>3.09082869E9</v>
      </c>
      <c r="C21" s="245">
        <v>2.42510159E8</v>
      </c>
      <c r="D21" s="247" t="s">
        <v>3057</v>
      </c>
      <c r="E21" s="248" t="s">
        <v>9815</v>
      </c>
      <c r="F21" s="249"/>
      <c r="G21" s="249"/>
      <c r="H21" s="249"/>
      <c r="I21" s="249"/>
      <c r="J21" s="249"/>
      <c r="K21" s="249"/>
      <c r="L21" s="249"/>
      <c r="M21" s="249"/>
      <c r="N21" s="249"/>
      <c r="O21" s="249"/>
      <c r="P21" s="249"/>
      <c r="Q21" s="249"/>
      <c r="R21" s="249"/>
      <c r="S21" s="249"/>
      <c r="T21" s="249"/>
      <c r="U21" s="217"/>
      <c r="V21" s="217"/>
      <c r="W21" s="217"/>
      <c r="X21" s="217"/>
      <c r="Y21" s="217"/>
      <c r="Z21" s="217"/>
    </row>
    <row r="22" ht="18.75" customHeight="1">
      <c r="A22" s="245">
        <v>14.0</v>
      </c>
      <c r="B22" s="246" t="s">
        <v>6848</v>
      </c>
      <c r="C22" s="245">
        <v>2.42510173E8</v>
      </c>
      <c r="D22" s="247" t="s">
        <v>3063</v>
      </c>
      <c r="E22" s="248" t="s">
        <v>9816</v>
      </c>
      <c r="F22" s="249"/>
      <c r="G22" s="249"/>
      <c r="H22" s="249"/>
      <c r="I22" s="249"/>
      <c r="J22" s="249"/>
      <c r="K22" s="249"/>
      <c r="L22" s="249"/>
      <c r="M22" s="249"/>
      <c r="N22" s="249"/>
      <c r="O22" s="249"/>
      <c r="P22" s="249"/>
      <c r="Q22" s="249"/>
      <c r="R22" s="249"/>
      <c r="S22" s="249"/>
      <c r="T22" s="249"/>
      <c r="U22" s="217"/>
      <c r="V22" s="217"/>
      <c r="W22" s="217"/>
      <c r="X22" s="217"/>
      <c r="Y22" s="217"/>
      <c r="Z22" s="217"/>
    </row>
    <row r="23" ht="18.75" customHeight="1">
      <c r="A23" s="245">
        <v>15.0</v>
      </c>
      <c r="B23" s="246" t="s">
        <v>6850</v>
      </c>
      <c r="C23" s="245">
        <v>2.42510183E8</v>
      </c>
      <c r="D23" s="247" t="s">
        <v>3068</v>
      </c>
      <c r="E23" s="248" t="s">
        <v>9817</v>
      </c>
      <c r="F23" s="249"/>
      <c r="G23" s="249"/>
      <c r="H23" s="249"/>
      <c r="I23" s="249"/>
      <c r="J23" s="249"/>
      <c r="K23" s="249"/>
      <c r="L23" s="249"/>
      <c r="M23" s="249"/>
      <c r="N23" s="249"/>
      <c r="O23" s="249"/>
      <c r="P23" s="249"/>
      <c r="Q23" s="249"/>
      <c r="R23" s="249"/>
      <c r="S23" s="249"/>
      <c r="T23" s="249"/>
      <c r="U23" s="217"/>
      <c r="V23" s="217"/>
      <c r="W23" s="217"/>
      <c r="X23" s="217"/>
      <c r="Y23" s="217"/>
      <c r="Z23" s="217"/>
      <c r="AA23" s="217"/>
      <c r="AB23" s="217"/>
      <c r="AC23" s="217"/>
      <c r="AD23" s="217"/>
    </row>
    <row r="24" ht="18.75" customHeight="1">
      <c r="A24" s="245">
        <v>16.0</v>
      </c>
      <c r="B24" s="246" t="s">
        <v>6852</v>
      </c>
      <c r="C24" s="245">
        <v>2.42510188E8</v>
      </c>
      <c r="D24" s="247" t="s">
        <v>3073</v>
      </c>
      <c r="E24" s="248" t="s">
        <v>9818</v>
      </c>
      <c r="F24" s="249"/>
      <c r="G24" s="249"/>
      <c r="H24" s="249"/>
      <c r="I24" s="249"/>
      <c r="J24" s="249"/>
      <c r="K24" s="249"/>
      <c r="L24" s="249"/>
      <c r="M24" s="249"/>
      <c r="N24" s="249"/>
      <c r="O24" s="249"/>
      <c r="P24" s="249"/>
      <c r="Q24" s="249"/>
      <c r="R24" s="249"/>
      <c r="S24" s="249"/>
      <c r="T24" s="249"/>
      <c r="U24" s="217"/>
      <c r="V24" s="217"/>
      <c r="W24" s="217"/>
      <c r="X24" s="217"/>
      <c r="Y24" s="217"/>
      <c r="Z24" s="217"/>
    </row>
    <row r="25" ht="18.75" customHeight="1">
      <c r="A25" s="245">
        <v>17.0</v>
      </c>
      <c r="B25" s="246" t="s">
        <v>6855</v>
      </c>
      <c r="C25" s="250">
        <v>2.42510189E8</v>
      </c>
      <c r="D25" s="247" t="s">
        <v>3078</v>
      </c>
      <c r="E25" s="248" t="s">
        <v>9819</v>
      </c>
      <c r="F25" s="249"/>
      <c r="G25" s="249"/>
      <c r="H25" s="249"/>
      <c r="I25" s="249"/>
      <c r="J25" s="249"/>
      <c r="K25" s="249"/>
      <c r="L25" s="249"/>
      <c r="M25" s="249"/>
      <c r="N25" s="249"/>
      <c r="O25" s="249"/>
      <c r="P25" s="249"/>
      <c r="Q25" s="249"/>
      <c r="R25" s="249"/>
      <c r="S25" s="249"/>
      <c r="T25" s="249"/>
      <c r="U25" s="217"/>
      <c r="V25" s="217"/>
      <c r="W25" s="217"/>
      <c r="X25" s="217"/>
      <c r="Y25" s="217"/>
      <c r="Z25" s="217"/>
    </row>
    <row r="26" ht="18.75" customHeight="1">
      <c r="A26" s="245">
        <v>18.0</v>
      </c>
      <c r="B26" s="246" t="s">
        <v>6857</v>
      </c>
      <c r="C26" s="250">
        <v>2.42510201E8</v>
      </c>
      <c r="D26" s="247" t="s">
        <v>3083</v>
      </c>
      <c r="E26" s="248" t="s">
        <v>9820</v>
      </c>
      <c r="F26" s="249"/>
      <c r="G26" s="249"/>
      <c r="H26" s="249"/>
      <c r="I26" s="249"/>
      <c r="J26" s="249"/>
      <c r="K26" s="249"/>
      <c r="L26" s="249"/>
      <c r="M26" s="249"/>
      <c r="N26" s="249"/>
      <c r="O26" s="249"/>
      <c r="P26" s="249"/>
      <c r="Q26" s="249"/>
      <c r="R26" s="249"/>
      <c r="S26" s="249"/>
      <c r="T26" s="249"/>
      <c r="U26" s="217"/>
      <c r="V26" s="217"/>
      <c r="W26" s="217"/>
      <c r="X26" s="217"/>
      <c r="Y26" s="217"/>
      <c r="Z26" s="217"/>
    </row>
    <row r="27" ht="18.75" customHeight="1">
      <c r="A27" s="245">
        <v>19.0</v>
      </c>
      <c r="B27" s="246" t="s">
        <v>6860</v>
      </c>
      <c r="C27" s="250">
        <v>2.42510206E8</v>
      </c>
      <c r="D27" s="247" t="s">
        <v>3088</v>
      </c>
      <c r="E27" s="248" t="s">
        <v>9821</v>
      </c>
      <c r="F27" s="249"/>
      <c r="G27" s="249"/>
      <c r="H27" s="249"/>
      <c r="I27" s="249"/>
      <c r="J27" s="249"/>
      <c r="K27" s="249"/>
      <c r="L27" s="249"/>
      <c r="M27" s="249"/>
      <c r="N27" s="249"/>
      <c r="O27" s="249"/>
      <c r="P27" s="249"/>
      <c r="Q27" s="249"/>
      <c r="R27" s="249"/>
      <c r="S27" s="249"/>
      <c r="T27" s="249"/>
      <c r="U27" s="217"/>
      <c r="V27" s="217"/>
      <c r="W27" s="217"/>
      <c r="X27" s="217"/>
      <c r="Y27" s="217"/>
      <c r="Z27" s="217"/>
    </row>
    <row r="28" ht="18.75" customHeight="1">
      <c r="A28" s="245">
        <v>20.0</v>
      </c>
      <c r="B28" s="246" t="s">
        <v>6862</v>
      </c>
      <c r="C28" s="250">
        <v>2.42510208E8</v>
      </c>
      <c r="D28" s="247" t="s">
        <v>3094</v>
      </c>
      <c r="E28" s="248" t="s">
        <v>9822</v>
      </c>
      <c r="F28" s="249"/>
      <c r="G28" s="249"/>
      <c r="H28" s="249"/>
      <c r="I28" s="249"/>
      <c r="J28" s="249"/>
      <c r="K28" s="249"/>
      <c r="L28" s="249"/>
      <c r="M28" s="249"/>
      <c r="N28" s="249"/>
      <c r="O28" s="249"/>
      <c r="P28" s="249"/>
      <c r="Q28" s="249"/>
      <c r="R28" s="249"/>
      <c r="S28" s="249"/>
      <c r="T28" s="249"/>
      <c r="U28" s="217"/>
      <c r="V28" s="217"/>
      <c r="W28" s="217"/>
      <c r="X28" s="217"/>
      <c r="Y28" s="217"/>
      <c r="Z28" s="217"/>
    </row>
    <row r="29" ht="18.75" customHeight="1">
      <c r="A29" s="245">
        <v>21.0</v>
      </c>
      <c r="B29" s="246" t="s">
        <v>6864</v>
      </c>
      <c r="C29" s="250">
        <v>2.42510209E8</v>
      </c>
      <c r="D29" s="247" t="s">
        <v>3099</v>
      </c>
      <c r="E29" s="248" t="s">
        <v>9823</v>
      </c>
      <c r="F29" s="249"/>
      <c r="G29" s="249"/>
      <c r="H29" s="249"/>
      <c r="I29" s="249"/>
      <c r="J29" s="249"/>
      <c r="K29" s="249"/>
      <c r="L29" s="249"/>
      <c r="M29" s="249"/>
      <c r="N29" s="249"/>
      <c r="O29" s="249"/>
      <c r="P29" s="249"/>
      <c r="Q29" s="249"/>
      <c r="R29" s="249"/>
      <c r="S29" s="249"/>
      <c r="T29" s="249"/>
      <c r="U29" s="217"/>
      <c r="V29" s="217"/>
      <c r="W29" s="217"/>
      <c r="X29" s="217"/>
      <c r="Y29" s="217"/>
      <c r="Z29" s="217"/>
    </row>
    <row r="30" ht="18.75" customHeight="1">
      <c r="A30" s="245">
        <v>22.0</v>
      </c>
      <c r="B30" s="251">
        <v>3.083447726E9</v>
      </c>
      <c r="C30" s="250">
        <v>2.42510257E8</v>
      </c>
      <c r="D30" s="247" t="s">
        <v>3104</v>
      </c>
      <c r="E30" s="248" t="s">
        <v>9824</v>
      </c>
      <c r="F30" s="249"/>
      <c r="G30" s="249"/>
      <c r="H30" s="249"/>
      <c r="I30" s="249"/>
      <c r="J30" s="249"/>
      <c r="K30" s="249"/>
      <c r="L30" s="249"/>
      <c r="M30" s="249"/>
      <c r="N30" s="249"/>
      <c r="O30" s="249"/>
      <c r="P30" s="249"/>
      <c r="Q30" s="249"/>
      <c r="R30" s="249"/>
      <c r="S30" s="249"/>
      <c r="T30" s="249"/>
      <c r="U30" s="217"/>
      <c r="V30" s="217"/>
      <c r="W30" s="217"/>
      <c r="X30" s="217"/>
      <c r="Y30" s="217"/>
      <c r="Z30" s="217"/>
    </row>
    <row r="31" ht="18.75" customHeight="1">
      <c r="A31" s="245">
        <v>23.0</v>
      </c>
      <c r="B31" s="246" t="s">
        <v>6868</v>
      </c>
      <c r="C31" s="250">
        <v>2.42510281E8</v>
      </c>
      <c r="D31" s="247" t="s">
        <v>3109</v>
      </c>
      <c r="E31" s="248" t="s">
        <v>9825</v>
      </c>
      <c r="F31" s="249"/>
      <c r="G31" s="249"/>
      <c r="H31" s="249"/>
      <c r="I31" s="249"/>
      <c r="J31" s="249"/>
      <c r="K31" s="249"/>
      <c r="L31" s="249"/>
      <c r="M31" s="249"/>
      <c r="N31" s="249"/>
      <c r="O31" s="249"/>
      <c r="P31" s="249"/>
      <c r="Q31" s="249"/>
      <c r="R31" s="249"/>
      <c r="S31" s="249"/>
      <c r="T31" s="249"/>
      <c r="U31" s="217"/>
      <c r="V31" s="217"/>
      <c r="W31" s="217"/>
      <c r="X31" s="217"/>
      <c r="Y31" s="217"/>
      <c r="Z31" s="217"/>
    </row>
    <row r="32" ht="18.75" customHeight="1">
      <c r="A32" s="245">
        <v>24.0</v>
      </c>
      <c r="B32" s="246" t="s">
        <v>6871</v>
      </c>
      <c r="C32" s="250">
        <v>2.42510291E8</v>
      </c>
      <c r="D32" s="247" t="s">
        <v>3114</v>
      </c>
      <c r="E32" s="248" t="s">
        <v>9826</v>
      </c>
      <c r="F32" s="249"/>
      <c r="G32" s="249"/>
      <c r="H32" s="249"/>
      <c r="I32" s="249"/>
      <c r="J32" s="249"/>
      <c r="K32" s="249"/>
      <c r="L32" s="249"/>
      <c r="M32" s="249"/>
      <c r="N32" s="249"/>
      <c r="O32" s="249"/>
      <c r="P32" s="249"/>
      <c r="Q32" s="249"/>
      <c r="R32" s="249"/>
      <c r="S32" s="249"/>
      <c r="T32" s="249"/>
      <c r="U32" s="217"/>
      <c r="V32" s="217"/>
      <c r="W32" s="217"/>
      <c r="X32" s="217"/>
      <c r="Y32" s="217"/>
      <c r="Z32" s="217"/>
    </row>
    <row r="33" ht="18.75" customHeight="1">
      <c r="A33" s="245">
        <v>25.0</v>
      </c>
      <c r="B33" s="246" t="s">
        <v>6874</v>
      </c>
      <c r="C33" s="250">
        <v>2.42510323E8</v>
      </c>
      <c r="D33" s="247" t="s">
        <v>3119</v>
      </c>
      <c r="E33" s="248" t="s">
        <v>9827</v>
      </c>
      <c r="F33" s="249"/>
      <c r="G33" s="249"/>
      <c r="H33" s="249"/>
      <c r="I33" s="249"/>
      <c r="J33" s="249"/>
      <c r="K33" s="249"/>
      <c r="L33" s="249"/>
      <c r="M33" s="249"/>
      <c r="N33" s="249"/>
      <c r="O33" s="249"/>
      <c r="P33" s="249"/>
      <c r="Q33" s="249"/>
      <c r="R33" s="249"/>
      <c r="S33" s="249"/>
      <c r="T33" s="249"/>
      <c r="U33" s="217"/>
      <c r="V33" s="217"/>
      <c r="W33" s="217"/>
      <c r="X33" s="217"/>
      <c r="Y33" s="217"/>
      <c r="Z33" s="217"/>
    </row>
    <row r="34" ht="18.75" customHeight="1">
      <c r="A34" s="245">
        <v>26.0</v>
      </c>
      <c r="B34" s="246" t="s">
        <v>6876</v>
      </c>
      <c r="C34" s="250">
        <v>2.42510325E8</v>
      </c>
      <c r="D34" s="247" t="s">
        <v>3125</v>
      </c>
      <c r="E34" s="248" t="s">
        <v>9828</v>
      </c>
      <c r="F34" s="249"/>
      <c r="G34" s="249"/>
      <c r="H34" s="249"/>
      <c r="I34" s="249"/>
      <c r="J34" s="249"/>
      <c r="K34" s="249"/>
      <c r="L34" s="249"/>
      <c r="M34" s="249"/>
      <c r="N34" s="249"/>
      <c r="O34" s="249"/>
      <c r="P34" s="249"/>
      <c r="Q34" s="249"/>
      <c r="R34" s="249"/>
      <c r="S34" s="249"/>
      <c r="T34" s="249"/>
      <c r="U34" s="217"/>
      <c r="V34" s="217"/>
      <c r="W34" s="217"/>
      <c r="X34" s="217"/>
      <c r="Y34" s="217"/>
      <c r="Z34" s="217"/>
    </row>
    <row r="35" ht="18.75" customHeight="1">
      <c r="A35" s="245">
        <v>27.0</v>
      </c>
      <c r="B35" s="246" t="s">
        <v>6878</v>
      </c>
      <c r="C35" s="250">
        <v>2.42510336E8</v>
      </c>
      <c r="D35" s="247" t="s">
        <v>3130</v>
      </c>
      <c r="E35" s="248" t="s">
        <v>9829</v>
      </c>
      <c r="F35" s="249"/>
      <c r="G35" s="249"/>
      <c r="H35" s="249"/>
      <c r="I35" s="249"/>
      <c r="J35" s="249"/>
      <c r="K35" s="249"/>
      <c r="L35" s="249"/>
      <c r="M35" s="249"/>
      <c r="N35" s="249"/>
      <c r="O35" s="249"/>
      <c r="P35" s="249"/>
      <c r="Q35" s="249"/>
      <c r="R35" s="249"/>
      <c r="S35" s="249"/>
      <c r="T35" s="249"/>
      <c r="U35" s="217"/>
      <c r="V35" s="217"/>
      <c r="W35" s="217"/>
      <c r="X35" s="217"/>
      <c r="Y35" s="217"/>
      <c r="Z35" s="217"/>
    </row>
    <row r="36" ht="18.75" customHeight="1">
      <c r="A36" s="245">
        <v>28.0</v>
      </c>
      <c r="B36" s="251">
        <v>3.098805753E9</v>
      </c>
      <c r="C36" s="250">
        <v>2.42510342E8</v>
      </c>
      <c r="D36" s="247" t="s">
        <v>3135</v>
      </c>
      <c r="E36" s="248" t="s">
        <v>9830</v>
      </c>
      <c r="F36" s="249"/>
      <c r="G36" s="249"/>
      <c r="H36" s="249"/>
      <c r="I36" s="249"/>
      <c r="J36" s="249"/>
      <c r="K36" s="249"/>
      <c r="L36" s="249"/>
      <c r="M36" s="249"/>
      <c r="N36" s="249"/>
      <c r="O36" s="249"/>
      <c r="P36" s="249"/>
      <c r="Q36" s="249"/>
      <c r="R36" s="249"/>
      <c r="S36" s="249"/>
      <c r="T36" s="249"/>
      <c r="U36" s="217"/>
      <c r="V36" s="217"/>
      <c r="W36" s="217"/>
      <c r="X36" s="217"/>
      <c r="Y36" s="217"/>
      <c r="Z36" s="217"/>
    </row>
    <row r="37" ht="18.75" customHeight="1">
      <c r="A37" s="245">
        <v>29.0</v>
      </c>
      <c r="B37" s="246" t="s">
        <v>6882</v>
      </c>
      <c r="C37" s="250">
        <v>2.42510388E8</v>
      </c>
      <c r="D37" s="247" t="s">
        <v>3140</v>
      </c>
      <c r="E37" s="248" t="s">
        <v>9831</v>
      </c>
      <c r="F37" s="249"/>
      <c r="G37" s="249"/>
      <c r="H37" s="249"/>
      <c r="I37" s="249"/>
      <c r="J37" s="249"/>
      <c r="K37" s="249"/>
      <c r="L37" s="249"/>
      <c r="M37" s="249"/>
      <c r="N37" s="249"/>
      <c r="O37" s="249"/>
      <c r="P37" s="249"/>
      <c r="Q37" s="249"/>
      <c r="R37" s="249"/>
      <c r="S37" s="249"/>
      <c r="T37" s="249"/>
      <c r="U37" s="217"/>
      <c r="V37" s="217"/>
      <c r="W37" s="217"/>
      <c r="X37" s="217"/>
      <c r="Y37" s="217"/>
      <c r="Z37" s="217"/>
    </row>
    <row r="38" ht="18.75" customHeight="1">
      <c r="A38" s="245">
        <v>30.0</v>
      </c>
      <c r="B38" s="246" t="s">
        <v>6885</v>
      </c>
      <c r="C38" s="250">
        <v>2.42510406E8</v>
      </c>
      <c r="D38" s="247" t="s">
        <v>3145</v>
      </c>
      <c r="E38" s="248" t="s">
        <v>9832</v>
      </c>
      <c r="F38" s="249"/>
      <c r="G38" s="249"/>
      <c r="H38" s="249"/>
      <c r="I38" s="249"/>
      <c r="J38" s="249"/>
      <c r="K38" s="249"/>
      <c r="L38" s="249"/>
      <c r="M38" s="249"/>
      <c r="N38" s="249"/>
      <c r="O38" s="249"/>
      <c r="P38" s="249"/>
      <c r="Q38" s="249"/>
      <c r="R38" s="249"/>
      <c r="S38" s="249"/>
      <c r="T38" s="249"/>
      <c r="U38" s="217"/>
      <c r="V38" s="217"/>
      <c r="W38" s="217"/>
      <c r="X38" s="217"/>
      <c r="Y38" s="217"/>
      <c r="Z38" s="217"/>
    </row>
    <row r="39" ht="18.75" customHeight="1">
      <c r="A39" s="245">
        <v>31.0</v>
      </c>
      <c r="B39" s="246" t="s">
        <v>6885</v>
      </c>
      <c r="C39" s="250">
        <v>2.42510406E8</v>
      </c>
      <c r="D39" s="247" t="s">
        <v>3150</v>
      </c>
      <c r="E39" s="248" t="s">
        <v>9833</v>
      </c>
      <c r="F39" s="249"/>
      <c r="G39" s="249"/>
      <c r="H39" s="249"/>
      <c r="I39" s="249"/>
      <c r="J39" s="249"/>
      <c r="K39" s="249"/>
      <c r="L39" s="249"/>
      <c r="M39" s="249"/>
      <c r="N39" s="249"/>
      <c r="O39" s="249"/>
      <c r="P39" s="249"/>
      <c r="Q39" s="249"/>
      <c r="R39" s="249"/>
      <c r="S39" s="249"/>
      <c r="T39" s="249"/>
      <c r="U39" s="217"/>
      <c r="V39" s="217"/>
      <c r="W39" s="217"/>
      <c r="X39" s="217"/>
      <c r="Y39" s="217"/>
      <c r="Z39" s="217"/>
    </row>
    <row r="40" ht="18.75" customHeight="1">
      <c r="A40" s="245">
        <v>32.0</v>
      </c>
      <c r="B40" s="246" t="s">
        <v>6887</v>
      </c>
      <c r="C40" s="245">
        <v>2.42510414E8</v>
      </c>
      <c r="D40" s="247" t="s">
        <v>3156</v>
      </c>
      <c r="E40" s="248" t="s">
        <v>9834</v>
      </c>
      <c r="F40" s="249"/>
      <c r="G40" s="249"/>
      <c r="H40" s="249"/>
      <c r="I40" s="249"/>
      <c r="J40" s="249"/>
      <c r="K40" s="249"/>
      <c r="L40" s="249"/>
      <c r="M40" s="249"/>
      <c r="N40" s="249"/>
      <c r="O40" s="249"/>
      <c r="P40" s="249"/>
      <c r="Q40" s="249"/>
      <c r="R40" s="249"/>
      <c r="S40" s="249"/>
      <c r="T40" s="249"/>
      <c r="U40" s="217"/>
      <c r="V40" s="217"/>
      <c r="W40" s="217"/>
      <c r="X40" s="217"/>
      <c r="Y40" s="217"/>
      <c r="Z40" s="217"/>
    </row>
    <row r="41" ht="18.75" customHeight="1">
      <c r="A41" s="245">
        <v>33.0</v>
      </c>
      <c r="B41" s="246" t="s">
        <v>6889</v>
      </c>
      <c r="C41" s="245">
        <v>2.42510416E8</v>
      </c>
      <c r="D41" s="247" t="s">
        <v>3161</v>
      </c>
      <c r="E41" s="248" t="s">
        <v>9835</v>
      </c>
      <c r="F41" s="249"/>
      <c r="G41" s="249"/>
      <c r="H41" s="249"/>
      <c r="I41" s="249"/>
      <c r="J41" s="249"/>
      <c r="K41" s="249"/>
      <c r="L41" s="249"/>
      <c r="M41" s="249"/>
      <c r="N41" s="249"/>
      <c r="O41" s="249"/>
      <c r="P41" s="249"/>
      <c r="Q41" s="249"/>
      <c r="R41" s="249"/>
      <c r="S41" s="249"/>
      <c r="T41" s="249"/>
      <c r="U41" s="217"/>
      <c r="V41" s="217"/>
      <c r="W41" s="217"/>
      <c r="X41" s="217"/>
      <c r="Y41" s="217"/>
      <c r="Z41" s="217"/>
    </row>
    <row r="42" ht="18.75" customHeight="1">
      <c r="A42" s="245">
        <v>34.0</v>
      </c>
      <c r="B42" s="246" t="s">
        <v>6891</v>
      </c>
      <c r="C42" s="250">
        <v>2.42510426E8</v>
      </c>
      <c r="D42" s="247" t="s">
        <v>3166</v>
      </c>
      <c r="E42" s="248" t="s">
        <v>9836</v>
      </c>
      <c r="F42" s="249"/>
      <c r="G42" s="249"/>
      <c r="H42" s="249"/>
      <c r="I42" s="249"/>
      <c r="J42" s="249"/>
      <c r="K42" s="249"/>
      <c r="L42" s="249"/>
      <c r="M42" s="249"/>
      <c r="N42" s="249"/>
      <c r="O42" s="249"/>
      <c r="P42" s="249"/>
      <c r="Q42" s="249"/>
      <c r="R42" s="249"/>
      <c r="S42" s="249"/>
      <c r="T42" s="249"/>
      <c r="U42" s="217"/>
      <c r="V42" s="217"/>
      <c r="W42" s="217"/>
      <c r="X42" s="217"/>
      <c r="Y42" s="217"/>
      <c r="Z42" s="217"/>
    </row>
    <row r="43" ht="18.75" customHeight="1">
      <c r="A43" s="245">
        <v>35.0</v>
      </c>
      <c r="B43" s="246" t="s">
        <v>6893</v>
      </c>
      <c r="C43" s="250">
        <v>2.4251043E8</v>
      </c>
      <c r="D43" s="247" t="s">
        <v>3172</v>
      </c>
      <c r="E43" s="248" t="s">
        <v>9837</v>
      </c>
      <c r="F43" s="249"/>
      <c r="G43" s="249"/>
      <c r="H43" s="249"/>
      <c r="I43" s="249"/>
      <c r="J43" s="249"/>
      <c r="K43" s="249"/>
      <c r="L43" s="249"/>
      <c r="M43" s="249"/>
      <c r="N43" s="249"/>
      <c r="O43" s="249"/>
      <c r="P43" s="249"/>
      <c r="Q43" s="249"/>
      <c r="R43" s="249"/>
      <c r="S43" s="249"/>
      <c r="T43" s="249"/>
      <c r="U43" s="217"/>
      <c r="V43" s="217"/>
      <c r="W43" s="217"/>
      <c r="X43" s="217"/>
      <c r="Y43" s="217"/>
      <c r="Z43" s="217"/>
    </row>
    <row r="44" ht="18.75" customHeight="1">
      <c r="A44" s="245">
        <v>36.0</v>
      </c>
      <c r="B44" s="246" t="s">
        <v>6895</v>
      </c>
      <c r="C44" s="250">
        <v>2.42510432E8</v>
      </c>
      <c r="D44" s="247" t="s">
        <v>3177</v>
      </c>
      <c r="E44" s="248" t="s">
        <v>9838</v>
      </c>
      <c r="F44" s="249"/>
      <c r="G44" s="249"/>
      <c r="H44" s="249"/>
      <c r="I44" s="249"/>
      <c r="J44" s="249"/>
      <c r="K44" s="249"/>
      <c r="L44" s="249"/>
      <c r="M44" s="249"/>
      <c r="N44" s="249"/>
      <c r="O44" s="249"/>
      <c r="P44" s="249"/>
      <c r="Q44" s="249"/>
      <c r="R44" s="249"/>
      <c r="S44" s="249"/>
      <c r="T44" s="249"/>
      <c r="U44" s="217"/>
      <c r="V44" s="217"/>
      <c r="W44" s="217"/>
      <c r="X44" s="217"/>
      <c r="Y44" s="217"/>
      <c r="Z44" s="217"/>
    </row>
    <row r="45" ht="16.5" hidden="1" customHeight="1">
      <c r="A45" s="252"/>
      <c r="B45" s="368" t="s">
        <v>8789</v>
      </c>
      <c r="C45" s="253"/>
      <c r="D45" s="253">
        <f>COUNTIF(E9:E47,"L")</f>
        <v>11</v>
      </c>
      <c r="E45" s="253"/>
      <c r="F45" s="254"/>
      <c r="G45" s="254"/>
      <c r="H45" s="254"/>
      <c r="I45" s="254"/>
      <c r="J45" s="254"/>
      <c r="K45" s="254"/>
      <c r="L45" s="254"/>
      <c r="M45" s="254"/>
      <c r="N45" s="254"/>
      <c r="O45" s="254"/>
      <c r="P45" s="254"/>
      <c r="Q45" s="254"/>
      <c r="R45" s="254"/>
      <c r="S45" s="254"/>
      <c r="T45" s="254"/>
      <c r="U45" s="217"/>
      <c r="V45" s="217"/>
      <c r="W45" s="217"/>
      <c r="X45" s="217"/>
      <c r="Y45" s="217"/>
      <c r="Z45" s="217"/>
    </row>
    <row r="46" ht="16.5" hidden="1" customHeight="1">
      <c r="A46" s="252"/>
      <c r="B46" s="368" t="s">
        <v>8790</v>
      </c>
      <c r="C46" s="253"/>
      <c r="D46" s="253">
        <f>COUNTIF(E9:E47,"P")</f>
        <v>25</v>
      </c>
      <c r="E46" s="253"/>
      <c r="F46" s="254"/>
      <c r="G46" s="254"/>
      <c r="H46" s="254"/>
      <c r="I46" s="254"/>
      <c r="J46" s="254"/>
      <c r="K46" s="255" t="s">
        <v>9753</v>
      </c>
      <c r="L46" s="256"/>
      <c r="M46" s="256"/>
      <c r="N46" s="256"/>
      <c r="O46" s="256"/>
      <c r="P46" s="256"/>
      <c r="Q46" s="256"/>
      <c r="R46" s="256"/>
      <c r="S46" s="256"/>
      <c r="T46" s="257"/>
      <c r="U46" s="217"/>
      <c r="V46" s="217"/>
      <c r="W46" s="217"/>
      <c r="X46" s="217"/>
      <c r="Y46" s="217"/>
      <c r="Z46" s="217"/>
    </row>
    <row r="47" ht="16.5" hidden="1" customHeight="1">
      <c r="A47" s="252"/>
      <c r="B47" s="368" t="s">
        <v>8792</v>
      </c>
      <c r="C47" s="253"/>
      <c r="D47" s="253">
        <f>D45+D46</f>
        <v>36</v>
      </c>
      <c r="E47" s="253"/>
      <c r="F47" s="254"/>
      <c r="G47" s="254"/>
      <c r="H47" s="254"/>
      <c r="I47" s="254"/>
      <c r="J47" s="254"/>
      <c r="K47" s="258" t="s">
        <v>8793</v>
      </c>
      <c r="L47" s="259"/>
      <c r="M47" s="259"/>
      <c r="N47" s="259"/>
      <c r="O47" s="259"/>
      <c r="P47" s="259"/>
      <c r="Q47" s="259"/>
      <c r="R47" s="259"/>
      <c r="S47" s="259"/>
      <c r="T47" s="260"/>
      <c r="U47" s="217"/>
      <c r="V47" s="217"/>
      <c r="W47" s="217"/>
      <c r="X47" s="217"/>
      <c r="Y47" s="217"/>
      <c r="Z47" s="217"/>
    </row>
    <row r="48" ht="78.0" hidden="1" customHeight="1">
      <c r="A48" s="261" t="s">
        <v>8743</v>
      </c>
      <c r="B48" s="261"/>
      <c r="C48" s="261"/>
      <c r="D48" s="261"/>
      <c r="E48" s="261"/>
      <c r="F48" s="261"/>
      <c r="G48" s="261"/>
      <c r="H48" s="261"/>
      <c r="I48" s="261"/>
      <c r="J48" s="261"/>
      <c r="K48" s="261"/>
      <c r="L48" s="261"/>
      <c r="M48" s="261"/>
      <c r="N48" s="261"/>
      <c r="O48" s="261"/>
      <c r="P48" s="261"/>
      <c r="Q48" s="261"/>
      <c r="R48" s="261"/>
      <c r="S48" s="261"/>
      <c r="T48" s="261"/>
      <c r="U48" s="217"/>
      <c r="V48" s="217"/>
      <c r="W48" s="217"/>
      <c r="X48" s="217"/>
      <c r="Y48" s="217"/>
      <c r="Z48" s="217"/>
    </row>
    <row r="49" ht="16.5" hidden="1" customHeight="1">
      <c r="A49" s="262" t="s">
        <v>9365</v>
      </c>
      <c r="B49" s="263"/>
      <c r="C49" s="263"/>
      <c r="D49" s="263"/>
      <c r="E49" s="263"/>
      <c r="F49" s="263"/>
      <c r="G49" s="263"/>
      <c r="H49" s="263"/>
      <c r="I49" s="263"/>
      <c r="J49" s="263"/>
      <c r="K49" s="263"/>
      <c r="L49" s="263"/>
      <c r="M49" s="263"/>
      <c r="N49" s="263"/>
      <c r="O49" s="263"/>
      <c r="P49" s="263"/>
      <c r="Q49" s="263"/>
      <c r="R49" s="263"/>
      <c r="S49" s="263"/>
      <c r="T49" s="264"/>
      <c r="U49" s="217"/>
      <c r="V49" s="217"/>
      <c r="W49" s="217"/>
      <c r="X49" s="217"/>
      <c r="Y49" s="217"/>
      <c r="Z49" s="217"/>
    </row>
    <row r="50" ht="16.5" hidden="1" customHeight="1">
      <c r="A50" s="222" t="s">
        <v>9798</v>
      </c>
      <c r="B50" s="223"/>
      <c r="C50" s="223"/>
      <c r="D50" s="223"/>
      <c r="E50" s="223"/>
      <c r="F50" s="223"/>
      <c r="G50" s="223"/>
      <c r="H50" s="223"/>
      <c r="I50" s="223"/>
      <c r="J50" s="223"/>
      <c r="K50" s="223"/>
      <c r="L50" s="223"/>
      <c r="M50" s="223"/>
      <c r="N50" s="223"/>
      <c r="O50" s="223"/>
      <c r="P50" s="223"/>
      <c r="Q50" s="223"/>
      <c r="R50" s="223"/>
      <c r="S50" s="223"/>
      <c r="T50" s="224"/>
      <c r="U50" s="217"/>
      <c r="V50" s="217"/>
      <c r="W50" s="217"/>
      <c r="X50" s="217"/>
      <c r="Y50" s="217"/>
      <c r="Z50" s="217"/>
    </row>
    <row r="51" ht="16.5" hidden="1" customHeight="1">
      <c r="A51" s="225" t="s">
        <v>9369</v>
      </c>
      <c r="B51" s="226"/>
      <c r="C51" s="226"/>
      <c r="D51" s="226"/>
      <c r="E51" s="226"/>
      <c r="F51" s="226"/>
      <c r="G51" s="226"/>
      <c r="H51" s="226"/>
      <c r="I51" s="226"/>
      <c r="J51" s="226"/>
      <c r="K51" s="226"/>
      <c r="L51" s="226"/>
      <c r="M51" s="226"/>
      <c r="N51" s="226"/>
      <c r="O51" s="226"/>
      <c r="P51" s="226"/>
      <c r="Q51" s="226"/>
      <c r="R51" s="226"/>
      <c r="S51" s="226"/>
      <c r="T51" s="227"/>
      <c r="U51" s="217"/>
      <c r="V51" s="217"/>
      <c r="W51" s="217"/>
      <c r="X51" s="217"/>
      <c r="Y51" s="217"/>
      <c r="Z51" s="217"/>
    </row>
    <row r="52" ht="16.5" hidden="1" customHeight="1">
      <c r="A52" s="228" t="s">
        <v>9839</v>
      </c>
      <c r="B52" s="229"/>
      <c r="C52" s="229"/>
      <c r="D52" s="229"/>
      <c r="E52" s="229"/>
      <c r="F52" s="230"/>
      <c r="G52" s="230"/>
      <c r="H52" s="230"/>
      <c r="I52" s="230"/>
      <c r="J52" s="230"/>
      <c r="K52" s="230"/>
      <c r="L52" s="230"/>
      <c r="M52" s="230"/>
      <c r="N52" s="230"/>
      <c r="O52" s="230"/>
      <c r="P52" s="230"/>
      <c r="Q52" s="230"/>
      <c r="R52" s="230"/>
      <c r="S52" s="230"/>
      <c r="T52" s="230"/>
      <c r="U52" s="217"/>
      <c r="V52" s="217"/>
      <c r="W52" s="217"/>
      <c r="X52" s="217"/>
      <c r="Y52" s="217"/>
      <c r="Z52" s="217"/>
    </row>
    <row r="53" ht="14.25" hidden="1" customHeight="1">
      <c r="A53" s="231" t="s">
        <v>8748</v>
      </c>
      <c r="B53" s="231" t="s">
        <v>9</v>
      </c>
      <c r="C53" s="231" t="s">
        <v>5246</v>
      </c>
      <c r="D53" s="231" t="s">
        <v>8680</v>
      </c>
      <c r="E53" s="232" t="s">
        <v>13</v>
      </c>
      <c r="F53" s="233" t="s">
        <v>9801</v>
      </c>
      <c r="G53" s="234"/>
      <c r="H53" s="234"/>
      <c r="I53" s="234"/>
      <c r="J53" s="234"/>
      <c r="K53" s="234"/>
      <c r="L53" s="234"/>
      <c r="M53" s="234"/>
      <c r="N53" s="234"/>
      <c r="O53" s="234"/>
      <c r="P53" s="234"/>
      <c r="Q53" s="234"/>
      <c r="R53" s="234"/>
      <c r="S53" s="234"/>
      <c r="T53" s="235"/>
      <c r="U53" s="217"/>
      <c r="V53" s="217"/>
      <c r="W53" s="217"/>
      <c r="X53" s="217"/>
      <c r="Y53" s="217"/>
      <c r="Z53" s="217"/>
    </row>
    <row r="54" ht="14.25" hidden="1" customHeight="1">
      <c r="A54" s="236"/>
      <c r="B54" s="236"/>
      <c r="C54" s="236"/>
      <c r="D54" s="236"/>
      <c r="E54" s="237"/>
      <c r="F54" s="238" t="s">
        <v>9802</v>
      </c>
      <c r="G54" s="239"/>
      <c r="H54" s="239"/>
      <c r="I54" s="239"/>
      <c r="J54" s="239"/>
      <c r="K54" s="239"/>
      <c r="L54" s="239"/>
      <c r="M54" s="239"/>
      <c r="N54" s="239"/>
      <c r="O54" s="239"/>
      <c r="P54" s="239"/>
      <c r="Q54" s="240"/>
      <c r="R54" s="233" t="s">
        <v>9713</v>
      </c>
      <c r="S54" s="234"/>
      <c r="T54" s="235"/>
      <c r="U54" s="217"/>
      <c r="V54" s="217"/>
      <c r="W54" s="217"/>
      <c r="X54" s="217"/>
      <c r="Y54" s="217"/>
      <c r="Z54" s="217"/>
    </row>
    <row r="55" ht="14.25" hidden="1" customHeight="1">
      <c r="A55" s="241"/>
      <c r="B55" s="241"/>
      <c r="C55" s="241"/>
      <c r="D55" s="241"/>
      <c r="E55" s="242"/>
      <c r="F55" s="243">
        <v>1.0</v>
      </c>
      <c r="G55" s="243">
        <v>2.0</v>
      </c>
      <c r="H55" s="243">
        <v>3.0</v>
      </c>
      <c r="I55" s="243">
        <v>4.0</v>
      </c>
      <c r="J55" s="243">
        <v>5.0</v>
      </c>
      <c r="K55" s="243">
        <v>6.0</v>
      </c>
      <c r="L55" s="243">
        <v>7.0</v>
      </c>
      <c r="M55" s="243">
        <v>8.0</v>
      </c>
      <c r="N55" s="243">
        <v>9.0</v>
      </c>
      <c r="O55" s="243">
        <v>10.0</v>
      </c>
      <c r="P55" s="243">
        <v>11.0</v>
      </c>
      <c r="Q55" s="243">
        <v>12.0</v>
      </c>
      <c r="R55" s="243" t="s">
        <v>9714</v>
      </c>
      <c r="S55" s="243" t="s">
        <v>9715</v>
      </c>
      <c r="T55" s="244" t="s">
        <v>9716</v>
      </c>
      <c r="U55" s="217"/>
      <c r="V55" s="217"/>
      <c r="W55" s="217"/>
      <c r="X55" s="217"/>
      <c r="Y55" s="217"/>
      <c r="Z55" s="217"/>
    </row>
    <row r="56" ht="18.75" customHeight="1">
      <c r="A56" s="245">
        <v>1.0</v>
      </c>
      <c r="B56" s="265" t="s">
        <v>6897</v>
      </c>
      <c r="C56" s="245">
        <v>2.42510005E8</v>
      </c>
      <c r="D56" s="266" t="s">
        <v>3182</v>
      </c>
      <c r="E56" s="267" t="s">
        <v>227</v>
      </c>
      <c r="F56" s="268"/>
      <c r="G56" s="269"/>
      <c r="H56" s="269"/>
      <c r="I56" s="269"/>
      <c r="J56" s="269"/>
      <c r="K56" s="269"/>
      <c r="L56" s="269"/>
      <c r="M56" s="269"/>
      <c r="N56" s="269"/>
      <c r="O56" s="269"/>
      <c r="P56" s="269"/>
      <c r="Q56" s="269"/>
      <c r="R56" s="269"/>
      <c r="S56" s="269"/>
      <c r="T56" s="269"/>
      <c r="U56" s="217"/>
      <c r="V56" s="217"/>
      <c r="W56" s="217"/>
      <c r="X56" s="217"/>
      <c r="Y56" s="217"/>
      <c r="Z56" s="217"/>
    </row>
    <row r="57" ht="18.75" customHeight="1">
      <c r="A57" s="245">
        <v>2.0</v>
      </c>
      <c r="B57" s="265" t="s">
        <v>6900</v>
      </c>
      <c r="C57" s="250">
        <v>2.42510007E8</v>
      </c>
      <c r="D57" s="266" t="s">
        <v>3188</v>
      </c>
      <c r="E57" s="267" t="s">
        <v>220</v>
      </c>
      <c r="F57" s="268"/>
      <c r="G57" s="269"/>
      <c r="H57" s="269"/>
      <c r="I57" s="269"/>
      <c r="J57" s="269"/>
      <c r="K57" s="269"/>
      <c r="L57" s="269"/>
      <c r="M57" s="269"/>
      <c r="N57" s="269"/>
      <c r="O57" s="269"/>
      <c r="P57" s="269"/>
      <c r="Q57" s="269"/>
      <c r="R57" s="269"/>
      <c r="S57" s="269"/>
      <c r="T57" s="269"/>
      <c r="U57" s="217"/>
      <c r="V57" s="217"/>
      <c r="W57" s="217"/>
      <c r="X57" s="217"/>
      <c r="Y57" s="217"/>
      <c r="Z57" s="217"/>
    </row>
    <row r="58" ht="18.75" customHeight="1">
      <c r="A58" s="245">
        <v>3.0</v>
      </c>
      <c r="B58" s="265" t="s">
        <v>6902</v>
      </c>
      <c r="C58" s="245">
        <v>2.42510018E8</v>
      </c>
      <c r="D58" s="266" t="s">
        <v>3193</v>
      </c>
      <c r="E58" s="267" t="s">
        <v>227</v>
      </c>
      <c r="F58" s="268"/>
      <c r="G58" s="269"/>
      <c r="H58" s="269"/>
      <c r="I58" s="269"/>
      <c r="J58" s="269"/>
      <c r="K58" s="269"/>
      <c r="L58" s="269"/>
      <c r="M58" s="269"/>
      <c r="N58" s="269"/>
      <c r="O58" s="269"/>
      <c r="P58" s="269"/>
      <c r="Q58" s="269"/>
      <c r="R58" s="269"/>
      <c r="S58" s="269"/>
      <c r="T58" s="269"/>
      <c r="U58" s="217"/>
      <c r="V58" s="217"/>
      <c r="W58" s="217"/>
      <c r="X58" s="217"/>
      <c r="Y58" s="217"/>
      <c r="Z58" s="217"/>
    </row>
    <row r="59" ht="18.75" customHeight="1">
      <c r="A59" s="245">
        <v>4.0</v>
      </c>
      <c r="B59" s="265" t="s">
        <v>6904</v>
      </c>
      <c r="C59" s="245">
        <v>2.42510028E8</v>
      </c>
      <c r="D59" s="266" t="s">
        <v>3199</v>
      </c>
      <c r="E59" s="267" t="s">
        <v>227</v>
      </c>
      <c r="F59" s="268"/>
      <c r="G59" s="269"/>
      <c r="H59" s="269"/>
      <c r="I59" s="269"/>
      <c r="J59" s="269"/>
      <c r="K59" s="269"/>
      <c r="L59" s="269"/>
      <c r="M59" s="269"/>
      <c r="N59" s="269"/>
      <c r="O59" s="269"/>
      <c r="P59" s="269"/>
      <c r="Q59" s="269"/>
      <c r="R59" s="269"/>
      <c r="S59" s="269"/>
      <c r="T59" s="269"/>
      <c r="U59" s="217"/>
      <c r="V59" s="217"/>
      <c r="W59" s="217"/>
      <c r="X59" s="217"/>
      <c r="Y59" s="217"/>
      <c r="Z59" s="217"/>
    </row>
    <row r="60" ht="18.75" customHeight="1">
      <c r="A60" s="245">
        <v>5.0</v>
      </c>
      <c r="B60" s="265" t="s">
        <v>6906</v>
      </c>
      <c r="C60" s="245">
        <v>2.42510037E8</v>
      </c>
      <c r="D60" s="266" t="s">
        <v>3204</v>
      </c>
      <c r="E60" s="267" t="s">
        <v>227</v>
      </c>
      <c r="F60" s="268"/>
      <c r="G60" s="269"/>
      <c r="H60" s="269"/>
      <c r="I60" s="269"/>
      <c r="J60" s="269"/>
      <c r="K60" s="269"/>
      <c r="L60" s="269"/>
      <c r="M60" s="269"/>
      <c r="N60" s="269"/>
      <c r="O60" s="269"/>
      <c r="P60" s="269"/>
      <c r="Q60" s="269"/>
      <c r="R60" s="269"/>
      <c r="S60" s="269"/>
      <c r="T60" s="269"/>
      <c r="U60" s="217"/>
      <c r="V60" s="217"/>
      <c r="W60" s="217"/>
      <c r="X60" s="217"/>
      <c r="Y60" s="217"/>
      <c r="Z60" s="217"/>
    </row>
    <row r="61" ht="18.75" customHeight="1">
      <c r="A61" s="245">
        <v>6.0</v>
      </c>
      <c r="B61" s="265" t="s">
        <v>6908</v>
      </c>
      <c r="C61" s="245">
        <v>2.42510046E8</v>
      </c>
      <c r="D61" s="266" t="s">
        <v>3209</v>
      </c>
      <c r="E61" s="267" t="s">
        <v>227</v>
      </c>
      <c r="F61" s="268"/>
      <c r="G61" s="269"/>
      <c r="H61" s="269"/>
      <c r="I61" s="269"/>
      <c r="J61" s="269"/>
      <c r="K61" s="269"/>
      <c r="L61" s="269"/>
      <c r="M61" s="269"/>
      <c r="N61" s="269"/>
      <c r="O61" s="269"/>
      <c r="P61" s="269"/>
      <c r="Q61" s="269"/>
      <c r="R61" s="269"/>
      <c r="S61" s="269"/>
      <c r="T61" s="269"/>
      <c r="U61" s="217"/>
      <c r="V61" s="217"/>
      <c r="W61" s="217"/>
      <c r="X61" s="217"/>
      <c r="Y61" s="217"/>
      <c r="Z61" s="217"/>
    </row>
    <row r="62" ht="18.75" customHeight="1">
      <c r="A62" s="245">
        <v>7.0</v>
      </c>
      <c r="B62" s="265" t="s">
        <v>6910</v>
      </c>
      <c r="C62" s="245">
        <v>2.42510052E8</v>
      </c>
      <c r="D62" s="266" t="s">
        <v>3213</v>
      </c>
      <c r="E62" s="267" t="s">
        <v>227</v>
      </c>
      <c r="F62" s="268"/>
      <c r="G62" s="269"/>
      <c r="H62" s="269"/>
      <c r="I62" s="269"/>
      <c r="J62" s="269"/>
      <c r="K62" s="269"/>
      <c r="L62" s="269"/>
      <c r="M62" s="269"/>
      <c r="N62" s="269"/>
      <c r="O62" s="269"/>
      <c r="P62" s="269"/>
      <c r="Q62" s="269"/>
      <c r="R62" s="269"/>
      <c r="S62" s="269"/>
      <c r="T62" s="269"/>
      <c r="U62" s="217"/>
      <c r="V62" s="217"/>
      <c r="W62" s="217"/>
      <c r="X62" s="217"/>
      <c r="Y62" s="217"/>
      <c r="Z62" s="217"/>
    </row>
    <row r="63" ht="18.75" customHeight="1">
      <c r="A63" s="245">
        <v>8.0</v>
      </c>
      <c r="B63" s="265" t="s">
        <v>6912</v>
      </c>
      <c r="C63" s="250">
        <v>2.42510064E8</v>
      </c>
      <c r="D63" s="266" t="s">
        <v>3218</v>
      </c>
      <c r="E63" s="267" t="s">
        <v>227</v>
      </c>
      <c r="F63" s="268"/>
      <c r="G63" s="269"/>
      <c r="H63" s="269"/>
      <c r="I63" s="269"/>
      <c r="J63" s="269"/>
      <c r="K63" s="269"/>
      <c r="L63" s="269"/>
      <c r="M63" s="269"/>
      <c r="N63" s="269"/>
      <c r="O63" s="269"/>
      <c r="P63" s="269"/>
      <c r="Q63" s="269"/>
      <c r="R63" s="269"/>
      <c r="S63" s="269"/>
      <c r="T63" s="269"/>
      <c r="U63" s="217"/>
      <c r="V63" s="217"/>
      <c r="W63" s="217"/>
      <c r="X63" s="217"/>
      <c r="Y63" s="217"/>
      <c r="Z63" s="217"/>
    </row>
    <row r="64" ht="18.75" customHeight="1">
      <c r="A64" s="245">
        <v>9.0</v>
      </c>
      <c r="B64" s="265" t="s">
        <v>6914</v>
      </c>
      <c r="C64" s="245">
        <v>2.42510104E8</v>
      </c>
      <c r="D64" s="266" t="s">
        <v>3223</v>
      </c>
      <c r="E64" s="267" t="s">
        <v>220</v>
      </c>
      <c r="F64" s="268"/>
      <c r="G64" s="269"/>
      <c r="H64" s="269"/>
      <c r="I64" s="269"/>
      <c r="J64" s="269"/>
      <c r="K64" s="269"/>
      <c r="L64" s="269"/>
      <c r="M64" s="269"/>
      <c r="N64" s="269"/>
      <c r="O64" s="269"/>
      <c r="P64" s="269"/>
      <c r="Q64" s="269"/>
      <c r="R64" s="269"/>
      <c r="S64" s="269"/>
      <c r="T64" s="269"/>
      <c r="U64" s="217"/>
      <c r="V64" s="217"/>
      <c r="W64" s="217"/>
      <c r="X64" s="217"/>
      <c r="Y64" s="217"/>
      <c r="Z64" s="217"/>
    </row>
    <row r="65" ht="18.75" customHeight="1">
      <c r="A65" s="245">
        <v>10.0</v>
      </c>
      <c r="B65" s="265" t="s">
        <v>6916</v>
      </c>
      <c r="C65" s="250">
        <v>2.42510117E8</v>
      </c>
      <c r="D65" s="266" t="s">
        <v>3229</v>
      </c>
      <c r="E65" s="267" t="s">
        <v>227</v>
      </c>
      <c r="F65" s="268"/>
      <c r="G65" s="269"/>
      <c r="H65" s="269"/>
      <c r="I65" s="269"/>
      <c r="J65" s="269"/>
      <c r="K65" s="269"/>
      <c r="L65" s="269"/>
      <c r="M65" s="269"/>
      <c r="N65" s="269"/>
      <c r="O65" s="269"/>
      <c r="P65" s="269"/>
      <c r="Q65" s="269"/>
      <c r="R65" s="269"/>
      <c r="S65" s="269"/>
      <c r="T65" s="269"/>
      <c r="U65" s="217"/>
      <c r="V65" s="217"/>
      <c r="W65" s="217"/>
      <c r="X65" s="217"/>
      <c r="Y65" s="217"/>
      <c r="Z65" s="217"/>
    </row>
    <row r="66" ht="18.75" customHeight="1">
      <c r="A66" s="245">
        <v>11.0</v>
      </c>
      <c r="B66" s="265" t="s">
        <v>6918</v>
      </c>
      <c r="C66" s="245">
        <v>2.42510129E8</v>
      </c>
      <c r="D66" s="270" t="s">
        <v>3234</v>
      </c>
      <c r="E66" s="271" t="s">
        <v>227</v>
      </c>
      <c r="F66" s="268"/>
      <c r="G66" s="269"/>
      <c r="H66" s="269"/>
      <c r="I66" s="269"/>
      <c r="J66" s="269"/>
      <c r="K66" s="269"/>
      <c r="L66" s="269"/>
      <c r="M66" s="269"/>
      <c r="N66" s="269"/>
      <c r="O66" s="269"/>
      <c r="P66" s="269"/>
      <c r="Q66" s="269"/>
      <c r="R66" s="269"/>
      <c r="S66" s="269"/>
      <c r="T66" s="269"/>
      <c r="U66" s="217"/>
      <c r="V66" s="217"/>
      <c r="W66" s="217"/>
      <c r="X66" s="217"/>
      <c r="Y66" s="217"/>
      <c r="Z66" s="217"/>
    </row>
    <row r="67" ht="18.75" customHeight="1">
      <c r="A67" s="245">
        <v>12.0</v>
      </c>
      <c r="B67" s="265" t="s">
        <v>6920</v>
      </c>
      <c r="C67" s="245">
        <v>2.42510141E8</v>
      </c>
      <c r="D67" s="266" t="s">
        <v>3239</v>
      </c>
      <c r="E67" s="267" t="s">
        <v>227</v>
      </c>
      <c r="F67" s="268"/>
      <c r="G67" s="269"/>
      <c r="H67" s="269"/>
      <c r="I67" s="269"/>
      <c r="J67" s="269"/>
      <c r="K67" s="269"/>
      <c r="L67" s="269"/>
      <c r="M67" s="269"/>
      <c r="N67" s="269"/>
      <c r="O67" s="269"/>
      <c r="P67" s="269"/>
      <c r="Q67" s="269"/>
      <c r="R67" s="269"/>
      <c r="S67" s="269"/>
      <c r="T67" s="269"/>
      <c r="U67" s="217"/>
      <c r="V67" s="217"/>
      <c r="W67" s="217"/>
      <c r="X67" s="217"/>
      <c r="Y67" s="217"/>
      <c r="Z67" s="217"/>
    </row>
    <row r="68" ht="18.75" customHeight="1">
      <c r="A68" s="245">
        <v>13.0</v>
      </c>
      <c r="B68" s="265" t="s">
        <v>6923</v>
      </c>
      <c r="C68" s="272">
        <v>2.42510144E8</v>
      </c>
      <c r="D68" s="266" t="s">
        <v>3244</v>
      </c>
      <c r="E68" s="267" t="s">
        <v>227</v>
      </c>
      <c r="F68" s="268"/>
      <c r="G68" s="269"/>
      <c r="H68" s="269"/>
      <c r="I68" s="269"/>
      <c r="J68" s="269"/>
      <c r="K68" s="269"/>
      <c r="L68" s="269"/>
      <c r="M68" s="269"/>
      <c r="N68" s="269"/>
      <c r="O68" s="269"/>
      <c r="P68" s="269"/>
      <c r="Q68" s="269"/>
      <c r="R68" s="269"/>
      <c r="S68" s="269"/>
      <c r="T68" s="269"/>
      <c r="U68" s="217"/>
      <c r="V68" s="217"/>
      <c r="W68" s="217"/>
      <c r="X68" s="217"/>
      <c r="Y68" s="217"/>
      <c r="Z68" s="217"/>
    </row>
    <row r="69" ht="18.75" customHeight="1">
      <c r="A69" s="245">
        <v>14.0</v>
      </c>
      <c r="B69" s="265" t="s">
        <v>6926</v>
      </c>
      <c r="C69" s="245">
        <v>2.42510153E8</v>
      </c>
      <c r="D69" s="266" t="s">
        <v>3249</v>
      </c>
      <c r="E69" s="267" t="s">
        <v>220</v>
      </c>
      <c r="F69" s="268"/>
      <c r="G69" s="269"/>
      <c r="H69" s="269"/>
      <c r="I69" s="269"/>
      <c r="J69" s="269"/>
      <c r="K69" s="269"/>
      <c r="L69" s="269"/>
      <c r="M69" s="269"/>
      <c r="N69" s="269"/>
      <c r="O69" s="269"/>
      <c r="P69" s="269"/>
      <c r="Q69" s="269"/>
      <c r="R69" s="269"/>
      <c r="S69" s="269"/>
      <c r="T69" s="269"/>
      <c r="U69" s="217"/>
      <c r="V69" s="217"/>
      <c r="W69" s="217"/>
      <c r="X69" s="217"/>
      <c r="Y69" s="217"/>
      <c r="Z69" s="217"/>
    </row>
    <row r="70" ht="18.75" customHeight="1">
      <c r="A70" s="245">
        <v>15.0</v>
      </c>
      <c r="B70" s="265" t="s">
        <v>6928</v>
      </c>
      <c r="C70" s="245">
        <v>2.4251016E8</v>
      </c>
      <c r="D70" s="266" t="s">
        <v>3255</v>
      </c>
      <c r="E70" s="267" t="s">
        <v>220</v>
      </c>
      <c r="F70" s="268"/>
      <c r="G70" s="269"/>
      <c r="H70" s="269"/>
      <c r="I70" s="269"/>
      <c r="J70" s="269"/>
      <c r="K70" s="269"/>
      <c r="L70" s="269"/>
      <c r="M70" s="269"/>
      <c r="N70" s="269"/>
      <c r="O70" s="269"/>
      <c r="P70" s="269"/>
      <c r="Q70" s="269"/>
      <c r="R70" s="269"/>
      <c r="S70" s="269"/>
      <c r="T70" s="269"/>
      <c r="U70" s="217"/>
      <c r="V70" s="217"/>
      <c r="W70" s="217"/>
      <c r="X70" s="217"/>
      <c r="Y70" s="217"/>
      <c r="Z70" s="217"/>
    </row>
    <row r="71" ht="18.75" customHeight="1">
      <c r="A71" s="245">
        <v>16.0</v>
      </c>
      <c r="B71" s="265" t="s">
        <v>6930</v>
      </c>
      <c r="C71" s="245">
        <v>2.42510162E8</v>
      </c>
      <c r="D71" s="266" t="s">
        <v>3260</v>
      </c>
      <c r="E71" s="267" t="s">
        <v>220</v>
      </c>
      <c r="F71" s="268"/>
      <c r="G71" s="269"/>
      <c r="H71" s="269"/>
      <c r="I71" s="269"/>
      <c r="J71" s="269"/>
      <c r="K71" s="269"/>
      <c r="L71" s="269"/>
      <c r="M71" s="269"/>
      <c r="N71" s="269"/>
      <c r="O71" s="269"/>
      <c r="P71" s="269"/>
      <c r="Q71" s="269"/>
      <c r="R71" s="269"/>
      <c r="S71" s="269"/>
      <c r="T71" s="269"/>
      <c r="U71" s="217"/>
      <c r="V71" s="217"/>
      <c r="W71" s="217"/>
      <c r="X71" s="217"/>
      <c r="Y71" s="217"/>
      <c r="Z71" s="217"/>
    </row>
    <row r="72" ht="18.75" customHeight="1">
      <c r="A72" s="245">
        <v>17.0</v>
      </c>
      <c r="B72" s="265" t="s">
        <v>6932</v>
      </c>
      <c r="C72" s="245">
        <v>2.42510227E8</v>
      </c>
      <c r="D72" s="266" t="s">
        <v>3265</v>
      </c>
      <c r="E72" s="267" t="s">
        <v>227</v>
      </c>
      <c r="F72" s="268"/>
      <c r="G72" s="245"/>
      <c r="H72" s="273"/>
      <c r="I72" s="274"/>
      <c r="J72" s="275"/>
      <c r="K72" s="269"/>
      <c r="L72" s="269"/>
      <c r="M72" s="269"/>
      <c r="N72" s="269"/>
      <c r="O72" s="269"/>
      <c r="P72" s="269"/>
      <c r="Q72" s="269"/>
      <c r="R72" s="269"/>
      <c r="S72" s="269"/>
      <c r="T72" s="269"/>
      <c r="U72" s="217"/>
      <c r="V72" s="217"/>
      <c r="W72" s="217"/>
      <c r="X72" s="217"/>
      <c r="Y72" s="217"/>
      <c r="Z72" s="217"/>
    </row>
    <row r="73" ht="18.75" customHeight="1">
      <c r="A73" s="245">
        <v>18.0</v>
      </c>
      <c r="B73" s="265" t="s">
        <v>6934</v>
      </c>
      <c r="C73" s="245">
        <v>2.42510238E8</v>
      </c>
      <c r="D73" s="266" t="s">
        <v>3270</v>
      </c>
      <c r="E73" s="267" t="s">
        <v>220</v>
      </c>
      <c r="F73" s="268"/>
      <c r="G73" s="269"/>
      <c r="H73" s="269"/>
      <c r="I73" s="269"/>
      <c r="J73" s="269"/>
      <c r="K73" s="269"/>
      <c r="L73" s="269"/>
      <c r="M73" s="269"/>
      <c r="N73" s="269"/>
      <c r="O73" s="269"/>
      <c r="P73" s="269"/>
      <c r="Q73" s="269"/>
      <c r="R73" s="269"/>
      <c r="S73" s="269"/>
      <c r="T73" s="269"/>
      <c r="U73" s="217"/>
      <c r="V73" s="217"/>
      <c r="W73" s="217"/>
      <c r="X73" s="217"/>
      <c r="Y73" s="217"/>
      <c r="Z73" s="217"/>
    </row>
    <row r="74" ht="18.75" customHeight="1">
      <c r="A74" s="245">
        <v>19.0</v>
      </c>
      <c r="B74" s="265" t="s">
        <v>6936</v>
      </c>
      <c r="C74" s="245">
        <v>2.42510261E8</v>
      </c>
      <c r="D74" s="266" t="s">
        <v>3275</v>
      </c>
      <c r="E74" s="267" t="s">
        <v>220</v>
      </c>
      <c r="F74" s="268"/>
      <c r="G74" s="269"/>
      <c r="H74" s="269"/>
      <c r="I74" s="269"/>
      <c r="J74" s="269"/>
      <c r="K74" s="269"/>
      <c r="L74" s="269"/>
      <c r="M74" s="269"/>
      <c r="N74" s="269"/>
      <c r="O74" s="269"/>
      <c r="P74" s="269"/>
      <c r="Q74" s="269"/>
      <c r="R74" s="269"/>
      <c r="S74" s="269"/>
      <c r="T74" s="269"/>
      <c r="U74" s="217"/>
      <c r="V74" s="217"/>
      <c r="W74" s="217"/>
      <c r="X74" s="217"/>
      <c r="Y74" s="217"/>
      <c r="Z74" s="217"/>
    </row>
    <row r="75" ht="18.75" customHeight="1">
      <c r="A75" s="245">
        <v>20.0</v>
      </c>
      <c r="B75" s="265" t="s">
        <v>6938</v>
      </c>
      <c r="C75" s="245">
        <v>2.42510274E8</v>
      </c>
      <c r="D75" s="266" t="s">
        <v>3280</v>
      </c>
      <c r="E75" s="267" t="s">
        <v>220</v>
      </c>
      <c r="F75" s="268"/>
      <c r="G75" s="269"/>
      <c r="H75" s="269"/>
      <c r="I75" s="269"/>
      <c r="J75" s="269"/>
      <c r="K75" s="269"/>
      <c r="L75" s="269"/>
      <c r="M75" s="269"/>
      <c r="N75" s="269"/>
      <c r="O75" s="269"/>
      <c r="P75" s="269"/>
      <c r="Q75" s="269"/>
      <c r="R75" s="269"/>
      <c r="S75" s="269"/>
      <c r="T75" s="269"/>
      <c r="U75" s="217"/>
      <c r="V75" s="217"/>
      <c r="W75" s="217"/>
      <c r="X75" s="217"/>
      <c r="Y75" s="217"/>
      <c r="Z75" s="217"/>
    </row>
    <row r="76" ht="18.75" customHeight="1">
      <c r="A76" s="245">
        <v>21.0</v>
      </c>
      <c r="B76" s="265" t="s">
        <v>6940</v>
      </c>
      <c r="C76" s="245">
        <v>2.42510283E8</v>
      </c>
      <c r="D76" s="266" t="s">
        <v>3286</v>
      </c>
      <c r="E76" s="267" t="s">
        <v>227</v>
      </c>
      <c r="F76" s="268"/>
      <c r="G76" s="269"/>
      <c r="H76" s="269"/>
      <c r="I76" s="269"/>
      <c r="J76" s="269"/>
      <c r="K76" s="269"/>
      <c r="L76" s="269"/>
      <c r="M76" s="269"/>
      <c r="N76" s="269"/>
      <c r="O76" s="269"/>
      <c r="P76" s="269"/>
      <c r="Q76" s="269"/>
      <c r="R76" s="269"/>
      <c r="S76" s="269"/>
      <c r="T76" s="269"/>
      <c r="U76" s="217"/>
      <c r="V76" s="217"/>
      <c r="W76" s="217"/>
      <c r="X76" s="217"/>
      <c r="Y76" s="217"/>
      <c r="Z76" s="217"/>
    </row>
    <row r="77" ht="22.5" customHeight="1">
      <c r="A77" s="245">
        <v>22.0</v>
      </c>
      <c r="B77" s="265" t="s">
        <v>6942</v>
      </c>
      <c r="C77" s="245">
        <v>2.42510304E8</v>
      </c>
      <c r="D77" s="266" t="s">
        <v>3291</v>
      </c>
      <c r="E77" s="267" t="s">
        <v>227</v>
      </c>
      <c r="F77" s="268"/>
      <c r="G77" s="269"/>
      <c r="H77" s="269"/>
      <c r="I77" s="269"/>
      <c r="J77" s="269"/>
      <c r="K77" s="269"/>
      <c r="L77" s="269"/>
      <c r="M77" s="269"/>
      <c r="N77" s="269"/>
      <c r="O77" s="269"/>
      <c r="P77" s="269"/>
      <c r="Q77" s="269"/>
      <c r="R77" s="269"/>
      <c r="S77" s="269"/>
      <c r="T77" s="269"/>
      <c r="U77" s="217"/>
      <c r="V77" s="217"/>
      <c r="W77" s="217"/>
      <c r="X77" s="217"/>
      <c r="Y77" s="217"/>
      <c r="Z77" s="217"/>
    </row>
    <row r="78" ht="18.75" customHeight="1">
      <c r="A78" s="245">
        <v>23.0</v>
      </c>
      <c r="B78" s="265" t="s">
        <v>6944</v>
      </c>
      <c r="C78" s="245">
        <v>2.42510306E8</v>
      </c>
      <c r="D78" s="270" t="s">
        <v>3296</v>
      </c>
      <c r="E78" s="271" t="s">
        <v>227</v>
      </c>
      <c r="F78" s="268"/>
      <c r="G78" s="269"/>
      <c r="H78" s="269"/>
      <c r="I78" s="269"/>
      <c r="J78" s="269"/>
      <c r="K78" s="269"/>
      <c r="L78" s="269"/>
      <c r="M78" s="269"/>
      <c r="N78" s="269"/>
      <c r="O78" s="269"/>
      <c r="P78" s="269"/>
      <c r="Q78" s="269"/>
      <c r="R78" s="269"/>
      <c r="S78" s="269"/>
      <c r="T78" s="269"/>
      <c r="U78" s="217"/>
      <c r="V78" s="217"/>
      <c r="W78" s="217"/>
      <c r="X78" s="217"/>
      <c r="Y78" s="217"/>
      <c r="Z78" s="217"/>
    </row>
    <row r="79" ht="18.75" customHeight="1">
      <c r="A79" s="245">
        <v>24.0</v>
      </c>
      <c r="B79" s="265" t="s">
        <v>6946</v>
      </c>
      <c r="C79" s="245">
        <v>2.42510308E8</v>
      </c>
      <c r="D79" s="266" t="s">
        <v>3301</v>
      </c>
      <c r="E79" s="267" t="s">
        <v>227</v>
      </c>
      <c r="F79" s="268"/>
      <c r="G79" s="269"/>
      <c r="H79" s="269"/>
      <c r="I79" s="269"/>
      <c r="J79" s="269"/>
      <c r="K79" s="269"/>
      <c r="L79" s="269"/>
      <c r="M79" s="269"/>
      <c r="N79" s="269"/>
      <c r="O79" s="269"/>
      <c r="P79" s="269"/>
      <c r="Q79" s="269"/>
      <c r="R79" s="269"/>
      <c r="S79" s="269"/>
      <c r="T79" s="269"/>
      <c r="U79" s="217"/>
      <c r="V79" s="217"/>
      <c r="W79" s="217"/>
      <c r="X79" s="217"/>
      <c r="Y79" s="217"/>
      <c r="Z79" s="217"/>
    </row>
    <row r="80" ht="18.75" customHeight="1">
      <c r="A80" s="245">
        <v>25.0</v>
      </c>
      <c r="B80" s="265" t="s">
        <v>6948</v>
      </c>
      <c r="C80" s="245">
        <v>2.4251031E8</v>
      </c>
      <c r="D80" s="266" t="s">
        <v>3306</v>
      </c>
      <c r="E80" s="267" t="s">
        <v>227</v>
      </c>
      <c r="F80" s="268"/>
      <c r="G80" s="269"/>
      <c r="H80" s="269"/>
      <c r="I80" s="269"/>
      <c r="J80" s="269"/>
      <c r="K80" s="269"/>
      <c r="L80" s="269"/>
      <c r="M80" s="269"/>
      <c r="N80" s="269"/>
      <c r="O80" s="269"/>
      <c r="P80" s="269"/>
      <c r="Q80" s="269"/>
      <c r="R80" s="269"/>
      <c r="S80" s="269"/>
      <c r="T80" s="269"/>
      <c r="U80" s="217"/>
      <c r="V80" s="217"/>
      <c r="W80" s="217"/>
      <c r="X80" s="217"/>
      <c r="Y80" s="217"/>
      <c r="Z80" s="217"/>
    </row>
    <row r="81" ht="18.75" customHeight="1">
      <c r="A81" s="245">
        <v>26.0</v>
      </c>
      <c r="B81" s="265" t="s">
        <v>6950</v>
      </c>
      <c r="C81" s="245">
        <v>2.42510329E8</v>
      </c>
      <c r="D81" s="266" t="s">
        <v>3311</v>
      </c>
      <c r="E81" s="267" t="s">
        <v>220</v>
      </c>
      <c r="F81" s="268"/>
      <c r="G81" s="269"/>
      <c r="H81" s="269"/>
      <c r="I81" s="269"/>
      <c r="J81" s="269"/>
      <c r="K81" s="269"/>
      <c r="L81" s="269"/>
      <c r="M81" s="269"/>
      <c r="N81" s="269"/>
      <c r="O81" s="269"/>
      <c r="P81" s="269"/>
      <c r="Q81" s="269"/>
      <c r="R81" s="269"/>
      <c r="S81" s="269"/>
      <c r="T81" s="269"/>
      <c r="U81" s="217"/>
      <c r="V81" s="217"/>
      <c r="W81" s="217"/>
      <c r="X81" s="217"/>
      <c r="Y81" s="217"/>
      <c r="Z81" s="217"/>
    </row>
    <row r="82" ht="18.75" customHeight="1">
      <c r="A82" s="245">
        <v>27.0</v>
      </c>
      <c r="B82" s="265" t="s">
        <v>6953</v>
      </c>
      <c r="C82" s="245">
        <v>2.42510338E8</v>
      </c>
      <c r="D82" s="270" t="s">
        <v>3316</v>
      </c>
      <c r="E82" s="271" t="s">
        <v>227</v>
      </c>
      <c r="F82" s="268"/>
      <c r="G82" s="269"/>
      <c r="H82" s="269"/>
      <c r="I82" s="269"/>
      <c r="J82" s="269"/>
      <c r="K82" s="269"/>
      <c r="L82" s="269"/>
      <c r="M82" s="269"/>
      <c r="N82" s="269"/>
      <c r="O82" s="269"/>
      <c r="P82" s="269"/>
      <c r="Q82" s="269"/>
      <c r="R82" s="269"/>
      <c r="S82" s="269"/>
      <c r="T82" s="269"/>
      <c r="U82" s="217"/>
      <c r="V82" s="217"/>
      <c r="W82" s="217"/>
      <c r="X82" s="217"/>
      <c r="Y82" s="217"/>
      <c r="Z82" s="217"/>
    </row>
    <row r="83" ht="18.75" customHeight="1">
      <c r="A83" s="245">
        <v>28.0</v>
      </c>
      <c r="B83" s="265" t="s">
        <v>6955</v>
      </c>
      <c r="C83" s="245">
        <v>2.42510354E8</v>
      </c>
      <c r="D83" s="266" t="s">
        <v>3321</v>
      </c>
      <c r="E83" s="267" t="s">
        <v>220</v>
      </c>
      <c r="F83" s="268"/>
      <c r="G83" s="269"/>
      <c r="H83" s="269"/>
      <c r="I83" s="269"/>
      <c r="J83" s="269"/>
      <c r="K83" s="269"/>
      <c r="L83" s="269"/>
      <c r="M83" s="269"/>
      <c r="N83" s="269"/>
      <c r="O83" s="269"/>
      <c r="P83" s="269"/>
      <c r="Q83" s="269"/>
      <c r="R83" s="269"/>
      <c r="S83" s="269"/>
      <c r="T83" s="269"/>
      <c r="V83" s="217"/>
      <c r="W83" s="217"/>
      <c r="X83" s="217"/>
      <c r="Y83" s="217"/>
      <c r="Z83" s="217"/>
    </row>
    <row r="84" ht="18.75" customHeight="1">
      <c r="A84" s="245">
        <v>29.0</v>
      </c>
      <c r="B84" s="265" t="s">
        <v>6957</v>
      </c>
      <c r="C84" s="245">
        <v>2.42510355E8</v>
      </c>
      <c r="D84" s="266" t="s">
        <v>3326</v>
      </c>
      <c r="E84" s="267" t="s">
        <v>227</v>
      </c>
      <c r="F84" s="268"/>
      <c r="G84" s="269"/>
      <c r="H84" s="269"/>
      <c r="I84" s="269"/>
      <c r="J84" s="269"/>
      <c r="K84" s="269"/>
      <c r="L84" s="269"/>
      <c r="M84" s="269"/>
      <c r="N84" s="269"/>
      <c r="O84" s="269"/>
      <c r="P84" s="269"/>
      <c r="Q84" s="269"/>
      <c r="R84" s="269"/>
      <c r="S84" s="269"/>
      <c r="T84" s="269"/>
      <c r="U84" s="217"/>
      <c r="V84" s="217"/>
      <c r="W84" s="217"/>
      <c r="X84" s="217"/>
      <c r="Y84" s="217"/>
      <c r="Z84" s="217"/>
    </row>
    <row r="85" ht="18.75" customHeight="1">
      <c r="A85" s="245">
        <v>30.0</v>
      </c>
      <c r="B85" s="265" t="s">
        <v>6959</v>
      </c>
      <c r="C85" s="245">
        <v>2.42510366E8</v>
      </c>
      <c r="D85" s="266" t="s">
        <v>3332</v>
      </c>
      <c r="E85" s="267" t="s">
        <v>227</v>
      </c>
      <c r="F85" s="268"/>
      <c r="G85" s="269"/>
      <c r="H85" s="269"/>
      <c r="I85" s="269"/>
      <c r="J85" s="269"/>
      <c r="K85" s="269"/>
      <c r="L85" s="269"/>
      <c r="M85" s="269"/>
      <c r="N85" s="269"/>
      <c r="O85" s="269"/>
      <c r="P85" s="269"/>
      <c r="Q85" s="269"/>
      <c r="R85" s="269"/>
      <c r="S85" s="269"/>
      <c r="T85" s="269"/>
      <c r="U85" s="217"/>
      <c r="V85" s="217"/>
      <c r="W85" s="217"/>
      <c r="X85" s="217"/>
      <c r="Y85" s="217"/>
      <c r="Z85" s="217"/>
    </row>
    <row r="86" ht="18.75" customHeight="1">
      <c r="A86" s="245">
        <v>31.0</v>
      </c>
      <c r="B86" s="265" t="s">
        <v>6961</v>
      </c>
      <c r="C86" s="245">
        <v>2.42510374E8</v>
      </c>
      <c r="D86" s="276" t="s">
        <v>3337</v>
      </c>
      <c r="E86" s="277" t="s">
        <v>227</v>
      </c>
      <c r="F86" s="268"/>
      <c r="G86" s="269"/>
      <c r="H86" s="269"/>
      <c r="I86" s="269"/>
      <c r="J86" s="269"/>
      <c r="K86" s="269"/>
      <c r="L86" s="269"/>
      <c r="M86" s="269"/>
      <c r="N86" s="269"/>
      <c r="O86" s="269"/>
      <c r="P86" s="269"/>
      <c r="Q86" s="269"/>
      <c r="R86" s="269"/>
      <c r="S86" s="269"/>
      <c r="T86" s="269"/>
      <c r="U86" s="217"/>
      <c r="V86" s="217"/>
      <c r="W86" s="217"/>
      <c r="X86" s="217"/>
      <c r="Y86" s="217"/>
      <c r="Z86" s="217"/>
    </row>
    <row r="87" ht="18.75" customHeight="1">
      <c r="A87" s="245">
        <v>32.0</v>
      </c>
      <c r="B87" s="265" t="s">
        <v>6963</v>
      </c>
      <c r="C87" s="245">
        <v>2.42510377E8</v>
      </c>
      <c r="D87" s="266" t="s">
        <v>3342</v>
      </c>
      <c r="E87" s="267" t="s">
        <v>227</v>
      </c>
      <c r="F87" s="268"/>
      <c r="G87" s="269"/>
      <c r="H87" s="269"/>
      <c r="I87" s="269"/>
      <c r="J87" s="269"/>
      <c r="K87" s="269"/>
      <c r="L87" s="269"/>
      <c r="M87" s="269"/>
      <c r="N87" s="269"/>
      <c r="O87" s="269"/>
      <c r="P87" s="269"/>
      <c r="Q87" s="269"/>
      <c r="R87" s="269"/>
      <c r="S87" s="269"/>
      <c r="T87" s="269"/>
      <c r="U87" s="217"/>
      <c r="V87" s="217"/>
      <c r="W87" s="217"/>
      <c r="X87" s="217"/>
      <c r="Y87" s="217"/>
      <c r="Z87" s="217"/>
    </row>
    <row r="88" ht="18.75" customHeight="1">
      <c r="A88" s="245">
        <v>33.0</v>
      </c>
      <c r="B88" s="265" t="s">
        <v>6965</v>
      </c>
      <c r="C88" s="245">
        <v>2.42510387E8</v>
      </c>
      <c r="D88" s="266" t="s">
        <v>3347</v>
      </c>
      <c r="E88" s="267" t="s">
        <v>227</v>
      </c>
      <c r="F88" s="268"/>
      <c r="G88" s="269"/>
      <c r="H88" s="269"/>
      <c r="I88" s="269"/>
      <c r="J88" s="269"/>
      <c r="K88" s="269"/>
      <c r="L88" s="269"/>
      <c r="M88" s="269"/>
      <c r="N88" s="269"/>
      <c r="O88" s="269"/>
      <c r="P88" s="269"/>
      <c r="Q88" s="269"/>
      <c r="R88" s="269"/>
      <c r="S88" s="269"/>
      <c r="T88" s="269"/>
      <c r="U88" s="217"/>
      <c r="V88" s="217"/>
      <c r="W88" s="217"/>
      <c r="X88" s="217"/>
      <c r="Y88" s="217"/>
      <c r="Z88" s="217"/>
    </row>
    <row r="89" ht="18.75" customHeight="1">
      <c r="A89" s="245">
        <v>34.0</v>
      </c>
      <c r="B89" s="265" t="s">
        <v>6967</v>
      </c>
      <c r="C89" s="245">
        <v>2.4251039E8</v>
      </c>
      <c r="D89" s="266" t="s">
        <v>3352</v>
      </c>
      <c r="E89" s="267" t="s">
        <v>227</v>
      </c>
      <c r="F89" s="268"/>
      <c r="G89" s="269"/>
      <c r="H89" s="269"/>
      <c r="I89" s="269"/>
      <c r="J89" s="269"/>
      <c r="K89" s="269"/>
      <c r="L89" s="269"/>
      <c r="M89" s="269"/>
      <c r="N89" s="269"/>
      <c r="O89" s="269"/>
      <c r="P89" s="269"/>
      <c r="Q89" s="269"/>
      <c r="R89" s="269"/>
      <c r="S89" s="269"/>
      <c r="T89" s="269"/>
      <c r="U89" s="217"/>
      <c r="V89" s="217"/>
      <c r="W89" s="217"/>
      <c r="X89" s="217"/>
      <c r="Y89" s="217"/>
      <c r="Z89" s="217"/>
    </row>
    <row r="90" ht="18.75" customHeight="1">
      <c r="A90" s="245">
        <v>35.0</v>
      </c>
      <c r="B90" s="265" t="s">
        <v>6969</v>
      </c>
      <c r="C90" s="245">
        <v>2.42510404E8</v>
      </c>
      <c r="D90" s="266" t="s">
        <v>3357</v>
      </c>
      <c r="E90" s="267" t="s">
        <v>220</v>
      </c>
      <c r="F90" s="268"/>
      <c r="G90" s="269"/>
      <c r="H90" s="269"/>
      <c r="I90" s="269"/>
      <c r="J90" s="269"/>
      <c r="K90" s="269"/>
      <c r="L90" s="269"/>
      <c r="M90" s="269"/>
      <c r="N90" s="269"/>
      <c r="O90" s="269"/>
      <c r="P90" s="269"/>
      <c r="Q90" s="269"/>
      <c r="R90" s="269"/>
      <c r="S90" s="269"/>
      <c r="T90" s="269"/>
      <c r="U90" s="217"/>
      <c r="V90" s="217"/>
      <c r="W90" s="217"/>
      <c r="X90" s="217"/>
      <c r="Y90" s="217"/>
      <c r="Z90" s="217"/>
    </row>
    <row r="91" ht="14.25" customHeight="1">
      <c r="A91" s="245">
        <v>36.0</v>
      </c>
      <c r="B91" s="265" t="s">
        <v>6971</v>
      </c>
      <c r="C91" s="245">
        <v>2.42510412E8</v>
      </c>
      <c r="D91" s="266" t="s">
        <v>3363</v>
      </c>
      <c r="E91" s="267" t="s">
        <v>227</v>
      </c>
      <c r="F91" s="268"/>
      <c r="G91" s="269"/>
      <c r="H91" s="269"/>
      <c r="I91" s="269"/>
      <c r="J91" s="269"/>
      <c r="K91" s="269"/>
      <c r="L91" s="269"/>
      <c r="M91" s="269"/>
      <c r="N91" s="269"/>
      <c r="O91" s="269"/>
      <c r="P91" s="269"/>
      <c r="Q91" s="269"/>
      <c r="R91" s="269"/>
      <c r="S91" s="269"/>
      <c r="T91" s="269"/>
      <c r="U91" s="217"/>
      <c r="V91" s="217"/>
      <c r="W91" s="217"/>
      <c r="X91" s="217"/>
      <c r="Y91" s="217"/>
      <c r="Z91" s="217"/>
    </row>
    <row r="92" ht="16.5" hidden="1" customHeight="1">
      <c r="A92" s="252"/>
      <c r="B92" s="368" t="s">
        <v>8789</v>
      </c>
      <c r="C92" s="252"/>
      <c r="D92" s="253">
        <f>COUNTIF(E56:E91,"L")</f>
        <v>11</v>
      </c>
      <c r="E92" s="278"/>
      <c r="F92" s="254"/>
      <c r="G92" s="254"/>
      <c r="H92" s="254"/>
      <c r="I92" s="254"/>
      <c r="J92" s="254"/>
      <c r="K92" s="254"/>
      <c r="L92" s="254"/>
      <c r="M92" s="254"/>
      <c r="N92" s="254"/>
      <c r="O92" s="254"/>
      <c r="P92" s="254"/>
      <c r="Q92" s="254"/>
      <c r="R92" s="254"/>
      <c r="S92" s="254"/>
      <c r="T92" s="254"/>
      <c r="U92" s="217"/>
      <c r="V92" s="217"/>
      <c r="W92" s="217"/>
      <c r="X92" s="217"/>
      <c r="Y92" s="217"/>
      <c r="Z92" s="217"/>
    </row>
    <row r="93" ht="16.5" hidden="1" customHeight="1">
      <c r="A93" s="252"/>
      <c r="B93" s="368" t="s">
        <v>8790</v>
      </c>
      <c r="C93" s="252"/>
      <c r="D93" s="253">
        <f>COUNTIF(E56:E91,"P")</f>
        <v>25</v>
      </c>
      <c r="E93" s="253"/>
      <c r="F93" s="254"/>
      <c r="G93" s="254"/>
      <c r="H93" s="254"/>
      <c r="I93" s="254"/>
      <c r="J93" s="254"/>
      <c r="K93" s="255" t="s">
        <v>9753</v>
      </c>
      <c r="L93" s="256"/>
      <c r="M93" s="256"/>
      <c r="N93" s="256"/>
      <c r="O93" s="256"/>
      <c r="P93" s="256"/>
      <c r="Q93" s="256"/>
      <c r="R93" s="256"/>
      <c r="S93" s="256"/>
      <c r="T93" s="257"/>
      <c r="U93" s="217"/>
      <c r="V93" s="217"/>
      <c r="W93" s="217"/>
      <c r="X93" s="217"/>
      <c r="Y93" s="217"/>
      <c r="Z93" s="217"/>
    </row>
    <row r="94" ht="16.5" hidden="1" customHeight="1">
      <c r="A94" s="252"/>
      <c r="B94" s="368" t="s">
        <v>8792</v>
      </c>
      <c r="C94" s="252"/>
      <c r="D94" s="253">
        <f>D92+D93</f>
        <v>36</v>
      </c>
      <c r="E94" s="253"/>
      <c r="F94" s="254"/>
      <c r="G94" s="254"/>
      <c r="H94" s="254"/>
      <c r="I94" s="254"/>
      <c r="J94" s="254"/>
      <c r="K94" s="258" t="s">
        <v>8793</v>
      </c>
      <c r="L94" s="259"/>
      <c r="M94" s="259"/>
      <c r="N94" s="259"/>
      <c r="O94" s="259"/>
      <c r="P94" s="259"/>
      <c r="Q94" s="259"/>
      <c r="R94" s="259"/>
      <c r="S94" s="259"/>
      <c r="T94" s="260"/>
      <c r="U94" s="217"/>
      <c r="V94" s="217"/>
      <c r="W94" s="217"/>
      <c r="X94" s="217"/>
      <c r="Y94" s="217"/>
      <c r="Z94" s="217"/>
    </row>
    <row r="95" ht="81.0" hidden="1" customHeight="1">
      <c r="A95" s="261" t="s">
        <v>8743</v>
      </c>
      <c r="B95" s="261"/>
      <c r="C95" s="261"/>
      <c r="D95" s="261"/>
      <c r="E95" s="261"/>
      <c r="F95" s="261"/>
      <c r="G95" s="261"/>
      <c r="H95" s="261"/>
      <c r="I95" s="261"/>
      <c r="J95" s="261"/>
      <c r="K95" s="261"/>
      <c r="L95" s="261"/>
      <c r="M95" s="261"/>
      <c r="N95" s="261"/>
      <c r="O95" s="261"/>
      <c r="P95" s="261"/>
      <c r="Q95" s="261"/>
      <c r="R95" s="261"/>
      <c r="S95" s="261"/>
      <c r="T95" s="261"/>
      <c r="U95" s="217"/>
      <c r="V95" s="217"/>
      <c r="W95" s="217"/>
      <c r="X95" s="217"/>
      <c r="Y95" s="217"/>
      <c r="Z95" s="217"/>
    </row>
    <row r="96" ht="16.5" hidden="1" customHeight="1">
      <c r="A96" s="262" t="s">
        <v>9365</v>
      </c>
      <c r="B96" s="263"/>
      <c r="C96" s="263"/>
      <c r="D96" s="263"/>
      <c r="E96" s="263"/>
      <c r="F96" s="263"/>
      <c r="G96" s="263"/>
      <c r="H96" s="263"/>
      <c r="I96" s="263"/>
      <c r="J96" s="263"/>
      <c r="K96" s="263"/>
      <c r="L96" s="263"/>
      <c r="M96" s="263"/>
      <c r="N96" s="263"/>
      <c r="O96" s="263"/>
      <c r="P96" s="263"/>
      <c r="Q96" s="263"/>
      <c r="R96" s="263"/>
      <c r="S96" s="263"/>
      <c r="T96" s="264"/>
      <c r="U96" s="217"/>
      <c r="V96" s="217"/>
      <c r="W96" s="217"/>
      <c r="X96" s="217"/>
      <c r="Y96" s="217"/>
      <c r="Z96" s="217"/>
    </row>
    <row r="97" ht="16.5" hidden="1" customHeight="1">
      <c r="A97" s="222" t="s">
        <v>9840</v>
      </c>
      <c r="B97" s="223"/>
      <c r="C97" s="223"/>
      <c r="D97" s="223"/>
      <c r="E97" s="223"/>
      <c r="F97" s="223"/>
      <c r="G97" s="223"/>
      <c r="H97" s="223"/>
      <c r="I97" s="223"/>
      <c r="J97" s="223"/>
      <c r="K97" s="223"/>
      <c r="L97" s="223"/>
      <c r="M97" s="223"/>
      <c r="N97" s="223"/>
      <c r="O97" s="223"/>
      <c r="P97" s="223"/>
      <c r="Q97" s="223"/>
      <c r="R97" s="223"/>
      <c r="S97" s="223"/>
      <c r="T97" s="224"/>
      <c r="U97" s="217"/>
      <c r="V97" s="217"/>
      <c r="W97" s="217"/>
      <c r="X97" s="217"/>
      <c r="Y97" s="217"/>
      <c r="Z97" s="217"/>
    </row>
    <row r="98" ht="16.5" hidden="1" customHeight="1">
      <c r="A98" s="225" t="s">
        <v>9372</v>
      </c>
      <c r="B98" s="226"/>
      <c r="C98" s="226"/>
      <c r="D98" s="226"/>
      <c r="E98" s="226"/>
      <c r="F98" s="226"/>
      <c r="G98" s="226"/>
      <c r="H98" s="226"/>
      <c r="I98" s="226"/>
      <c r="J98" s="226"/>
      <c r="K98" s="226"/>
      <c r="L98" s="226"/>
      <c r="M98" s="226"/>
      <c r="N98" s="226"/>
      <c r="O98" s="226"/>
      <c r="P98" s="226"/>
      <c r="Q98" s="226"/>
      <c r="R98" s="226"/>
      <c r="S98" s="226"/>
      <c r="T98" s="227"/>
      <c r="U98" s="217"/>
      <c r="V98" s="217"/>
      <c r="W98" s="217"/>
      <c r="X98" s="217"/>
      <c r="Y98" s="217"/>
      <c r="Z98" s="217"/>
    </row>
    <row r="99" ht="16.5" hidden="1" customHeight="1">
      <c r="A99" s="228" t="s">
        <v>9841</v>
      </c>
      <c r="B99" s="229"/>
      <c r="C99" s="229"/>
      <c r="D99" s="229"/>
      <c r="E99" s="229"/>
      <c r="F99" s="230"/>
      <c r="G99" s="230"/>
      <c r="H99" s="230"/>
      <c r="I99" s="230"/>
      <c r="J99" s="230"/>
      <c r="K99" s="230"/>
      <c r="L99" s="230"/>
      <c r="M99" s="230"/>
      <c r="N99" s="230"/>
      <c r="O99" s="230"/>
      <c r="P99" s="230"/>
      <c r="Q99" s="230"/>
      <c r="R99" s="230"/>
      <c r="S99" s="230"/>
      <c r="T99" s="230"/>
      <c r="U99" s="217"/>
      <c r="V99" s="217"/>
      <c r="W99" s="217"/>
      <c r="X99" s="217"/>
      <c r="Y99" s="217"/>
      <c r="Z99" s="217"/>
    </row>
    <row r="100" ht="14.25" hidden="1" customHeight="1">
      <c r="A100" s="231" t="s">
        <v>8748</v>
      </c>
      <c r="B100" s="231" t="s">
        <v>9</v>
      </c>
      <c r="C100" s="231" t="s">
        <v>5246</v>
      </c>
      <c r="D100" s="231" t="s">
        <v>8680</v>
      </c>
      <c r="E100" s="232" t="s">
        <v>13</v>
      </c>
      <c r="F100" s="233" t="s">
        <v>9801</v>
      </c>
      <c r="G100" s="234"/>
      <c r="H100" s="234"/>
      <c r="I100" s="234"/>
      <c r="J100" s="234"/>
      <c r="K100" s="234"/>
      <c r="L100" s="234"/>
      <c r="M100" s="234"/>
      <c r="N100" s="234"/>
      <c r="O100" s="234"/>
      <c r="P100" s="234"/>
      <c r="Q100" s="234"/>
      <c r="R100" s="234"/>
      <c r="S100" s="234"/>
      <c r="T100" s="235"/>
      <c r="U100" s="217"/>
      <c r="V100" s="217"/>
      <c r="W100" s="217"/>
      <c r="X100" s="217"/>
      <c r="Y100" s="217"/>
      <c r="Z100" s="217"/>
    </row>
    <row r="101" ht="14.25" hidden="1" customHeight="1">
      <c r="A101" s="236"/>
      <c r="B101" s="236"/>
      <c r="C101" s="236"/>
      <c r="D101" s="236"/>
      <c r="E101" s="237"/>
      <c r="F101" s="238" t="s">
        <v>9802</v>
      </c>
      <c r="G101" s="239"/>
      <c r="H101" s="239"/>
      <c r="I101" s="239"/>
      <c r="J101" s="239"/>
      <c r="K101" s="239"/>
      <c r="L101" s="239"/>
      <c r="M101" s="239"/>
      <c r="N101" s="239"/>
      <c r="O101" s="239"/>
      <c r="P101" s="239"/>
      <c r="Q101" s="240"/>
      <c r="R101" s="233" t="s">
        <v>9713</v>
      </c>
      <c r="S101" s="234"/>
      <c r="T101" s="235"/>
      <c r="U101" s="217"/>
      <c r="V101" s="217"/>
      <c r="W101" s="217"/>
      <c r="X101" s="217"/>
      <c r="Y101" s="217"/>
      <c r="Z101" s="217"/>
    </row>
    <row r="102" ht="14.25" hidden="1" customHeight="1">
      <c r="A102" s="241"/>
      <c r="B102" s="241"/>
      <c r="C102" s="241"/>
      <c r="D102" s="241"/>
      <c r="E102" s="242"/>
      <c r="F102" s="243">
        <v>1.0</v>
      </c>
      <c r="G102" s="243">
        <v>2.0</v>
      </c>
      <c r="H102" s="243">
        <v>3.0</v>
      </c>
      <c r="I102" s="243">
        <v>4.0</v>
      </c>
      <c r="J102" s="243">
        <v>5.0</v>
      </c>
      <c r="K102" s="243">
        <v>6.0</v>
      </c>
      <c r="L102" s="243">
        <v>7.0</v>
      </c>
      <c r="M102" s="243">
        <v>8.0</v>
      </c>
      <c r="N102" s="243">
        <v>9.0</v>
      </c>
      <c r="O102" s="243">
        <v>10.0</v>
      </c>
      <c r="P102" s="243">
        <v>11.0</v>
      </c>
      <c r="Q102" s="243">
        <v>12.0</v>
      </c>
      <c r="R102" s="243" t="s">
        <v>9714</v>
      </c>
      <c r="S102" s="243" t="s">
        <v>9715</v>
      </c>
      <c r="T102" s="244" t="s">
        <v>9716</v>
      </c>
      <c r="U102" s="217"/>
      <c r="V102" s="217"/>
      <c r="W102" s="217"/>
      <c r="X102" s="217"/>
      <c r="Y102" s="217"/>
      <c r="Z102" s="217"/>
    </row>
    <row r="103" ht="17.25" customHeight="1">
      <c r="A103" s="245">
        <v>1.0</v>
      </c>
      <c r="B103" s="279" t="s">
        <v>6973</v>
      </c>
      <c r="C103" s="245">
        <v>2.4251001E8</v>
      </c>
      <c r="D103" s="266" t="s">
        <v>3368</v>
      </c>
      <c r="E103" s="267" t="s">
        <v>220</v>
      </c>
      <c r="F103" s="269"/>
      <c r="G103" s="269"/>
      <c r="H103" s="269"/>
      <c r="I103" s="269"/>
      <c r="J103" s="269"/>
      <c r="K103" s="269"/>
      <c r="L103" s="269"/>
      <c r="M103" s="269"/>
      <c r="N103" s="269"/>
      <c r="O103" s="269"/>
      <c r="P103" s="269"/>
      <c r="Q103" s="269"/>
      <c r="R103" s="269"/>
      <c r="S103" s="269"/>
      <c r="T103" s="269"/>
      <c r="U103" s="217"/>
      <c r="V103" s="217"/>
      <c r="W103" s="217"/>
      <c r="X103" s="217"/>
      <c r="Y103" s="217"/>
      <c r="Z103" s="217"/>
    </row>
    <row r="104" ht="17.25" customHeight="1">
      <c r="A104" s="245">
        <v>2.0</v>
      </c>
      <c r="B104" s="279" t="s">
        <v>6976</v>
      </c>
      <c r="C104" s="245">
        <v>2.42510027E8</v>
      </c>
      <c r="D104" s="266" t="s">
        <v>3374</v>
      </c>
      <c r="E104" s="267" t="s">
        <v>227</v>
      </c>
      <c r="F104" s="269"/>
      <c r="G104" s="269"/>
      <c r="H104" s="269"/>
      <c r="I104" s="269"/>
      <c r="J104" s="269"/>
      <c r="K104" s="269"/>
      <c r="L104" s="269"/>
      <c r="M104" s="269"/>
      <c r="N104" s="269"/>
      <c r="O104" s="269"/>
      <c r="P104" s="269"/>
      <c r="Q104" s="269"/>
      <c r="R104" s="269"/>
      <c r="S104" s="269"/>
      <c r="T104" s="269"/>
      <c r="U104" s="217"/>
      <c r="V104" s="217"/>
      <c r="W104" s="217"/>
      <c r="X104" s="217"/>
      <c r="Y104" s="217"/>
      <c r="Z104" s="217"/>
    </row>
    <row r="105" ht="17.25" customHeight="1">
      <c r="A105" s="245">
        <v>3.0</v>
      </c>
      <c r="B105" s="279" t="s">
        <v>6978</v>
      </c>
      <c r="C105" s="245">
        <v>2.42510041E8</v>
      </c>
      <c r="D105" s="266" t="s">
        <v>3379</v>
      </c>
      <c r="E105" s="267" t="s">
        <v>220</v>
      </c>
      <c r="F105" s="269"/>
      <c r="G105" s="269"/>
      <c r="H105" s="269"/>
      <c r="I105" s="269"/>
      <c r="J105" s="269"/>
      <c r="K105" s="269"/>
      <c r="L105" s="269"/>
      <c r="M105" s="269"/>
      <c r="N105" s="269"/>
      <c r="O105" s="269"/>
      <c r="P105" s="269"/>
      <c r="Q105" s="269"/>
      <c r="R105" s="269"/>
      <c r="S105" s="269"/>
      <c r="T105" s="269"/>
      <c r="U105" s="217"/>
      <c r="V105" s="217"/>
      <c r="W105" s="217"/>
      <c r="X105" s="217"/>
      <c r="Y105" s="217"/>
      <c r="Z105" s="217"/>
    </row>
    <row r="106" ht="17.25" customHeight="1">
      <c r="A106" s="245">
        <v>4.0</v>
      </c>
      <c r="B106" s="279" t="s">
        <v>6980</v>
      </c>
      <c r="C106" s="250">
        <v>2.4251007E8</v>
      </c>
      <c r="D106" s="266" t="s">
        <v>3384</v>
      </c>
      <c r="E106" s="267" t="s">
        <v>227</v>
      </c>
      <c r="F106" s="269"/>
      <c r="G106" s="269"/>
      <c r="H106" s="269"/>
      <c r="I106" s="269"/>
      <c r="J106" s="269"/>
      <c r="K106" s="269"/>
      <c r="L106" s="269"/>
      <c r="M106" s="269"/>
      <c r="N106" s="269"/>
      <c r="O106" s="269"/>
      <c r="P106" s="269"/>
      <c r="Q106" s="269"/>
      <c r="R106" s="269"/>
      <c r="S106" s="269"/>
      <c r="T106" s="269"/>
      <c r="U106" s="217"/>
      <c r="V106" s="217"/>
      <c r="W106" s="217"/>
      <c r="X106" s="217"/>
      <c r="Y106" s="217"/>
      <c r="Z106" s="217"/>
    </row>
    <row r="107" ht="17.25" customHeight="1">
      <c r="A107" s="245">
        <v>5.0</v>
      </c>
      <c r="B107" s="279" t="s">
        <v>6982</v>
      </c>
      <c r="C107" s="245">
        <v>2.42510113E8</v>
      </c>
      <c r="D107" s="266" t="s">
        <v>3389</v>
      </c>
      <c r="E107" s="267" t="s">
        <v>227</v>
      </c>
      <c r="F107" s="269"/>
      <c r="G107" s="269"/>
      <c r="H107" s="269"/>
      <c r="I107" s="269"/>
      <c r="J107" s="269"/>
      <c r="K107" s="269"/>
      <c r="L107" s="269"/>
      <c r="M107" s="269"/>
      <c r="N107" s="269"/>
      <c r="O107" s="269"/>
      <c r="P107" s="269"/>
      <c r="Q107" s="269"/>
      <c r="R107" s="269"/>
      <c r="S107" s="269"/>
      <c r="T107" s="269"/>
      <c r="U107" s="217"/>
      <c r="V107" s="217"/>
      <c r="W107" s="217"/>
      <c r="X107" s="217"/>
      <c r="Y107" s="217"/>
      <c r="Z107" s="217"/>
    </row>
    <row r="108" ht="17.25" customHeight="1">
      <c r="A108" s="245">
        <v>6.0</v>
      </c>
      <c r="B108" s="279" t="s">
        <v>6984</v>
      </c>
      <c r="C108" s="245">
        <v>2.4251012E8</v>
      </c>
      <c r="D108" s="266" t="s">
        <v>3395</v>
      </c>
      <c r="E108" s="267" t="s">
        <v>227</v>
      </c>
      <c r="F108" s="269"/>
      <c r="G108" s="269"/>
      <c r="H108" s="269"/>
      <c r="I108" s="269"/>
      <c r="J108" s="269"/>
      <c r="K108" s="269"/>
      <c r="L108" s="269"/>
      <c r="M108" s="269"/>
      <c r="N108" s="269"/>
      <c r="O108" s="269"/>
      <c r="P108" s="269"/>
      <c r="Q108" s="269"/>
      <c r="R108" s="269"/>
      <c r="S108" s="269"/>
      <c r="T108" s="269"/>
      <c r="U108" s="217"/>
      <c r="V108" s="217"/>
      <c r="W108" s="217"/>
      <c r="X108" s="217"/>
      <c r="Y108" s="217"/>
      <c r="Z108" s="217"/>
    </row>
    <row r="109" ht="17.25" customHeight="1">
      <c r="A109" s="245">
        <v>7.0</v>
      </c>
      <c r="B109" s="279" t="s">
        <v>6986</v>
      </c>
      <c r="C109" s="250">
        <v>2.42510136E8</v>
      </c>
      <c r="D109" s="280" t="s">
        <v>3400</v>
      </c>
      <c r="E109" s="281" t="s">
        <v>227</v>
      </c>
      <c r="F109" s="269"/>
      <c r="G109" s="269"/>
      <c r="H109" s="269"/>
      <c r="I109" s="269"/>
      <c r="J109" s="269"/>
      <c r="K109" s="269"/>
      <c r="L109" s="269"/>
      <c r="M109" s="269"/>
      <c r="N109" s="269"/>
      <c r="O109" s="269"/>
      <c r="P109" s="269"/>
      <c r="Q109" s="269"/>
      <c r="R109" s="269"/>
      <c r="S109" s="269"/>
      <c r="T109" s="269"/>
      <c r="V109" s="217"/>
      <c r="W109" s="217"/>
      <c r="X109" s="217"/>
      <c r="Y109" s="217"/>
      <c r="Z109" s="217"/>
    </row>
    <row r="110" ht="17.25" customHeight="1">
      <c r="A110" s="245">
        <v>8.0</v>
      </c>
      <c r="B110" s="279" t="s">
        <v>6988</v>
      </c>
      <c r="C110" s="245">
        <v>2.4251018E8</v>
      </c>
      <c r="D110" s="266" t="s">
        <v>3405</v>
      </c>
      <c r="E110" s="267" t="s">
        <v>220</v>
      </c>
      <c r="F110" s="269"/>
      <c r="G110" s="269"/>
      <c r="H110" s="269"/>
      <c r="I110" s="269"/>
      <c r="J110" s="269"/>
      <c r="K110" s="269"/>
      <c r="L110" s="269"/>
      <c r="M110" s="269"/>
      <c r="N110" s="269"/>
      <c r="O110" s="269"/>
      <c r="P110" s="269"/>
      <c r="Q110" s="269"/>
      <c r="R110" s="269"/>
      <c r="S110" s="269"/>
      <c r="T110" s="269"/>
      <c r="U110" s="217"/>
      <c r="V110" s="217"/>
      <c r="W110" s="217"/>
      <c r="X110" s="217"/>
      <c r="Y110" s="217"/>
      <c r="Z110" s="217"/>
    </row>
    <row r="111" ht="17.25" customHeight="1">
      <c r="A111" s="245">
        <v>9.0</v>
      </c>
      <c r="B111" s="279" t="s">
        <v>6990</v>
      </c>
      <c r="C111" s="245">
        <v>2.42510184E8</v>
      </c>
      <c r="D111" s="266" t="s">
        <v>3410</v>
      </c>
      <c r="E111" s="267" t="s">
        <v>227</v>
      </c>
      <c r="F111" s="269"/>
      <c r="G111" s="269"/>
      <c r="H111" s="269"/>
      <c r="I111" s="269"/>
      <c r="J111" s="269"/>
      <c r="K111" s="269"/>
      <c r="L111" s="269"/>
      <c r="M111" s="269"/>
      <c r="N111" s="269"/>
      <c r="O111" s="269"/>
      <c r="P111" s="269"/>
      <c r="Q111" s="269"/>
      <c r="R111" s="269"/>
      <c r="S111" s="269"/>
      <c r="T111" s="269"/>
      <c r="U111" s="217"/>
      <c r="V111" s="217"/>
      <c r="W111" s="217"/>
      <c r="X111" s="217"/>
      <c r="Y111" s="217"/>
      <c r="Z111" s="217"/>
    </row>
    <row r="112" ht="17.25" customHeight="1">
      <c r="A112" s="245">
        <v>10.0</v>
      </c>
      <c r="B112" s="279" t="s">
        <v>6992</v>
      </c>
      <c r="C112" s="245">
        <v>2.42510187E8</v>
      </c>
      <c r="D112" s="266" t="s">
        <v>3415</v>
      </c>
      <c r="E112" s="267" t="s">
        <v>227</v>
      </c>
      <c r="F112" s="269"/>
      <c r="G112" s="269"/>
      <c r="H112" s="269"/>
      <c r="I112" s="269"/>
      <c r="J112" s="269"/>
      <c r="K112" s="269"/>
      <c r="L112" s="269"/>
      <c r="M112" s="269"/>
      <c r="N112" s="269"/>
      <c r="O112" s="269"/>
      <c r="P112" s="269"/>
      <c r="Q112" s="269"/>
      <c r="R112" s="269"/>
      <c r="S112" s="269"/>
      <c r="T112" s="269"/>
      <c r="U112" s="217"/>
      <c r="V112" s="217"/>
      <c r="W112" s="217"/>
      <c r="X112" s="217"/>
      <c r="Y112" s="217"/>
      <c r="Z112" s="217"/>
    </row>
    <row r="113" ht="17.25" customHeight="1">
      <c r="A113" s="245">
        <v>11.0</v>
      </c>
      <c r="B113" s="279" t="s">
        <v>6994</v>
      </c>
      <c r="C113" s="250">
        <v>2.42510193E8</v>
      </c>
      <c r="D113" s="266" t="s">
        <v>3421</v>
      </c>
      <c r="E113" s="267" t="s">
        <v>227</v>
      </c>
      <c r="F113" s="269"/>
      <c r="G113" s="269"/>
      <c r="H113" s="269"/>
      <c r="I113" s="269"/>
      <c r="J113" s="269"/>
      <c r="K113" s="269"/>
      <c r="L113" s="269"/>
      <c r="M113" s="269"/>
      <c r="N113" s="269"/>
      <c r="O113" s="269"/>
      <c r="P113" s="269"/>
      <c r="Q113" s="269"/>
      <c r="R113" s="269"/>
      <c r="S113" s="269"/>
      <c r="T113" s="269"/>
      <c r="U113" s="217"/>
      <c r="V113" s="217"/>
      <c r="W113" s="217"/>
      <c r="X113" s="217"/>
      <c r="Y113" s="217"/>
      <c r="Z113" s="217"/>
    </row>
    <row r="114" ht="17.25" customHeight="1">
      <c r="A114" s="245">
        <v>12.0</v>
      </c>
      <c r="B114" s="279" t="s">
        <v>6996</v>
      </c>
      <c r="C114" s="245">
        <v>2.42510197E8</v>
      </c>
      <c r="D114" s="266" t="s">
        <v>3426</v>
      </c>
      <c r="E114" s="267" t="s">
        <v>227</v>
      </c>
      <c r="F114" s="269"/>
      <c r="G114" s="282"/>
      <c r="H114" s="269"/>
      <c r="I114" s="269"/>
      <c r="J114" s="269"/>
      <c r="K114" s="269"/>
      <c r="L114" s="269"/>
      <c r="M114" s="269"/>
      <c r="N114" s="269"/>
      <c r="O114" s="269"/>
      <c r="P114" s="269"/>
      <c r="Q114" s="269"/>
      <c r="R114" s="269"/>
      <c r="S114" s="269"/>
      <c r="T114" s="269"/>
      <c r="U114" s="217"/>
      <c r="V114" s="217"/>
      <c r="W114" s="217"/>
      <c r="X114" s="217"/>
      <c r="Y114" s="217"/>
      <c r="Z114" s="217"/>
    </row>
    <row r="115" ht="17.25" customHeight="1">
      <c r="A115" s="245">
        <v>13.0</v>
      </c>
      <c r="B115" s="279" t="s">
        <v>6998</v>
      </c>
      <c r="C115" s="245">
        <v>2.42510213E8</v>
      </c>
      <c r="D115" s="266" t="s">
        <v>3431</v>
      </c>
      <c r="E115" s="267" t="s">
        <v>227</v>
      </c>
      <c r="F115" s="283"/>
      <c r="G115" s="282"/>
      <c r="H115" s="269"/>
      <c r="I115" s="269"/>
      <c r="J115" s="269"/>
      <c r="K115" s="269"/>
      <c r="L115" s="269"/>
      <c r="M115" s="269"/>
      <c r="N115" s="269"/>
      <c r="O115" s="269"/>
      <c r="P115" s="269"/>
      <c r="Q115" s="269"/>
      <c r="R115" s="269"/>
      <c r="S115" s="269"/>
      <c r="T115" s="269"/>
      <c r="U115" s="217"/>
      <c r="V115" s="217"/>
      <c r="W115" s="217"/>
      <c r="X115" s="217"/>
      <c r="Y115" s="217"/>
      <c r="Z115" s="217"/>
    </row>
    <row r="116" ht="17.25" customHeight="1">
      <c r="A116" s="245">
        <v>14.0</v>
      </c>
      <c r="B116" s="279" t="s">
        <v>7000</v>
      </c>
      <c r="C116" s="245">
        <v>2.42510216E8</v>
      </c>
      <c r="D116" s="266" t="s">
        <v>3436</v>
      </c>
      <c r="E116" s="267" t="s">
        <v>227</v>
      </c>
      <c r="F116" s="283"/>
      <c r="G116" s="282"/>
      <c r="H116" s="269"/>
      <c r="I116" s="269"/>
      <c r="J116" s="269"/>
      <c r="K116" s="269"/>
      <c r="L116" s="269"/>
      <c r="M116" s="269"/>
      <c r="N116" s="269"/>
      <c r="O116" s="269"/>
      <c r="P116" s="269"/>
      <c r="Q116" s="269"/>
      <c r="R116" s="269"/>
      <c r="S116" s="269"/>
      <c r="T116" s="269"/>
      <c r="U116" s="217"/>
      <c r="V116" s="217"/>
      <c r="W116" s="217"/>
      <c r="X116" s="217"/>
      <c r="Y116" s="217"/>
      <c r="Z116" s="217"/>
    </row>
    <row r="117" ht="17.25" customHeight="1">
      <c r="A117" s="245">
        <v>15.0</v>
      </c>
      <c r="B117" s="279" t="s">
        <v>7002</v>
      </c>
      <c r="C117" s="250">
        <v>2.42510222E8</v>
      </c>
      <c r="D117" s="266" t="s">
        <v>3441</v>
      </c>
      <c r="E117" s="267" t="s">
        <v>227</v>
      </c>
      <c r="F117" s="283"/>
      <c r="G117" s="282"/>
      <c r="H117" s="269"/>
      <c r="I117" s="269"/>
      <c r="J117" s="269"/>
      <c r="K117" s="269"/>
      <c r="L117" s="269"/>
      <c r="M117" s="269"/>
      <c r="N117" s="269"/>
      <c r="O117" s="269"/>
      <c r="P117" s="269"/>
      <c r="Q117" s="269"/>
      <c r="R117" s="269"/>
      <c r="S117" s="269"/>
      <c r="T117" s="269"/>
      <c r="U117" s="217"/>
      <c r="V117" s="217"/>
      <c r="W117" s="217"/>
      <c r="X117" s="217"/>
      <c r="Y117" s="217"/>
      <c r="Z117" s="217"/>
    </row>
    <row r="118" ht="17.25" customHeight="1">
      <c r="A118" s="245">
        <v>16.0</v>
      </c>
      <c r="B118" s="279" t="s">
        <v>7004</v>
      </c>
      <c r="C118" s="245">
        <v>2.4251023E8</v>
      </c>
      <c r="D118" s="266" t="s">
        <v>3447</v>
      </c>
      <c r="E118" s="267" t="s">
        <v>227</v>
      </c>
      <c r="F118" s="283"/>
      <c r="G118" s="282"/>
      <c r="H118" s="269"/>
      <c r="I118" s="269"/>
      <c r="J118" s="269"/>
      <c r="K118" s="269"/>
      <c r="L118" s="269"/>
      <c r="M118" s="269"/>
      <c r="N118" s="269"/>
      <c r="O118" s="269"/>
      <c r="P118" s="269"/>
      <c r="Q118" s="269"/>
      <c r="R118" s="269"/>
      <c r="S118" s="269"/>
      <c r="T118" s="269"/>
      <c r="U118" s="217"/>
      <c r="V118" s="217"/>
      <c r="W118" s="217"/>
      <c r="X118" s="217"/>
      <c r="Y118" s="217"/>
      <c r="Z118" s="217"/>
    </row>
    <row r="119" ht="17.25" customHeight="1">
      <c r="A119" s="245">
        <v>17.0</v>
      </c>
      <c r="B119" s="279" t="s">
        <v>7006</v>
      </c>
      <c r="C119" s="284">
        <v>2.42510231E8</v>
      </c>
      <c r="D119" s="276" t="s">
        <v>3452</v>
      </c>
      <c r="E119" s="277" t="s">
        <v>227</v>
      </c>
      <c r="F119" s="285"/>
      <c r="G119" s="286"/>
      <c r="H119" s="287"/>
      <c r="I119" s="287"/>
      <c r="J119" s="287"/>
      <c r="K119" s="287"/>
      <c r="L119" s="287"/>
      <c r="M119" s="287"/>
      <c r="N119" s="287"/>
      <c r="O119" s="287"/>
      <c r="P119" s="287"/>
      <c r="Q119" s="287"/>
      <c r="R119" s="287"/>
      <c r="S119" s="287"/>
      <c r="T119" s="287"/>
      <c r="U119" s="217"/>
      <c r="V119" s="217"/>
      <c r="W119" s="217"/>
      <c r="X119" s="217"/>
      <c r="Y119" s="217"/>
      <c r="Z119" s="217"/>
    </row>
    <row r="120" ht="17.25" customHeight="1">
      <c r="A120" s="245">
        <v>18.0</v>
      </c>
      <c r="B120" s="279" t="s">
        <v>7008</v>
      </c>
      <c r="C120" s="245">
        <v>2.42510232E8</v>
      </c>
      <c r="D120" s="266" t="s">
        <v>3457</v>
      </c>
      <c r="E120" s="267" t="s">
        <v>227</v>
      </c>
      <c r="F120" s="283"/>
      <c r="G120" s="282"/>
      <c r="H120" s="269"/>
      <c r="I120" s="269"/>
      <c r="J120" s="269"/>
      <c r="K120" s="269"/>
      <c r="L120" s="269"/>
      <c r="M120" s="269"/>
      <c r="N120" s="269"/>
      <c r="O120" s="269"/>
      <c r="P120" s="269"/>
      <c r="Q120" s="269"/>
      <c r="R120" s="269"/>
      <c r="S120" s="269"/>
      <c r="T120" s="269"/>
      <c r="U120" s="217"/>
      <c r="V120" s="217"/>
      <c r="W120" s="217"/>
      <c r="X120" s="217"/>
      <c r="Y120" s="217"/>
      <c r="Z120" s="217"/>
    </row>
    <row r="121" ht="17.25" customHeight="1">
      <c r="A121" s="245">
        <v>19.0</v>
      </c>
      <c r="B121" s="279" t="s">
        <v>7010</v>
      </c>
      <c r="C121" s="250">
        <v>2.42510233E8</v>
      </c>
      <c r="D121" s="266" t="s">
        <v>3462</v>
      </c>
      <c r="E121" s="267" t="s">
        <v>227</v>
      </c>
      <c r="F121" s="269"/>
      <c r="G121" s="269"/>
      <c r="H121" s="269"/>
      <c r="I121" s="269"/>
      <c r="J121" s="269"/>
      <c r="K121" s="269"/>
      <c r="L121" s="269"/>
      <c r="M121" s="269"/>
      <c r="N121" s="269"/>
      <c r="O121" s="269"/>
      <c r="P121" s="269"/>
      <c r="Q121" s="269"/>
      <c r="R121" s="269"/>
      <c r="S121" s="269"/>
      <c r="T121" s="269"/>
      <c r="U121" s="217"/>
      <c r="V121" s="217"/>
      <c r="W121" s="217"/>
      <c r="X121" s="217"/>
      <c r="Y121" s="217"/>
      <c r="Z121" s="217"/>
    </row>
    <row r="122" ht="17.25" customHeight="1">
      <c r="A122" s="245">
        <v>20.0</v>
      </c>
      <c r="B122" s="279" t="s">
        <v>7012</v>
      </c>
      <c r="C122" s="288">
        <v>2.42510244E8</v>
      </c>
      <c r="D122" s="266" t="s">
        <v>3468</v>
      </c>
      <c r="E122" s="267" t="s">
        <v>220</v>
      </c>
      <c r="F122" s="269"/>
      <c r="G122" s="269"/>
      <c r="H122" s="269"/>
      <c r="I122" s="269"/>
      <c r="J122" s="269"/>
      <c r="K122" s="269"/>
      <c r="L122" s="269"/>
      <c r="M122" s="269"/>
      <c r="N122" s="269"/>
      <c r="O122" s="269"/>
      <c r="P122" s="269"/>
      <c r="Q122" s="269"/>
      <c r="R122" s="269"/>
      <c r="S122" s="269"/>
      <c r="T122" s="269"/>
      <c r="U122" s="217"/>
      <c r="V122" s="217"/>
      <c r="W122" s="217"/>
      <c r="X122" s="217"/>
      <c r="Y122" s="217"/>
      <c r="Z122" s="217"/>
    </row>
    <row r="123" ht="17.25" customHeight="1">
      <c r="A123" s="245">
        <v>21.0</v>
      </c>
      <c r="B123" s="279" t="s">
        <v>7014</v>
      </c>
      <c r="C123" s="250">
        <v>2.42510278E8</v>
      </c>
      <c r="D123" s="266" t="s">
        <v>3473</v>
      </c>
      <c r="E123" s="267" t="s">
        <v>220</v>
      </c>
      <c r="F123" s="269"/>
      <c r="G123" s="269"/>
      <c r="H123" s="269"/>
      <c r="I123" s="269"/>
      <c r="J123" s="269"/>
      <c r="K123" s="269"/>
      <c r="L123" s="269"/>
      <c r="M123" s="269"/>
      <c r="N123" s="269"/>
      <c r="O123" s="269"/>
      <c r="P123" s="269"/>
      <c r="Q123" s="269"/>
      <c r="R123" s="269"/>
      <c r="S123" s="269"/>
      <c r="T123" s="269"/>
      <c r="V123" s="217"/>
      <c r="W123" s="217"/>
      <c r="X123" s="217"/>
      <c r="Y123" s="217"/>
      <c r="Z123" s="217"/>
    </row>
    <row r="124" ht="17.25" customHeight="1">
      <c r="A124" s="245">
        <v>22.0</v>
      </c>
      <c r="B124" s="279" t="s">
        <v>7016</v>
      </c>
      <c r="C124" s="245">
        <v>2.42510286E8</v>
      </c>
      <c r="D124" s="266" t="s">
        <v>3478</v>
      </c>
      <c r="E124" s="267" t="s">
        <v>227</v>
      </c>
      <c r="F124" s="269"/>
      <c r="G124" s="269"/>
      <c r="H124" s="269"/>
      <c r="I124" s="269"/>
      <c r="J124" s="269"/>
      <c r="K124" s="269"/>
      <c r="L124" s="269"/>
      <c r="M124" s="269"/>
      <c r="N124" s="269"/>
      <c r="O124" s="269"/>
      <c r="P124" s="269"/>
      <c r="Q124" s="269"/>
      <c r="R124" s="269"/>
      <c r="S124" s="269"/>
      <c r="T124" s="269"/>
      <c r="U124" s="217"/>
      <c r="V124" s="217"/>
      <c r="W124" s="217"/>
      <c r="X124" s="217"/>
      <c r="Y124" s="217"/>
      <c r="Z124" s="217"/>
    </row>
    <row r="125" ht="17.25" customHeight="1">
      <c r="A125" s="245">
        <v>23.0</v>
      </c>
      <c r="B125" s="279" t="s">
        <v>7018</v>
      </c>
      <c r="C125" s="245">
        <v>2.42510297E8</v>
      </c>
      <c r="D125" s="266" t="s">
        <v>3483</v>
      </c>
      <c r="E125" s="267" t="s">
        <v>227</v>
      </c>
      <c r="F125" s="269"/>
      <c r="G125" s="269"/>
      <c r="H125" s="269"/>
      <c r="I125" s="269"/>
      <c r="J125" s="269"/>
      <c r="K125" s="269"/>
      <c r="L125" s="269"/>
      <c r="M125" s="269"/>
      <c r="N125" s="269"/>
      <c r="O125" s="269"/>
      <c r="P125" s="269"/>
      <c r="Q125" s="269"/>
      <c r="R125" s="269"/>
      <c r="S125" s="269"/>
      <c r="T125" s="269"/>
      <c r="U125" s="217"/>
      <c r="V125" s="217"/>
      <c r="W125" s="217"/>
      <c r="X125" s="217"/>
      <c r="Y125" s="217"/>
      <c r="Z125" s="217"/>
    </row>
    <row r="126" ht="17.25" customHeight="1">
      <c r="A126" s="245">
        <v>24.0</v>
      </c>
      <c r="B126" s="279" t="s">
        <v>7020</v>
      </c>
      <c r="C126" s="250">
        <v>2.42510298E8</v>
      </c>
      <c r="D126" s="266" t="s">
        <v>3489</v>
      </c>
      <c r="E126" s="267" t="s">
        <v>227</v>
      </c>
      <c r="F126" s="269"/>
      <c r="G126" s="269"/>
      <c r="H126" s="269"/>
      <c r="I126" s="269"/>
      <c r="J126" s="269"/>
      <c r="K126" s="269"/>
      <c r="L126" s="269"/>
      <c r="M126" s="269"/>
      <c r="N126" s="269"/>
      <c r="O126" s="269"/>
      <c r="P126" s="269"/>
      <c r="Q126" s="269"/>
      <c r="R126" s="269"/>
      <c r="S126" s="269"/>
      <c r="T126" s="269"/>
      <c r="U126" s="217"/>
      <c r="V126" s="217"/>
      <c r="W126" s="217"/>
      <c r="X126" s="217"/>
      <c r="Y126" s="217"/>
      <c r="Z126" s="217"/>
    </row>
    <row r="127" ht="17.25" customHeight="1">
      <c r="A127" s="245">
        <v>25.0</v>
      </c>
      <c r="B127" s="279" t="s">
        <v>7022</v>
      </c>
      <c r="C127" s="245">
        <v>2.42510313E8</v>
      </c>
      <c r="D127" s="266" t="s">
        <v>3494</v>
      </c>
      <c r="E127" s="267" t="s">
        <v>227</v>
      </c>
      <c r="F127" s="269"/>
      <c r="G127" s="269"/>
      <c r="H127" s="269"/>
      <c r="I127" s="269"/>
      <c r="J127" s="269"/>
      <c r="K127" s="269"/>
      <c r="L127" s="269"/>
      <c r="M127" s="269"/>
      <c r="N127" s="269"/>
      <c r="O127" s="269"/>
      <c r="P127" s="269"/>
      <c r="Q127" s="269"/>
      <c r="R127" s="269"/>
      <c r="S127" s="269"/>
      <c r="T127" s="269"/>
      <c r="U127" s="217"/>
      <c r="V127" s="217"/>
      <c r="W127" s="217"/>
      <c r="X127" s="217"/>
      <c r="Y127" s="217"/>
      <c r="Z127" s="217"/>
    </row>
    <row r="128" ht="17.25" customHeight="1">
      <c r="A128" s="245">
        <v>26.0</v>
      </c>
      <c r="B128" s="279" t="s">
        <v>7024</v>
      </c>
      <c r="C128" s="245">
        <v>2.42510328E8</v>
      </c>
      <c r="D128" s="266" t="s">
        <v>3499</v>
      </c>
      <c r="E128" s="267" t="s">
        <v>227</v>
      </c>
      <c r="F128" s="269"/>
      <c r="G128" s="269"/>
      <c r="H128" s="269"/>
      <c r="I128" s="269"/>
      <c r="J128" s="269"/>
      <c r="K128" s="269"/>
      <c r="L128" s="269"/>
      <c r="M128" s="269"/>
      <c r="N128" s="269"/>
      <c r="O128" s="269"/>
      <c r="P128" s="269"/>
      <c r="Q128" s="269"/>
      <c r="R128" s="269"/>
      <c r="S128" s="269"/>
      <c r="T128" s="269"/>
      <c r="U128" s="217"/>
      <c r="V128" s="217"/>
      <c r="W128" s="217"/>
      <c r="X128" s="217"/>
      <c r="Y128" s="217"/>
      <c r="Z128" s="217"/>
    </row>
    <row r="129" ht="17.25" customHeight="1">
      <c r="A129" s="245">
        <v>27.0</v>
      </c>
      <c r="B129" s="279" t="s">
        <v>7026</v>
      </c>
      <c r="C129" s="245">
        <v>2.42510343E8</v>
      </c>
      <c r="D129" s="266" t="s">
        <v>3504</v>
      </c>
      <c r="E129" s="267" t="s">
        <v>227</v>
      </c>
      <c r="F129" s="269"/>
      <c r="G129" s="269"/>
      <c r="H129" s="269"/>
      <c r="I129" s="269"/>
      <c r="J129" s="269"/>
      <c r="K129" s="269"/>
      <c r="L129" s="269"/>
      <c r="M129" s="269"/>
      <c r="N129" s="269"/>
      <c r="O129" s="269"/>
      <c r="P129" s="269"/>
      <c r="Q129" s="269"/>
      <c r="R129" s="269"/>
      <c r="S129" s="269"/>
      <c r="T129" s="269"/>
      <c r="U129" s="217"/>
      <c r="V129" s="217"/>
      <c r="W129" s="217"/>
      <c r="X129" s="217"/>
      <c r="Y129" s="217"/>
      <c r="Z129" s="217"/>
    </row>
    <row r="130" ht="17.25" customHeight="1">
      <c r="A130" s="245">
        <v>28.0</v>
      </c>
      <c r="B130" s="279" t="s">
        <v>7028</v>
      </c>
      <c r="C130" s="245">
        <v>2.4251035E8</v>
      </c>
      <c r="D130" s="266" t="s">
        <v>3509</v>
      </c>
      <c r="E130" s="267" t="s">
        <v>220</v>
      </c>
      <c r="F130" s="269"/>
      <c r="G130" s="269"/>
      <c r="H130" s="269"/>
      <c r="I130" s="269"/>
      <c r="J130" s="269"/>
      <c r="K130" s="269"/>
      <c r="L130" s="269"/>
      <c r="M130" s="269"/>
      <c r="N130" s="269"/>
      <c r="O130" s="269"/>
      <c r="P130" s="269"/>
      <c r="Q130" s="269"/>
      <c r="R130" s="269"/>
      <c r="S130" s="269"/>
      <c r="T130" s="269"/>
      <c r="U130" s="217"/>
      <c r="V130" s="217"/>
      <c r="W130" s="217"/>
      <c r="X130" s="217"/>
      <c r="Y130" s="217"/>
      <c r="Z130" s="217"/>
    </row>
    <row r="131" ht="17.25" customHeight="1">
      <c r="A131" s="245">
        <v>29.0</v>
      </c>
      <c r="B131" s="279" t="s">
        <v>7030</v>
      </c>
      <c r="C131" s="245">
        <v>2.42510371E8</v>
      </c>
      <c r="D131" s="266" t="s">
        <v>3515</v>
      </c>
      <c r="E131" s="267" t="s">
        <v>220</v>
      </c>
      <c r="F131" s="269"/>
      <c r="G131" s="269"/>
      <c r="H131" s="269"/>
      <c r="I131" s="269"/>
      <c r="J131" s="269"/>
      <c r="K131" s="269"/>
      <c r="L131" s="269"/>
      <c r="M131" s="269"/>
      <c r="N131" s="269"/>
      <c r="O131" s="269"/>
      <c r="P131" s="269"/>
      <c r="Q131" s="269"/>
      <c r="R131" s="269"/>
      <c r="S131" s="269"/>
      <c r="T131" s="269"/>
      <c r="U131" s="217"/>
      <c r="V131" s="217"/>
      <c r="W131" s="217"/>
      <c r="X131" s="217"/>
      <c r="Y131" s="217"/>
      <c r="Z131" s="217"/>
    </row>
    <row r="132" ht="17.25" customHeight="1">
      <c r="A132" s="245">
        <v>30.0</v>
      </c>
      <c r="B132" s="279" t="s">
        <v>7032</v>
      </c>
      <c r="C132" s="250">
        <v>2.42510373E8</v>
      </c>
      <c r="D132" s="266" t="s">
        <v>3520</v>
      </c>
      <c r="E132" s="267" t="s">
        <v>227</v>
      </c>
      <c r="F132" s="269"/>
      <c r="G132" s="269"/>
      <c r="H132" s="269"/>
      <c r="I132" s="269"/>
      <c r="J132" s="269"/>
      <c r="K132" s="269"/>
      <c r="L132" s="269"/>
      <c r="M132" s="269"/>
      <c r="N132" s="269"/>
      <c r="O132" s="269"/>
      <c r="P132" s="269"/>
      <c r="Q132" s="269"/>
      <c r="R132" s="269"/>
      <c r="S132" s="269"/>
      <c r="T132" s="269"/>
      <c r="V132" s="217"/>
      <c r="W132" s="217"/>
      <c r="X132" s="217"/>
      <c r="Y132" s="217"/>
      <c r="Z132" s="217"/>
    </row>
    <row r="133" ht="17.25" customHeight="1">
      <c r="A133" s="245">
        <v>31.0</v>
      </c>
      <c r="B133" s="279" t="s">
        <v>7034</v>
      </c>
      <c r="C133" s="289" t="s">
        <v>9754</v>
      </c>
      <c r="D133" s="266" t="s">
        <v>3525</v>
      </c>
      <c r="E133" s="267" t="s">
        <v>227</v>
      </c>
      <c r="F133" s="269"/>
      <c r="G133" s="269"/>
      <c r="H133" s="269"/>
      <c r="I133" s="269"/>
      <c r="J133" s="269"/>
      <c r="K133" s="269"/>
      <c r="L133" s="269"/>
      <c r="M133" s="269"/>
      <c r="N133" s="269"/>
      <c r="O133" s="269"/>
      <c r="P133" s="269"/>
      <c r="Q133" s="269"/>
      <c r="R133" s="269"/>
      <c r="S133" s="269"/>
      <c r="T133" s="269"/>
      <c r="U133" s="217"/>
      <c r="V133" s="217"/>
      <c r="W133" s="217"/>
      <c r="X133" s="217"/>
      <c r="Y133" s="217"/>
      <c r="Z133" s="217"/>
    </row>
    <row r="134" ht="17.25" customHeight="1">
      <c r="A134" s="245">
        <v>32.0</v>
      </c>
      <c r="B134" s="279" t="s">
        <v>7036</v>
      </c>
      <c r="C134" s="250">
        <v>2.42510405E8</v>
      </c>
      <c r="D134" s="266" t="s">
        <v>3530</v>
      </c>
      <c r="E134" s="267" t="s">
        <v>220</v>
      </c>
      <c r="F134" s="269"/>
      <c r="G134" s="269"/>
      <c r="H134" s="269"/>
      <c r="I134" s="269"/>
      <c r="J134" s="269"/>
      <c r="K134" s="269"/>
      <c r="L134" s="269"/>
      <c r="M134" s="269"/>
      <c r="N134" s="269"/>
      <c r="O134" s="269"/>
      <c r="P134" s="269"/>
      <c r="Q134" s="269"/>
      <c r="R134" s="269"/>
      <c r="S134" s="269"/>
      <c r="T134" s="269"/>
      <c r="U134" s="217"/>
      <c r="V134" s="217"/>
      <c r="W134" s="217"/>
      <c r="X134" s="217"/>
      <c r="Y134" s="217"/>
      <c r="Z134" s="217"/>
    </row>
    <row r="135" ht="17.25" customHeight="1">
      <c r="A135" s="245">
        <v>33.0</v>
      </c>
      <c r="B135" s="279" t="s">
        <v>7038</v>
      </c>
      <c r="C135" s="250">
        <v>2.42510408E8</v>
      </c>
      <c r="D135" s="266" t="s">
        <v>3535</v>
      </c>
      <c r="E135" s="267" t="s">
        <v>227</v>
      </c>
      <c r="F135" s="269"/>
      <c r="G135" s="269"/>
      <c r="H135" s="269"/>
      <c r="I135" s="269"/>
      <c r="J135" s="269"/>
      <c r="K135" s="269"/>
      <c r="L135" s="269"/>
      <c r="M135" s="269"/>
      <c r="N135" s="269"/>
      <c r="O135" s="269"/>
      <c r="P135" s="269"/>
      <c r="Q135" s="269"/>
      <c r="R135" s="269"/>
      <c r="S135" s="269"/>
      <c r="T135" s="269"/>
      <c r="U135" s="217"/>
      <c r="V135" s="217"/>
      <c r="W135" s="217"/>
      <c r="X135" s="217"/>
      <c r="Y135" s="217"/>
      <c r="Z135" s="217"/>
    </row>
    <row r="136" ht="17.25" customHeight="1">
      <c r="A136" s="245">
        <v>34.0</v>
      </c>
      <c r="B136" s="279" t="s">
        <v>7040</v>
      </c>
      <c r="C136" s="245">
        <v>2.42510409E8</v>
      </c>
      <c r="D136" s="266" t="s">
        <v>3541</v>
      </c>
      <c r="E136" s="267" t="s">
        <v>227</v>
      </c>
      <c r="F136" s="269"/>
      <c r="G136" s="269"/>
      <c r="H136" s="269"/>
      <c r="I136" s="269"/>
      <c r="J136" s="269"/>
      <c r="K136" s="269"/>
      <c r="L136" s="269"/>
      <c r="M136" s="269"/>
      <c r="N136" s="269"/>
      <c r="O136" s="269"/>
      <c r="P136" s="269"/>
      <c r="Q136" s="269"/>
      <c r="R136" s="269"/>
      <c r="S136" s="269"/>
      <c r="T136" s="269"/>
      <c r="U136" s="217"/>
      <c r="V136" s="217"/>
      <c r="W136" s="217"/>
      <c r="X136" s="217"/>
      <c r="Y136" s="217"/>
      <c r="Z136" s="217"/>
    </row>
    <row r="137" ht="17.25" customHeight="1">
      <c r="A137" s="245">
        <v>35.0</v>
      </c>
      <c r="B137" s="279" t="s">
        <v>7042</v>
      </c>
      <c r="C137" s="245">
        <v>2.42510417E8</v>
      </c>
      <c r="D137" s="266" t="s">
        <v>3546</v>
      </c>
      <c r="E137" s="267" t="s">
        <v>227</v>
      </c>
      <c r="F137" s="269"/>
      <c r="G137" s="269"/>
      <c r="H137" s="269"/>
      <c r="I137" s="269"/>
      <c r="J137" s="269"/>
      <c r="K137" s="269"/>
      <c r="L137" s="269"/>
      <c r="M137" s="269"/>
      <c r="N137" s="269"/>
      <c r="O137" s="269"/>
      <c r="P137" s="269"/>
      <c r="Q137" s="269"/>
      <c r="R137" s="269"/>
      <c r="S137" s="269"/>
      <c r="T137" s="269"/>
      <c r="U137" s="217"/>
      <c r="V137" s="217"/>
      <c r="W137" s="217"/>
      <c r="X137" s="217"/>
      <c r="Y137" s="217"/>
      <c r="Z137" s="217"/>
    </row>
    <row r="138" ht="17.25" customHeight="1">
      <c r="A138" s="245">
        <v>36.0</v>
      </c>
      <c r="B138" s="279" t="s">
        <v>7044</v>
      </c>
      <c r="C138" s="289" t="s">
        <v>9755</v>
      </c>
      <c r="D138" s="266" t="s">
        <v>3551</v>
      </c>
      <c r="E138" s="267" t="s">
        <v>227</v>
      </c>
      <c r="F138" s="269"/>
      <c r="G138" s="269"/>
      <c r="H138" s="269"/>
      <c r="I138" s="269"/>
      <c r="J138" s="269"/>
      <c r="K138" s="269"/>
      <c r="L138" s="269"/>
      <c r="M138" s="269"/>
      <c r="N138" s="269"/>
      <c r="O138" s="269"/>
      <c r="P138" s="269"/>
      <c r="Q138" s="269"/>
      <c r="R138" s="269"/>
      <c r="S138" s="269"/>
      <c r="T138" s="269"/>
      <c r="U138" s="217"/>
      <c r="V138" s="217"/>
      <c r="W138" s="217"/>
      <c r="X138" s="217"/>
      <c r="Y138" s="217"/>
      <c r="Z138" s="217"/>
    </row>
    <row r="139" ht="16.5" hidden="1" customHeight="1">
      <c r="A139" s="252"/>
      <c r="B139" s="368" t="s">
        <v>8789</v>
      </c>
      <c r="C139" s="252"/>
      <c r="D139" s="253">
        <f>COUNTIF(E103:E138,"L")</f>
        <v>8</v>
      </c>
      <c r="E139" s="253"/>
      <c r="F139" s="254"/>
      <c r="G139" s="254"/>
      <c r="H139" s="254"/>
      <c r="I139" s="254"/>
      <c r="J139" s="254"/>
      <c r="U139" s="217"/>
      <c r="V139" s="217"/>
      <c r="W139" s="217"/>
      <c r="X139" s="217"/>
      <c r="Y139" s="217"/>
      <c r="Z139" s="217"/>
    </row>
    <row r="140" ht="16.5" hidden="1" customHeight="1">
      <c r="A140" s="252"/>
      <c r="B140" s="368" t="s">
        <v>8790</v>
      </c>
      <c r="C140" s="252"/>
      <c r="D140" s="253">
        <f>COUNTIF(E103:E138,"P")</f>
        <v>28</v>
      </c>
      <c r="E140" s="253"/>
      <c r="F140" s="254"/>
      <c r="G140" s="254"/>
      <c r="H140" s="254"/>
      <c r="I140" s="254"/>
      <c r="J140" s="254"/>
      <c r="K140" s="290" t="s">
        <v>9753</v>
      </c>
      <c r="L140" s="291"/>
      <c r="M140" s="291"/>
      <c r="N140" s="291"/>
      <c r="O140" s="291"/>
      <c r="P140" s="291"/>
      <c r="Q140" s="291"/>
      <c r="R140" s="292"/>
      <c r="S140" s="293"/>
      <c r="T140" s="293"/>
      <c r="U140" s="217"/>
      <c r="V140" s="217"/>
      <c r="W140" s="217"/>
      <c r="X140" s="217"/>
      <c r="Y140" s="217"/>
      <c r="Z140" s="217"/>
    </row>
    <row r="141" ht="16.5" hidden="1" customHeight="1">
      <c r="A141" s="252"/>
      <c r="B141" s="368" t="s">
        <v>8792</v>
      </c>
      <c r="C141" s="253"/>
      <c r="D141" s="253">
        <f>D139+D140</f>
        <v>36</v>
      </c>
      <c r="E141" s="253"/>
      <c r="F141" s="254"/>
      <c r="G141" s="254"/>
      <c r="H141" s="254"/>
      <c r="I141" s="254"/>
      <c r="J141" s="254"/>
      <c r="K141" s="294" t="s">
        <v>8793</v>
      </c>
      <c r="L141" s="293"/>
      <c r="M141" s="293"/>
      <c r="N141" s="293"/>
      <c r="O141" s="293"/>
      <c r="P141" s="293"/>
      <c r="Q141" s="293"/>
      <c r="R141" s="293"/>
      <c r="S141" s="293"/>
      <c r="T141" s="293"/>
      <c r="U141" s="217"/>
      <c r="V141" s="217"/>
      <c r="W141" s="217"/>
      <c r="X141" s="217"/>
      <c r="Y141" s="217"/>
      <c r="Z141" s="217"/>
    </row>
    <row r="142" ht="74.25" hidden="1" customHeight="1">
      <c r="A142" s="261" t="s">
        <v>8743</v>
      </c>
      <c r="B142" s="261"/>
      <c r="C142" s="261"/>
      <c r="D142" s="261"/>
      <c r="E142" s="261"/>
      <c r="F142" s="261"/>
      <c r="G142" s="261"/>
      <c r="H142" s="261"/>
      <c r="I142" s="261"/>
      <c r="J142" s="261"/>
      <c r="K142" s="261"/>
      <c r="L142" s="261"/>
      <c r="M142" s="261"/>
      <c r="N142" s="261"/>
      <c r="O142" s="261"/>
      <c r="P142" s="261"/>
      <c r="Q142" s="261"/>
      <c r="R142" s="261"/>
      <c r="S142" s="261"/>
      <c r="T142" s="261"/>
      <c r="U142" s="217"/>
      <c r="V142" s="217"/>
      <c r="W142" s="217"/>
      <c r="X142" s="217"/>
      <c r="Y142" s="217"/>
      <c r="Z142" s="217"/>
    </row>
    <row r="143" ht="16.5" hidden="1" customHeight="1">
      <c r="A143" s="262" t="s">
        <v>9365</v>
      </c>
      <c r="B143" s="263"/>
      <c r="C143" s="263"/>
      <c r="D143" s="263"/>
      <c r="E143" s="263"/>
      <c r="F143" s="263"/>
      <c r="G143" s="263"/>
      <c r="H143" s="263"/>
      <c r="I143" s="263"/>
      <c r="J143" s="263"/>
      <c r="K143" s="263"/>
      <c r="L143" s="263"/>
      <c r="M143" s="263"/>
      <c r="N143" s="263"/>
      <c r="O143" s="263"/>
      <c r="P143" s="263"/>
      <c r="Q143" s="263"/>
      <c r="R143" s="263"/>
      <c r="S143" s="263"/>
      <c r="T143" s="264"/>
      <c r="U143" s="217"/>
      <c r="V143" s="217"/>
      <c r="W143" s="217"/>
      <c r="X143" s="217"/>
      <c r="Y143" s="217"/>
      <c r="Z143" s="217"/>
    </row>
    <row r="144" ht="16.5" hidden="1" customHeight="1">
      <c r="A144" s="222" t="s">
        <v>9798</v>
      </c>
      <c r="B144" s="223"/>
      <c r="C144" s="223"/>
      <c r="D144" s="223"/>
      <c r="E144" s="223"/>
      <c r="F144" s="223"/>
      <c r="G144" s="223"/>
      <c r="H144" s="223"/>
      <c r="I144" s="223"/>
      <c r="J144" s="223"/>
      <c r="K144" s="223"/>
      <c r="L144" s="223"/>
      <c r="M144" s="223"/>
      <c r="N144" s="223"/>
      <c r="O144" s="223"/>
      <c r="P144" s="223"/>
      <c r="Q144" s="223"/>
      <c r="R144" s="223"/>
      <c r="S144" s="223"/>
      <c r="T144" s="224"/>
      <c r="U144" s="217"/>
      <c r="V144" s="217"/>
      <c r="W144" s="217"/>
      <c r="X144" s="217"/>
      <c r="Y144" s="217"/>
      <c r="Z144" s="217"/>
    </row>
    <row r="145" ht="16.5" hidden="1" customHeight="1">
      <c r="A145" s="225" t="s">
        <v>9378</v>
      </c>
      <c r="B145" s="226"/>
      <c r="C145" s="226"/>
      <c r="D145" s="226"/>
      <c r="E145" s="226"/>
      <c r="F145" s="226"/>
      <c r="G145" s="226"/>
      <c r="H145" s="226"/>
      <c r="I145" s="226"/>
      <c r="J145" s="226"/>
      <c r="K145" s="226"/>
      <c r="L145" s="226"/>
      <c r="M145" s="226"/>
      <c r="N145" s="226"/>
      <c r="O145" s="226"/>
      <c r="P145" s="226"/>
      <c r="Q145" s="226"/>
      <c r="R145" s="226"/>
      <c r="S145" s="226"/>
      <c r="T145" s="227"/>
      <c r="U145" s="217"/>
      <c r="V145" s="217"/>
      <c r="W145" s="217"/>
      <c r="X145" s="217"/>
      <c r="Y145" s="217"/>
      <c r="Z145" s="217"/>
    </row>
    <row r="146" ht="16.5" hidden="1" customHeight="1">
      <c r="A146" s="228" t="s">
        <v>9842</v>
      </c>
      <c r="B146" s="229"/>
      <c r="C146" s="229"/>
      <c r="D146" s="229"/>
      <c r="E146" s="229"/>
      <c r="F146" s="230"/>
      <c r="G146" s="230"/>
      <c r="H146" s="230"/>
      <c r="I146" s="230"/>
      <c r="J146" s="230"/>
      <c r="K146" s="230"/>
      <c r="L146" s="230"/>
      <c r="M146" s="230"/>
      <c r="N146" s="230"/>
      <c r="O146" s="230"/>
      <c r="P146" s="230"/>
      <c r="Q146" s="230"/>
      <c r="R146" s="230"/>
      <c r="S146" s="230"/>
      <c r="T146" s="230"/>
      <c r="U146" s="217"/>
      <c r="V146" s="217"/>
      <c r="W146" s="217"/>
      <c r="X146" s="217"/>
      <c r="Y146" s="217"/>
      <c r="Z146" s="217"/>
    </row>
    <row r="147" ht="14.25" hidden="1" customHeight="1">
      <c r="A147" s="231" t="s">
        <v>8748</v>
      </c>
      <c r="B147" s="231" t="s">
        <v>9</v>
      </c>
      <c r="C147" s="231" t="s">
        <v>5246</v>
      </c>
      <c r="D147" s="231" t="s">
        <v>8680</v>
      </c>
      <c r="E147" s="232" t="s">
        <v>13</v>
      </c>
      <c r="F147" s="233" t="s">
        <v>9801</v>
      </c>
      <c r="G147" s="234"/>
      <c r="H147" s="234"/>
      <c r="I147" s="234"/>
      <c r="J147" s="234"/>
      <c r="K147" s="234"/>
      <c r="L147" s="234"/>
      <c r="M147" s="234"/>
      <c r="N147" s="234"/>
      <c r="O147" s="234"/>
      <c r="P147" s="234"/>
      <c r="Q147" s="234"/>
      <c r="R147" s="234"/>
      <c r="S147" s="234"/>
      <c r="T147" s="235"/>
      <c r="U147" s="217"/>
      <c r="V147" s="217"/>
      <c r="W147" s="217"/>
      <c r="X147" s="217"/>
      <c r="Y147" s="217"/>
      <c r="Z147" s="217"/>
    </row>
    <row r="148" ht="14.25" hidden="1" customHeight="1">
      <c r="A148" s="236"/>
      <c r="B148" s="236"/>
      <c r="C148" s="236"/>
      <c r="D148" s="236"/>
      <c r="E148" s="237"/>
      <c r="F148" s="238" t="s">
        <v>9802</v>
      </c>
      <c r="G148" s="239"/>
      <c r="H148" s="239"/>
      <c r="I148" s="239"/>
      <c r="J148" s="239"/>
      <c r="K148" s="239"/>
      <c r="L148" s="239"/>
      <c r="M148" s="239"/>
      <c r="N148" s="239"/>
      <c r="O148" s="239"/>
      <c r="P148" s="239"/>
      <c r="Q148" s="240"/>
      <c r="R148" s="233" t="s">
        <v>9713</v>
      </c>
      <c r="S148" s="234"/>
      <c r="T148" s="235"/>
      <c r="U148" s="217"/>
      <c r="V148" s="217"/>
      <c r="W148" s="217"/>
      <c r="X148" s="217"/>
      <c r="Y148" s="217"/>
      <c r="Z148" s="217"/>
    </row>
    <row r="149" ht="14.25" hidden="1" customHeight="1">
      <c r="A149" s="295"/>
      <c r="B149" s="241"/>
      <c r="C149" s="241"/>
      <c r="D149" s="241"/>
      <c r="E149" s="242"/>
      <c r="F149" s="243">
        <v>1.0</v>
      </c>
      <c r="G149" s="243">
        <v>2.0</v>
      </c>
      <c r="H149" s="243">
        <v>3.0</v>
      </c>
      <c r="I149" s="243">
        <v>4.0</v>
      </c>
      <c r="J149" s="243">
        <v>5.0</v>
      </c>
      <c r="K149" s="243">
        <v>6.0</v>
      </c>
      <c r="L149" s="243">
        <v>7.0</v>
      </c>
      <c r="M149" s="243">
        <v>8.0</v>
      </c>
      <c r="N149" s="243">
        <v>9.0</v>
      </c>
      <c r="O149" s="243">
        <v>10.0</v>
      </c>
      <c r="P149" s="243">
        <v>11.0</v>
      </c>
      <c r="Q149" s="243">
        <v>12.0</v>
      </c>
      <c r="R149" s="243" t="s">
        <v>9714</v>
      </c>
      <c r="S149" s="243" t="s">
        <v>9715</v>
      </c>
      <c r="T149" s="244" t="s">
        <v>9716</v>
      </c>
      <c r="U149" s="217"/>
      <c r="V149" s="217"/>
      <c r="W149" s="217"/>
      <c r="X149" s="217"/>
      <c r="Y149" s="217"/>
      <c r="Z149" s="217"/>
    </row>
    <row r="150" ht="18.75" customHeight="1">
      <c r="A150" s="296">
        <v>1.0</v>
      </c>
      <c r="B150" s="297" t="s">
        <v>3555</v>
      </c>
      <c r="C150" s="298"/>
      <c r="D150" s="266" t="s">
        <v>3556</v>
      </c>
      <c r="E150" s="267" t="s">
        <v>227</v>
      </c>
      <c r="F150" s="269"/>
      <c r="G150" s="269"/>
      <c r="H150" s="269"/>
      <c r="I150" s="269"/>
      <c r="J150" s="269"/>
      <c r="K150" s="269"/>
      <c r="L150" s="269"/>
      <c r="M150" s="269"/>
      <c r="N150" s="269"/>
      <c r="O150" s="269"/>
      <c r="P150" s="269"/>
      <c r="Q150" s="269"/>
      <c r="R150" s="269"/>
      <c r="S150" s="269"/>
      <c r="T150" s="269"/>
      <c r="U150" s="217"/>
      <c r="V150" s="217"/>
      <c r="W150" s="217"/>
      <c r="X150" s="217"/>
      <c r="Y150" s="217"/>
      <c r="Z150" s="217"/>
    </row>
    <row r="151" ht="18.75" customHeight="1">
      <c r="A151" s="245">
        <v>2.0</v>
      </c>
      <c r="B151" s="299" t="s">
        <v>3561</v>
      </c>
      <c r="C151" s="300"/>
      <c r="D151" s="301" t="s">
        <v>3562</v>
      </c>
      <c r="E151" s="267" t="s">
        <v>227</v>
      </c>
      <c r="F151" s="269"/>
      <c r="G151" s="269"/>
      <c r="H151" s="269"/>
      <c r="I151" s="269"/>
      <c r="J151" s="269"/>
      <c r="K151" s="269"/>
      <c r="L151" s="269"/>
      <c r="M151" s="269"/>
      <c r="N151" s="269"/>
      <c r="O151" s="269"/>
      <c r="P151" s="269"/>
      <c r="Q151" s="269"/>
      <c r="R151" s="269"/>
      <c r="S151" s="269"/>
      <c r="T151" s="269"/>
      <c r="U151" s="217"/>
      <c r="V151" s="217"/>
      <c r="W151" s="217"/>
      <c r="X151" s="217"/>
      <c r="Y151" s="217"/>
      <c r="Z151" s="217"/>
    </row>
    <row r="152" ht="18.75" customHeight="1">
      <c r="A152" s="296">
        <v>3.0</v>
      </c>
      <c r="B152" s="297" t="s">
        <v>3567</v>
      </c>
      <c r="C152" s="298"/>
      <c r="D152" s="266" t="s">
        <v>3568</v>
      </c>
      <c r="E152" s="267" t="s">
        <v>227</v>
      </c>
      <c r="F152" s="269"/>
      <c r="G152" s="269"/>
      <c r="H152" s="269"/>
      <c r="I152" s="269"/>
      <c r="J152" s="269"/>
      <c r="K152" s="269"/>
      <c r="L152" s="269"/>
      <c r="M152" s="269"/>
      <c r="N152" s="269"/>
      <c r="O152" s="269"/>
      <c r="P152" s="269"/>
      <c r="Q152" s="269"/>
      <c r="R152" s="269"/>
      <c r="S152" s="269"/>
      <c r="T152" s="269"/>
      <c r="U152" s="217"/>
      <c r="V152" s="217"/>
      <c r="W152" s="217"/>
      <c r="X152" s="217"/>
      <c r="Y152" s="217"/>
      <c r="Z152" s="217"/>
    </row>
    <row r="153" ht="18.75" customHeight="1">
      <c r="A153" s="245">
        <v>4.0</v>
      </c>
      <c r="B153" s="297" t="s">
        <v>3572</v>
      </c>
      <c r="C153" s="298"/>
      <c r="D153" s="266" t="s">
        <v>3573</v>
      </c>
      <c r="E153" s="267" t="s">
        <v>220</v>
      </c>
      <c r="F153" s="269"/>
      <c r="G153" s="269"/>
      <c r="H153" s="269"/>
      <c r="I153" s="269"/>
      <c r="J153" s="269"/>
      <c r="K153" s="269"/>
      <c r="L153" s="269"/>
      <c r="M153" s="269"/>
      <c r="N153" s="269"/>
      <c r="O153" s="269"/>
      <c r="P153" s="269"/>
      <c r="Q153" s="269"/>
      <c r="R153" s="269"/>
      <c r="S153" s="269"/>
      <c r="T153" s="269"/>
      <c r="U153" s="217"/>
      <c r="V153" s="217"/>
      <c r="W153" s="217"/>
      <c r="X153" s="217"/>
      <c r="Y153" s="217"/>
      <c r="Z153" s="217"/>
    </row>
    <row r="154" ht="18.75" customHeight="1">
      <c r="A154" s="296">
        <v>5.0</v>
      </c>
      <c r="B154" s="297" t="s">
        <v>3577</v>
      </c>
      <c r="C154" s="298"/>
      <c r="D154" s="266" t="s">
        <v>3578</v>
      </c>
      <c r="E154" s="267" t="s">
        <v>227</v>
      </c>
      <c r="F154" s="269"/>
      <c r="G154" s="269"/>
      <c r="H154" s="269"/>
      <c r="I154" s="269"/>
      <c r="J154" s="269"/>
      <c r="K154" s="269"/>
      <c r="L154" s="269"/>
      <c r="M154" s="269"/>
      <c r="N154" s="269"/>
      <c r="O154" s="269"/>
      <c r="P154" s="269"/>
      <c r="Q154" s="269"/>
      <c r="R154" s="269"/>
      <c r="S154" s="269"/>
      <c r="T154" s="269"/>
      <c r="U154" s="217"/>
      <c r="V154" s="217"/>
      <c r="W154" s="217"/>
      <c r="X154" s="217"/>
      <c r="Y154" s="217"/>
      <c r="Z154" s="217"/>
    </row>
    <row r="155" ht="18.75" customHeight="1">
      <c r="A155" s="245">
        <v>6.0</v>
      </c>
      <c r="B155" s="297" t="s">
        <v>3582</v>
      </c>
      <c r="C155" s="298"/>
      <c r="D155" s="266" t="s">
        <v>3583</v>
      </c>
      <c r="E155" s="267" t="s">
        <v>227</v>
      </c>
      <c r="F155" s="269"/>
      <c r="G155" s="269"/>
      <c r="H155" s="269"/>
      <c r="I155" s="269"/>
      <c r="J155" s="269"/>
      <c r="K155" s="269"/>
      <c r="L155" s="269"/>
      <c r="M155" s="269"/>
      <c r="N155" s="269"/>
      <c r="O155" s="269"/>
      <c r="P155" s="269"/>
      <c r="Q155" s="269"/>
      <c r="R155" s="269"/>
      <c r="S155" s="269"/>
      <c r="T155" s="269"/>
      <c r="U155" s="217"/>
      <c r="V155" s="217"/>
      <c r="W155" s="217"/>
      <c r="X155" s="217"/>
      <c r="Y155" s="217"/>
      <c r="Z155" s="217"/>
    </row>
    <row r="156" ht="18.75" customHeight="1">
      <c r="A156" s="296">
        <v>7.0</v>
      </c>
      <c r="B156" s="297" t="s">
        <v>3587</v>
      </c>
      <c r="C156" s="298"/>
      <c r="D156" s="266" t="s">
        <v>3588</v>
      </c>
      <c r="E156" s="267" t="s">
        <v>227</v>
      </c>
      <c r="F156" s="269"/>
      <c r="G156" s="269"/>
      <c r="H156" s="269"/>
      <c r="I156" s="269"/>
      <c r="J156" s="269"/>
      <c r="K156" s="269"/>
      <c r="L156" s="269"/>
      <c r="M156" s="269"/>
      <c r="N156" s="269"/>
      <c r="O156" s="269"/>
      <c r="P156" s="269"/>
      <c r="Q156" s="269"/>
      <c r="R156" s="269"/>
      <c r="S156" s="269"/>
      <c r="T156" s="269"/>
      <c r="U156" s="217"/>
      <c r="V156" s="217"/>
      <c r="W156" s="217"/>
      <c r="X156" s="217"/>
      <c r="Y156" s="217"/>
      <c r="Z156" s="217"/>
    </row>
    <row r="157" ht="18.75" customHeight="1">
      <c r="A157" s="245">
        <v>8.0</v>
      </c>
      <c r="B157" s="297" t="s">
        <v>3593</v>
      </c>
      <c r="C157" s="298"/>
      <c r="D157" s="266" t="s">
        <v>3594</v>
      </c>
      <c r="E157" s="267" t="s">
        <v>227</v>
      </c>
      <c r="F157" s="269"/>
      <c r="G157" s="269"/>
      <c r="H157" s="269"/>
      <c r="I157" s="269"/>
      <c r="J157" s="269"/>
      <c r="K157" s="269"/>
      <c r="L157" s="269"/>
      <c r="M157" s="269"/>
      <c r="N157" s="269"/>
      <c r="O157" s="269"/>
      <c r="P157" s="269"/>
      <c r="Q157" s="269"/>
      <c r="R157" s="269"/>
      <c r="S157" s="269"/>
      <c r="T157" s="269"/>
      <c r="U157" s="217"/>
      <c r="V157" s="217"/>
      <c r="W157" s="217"/>
      <c r="X157" s="217"/>
      <c r="Y157" s="217"/>
      <c r="Z157" s="217"/>
    </row>
    <row r="158" ht="18.75" customHeight="1">
      <c r="A158" s="296">
        <v>9.0</v>
      </c>
      <c r="B158" s="297" t="s">
        <v>3598</v>
      </c>
      <c r="C158" s="298"/>
      <c r="D158" s="266" t="s">
        <v>3599</v>
      </c>
      <c r="E158" s="267" t="s">
        <v>227</v>
      </c>
      <c r="F158" s="269"/>
      <c r="G158" s="269"/>
      <c r="H158" s="269"/>
      <c r="I158" s="269"/>
      <c r="J158" s="269"/>
      <c r="K158" s="269"/>
      <c r="L158" s="269"/>
      <c r="M158" s="269"/>
      <c r="N158" s="269"/>
      <c r="O158" s="269"/>
      <c r="P158" s="269"/>
      <c r="Q158" s="269"/>
      <c r="R158" s="269"/>
      <c r="S158" s="269"/>
      <c r="T158" s="269"/>
      <c r="U158" s="217"/>
      <c r="V158" s="217"/>
      <c r="W158" s="217"/>
      <c r="X158" s="217"/>
      <c r="Y158" s="217"/>
      <c r="Z158" s="217"/>
    </row>
    <row r="159" ht="18.75" customHeight="1">
      <c r="A159" s="245">
        <v>10.0</v>
      </c>
      <c r="B159" s="297" t="s">
        <v>3604</v>
      </c>
      <c r="C159" s="298"/>
      <c r="D159" s="266" t="s">
        <v>3605</v>
      </c>
      <c r="E159" s="267" t="s">
        <v>227</v>
      </c>
      <c r="F159" s="269"/>
      <c r="G159" s="269"/>
      <c r="H159" s="269"/>
      <c r="I159" s="269"/>
      <c r="J159" s="269"/>
      <c r="K159" s="269"/>
      <c r="L159" s="269"/>
      <c r="M159" s="269"/>
      <c r="N159" s="269"/>
      <c r="O159" s="269"/>
      <c r="P159" s="269"/>
      <c r="Q159" s="269"/>
      <c r="R159" s="269"/>
      <c r="S159" s="269"/>
      <c r="T159" s="269"/>
      <c r="U159" s="217"/>
      <c r="V159" s="217"/>
      <c r="W159" s="217"/>
      <c r="X159" s="217"/>
      <c r="Y159" s="217"/>
      <c r="Z159" s="217"/>
    </row>
    <row r="160" ht="18.75" customHeight="1">
      <c r="A160" s="296">
        <v>11.0</v>
      </c>
      <c r="B160" s="297" t="s">
        <v>3609</v>
      </c>
      <c r="C160" s="298"/>
      <c r="D160" s="266" t="s">
        <v>3610</v>
      </c>
      <c r="E160" s="267" t="s">
        <v>227</v>
      </c>
      <c r="F160" s="269"/>
      <c r="G160" s="269"/>
      <c r="H160" s="269"/>
      <c r="I160" s="269"/>
      <c r="J160" s="269"/>
      <c r="K160" s="269"/>
      <c r="L160" s="269"/>
      <c r="M160" s="269"/>
      <c r="N160" s="269"/>
      <c r="O160" s="269"/>
      <c r="P160" s="269"/>
      <c r="Q160" s="269"/>
      <c r="R160" s="269"/>
      <c r="S160" s="269"/>
      <c r="T160" s="269"/>
      <c r="U160" s="217"/>
      <c r="V160" s="217"/>
      <c r="W160" s="217"/>
      <c r="X160" s="217"/>
      <c r="Y160" s="217"/>
      <c r="Z160" s="217"/>
    </row>
    <row r="161" ht="18.75" customHeight="1">
      <c r="A161" s="245">
        <v>12.0</v>
      </c>
      <c r="B161" s="297" t="s">
        <v>3614</v>
      </c>
      <c r="C161" s="298"/>
      <c r="D161" s="266" t="s">
        <v>3615</v>
      </c>
      <c r="E161" s="267" t="s">
        <v>227</v>
      </c>
      <c r="F161" s="269"/>
      <c r="G161" s="269"/>
      <c r="H161" s="269"/>
      <c r="I161" s="269"/>
      <c r="J161" s="269"/>
      <c r="K161" s="269"/>
      <c r="L161" s="269"/>
      <c r="M161" s="269"/>
      <c r="N161" s="269"/>
      <c r="O161" s="269"/>
      <c r="P161" s="269"/>
      <c r="Q161" s="269"/>
      <c r="R161" s="269"/>
      <c r="S161" s="269"/>
      <c r="T161" s="269"/>
      <c r="U161" s="217"/>
      <c r="V161" s="217"/>
      <c r="W161" s="217"/>
      <c r="X161" s="217"/>
      <c r="Y161" s="217"/>
      <c r="Z161" s="217"/>
    </row>
    <row r="162" ht="18.75" customHeight="1">
      <c r="A162" s="296">
        <v>13.0</v>
      </c>
      <c r="B162" s="297" t="s">
        <v>3619</v>
      </c>
      <c r="C162" s="298"/>
      <c r="D162" s="266" t="s">
        <v>3620</v>
      </c>
      <c r="E162" s="267" t="s">
        <v>227</v>
      </c>
      <c r="F162" s="269"/>
      <c r="G162" s="269"/>
      <c r="H162" s="269"/>
      <c r="I162" s="269"/>
      <c r="J162" s="269"/>
      <c r="K162" s="269"/>
      <c r="L162" s="269"/>
      <c r="M162" s="269"/>
      <c r="N162" s="269"/>
      <c r="O162" s="269"/>
      <c r="P162" s="269"/>
      <c r="Q162" s="269"/>
      <c r="R162" s="269"/>
      <c r="S162" s="269"/>
      <c r="T162" s="269"/>
      <c r="U162" s="217"/>
      <c r="V162" s="217"/>
      <c r="W162" s="217"/>
      <c r="X162" s="217"/>
      <c r="Y162" s="217"/>
      <c r="Z162" s="217"/>
    </row>
    <row r="163" ht="18.75" customHeight="1">
      <c r="A163" s="245">
        <v>14.0</v>
      </c>
      <c r="B163" s="297" t="s">
        <v>3624</v>
      </c>
      <c r="C163" s="298"/>
      <c r="D163" s="266" t="s">
        <v>3625</v>
      </c>
      <c r="E163" s="267" t="s">
        <v>227</v>
      </c>
      <c r="F163" s="269"/>
      <c r="G163" s="269"/>
      <c r="H163" s="269"/>
      <c r="I163" s="269"/>
      <c r="J163" s="269"/>
      <c r="K163" s="269"/>
      <c r="L163" s="269"/>
      <c r="M163" s="269"/>
      <c r="N163" s="269"/>
      <c r="O163" s="269"/>
      <c r="P163" s="269"/>
      <c r="Q163" s="269"/>
      <c r="R163" s="269"/>
      <c r="S163" s="269"/>
      <c r="T163" s="269"/>
      <c r="U163" s="217"/>
      <c r="V163" s="217"/>
      <c r="W163" s="217"/>
      <c r="X163" s="217"/>
      <c r="Y163" s="217"/>
      <c r="Z163" s="217"/>
    </row>
    <row r="164" ht="18.75" customHeight="1">
      <c r="A164" s="296">
        <v>15.0</v>
      </c>
      <c r="B164" s="297" t="s">
        <v>3630</v>
      </c>
      <c r="C164" s="298"/>
      <c r="D164" s="266" t="s">
        <v>3631</v>
      </c>
      <c r="E164" s="267" t="s">
        <v>220</v>
      </c>
      <c r="F164" s="269"/>
      <c r="G164" s="269"/>
      <c r="H164" s="269"/>
      <c r="I164" s="269"/>
      <c r="J164" s="269"/>
      <c r="K164" s="269"/>
      <c r="L164" s="269"/>
      <c r="M164" s="269"/>
      <c r="N164" s="269"/>
      <c r="O164" s="269"/>
      <c r="P164" s="269"/>
      <c r="Q164" s="269"/>
      <c r="R164" s="269"/>
      <c r="S164" s="269"/>
      <c r="T164" s="269"/>
      <c r="U164" s="217"/>
      <c r="V164" s="217"/>
      <c r="W164" s="217"/>
      <c r="X164" s="217"/>
      <c r="Y164" s="217"/>
      <c r="Z164" s="217"/>
    </row>
    <row r="165" ht="18.75" customHeight="1">
      <c r="A165" s="245">
        <v>16.0</v>
      </c>
      <c r="B165" s="302" t="s">
        <v>3635</v>
      </c>
      <c r="C165" s="303"/>
      <c r="D165" s="266" t="s">
        <v>3636</v>
      </c>
      <c r="E165" s="267" t="s">
        <v>227</v>
      </c>
      <c r="F165" s="269"/>
      <c r="G165" s="269"/>
      <c r="H165" s="269"/>
      <c r="I165" s="269"/>
      <c r="J165" s="269"/>
      <c r="K165" s="269"/>
      <c r="L165" s="269"/>
      <c r="M165" s="269"/>
      <c r="N165" s="269"/>
      <c r="O165" s="269"/>
      <c r="P165" s="269"/>
      <c r="Q165" s="269"/>
      <c r="R165" s="269"/>
      <c r="S165" s="269"/>
      <c r="T165" s="269"/>
      <c r="U165" s="217"/>
      <c r="V165" s="217"/>
      <c r="W165" s="217"/>
      <c r="X165" s="217"/>
      <c r="Y165" s="217"/>
      <c r="Z165" s="217"/>
    </row>
    <row r="166" ht="18.75" customHeight="1">
      <c r="A166" s="296">
        <v>17.0</v>
      </c>
      <c r="B166" s="304" t="s">
        <v>3640</v>
      </c>
      <c r="C166" s="305"/>
      <c r="D166" s="266" t="s">
        <v>3641</v>
      </c>
      <c r="E166" s="267" t="s">
        <v>227</v>
      </c>
      <c r="F166" s="269"/>
      <c r="G166" s="269"/>
      <c r="H166" s="269"/>
      <c r="I166" s="269"/>
      <c r="J166" s="269"/>
      <c r="K166" s="269"/>
      <c r="L166" s="269"/>
      <c r="M166" s="269"/>
      <c r="N166" s="269"/>
      <c r="O166" s="269"/>
      <c r="P166" s="269"/>
      <c r="Q166" s="269"/>
      <c r="R166" s="269"/>
      <c r="S166" s="269"/>
      <c r="T166" s="269"/>
      <c r="U166" s="217"/>
      <c r="V166" s="217"/>
      <c r="W166" s="217"/>
      <c r="X166" s="217"/>
      <c r="Y166" s="217"/>
      <c r="Z166" s="217"/>
    </row>
    <row r="167" ht="18.75" customHeight="1">
      <c r="A167" s="245">
        <v>18.0</v>
      </c>
      <c r="B167" s="297" t="s">
        <v>3645</v>
      </c>
      <c r="C167" s="298"/>
      <c r="D167" s="266" t="s">
        <v>3646</v>
      </c>
      <c r="E167" s="267" t="s">
        <v>227</v>
      </c>
      <c r="F167" s="269"/>
      <c r="G167" s="269"/>
      <c r="H167" s="269"/>
      <c r="I167" s="269"/>
      <c r="J167" s="269"/>
      <c r="K167" s="269"/>
      <c r="L167" s="269"/>
      <c r="M167" s="269"/>
      <c r="N167" s="269"/>
      <c r="O167" s="269"/>
      <c r="P167" s="269"/>
      <c r="Q167" s="269"/>
      <c r="R167" s="269"/>
      <c r="S167" s="269"/>
      <c r="T167" s="269"/>
      <c r="U167" s="217"/>
      <c r="V167" s="217"/>
      <c r="W167" s="217"/>
      <c r="X167" s="217"/>
      <c r="Y167" s="217"/>
      <c r="Z167" s="217"/>
    </row>
    <row r="168" ht="18.75" customHeight="1">
      <c r="A168" s="296">
        <v>19.0</v>
      </c>
      <c r="B168" s="297" t="s">
        <v>3650</v>
      </c>
      <c r="C168" s="298"/>
      <c r="D168" s="266" t="s">
        <v>3651</v>
      </c>
      <c r="E168" s="267" t="s">
        <v>227</v>
      </c>
      <c r="F168" s="269"/>
      <c r="G168" s="269"/>
      <c r="H168" s="269"/>
      <c r="I168" s="269"/>
      <c r="J168" s="269"/>
      <c r="K168" s="269"/>
      <c r="L168" s="269"/>
      <c r="M168" s="269"/>
      <c r="N168" s="269"/>
      <c r="O168" s="269"/>
      <c r="P168" s="269"/>
      <c r="Q168" s="269"/>
      <c r="R168" s="269"/>
      <c r="S168" s="269"/>
      <c r="T168" s="269"/>
      <c r="U168" s="217"/>
      <c r="V168" s="217"/>
      <c r="W168" s="217"/>
      <c r="X168" s="217"/>
      <c r="Y168" s="217"/>
      <c r="Z168" s="217"/>
    </row>
    <row r="169" ht="18.75" customHeight="1">
      <c r="A169" s="245">
        <v>20.0</v>
      </c>
      <c r="B169" s="297" t="s">
        <v>3656</v>
      </c>
      <c r="C169" s="298"/>
      <c r="D169" s="266" t="s">
        <v>3657</v>
      </c>
      <c r="E169" s="267" t="s">
        <v>220</v>
      </c>
      <c r="F169" s="269"/>
      <c r="G169" s="269"/>
      <c r="H169" s="269"/>
      <c r="I169" s="269"/>
      <c r="J169" s="269"/>
      <c r="K169" s="269"/>
      <c r="L169" s="269"/>
      <c r="M169" s="269"/>
      <c r="N169" s="269"/>
      <c r="O169" s="269"/>
      <c r="P169" s="269"/>
      <c r="Q169" s="269"/>
      <c r="R169" s="269"/>
      <c r="S169" s="269"/>
      <c r="T169" s="269"/>
      <c r="U169" s="217"/>
      <c r="V169" s="217"/>
      <c r="W169" s="217"/>
      <c r="X169" s="217"/>
      <c r="Y169" s="217"/>
      <c r="Z169" s="217"/>
    </row>
    <row r="170" ht="18.75" customHeight="1">
      <c r="A170" s="296">
        <v>21.0</v>
      </c>
      <c r="B170" s="297" t="s">
        <v>3661</v>
      </c>
      <c r="C170" s="298"/>
      <c r="D170" s="266" t="s">
        <v>3662</v>
      </c>
      <c r="E170" s="267" t="s">
        <v>220</v>
      </c>
      <c r="F170" s="269"/>
      <c r="G170" s="269"/>
      <c r="H170" s="269"/>
      <c r="I170" s="269"/>
      <c r="J170" s="269"/>
      <c r="K170" s="269"/>
      <c r="L170" s="269"/>
      <c r="M170" s="269"/>
      <c r="N170" s="269"/>
      <c r="O170" s="269"/>
      <c r="P170" s="269"/>
      <c r="Q170" s="269"/>
      <c r="R170" s="269"/>
      <c r="S170" s="269"/>
      <c r="T170" s="269"/>
      <c r="U170" s="217"/>
      <c r="V170" s="217"/>
      <c r="W170" s="217"/>
      <c r="X170" s="217"/>
      <c r="Y170" s="217"/>
      <c r="Z170" s="217"/>
    </row>
    <row r="171" ht="18.75" customHeight="1">
      <c r="A171" s="245">
        <v>22.0</v>
      </c>
      <c r="B171" s="297" t="s">
        <v>3666</v>
      </c>
      <c r="C171" s="298"/>
      <c r="D171" s="266" t="s">
        <v>3667</v>
      </c>
      <c r="E171" s="267" t="s">
        <v>220</v>
      </c>
      <c r="F171" s="269"/>
      <c r="G171" s="269"/>
      <c r="H171" s="269"/>
      <c r="I171" s="269"/>
      <c r="J171" s="269"/>
      <c r="K171" s="269"/>
      <c r="L171" s="269"/>
      <c r="M171" s="269"/>
      <c r="N171" s="269"/>
      <c r="O171" s="269"/>
      <c r="P171" s="269"/>
      <c r="Q171" s="269"/>
      <c r="R171" s="269"/>
      <c r="S171" s="269"/>
      <c r="T171" s="269"/>
      <c r="U171" s="217"/>
      <c r="V171" s="217"/>
      <c r="W171" s="217"/>
      <c r="X171" s="217"/>
      <c r="Y171" s="217"/>
      <c r="Z171" s="217"/>
    </row>
    <row r="172" ht="18.75" customHeight="1">
      <c r="A172" s="296">
        <v>23.0</v>
      </c>
      <c r="B172" s="297" t="s">
        <v>3671</v>
      </c>
      <c r="C172" s="298"/>
      <c r="D172" s="266" t="s">
        <v>3672</v>
      </c>
      <c r="E172" s="267" t="s">
        <v>220</v>
      </c>
      <c r="F172" s="269"/>
      <c r="G172" s="269"/>
      <c r="H172" s="269"/>
      <c r="I172" s="269"/>
      <c r="J172" s="269"/>
      <c r="K172" s="269"/>
      <c r="L172" s="269"/>
      <c r="M172" s="269"/>
      <c r="N172" s="269"/>
      <c r="O172" s="269"/>
      <c r="P172" s="269"/>
      <c r="Q172" s="269"/>
      <c r="R172" s="269"/>
      <c r="S172" s="269"/>
      <c r="T172" s="269"/>
      <c r="U172" s="217"/>
      <c r="V172" s="217"/>
      <c r="W172" s="217"/>
      <c r="X172" s="217"/>
      <c r="Y172" s="217"/>
      <c r="Z172" s="217"/>
    </row>
    <row r="173" ht="18.75" customHeight="1">
      <c r="A173" s="245">
        <v>24.0</v>
      </c>
      <c r="B173" s="297" t="s">
        <v>3676</v>
      </c>
      <c r="C173" s="298"/>
      <c r="D173" s="266" t="s">
        <v>3677</v>
      </c>
      <c r="E173" s="267" t="s">
        <v>227</v>
      </c>
      <c r="F173" s="269"/>
      <c r="G173" s="269"/>
      <c r="H173" s="269"/>
      <c r="I173" s="269"/>
      <c r="J173" s="269"/>
      <c r="K173" s="269"/>
      <c r="L173" s="269"/>
      <c r="M173" s="269"/>
      <c r="N173" s="269"/>
      <c r="O173" s="269"/>
      <c r="P173" s="269"/>
      <c r="Q173" s="269"/>
      <c r="R173" s="269"/>
      <c r="S173" s="269"/>
      <c r="T173" s="269"/>
      <c r="U173" s="217"/>
      <c r="V173" s="217"/>
      <c r="W173" s="217"/>
      <c r="X173" s="217"/>
      <c r="Y173" s="217"/>
      <c r="Z173" s="217"/>
    </row>
    <row r="174" ht="18.75" customHeight="1">
      <c r="A174" s="296">
        <v>25.0</v>
      </c>
      <c r="B174" s="297" t="s">
        <v>49</v>
      </c>
      <c r="C174" s="298"/>
      <c r="D174" s="266" t="s">
        <v>3681</v>
      </c>
      <c r="E174" s="267" t="s">
        <v>227</v>
      </c>
      <c r="F174" s="269"/>
      <c r="G174" s="269"/>
      <c r="H174" s="269"/>
      <c r="I174" s="269"/>
      <c r="J174" s="269"/>
      <c r="K174" s="269"/>
      <c r="L174" s="269"/>
      <c r="M174" s="269"/>
      <c r="N174" s="269"/>
      <c r="O174" s="269"/>
      <c r="P174" s="269"/>
      <c r="Q174" s="269"/>
      <c r="R174" s="269"/>
      <c r="S174" s="269"/>
      <c r="T174" s="269"/>
      <c r="U174" s="217"/>
      <c r="V174" s="217"/>
      <c r="W174" s="217"/>
      <c r="X174" s="217"/>
      <c r="Y174" s="217"/>
      <c r="Z174" s="217"/>
    </row>
    <row r="175" ht="18.75" customHeight="1">
      <c r="A175" s="245">
        <v>26.0</v>
      </c>
      <c r="B175" s="297" t="s">
        <v>3686</v>
      </c>
      <c r="C175" s="298"/>
      <c r="D175" s="266" t="s">
        <v>3687</v>
      </c>
      <c r="E175" s="267" t="s">
        <v>227</v>
      </c>
      <c r="F175" s="269"/>
      <c r="G175" s="269"/>
      <c r="H175" s="269"/>
      <c r="I175" s="269"/>
      <c r="J175" s="269"/>
      <c r="K175" s="269"/>
      <c r="L175" s="269"/>
      <c r="M175" s="269"/>
      <c r="N175" s="269"/>
      <c r="O175" s="269"/>
      <c r="P175" s="269"/>
      <c r="Q175" s="269"/>
      <c r="R175" s="269"/>
      <c r="S175" s="269"/>
      <c r="T175" s="269"/>
      <c r="U175" s="217"/>
      <c r="V175" s="217"/>
      <c r="W175" s="217"/>
      <c r="X175" s="217"/>
      <c r="Y175" s="217"/>
      <c r="Z175" s="217"/>
    </row>
    <row r="176" ht="18.75" customHeight="1">
      <c r="A176" s="296">
        <v>27.0</v>
      </c>
      <c r="B176" s="297" t="s">
        <v>3691</v>
      </c>
      <c r="C176" s="298"/>
      <c r="D176" s="266" t="s">
        <v>3692</v>
      </c>
      <c r="E176" s="267" t="s">
        <v>227</v>
      </c>
      <c r="F176" s="269"/>
      <c r="G176" s="269"/>
      <c r="H176" s="269"/>
      <c r="I176" s="269"/>
      <c r="J176" s="269"/>
      <c r="K176" s="269"/>
      <c r="L176" s="269"/>
      <c r="M176" s="269"/>
      <c r="N176" s="269"/>
      <c r="O176" s="269"/>
      <c r="P176" s="269"/>
      <c r="Q176" s="269"/>
      <c r="R176" s="269"/>
      <c r="S176" s="269"/>
      <c r="T176" s="269"/>
      <c r="U176" s="217"/>
      <c r="V176" s="217"/>
      <c r="W176" s="217"/>
      <c r="X176" s="217"/>
      <c r="Y176" s="217"/>
      <c r="Z176" s="217"/>
    </row>
    <row r="177" ht="18.75" customHeight="1">
      <c r="A177" s="245">
        <v>28.0</v>
      </c>
      <c r="B177" s="297" t="s">
        <v>3696</v>
      </c>
      <c r="C177" s="298"/>
      <c r="D177" s="266" t="s">
        <v>3697</v>
      </c>
      <c r="E177" s="267" t="s">
        <v>220</v>
      </c>
      <c r="F177" s="269"/>
      <c r="G177" s="269"/>
      <c r="H177" s="269"/>
      <c r="I177" s="269"/>
      <c r="J177" s="269"/>
      <c r="K177" s="269"/>
      <c r="L177" s="269"/>
      <c r="M177" s="269"/>
      <c r="N177" s="269"/>
      <c r="O177" s="269"/>
      <c r="P177" s="269"/>
      <c r="Q177" s="269"/>
      <c r="R177" s="269"/>
      <c r="S177" s="269"/>
      <c r="T177" s="269"/>
      <c r="U177" s="217"/>
      <c r="V177" s="217"/>
      <c r="W177" s="217"/>
      <c r="X177" s="217"/>
      <c r="Y177" s="217"/>
      <c r="Z177" s="217"/>
    </row>
    <row r="178" ht="18.75" customHeight="1">
      <c r="A178" s="296">
        <v>29.0</v>
      </c>
      <c r="B178" s="297" t="s">
        <v>3701</v>
      </c>
      <c r="C178" s="298"/>
      <c r="D178" s="266" t="s">
        <v>3702</v>
      </c>
      <c r="E178" s="267" t="s">
        <v>227</v>
      </c>
      <c r="F178" s="269"/>
      <c r="G178" s="269"/>
      <c r="H178" s="269"/>
      <c r="I178" s="269"/>
      <c r="J178" s="269"/>
      <c r="K178" s="269"/>
      <c r="L178" s="269"/>
      <c r="M178" s="269"/>
      <c r="N178" s="269"/>
      <c r="O178" s="269"/>
      <c r="P178" s="269"/>
      <c r="Q178" s="269"/>
      <c r="R178" s="269"/>
      <c r="S178" s="269"/>
      <c r="T178" s="269"/>
      <c r="U178" s="217"/>
      <c r="V178" s="217"/>
      <c r="W178" s="217"/>
      <c r="X178" s="217"/>
      <c r="Y178" s="217"/>
      <c r="Z178" s="217"/>
    </row>
    <row r="179" ht="18.75" customHeight="1">
      <c r="A179" s="245">
        <v>30.0</v>
      </c>
      <c r="B179" s="297" t="s">
        <v>3706</v>
      </c>
      <c r="C179" s="298"/>
      <c r="D179" s="266" t="s">
        <v>3707</v>
      </c>
      <c r="E179" s="267" t="s">
        <v>227</v>
      </c>
      <c r="F179" s="269"/>
      <c r="G179" s="269"/>
      <c r="H179" s="269"/>
      <c r="I179" s="269"/>
      <c r="J179" s="269"/>
      <c r="K179" s="269"/>
      <c r="L179" s="269"/>
      <c r="M179" s="269"/>
      <c r="N179" s="269"/>
      <c r="O179" s="269"/>
      <c r="P179" s="269"/>
      <c r="Q179" s="269"/>
      <c r="R179" s="269"/>
      <c r="S179" s="269"/>
      <c r="T179" s="269"/>
      <c r="U179" s="217"/>
      <c r="V179" s="217"/>
      <c r="W179" s="217"/>
      <c r="X179" s="217"/>
      <c r="Y179" s="217"/>
      <c r="Z179" s="217"/>
    </row>
    <row r="180" ht="18.75" customHeight="1">
      <c r="A180" s="296">
        <v>31.0</v>
      </c>
      <c r="B180" s="297" t="s">
        <v>3712</v>
      </c>
      <c r="C180" s="298"/>
      <c r="D180" s="266" t="s">
        <v>3713</v>
      </c>
      <c r="E180" s="267" t="s">
        <v>220</v>
      </c>
      <c r="F180" s="269"/>
      <c r="G180" s="269"/>
      <c r="H180" s="269"/>
      <c r="I180" s="269"/>
      <c r="J180" s="269"/>
      <c r="K180" s="269"/>
      <c r="L180" s="269"/>
      <c r="M180" s="269"/>
      <c r="N180" s="269"/>
      <c r="O180" s="269"/>
      <c r="P180" s="269"/>
      <c r="Q180" s="269"/>
      <c r="R180" s="269"/>
      <c r="S180" s="269"/>
      <c r="T180" s="269"/>
      <c r="U180" s="217"/>
      <c r="V180" s="217"/>
      <c r="W180" s="217"/>
      <c r="X180" s="217"/>
      <c r="Y180" s="217"/>
      <c r="Z180" s="217"/>
    </row>
    <row r="181" ht="18.75" customHeight="1">
      <c r="A181" s="245">
        <v>32.0</v>
      </c>
      <c r="B181" s="297" t="s">
        <v>3717</v>
      </c>
      <c r="C181" s="298"/>
      <c r="D181" s="266" t="s">
        <v>3718</v>
      </c>
      <c r="E181" s="267" t="s">
        <v>227</v>
      </c>
      <c r="F181" s="269"/>
      <c r="G181" s="269"/>
      <c r="H181" s="269"/>
      <c r="I181" s="269"/>
      <c r="J181" s="269"/>
      <c r="K181" s="269"/>
      <c r="L181" s="269"/>
      <c r="M181" s="269"/>
      <c r="N181" s="269"/>
      <c r="O181" s="269"/>
      <c r="P181" s="269"/>
      <c r="Q181" s="269"/>
      <c r="R181" s="269"/>
      <c r="S181" s="269"/>
      <c r="T181" s="269"/>
      <c r="U181" s="217"/>
      <c r="V181" s="217"/>
      <c r="W181" s="217"/>
      <c r="X181" s="217"/>
      <c r="Y181" s="217"/>
      <c r="Z181" s="217"/>
    </row>
    <row r="182" ht="18.75" customHeight="1">
      <c r="A182" s="296">
        <v>33.0</v>
      </c>
      <c r="B182" s="297" t="s">
        <v>3722</v>
      </c>
      <c r="C182" s="298"/>
      <c r="D182" s="266" t="s">
        <v>3723</v>
      </c>
      <c r="E182" s="267" t="s">
        <v>227</v>
      </c>
      <c r="F182" s="269"/>
      <c r="G182" s="269"/>
      <c r="H182" s="269"/>
      <c r="I182" s="269"/>
      <c r="J182" s="269"/>
      <c r="K182" s="269"/>
      <c r="L182" s="269"/>
      <c r="M182" s="269"/>
      <c r="N182" s="269"/>
      <c r="O182" s="269"/>
      <c r="P182" s="269"/>
      <c r="Q182" s="269"/>
      <c r="R182" s="269"/>
      <c r="S182" s="269"/>
      <c r="T182" s="269"/>
      <c r="U182" s="217"/>
      <c r="V182" s="217"/>
      <c r="W182" s="217"/>
      <c r="X182" s="217"/>
      <c r="Y182" s="217"/>
      <c r="Z182" s="217"/>
    </row>
    <row r="183" ht="18.75" customHeight="1">
      <c r="A183" s="245">
        <v>34.0</v>
      </c>
      <c r="B183" s="297" t="s">
        <v>3727</v>
      </c>
      <c r="C183" s="298"/>
      <c r="D183" s="266" t="s">
        <v>3728</v>
      </c>
      <c r="E183" s="267" t="s">
        <v>227</v>
      </c>
      <c r="F183" s="269"/>
      <c r="G183" s="269"/>
      <c r="H183" s="269"/>
      <c r="I183" s="269"/>
      <c r="J183" s="269"/>
      <c r="K183" s="269"/>
      <c r="L183" s="269"/>
      <c r="M183" s="269"/>
      <c r="N183" s="269"/>
      <c r="O183" s="269"/>
      <c r="P183" s="269"/>
      <c r="Q183" s="269"/>
      <c r="R183" s="269"/>
      <c r="S183" s="269"/>
      <c r="T183" s="269"/>
      <c r="U183" s="217"/>
      <c r="V183" s="217"/>
      <c r="W183" s="217"/>
      <c r="X183" s="217"/>
      <c r="Y183" s="217"/>
      <c r="Z183" s="217"/>
    </row>
    <row r="184" ht="18.75" customHeight="1">
      <c r="A184" s="296">
        <v>35.0</v>
      </c>
      <c r="B184" s="297" t="s">
        <v>3732</v>
      </c>
      <c r="C184" s="298"/>
      <c r="D184" s="266" t="s">
        <v>3733</v>
      </c>
      <c r="E184" s="267" t="s">
        <v>227</v>
      </c>
      <c r="F184" s="269"/>
      <c r="G184" s="269"/>
      <c r="H184" s="269"/>
      <c r="I184" s="269"/>
      <c r="J184" s="269"/>
      <c r="K184" s="269"/>
      <c r="L184" s="269"/>
      <c r="M184" s="269"/>
      <c r="N184" s="269"/>
      <c r="O184" s="269"/>
      <c r="P184" s="269"/>
      <c r="Q184" s="269"/>
      <c r="R184" s="269"/>
      <c r="S184" s="269"/>
      <c r="T184" s="269"/>
      <c r="U184" s="217"/>
      <c r="V184" s="217"/>
      <c r="W184" s="217"/>
      <c r="X184" s="217"/>
      <c r="Y184" s="217"/>
      <c r="Z184" s="217"/>
    </row>
    <row r="185" ht="18.75" customHeight="1">
      <c r="A185" s="245">
        <v>36.0</v>
      </c>
      <c r="B185" s="297" t="s">
        <v>3738</v>
      </c>
      <c r="C185" s="298"/>
      <c r="D185" s="266" t="s">
        <v>3739</v>
      </c>
      <c r="E185" s="306" t="s">
        <v>227</v>
      </c>
      <c r="F185" s="269"/>
      <c r="G185" s="269"/>
      <c r="H185" s="269"/>
      <c r="I185" s="269"/>
      <c r="J185" s="269"/>
      <c r="K185" s="269"/>
      <c r="L185" s="269"/>
      <c r="M185" s="269"/>
      <c r="N185" s="269"/>
      <c r="O185" s="269"/>
      <c r="P185" s="269"/>
      <c r="Q185" s="269"/>
      <c r="R185" s="269"/>
      <c r="S185" s="269"/>
      <c r="T185" s="269"/>
      <c r="U185" s="217"/>
      <c r="V185" s="217"/>
      <c r="W185" s="217"/>
      <c r="X185" s="217"/>
      <c r="Y185" s="217"/>
      <c r="Z185" s="217"/>
    </row>
    <row r="186" ht="14.25" hidden="1" customHeight="1">
      <c r="B186" s="368" t="s">
        <v>8789</v>
      </c>
      <c r="C186" s="252"/>
      <c r="D186" s="253">
        <f>COUNTIF(E150:E185,"L")</f>
        <v>8</v>
      </c>
      <c r="E186" s="253"/>
      <c r="F186" s="254"/>
      <c r="G186" s="254"/>
      <c r="H186" s="254"/>
      <c r="I186" s="254"/>
      <c r="J186" s="254"/>
      <c r="K186" s="254"/>
      <c r="L186" s="254"/>
      <c r="M186" s="254"/>
      <c r="N186" s="254"/>
      <c r="O186" s="254"/>
      <c r="P186" s="254"/>
      <c r="Q186" s="254"/>
      <c r="R186" s="254"/>
      <c r="S186" s="254"/>
      <c r="T186" s="254"/>
      <c r="U186" s="217"/>
      <c r="V186" s="217"/>
      <c r="W186" s="217"/>
      <c r="X186" s="217"/>
      <c r="Y186" s="217"/>
      <c r="Z186" s="217"/>
    </row>
    <row r="187" ht="16.5" hidden="1" customHeight="1">
      <c r="A187" s="252"/>
      <c r="B187" s="368" t="s">
        <v>8790</v>
      </c>
      <c r="C187" s="252"/>
      <c r="D187" s="253">
        <f>COUNTIF(E150:E185,"P")</f>
        <v>28</v>
      </c>
      <c r="E187" s="253"/>
      <c r="F187" s="254"/>
      <c r="G187" s="254"/>
      <c r="H187" s="254"/>
      <c r="I187" s="254"/>
      <c r="J187" s="254"/>
      <c r="K187" s="307" t="s">
        <v>9753</v>
      </c>
      <c r="L187" s="308"/>
      <c r="M187" s="308"/>
      <c r="N187" s="308"/>
      <c r="O187" s="308"/>
      <c r="P187" s="308"/>
      <c r="Q187" s="308"/>
      <c r="R187" s="309"/>
      <c r="S187" s="293"/>
      <c r="T187" s="293"/>
      <c r="U187" s="217"/>
      <c r="V187" s="217"/>
      <c r="W187" s="217"/>
      <c r="X187" s="217"/>
      <c r="Y187" s="217"/>
      <c r="Z187" s="217"/>
    </row>
    <row r="188" ht="16.5" hidden="1" customHeight="1">
      <c r="A188" s="252"/>
      <c r="B188" s="368" t="s">
        <v>8792</v>
      </c>
      <c r="C188" s="252"/>
      <c r="D188" s="253">
        <f>SUM(D186:D187)</f>
        <v>36</v>
      </c>
      <c r="E188" s="253"/>
      <c r="F188" s="254"/>
      <c r="G188" s="254"/>
      <c r="H188" s="254"/>
      <c r="I188" s="254"/>
      <c r="J188" s="254"/>
      <c r="K188" s="258" t="s">
        <v>8793</v>
      </c>
      <c r="L188" s="259"/>
      <c r="M188" s="259"/>
      <c r="N188" s="259"/>
      <c r="O188" s="259"/>
      <c r="P188" s="259"/>
      <c r="Q188" s="259"/>
      <c r="R188" s="259"/>
      <c r="S188" s="259"/>
      <c r="T188" s="260"/>
      <c r="U188" s="217"/>
      <c r="V188" s="217"/>
      <c r="W188" s="217"/>
      <c r="X188" s="217"/>
      <c r="Y188" s="217"/>
      <c r="Z188" s="217"/>
    </row>
    <row r="189" ht="75.75" hidden="1" customHeight="1">
      <c r="A189" s="261" t="s">
        <v>8743</v>
      </c>
      <c r="B189" s="261"/>
      <c r="C189" s="261"/>
      <c r="D189" s="261"/>
      <c r="E189" s="261"/>
      <c r="F189" s="261"/>
      <c r="G189" s="261"/>
      <c r="H189" s="261"/>
      <c r="I189" s="261"/>
      <c r="J189" s="261"/>
      <c r="K189" s="261"/>
      <c r="L189" s="261"/>
      <c r="M189" s="261"/>
      <c r="N189" s="261"/>
      <c r="O189" s="261"/>
      <c r="P189" s="261"/>
      <c r="Q189" s="261"/>
      <c r="R189" s="261"/>
      <c r="S189" s="261"/>
      <c r="T189" s="261"/>
      <c r="U189" s="217"/>
      <c r="V189" s="217"/>
      <c r="W189" s="217"/>
      <c r="X189" s="217"/>
      <c r="Y189" s="217"/>
      <c r="Z189" s="217"/>
    </row>
    <row r="190" ht="16.5" hidden="1" customHeight="1">
      <c r="A190" s="262" t="s">
        <v>9365</v>
      </c>
      <c r="B190" s="263"/>
      <c r="C190" s="263"/>
      <c r="D190" s="263"/>
      <c r="E190" s="263"/>
      <c r="F190" s="263"/>
      <c r="G190" s="263"/>
      <c r="H190" s="263"/>
      <c r="I190" s="263"/>
      <c r="J190" s="263"/>
      <c r="K190" s="263"/>
      <c r="L190" s="263"/>
      <c r="M190" s="263"/>
      <c r="N190" s="263"/>
      <c r="O190" s="263"/>
      <c r="P190" s="263"/>
      <c r="Q190" s="263"/>
      <c r="R190" s="263"/>
      <c r="S190" s="263"/>
      <c r="T190" s="264"/>
      <c r="U190" s="217"/>
      <c r="V190" s="217"/>
      <c r="W190" s="217"/>
      <c r="X190" s="217"/>
      <c r="Y190" s="217"/>
      <c r="Z190" s="217"/>
    </row>
    <row r="191" ht="16.5" hidden="1" customHeight="1">
      <c r="A191" s="222" t="s">
        <v>9798</v>
      </c>
      <c r="B191" s="223"/>
      <c r="C191" s="223"/>
      <c r="D191" s="223"/>
      <c r="E191" s="223"/>
      <c r="F191" s="223"/>
      <c r="G191" s="223"/>
      <c r="H191" s="223"/>
      <c r="I191" s="223"/>
      <c r="J191" s="223"/>
      <c r="K191" s="223"/>
      <c r="L191" s="223"/>
      <c r="M191" s="223"/>
      <c r="N191" s="223"/>
      <c r="O191" s="223"/>
      <c r="P191" s="223"/>
      <c r="Q191" s="223"/>
      <c r="R191" s="223"/>
      <c r="S191" s="223"/>
      <c r="T191" s="224"/>
      <c r="U191" s="217"/>
      <c r="V191" s="217"/>
      <c r="W191" s="217"/>
      <c r="X191" s="217"/>
      <c r="Y191" s="217"/>
      <c r="Z191" s="217"/>
    </row>
    <row r="192" ht="16.5" hidden="1" customHeight="1">
      <c r="A192" s="225" t="s">
        <v>9843</v>
      </c>
      <c r="B192" s="226"/>
      <c r="C192" s="226"/>
      <c r="D192" s="226"/>
      <c r="E192" s="226"/>
      <c r="F192" s="226"/>
      <c r="G192" s="226"/>
      <c r="H192" s="226"/>
      <c r="I192" s="226"/>
      <c r="J192" s="226"/>
      <c r="K192" s="226"/>
      <c r="L192" s="226"/>
      <c r="M192" s="226"/>
      <c r="N192" s="226"/>
      <c r="O192" s="226"/>
      <c r="P192" s="226"/>
      <c r="Q192" s="226"/>
      <c r="R192" s="226"/>
      <c r="S192" s="226"/>
      <c r="T192" s="227"/>
      <c r="U192" s="217"/>
      <c r="V192" s="217"/>
      <c r="W192" s="217"/>
      <c r="X192" s="217"/>
      <c r="Y192" s="217"/>
      <c r="Z192" s="217"/>
    </row>
    <row r="193" ht="16.5" hidden="1" customHeight="1">
      <c r="A193" s="228" t="s">
        <v>9844</v>
      </c>
      <c r="B193" s="229"/>
      <c r="C193" s="229"/>
      <c r="D193" s="229"/>
      <c r="E193" s="229"/>
      <c r="F193" s="230"/>
      <c r="G193" s="230"/>
      <c r="H193" s="230"/>
      <c r="I193" s="230"/>
      <c r="J193" s="230"/>
      <c r="K193" s="230"/>
      <c r="L193" s="230"/>
      <c r="M193" s="230"/>
      <c r="N193" s="230"/>
      <c r="O193" s="230"/>
      <c r="P193" s="230"/>
      <c r="Q193" s="230"/>
      <c r="R193" s="230"/>
      <c r="S193" s="230"/>
      <c r="T193" s="230"/>
      <c r="U193" s="217"/>
      <c r="V193" s="217"/>
      <c r="W193" s="217"/>
      <c r="X193" s="217"/>
      <c r="Y193" s="217"/>
      <c r="Z193" s="217"/>
    </row>
    <row r="194" ht="14.25" hidden="1" customHeight="1">
      <c r="A194" s="231" t="s">
        <v>8748</v>
      </c>
      <c r="B194" s="231" t="s">
        <v>9</v>
      </c>
      <c r="C194" s="231" t="s">
        <v>5246</v>
      </c>
      <c r="D194" s="231" t="s">
        <v>8680</v>
      </c>
      <c r="E194" s="232" t="s">
        <v>13</v>
      </c>
      <c r="F194" s="233" t="s">
        <v>9801</v>
      </c>
      <c r="G194" s="234"/>
      <c r="H194" s="234"/>
      <c r="I194" s="234"/>
      <c r="J194" s="234"/>
      <c r="K194" s="234"/>
      <c r="L194" s="234"/>
      <c r="M194" s="234"/>
      <c r="N194" s="234"/>
      <c r="O194" s="234"/>
      <c r="P194" s="234"/>
      <c r="Q194" s="234"/>
      <c r="R194" s="234"/>
      <c r="S194" s="234"/>
      <c r="T194" s="235"/>
      <c r="U194" s="217"/>
      <c r="V194" s="217"/>
      <c r="W194" s="217"/>
      <c r="X194" s="217"/>
      <c r="Y194" s="217"/>
      <c r="Z194" s="217"/>
    </row>
    <row r="195" ht="14.25" hidden="1" customHeight="1">
      <c r="A195" s="236"/>
      <c r="B195" s="236"/>
      <c r="C195" s="236"/>
      <c r="D195" s="236"/>
      <c r="E195" s="237"/>
      <c r="F195" s="238" t="s">
        <v>9802</v>
      </c>
      <c r="G195" s="239"/>
      <c r="H195" s="239"/>
      <c r="I195" s="239"/>
      <c r="J195" s="239"/>
      <c r="K195" s="239"/>
      <c r="L195" s="239"/>
      <c r="M195" s="239"/>
      <c r="N195" s="239"/>
      <c r="O195" s="239"/>
      <c r="P195" s="239"/>
      <c r="Q195" s="240"/>
      <c r="R195" s="233" t="s">
        <v>9713</v>
      </c>
      <c r="S195" s="234"/>
      <c r="T195" s="235"/>
      <c r="U195" s="217"/>
      <c r="V195" s="217"/>
      <c r="W195" s="217"/>
      <c r="X195" s="217"/>
      <c r="Y195" s="217"/>
      <c r="Z195" s="217"/>
    </row>
    <row r="196" ht="14.25" hidden="1" customHeight="1">
      <c r="A196" s="241"/>
      <c r="B196" s="241"/>
      <c r="C196" s="241"/>
      <c r="D196" s="241"/>
      <c r="E196" s="242"/>
      <c r="F196" s="243">
        <v>1.0</v>
      </c>
      <c r="G196" s="243">
        <v>2.0</v>
      </c>
      <c r="H196" s="243">
        <v>3.0</v>
      </c>
      <c r="I196" s="243">
        <v>4.0</v>
      </c>
      <c r="J196" s="243">
        <v>5.0</v>
      </c>
      <c r="K196" s="243">
        <v>6.0</v>
      </c>
      <c r="L196" s="243">
        <v>7.0</v>
      </c>
      <c r="M196" s="243">
        <v>8.0</v>
      </c>
      <c r="N196" s="243">
        <v>9.0</v>
      </c>
      <c r="O196" s="243">
        <v>10.0</v>
      </c>
      <c r="P196" s="243">
        <v>11.0</v>
      </c>
      <c r="Q196" s="243">
        <v>12.0</v>
      </c>
      <c r="R196" s="243" t="s">
        <v>9714</v>
      </c>
      <c r="S196" s="243" t="s">
        <v>9715</v>
      </c>
      <c r="T196" s="244" t="s">
        <v>9716</v>
      </c>
      <c r="U196" s="217"/>
      <c r="V196" s="217"/>
      <c r="W196" s="217"/>
      <c r="X196" s="217"/>
      <c r="Y196" s="217"/>
      <c r="Z196" s="217"/>
    </row>
    <row r="197" ht="14.25" customHeight="1">
      <c r="A197" s="245">
        <v>1.0</v>
      </c>
      <c r="B197" s="302" t="s">
        <v>3743</v>
      </c>
      <c r="C197" s="303"/>
      <c r="D197" s="266" t="s">
        <v>3744</v>
      </c>
      <c r="E197" s="267" t="s">
        <v>220</v>
      </c>
      <c r="F197" s="245"/>
      <c r="G197" s="273"/>
      <c r="H197" s="273"/>
      <c r="I197" s="269"/>
      <c r="J197" s="269"/>
      <c r="K197" s="269"/>
      <c r="L197" s="269"/>
      <c r="M197" s="269"/>
      <c r="N197" s="269"/>
      <c r="O197" s="269"/>
      <c r="P197" s="269"/>
      <c r="Q197" s="269"/>
      <c r="R197" s="269"/>
      <c r="S197" s="269"/>
      <c r="T197" s="269"/>
      <c r="U197" s="217"/>
      <c r="V197" s="217"/>
      <c r="W197" s="217"/>
      <c r="X197" s="217"/>
      <c r="Y197" s="217"/>
      <c r="Z197" s="217"/>
    </row>
    <row r="198" ht="14.25" customHeight="1">
      <c r="A198" s="245">
        <v>2.0</v>
      </c>
      <c r="B198" s="310" t="s">
        <v>3750</v>
      </c>
      <c r="C198" s="311"/>
      <c r="D198" s="266" t="s">
        <v>3751</v>
      </c>
      <c r="E198" s="267" t="s">
        <v>227</v>
      </c>
      <c r="F198" s="245"/>
      <c r="G198" s="273"/>
      <c r="H198" s="273"/>
      <c r="I198" s="269"/>
      <c r="J198" s="269"/>
      <c r="K198" s="269"/>
      <c r="L198" s="269"/>
      <c r="M198" s="269"/>
      <c r="N198" s="269"/>
      <c r="O198" s="269"/>
      <c r="P198" s="269"/>
      <c r="Q198" s="269"/>
      <c r="R198" s="269"/>
      <c r="S198" s="269"/>
      <c r="T198" s="269"/>
      <c r="U198" s="217"/>
      <c r="V198" s="217"/>
      <c r="W198" s="217"/>
      <c r="X198" s="217"/>
      <c r="Y198" s="217"/>
      <c r="Z198" s="217"/>
    </row>
    <row r="199" ht="14.25" customHeight="1">
      <c r="A199" s="245">
        <v>3.0</v>
      </c>
      <c r="B199" s="310" t="s">
        <v>3755</v>
      </c>
      <c r="C199" s="311"/>
      <c r="D199" s="266" t="s">
        <v>3756</v>
      </c>
      <c r="E199" s="267" t="s">
        <v>220</v>
      </c>
      <c r="F199" s="245"/>
      <c r="G199" s="273"/>
      <c r="H199" s="273"/>
      <c r="I199" s="269"/>
      <c r="J199" s="269"/>
      <c r="K199" s="269"/>
      <c r="L199" s="269"/>
      <c r="M199" s="269"/>
      <c r="N199" s="269"/>
      <c r="O199" s="269"/>
      <c r="P199" s="269"/>
      <c r="Q199" s="269"/>
      <c r="R199" s="269"/>
      <c r="S199" s="269"/>
      <c r="T199" s="269"/>
      <c r="U199" s="217"/>
      <c r="V199" s="217"/>
      <c r="W199" s="217"/>
      <c r="X199" s="217"/>
      <c r="Y199" s="217"/>
      <c r="Z199" s="217"/>
    </row>
    <row r="200" ht="14.25" customHeight="1">
      <c r="A200" s="245">
        <v>4.0</v>
      </c>
      <c r="B200" s="310" t="s">
        <v>3760</v>
      </c>
      <c r="C200" s="311"/>
      <c r="D200" s="266" t="s">
        <v>3761</v>
      </c>
      <c r="E200" s="267" t="s">
        <v>220</v>
      </c>
      <c r="F200" s="245"/>
      <c r="G200" s="273"/>
      <c r="H200" s="273"/>
      <c r="I200" s="269"/>
      <c r="J200" s="269"/>
      <c r="K200" s="269"/>
      <c r="L200" s="269"/>
      <c r="M200" s="269"/>
      <c r="N200" s="269"/>
      <c r="O200" s="269"/>
      <c r="P200" s="269"/>
      <c r="Q200" s="269"/>
      <c r="R200" s="269"/>
      <c r="S200" s="269"/>
      <c r="T200" s="269"/>
      <c r="U200" s="217"/>
      <c r="V200" s="217"/>
      <c r="W200" s="217"/>
      <c r="X200" s="217"/>
      <c r="Y200" s="217"/>
      <c r="Z200" s="217"/>
    </row>
    <row r="201" ht="14.25" customHeight="1">
      <c r="A201" s="245">
        <v>5.0</v>
      </c>
      <c r="B201" s="304" t="s">
        <v>3765</v>
      </c>
      <c r="C201" s="305"/>
      <c r="D201" s="266" t="s">
        <v>3766</v>
      </c>
      <c r="E201" s="267" t="s">
        <v>227</v>
      </c>
      <c r="F201" s="245"/>
      <c r="G201" s="273"/>
      <c r="H201" s="273"/>
      <c r="I201" s="269"/>
      <c r="J201" s="269"/>
      <c r="K201" s="269"/>
      <c r="L201" s="269"/>
      <c r="M201" s="269"/>
      <c r="N201" s="269"/>
      <c r="O201" s="269"/>
      <c r="P201" s="269"/>
      <c r="Q201" s="269"/>
      <c r="R201" s="269"/>
      <c r="S201" s="269"/>
      <c r="T201" s="269"/>
      <c r="U201" s="217"/>
      <c r="V201" s="217"/>
      <c r="W201" s="217"/>
      <c r="X201" s="217"/>
      <c r="Y201" s="217"/>
      <c r="Z201" s="217"/>
    </row>
    <row r="202" ht="14.25" customHeight="1">
      <c r="A202" s="245">
        <v>6.0</v>
      </c>
      <c r="B202" s="297" t="s">
        <v>3770</v>
      </c>
      <c r="C202" s="298"/>
      <c r="D202" s="266" t="s">
        <v>3771</v>
      </c>
      <c r="E202" s="267" t="s">
        <v>227</v>
      </c>
      <c r="F202" s="245"/>
      <c r="G202" s="273"/>
      <c r="H202" s="273"/>
      <c r="I202" s="269"/>
      <c r="J202" s="269"/>
      <c r="K202" s="269"/>
      <c r="L202" s="269"/>
      <c r="M202" s="269"/>
      <c r="N202" s="269"/>
      <c r="O202" s="269"/>
      <c r="P202" s="269"/>
      <c r="Q202" s="269"/>
      <c r="R202" s="269"/>
      <c r="S202" s="269"/>
      <c r="T202" s="269"/>
      <c r="U202" s="217"/>
      <c r="V202" s="217"/>
      <c r="W202" s="217"/>
      <c r="X202" s="217"/>
      <c r="Y202" s="217"/>
      <c r="Z202" s="217"/>
    </row>
    <row r="203" ht="14.25" customHeight="1">
      <c r="A203" s="245">
        <v>7.0</v>
      </c>
      <c r="B203" s="297" t="s">
        <v>3775</v>
      </c>
      <c r="C203" s="298"/>
      <c r="D203" s="266" t="s">
        <v>3776</v>
      </c>
      <c r="E203" s="267" t="s">
        <v>220</v>
      </c>
      <c r="F203" s="245"/>
      <c r="G203" s="273"/>
      <c r="H203" s="273"/>
      <c r="I203" s="269"/>
      <c r="J203" s="269"/>
      <c r="K203" s="269"/>
      <c r="L203" s="269"/>
      <c r="M203" s="269"/>
      <c r="N203" s="269"/>
      <c r="O203" s="269"/>
      <c r="P203" s="269"/>
      <c r="Q203" s="269"/>
      <c r="R203" s="269"/>
      <c r="S203" s="269"/>
      <c r="T203" s="269"/>
      <c r="U203" s="217"/>
      <c r="V203" s="217"/>
      <c r="W203" s="217"/>
      <c r="X203" s="217"/>
      <c r="Y203" s="217"/>
      <c r="Z203" s="217"/>
    </row>
    <row r="204" ht="14.25" customHeight="1">
      <c r="A204" s="245">
        <v>8.0</v>
      </c>
      <c r="B204" s="302" t="s">
        <v>3781</v>
      </c>
      <c r="C204" s="303"/>
      <c r="D204" s="266" t="s">
        <v>3782</v>
      </c>
      <c r="E204" s="267" t="s">
        <v>227</v>
      </c>
      <c r="F204" s="245"/>
      <c r="G204" s="273"/>
      <c r="H204" s="273"/>
      <c r="I204" s="269"/>
      <c r="J204" s="269"/>
      <c r="K204" s="269"/>
      <c r="L204" s="269"/>
      <c r="M204" s="269"/>
      <c r="N204" s="269"/>
      <c r="O204" s="269"/>
      <c r="P204" s="269"/>
      <c r="Q204" s="269"/>
      <c r="R204" s="269"/>
      <c r="S204" s="269"/>
      <c r="T204" s="269"/>
      <c r="U204" s="217"/>
      <c r="V204" s="217"/>
      <c r="W204" s="217"/>
      <c r="X204" s="217"/>
      <c r="Y204" s="217"/>
      <c r="Z204" s="217"/>
    </row>
    <row r="205" ht="14.25" customHeight="1">
      <c r="A205" s="245">
        <v>9.0</v>
      </c>
      <c r="B205" s="304" t="s">
        <v>3786</v>
      </c>
      <c r="C205" s="305"/>
      <c r="D205" s="266" t="s">
        <v>3787</v>
      </c>
      <c r="E205" s="267" t="s">
        <v>227</v>
      </c>
      <c r="F205" s="245"/>
      <c r="G205" s="273"/>
      <c r="H205" s="273"/>
      <c r="I205" s="269"/>
      <c r="J205" s="269"/>
      <c r="K205" s="269"/>
      <c r="L205" s="269"/>
      <c r="M205" s="269"/>
      <c r="N205" s="269"/>
      <c r="O205" s="269"/>
      <c r="P205" s="269"/>
      <c r="Q205" s="269"/>
      <c r="R205" s="269"/>
      <c r="S205" s="269"/>
      <c r="T205" s="269"/>
      <c r="U205" s="217"/>
      <c r="V205" s="217"/>
      <c r="W205" s="217"/>
      <c r="X205" s="217"/>
      <c r="Y205" s="217"/>
      <c r="Z205" s="217"/>
    </row>
    <row r="206" ht="14.25" customHeight="1">
      <c r="A206" s="245">
        <v>10.0</v>
      </c>
      <c r="B206" s="302" t="s">
        <v>3791</v>
      </c>
      <c r="C206" s="303"/>
      <c r="D206" s="266" t="s">
        <v>3792</v>
      </c>
      <c r="E206" s="267" t="s">
        <v>227</v>
      </c>
      <c r="F206" s="245"/>
      <c r="G206" s="273"/>
      <c r="H206" s="273"/>
      <c r="I206" s="269"/>
      <c r="J206" s="269"/>
      <c r="K206" s="269"/>
      <c r="L206" s="269"/>
      <c r="M206" s="269"/>
      <c r="N206" s="269"/>
      <c r="O206" s="269"/>
      <c r="P206" s="269"/>
      <c r="Q206" s="269"/>
      <c r="R206" s="269"/>
      <c r="S206" s="269"/>
      <c r="T206" s="269"/>
      <c r="U206" s="217"/>
      <c r="V206" s="217"/>
      <c r="W206" s="217"/>
      <c r="X206" s="217"/>
      <c r="Y206" s="217"/>
      <c r="Z206" s="217"/>
    </row>
    <row r="207" ht="14.25" customHeight="1">
      <c r="A207" s="245">
        <v>11.0</v>
      </c>
      <c r="B207" s="310" t="s">
        <v>3796</v>
      </c>
      <c r="C207" s="311"/>
      <c r="D207" s="266" t="s">
        <v>3797</v>
      </c>
      <c r="E207" s="267" t="s">
        <v>227</v>
      </c>
      <c r="F207" s="245"/>
      <c r="G207" s="273"/>
      <c r="H207" s="273"/>
      <c r="I207" s="269"/>
      <c r="J207" s="269"/>
      <c r="K207" s="269"/>
      <c r="L207" s="269"/>
      <c r="M207" s="269"/>
      <c r="N207" s="269"/>
      <c r="O207" s="269"/>
      <c r="P207" s="269"/>
      <c r="Q207" s="269"/>
      <c r="R207" s="269"/>
      <c r="S207" s="269"/>
      <c r="T207" s="269"/>
      <c r="U207" s="217"/>
      <c r="V207" s="217"/>
      <c r="W207" s="217"/>
      <c r="X207" s="217"/>
      <c r="Y207" s="217"/>
      <c r="Z207" s="217"/>
    </row>
    <row r="208" ht="14.25" customHeight="1">
      <c r="A208" s="245">
        <v>12.0</v>
      </c>
      <c r="B208" s="312" t="s">
        <v>3801</v>
      </c>
      <c r="C208" s="313"/>
      <c r="D208" s="266" t="s">
        <v>3802</v>
      </c>
      <c r="E208" s="267" t="s">
        <v>227</v>
      </c>
      <c r="F208" s="245"/>
      <c r="G208" s="273"/>
      <c r="H208" s="273"/>
      <c r="I208" s="269"/>
      <c r="J208" s="269"/>
      <c r="K208" s="269"/>
      <c r="L208" s="269"/>
      <c r="M208" s="269"/>
      <c r="N208" s="269"/>
      <c r="O208" s="269"/>
      <c r="P208" s="269"/>
      <c r="Q208" s="269"/>
      <c r="R208" s="269"/>
      <c r="S208" s="269"/>
      <c r="T208" s="269"/>
      <c r="U208" s="217"/>
      <c r="V208" s="217"/>
      <c r="W208" s="217"/>
      <c r="X208" s="217"/>
      <c r="Y208" s="217"/>
      <c r="Z208" s="217"/>
    </row>
    <row r="209" ht="14.25" customHeight="1">
      <c r="A209" s="245">
        <v>13.0</v>
      </c>
      <c r="B209" s="297" t="s">
        <v>3807</v>
      </c>
      <c r="C209" s="298"/>
      <c r="D209" s="266" t="s">
        <v>3808</v>
      </c>
      <c r="E209" s="267" t="s">
        <v>227</v>
      </c>
      <c r="F209" s="245"/>
      <c r="G209" s="273"/>
      <c r="H209" s="273"/>
      <c r="I209" s="269"/>
      <c r="J209" s="269"/>
      <c r="K209" s="269"/>
      <c r="L209" s="269"/>
      <c r="M209" s="269"/>
      <c r="N209" s="269"/>
      <c r="O209" s="269"/>
      <c r="P209" s="269"/>
      <c r="Q209" s="269"/>
      <c r="R209" s="269"/>
      <c r="S209" s="269"/>
      <c r="T209" s="269"/>
      <c r="U209" s="217"/>
      <c r="V209" s="217"/>
      <c r="W209" s="217"/>
      <c r="X209" s="217"/>
      <c r="Y209" s="217"/>
      <c r="Z209" s="217"/>
    </row>
    <row r="210" ht="14.25" customHeight="1">
      <c r="A210" s="245">
        <v>14.0</v>
      </c>
      <c r="B210" s="297" t="s">
        <v>3812</v>
      </c>
      <c r="C210" s="298"/>
      <c r="D210" s="266" t="s">
        <v>3813</v>
      </c>
      <c r="E210" s="267" t="s">
        <v>227</v>
      </c>
      <c r="F210" s="245"/>
      <c r="G210" s="273"/>
      <c r="H210" s="273"/>
      <c r="I210" s="269"/>
      <c r="J210" s="269"/>
      <c r="K210" s="269"/>
      <c r="L210" s="269"/>
      <c r="M210" s="269"/>
      <c r="N210" s="269"/>
      <c r="O210" s="269"/>
      <c r="P210" s="269"/>
      <c r="Q210" s="269"/>
      <c r="R210" s="269"/>
      <c r="S210" s="269"/>
      <c r="T210" s="269"/>
      <c r="U210" s="217"/>
      <c r="V210" s="217"/>
      <c r="W210" s="217"/>
      <c r="X210" s="217"/>
      <c r="Y210" s="217"/>
      <c r="Z210" s="217"/>
    </row>
    <row r="211" ht="14.25" customHeight="1">
      <c r="A211" s="245">
        <v>15.0</v>
      </c>
      <c r="B211" s="297" t="s">
        <v>128</v>
      </c>
      <c r="C211" s="298"/>
      <c r="D211" s="270" t="s">
        <v>3817</v>
      </c>
      <c r="E211" s="271" t="s">
        <v>227</v>
      </c>
      <c r="F211" s="245"/>
      <c r="G211" s="273"/>
      <c r="H211" s="273"/>
      <c r="I211" s="269"/>
      <c r="J211" s="269"/>
      <c r="K211" s="269"/>
      <c r="L211" s="269"/>
      <c r="M211" s="269"/>
      <c r="N211" s="269"/>
      <c r="O211" s="269"/>
      <c r="P211" s="269"/>
      <c r="Q211" s="269"/>
      <c r="R211" s="269"/>
      <c r="S211" s="269"/>
      <c r="T211" s="269"/>
      <c r="W211" s="217"/>
      <c r="X211" s="217"/>
      <c r="Y211" s="217"/>
      <c r="Z211" s="217"/>
    </row>
    <row r="212" ht="14.25" customHeight="1">
      <c r="A212" s="245">
        <v>16.0</v>
      </c>
      <c r="B212" s="302" t="s">
        <v>3821</v>
      </c>
      <c r="C212" s="303"/>
      <c r="D212" s="266" t="s">
        <v>3822</v>
      </c>
      <c r="E212" s="267" t="s">
        <v>220</v>
      </c>
      <c r="F212" s="245"/>
      <c r="G212" s="273"/>
      <c r="H212" s="273"/>
      <c r="I212" s="269"/>
      <c r="J212" s="269"/>
      <c r="K212" s="269"/>
      <c r="L212" s="269"/>
      <c r="M212" s="269"/>
      <c r="N212" s="269"/>
      <c r="O212" s="269"/>
      <c r="P212" s="269"/>
      <c r="Q212" s="269"/>
      <c r="R212" s="269"/>
      <c r="S212" s="269"/>
      <c r="T212" s="269"/>
      <c r="U212" s="217"/>
      <c r="V212" s="217"/>
      <c r="W212" s="217"/>
      <c r="X212" s="217"/>
      <c r="Y212" s="217"/>
      <c r="Z212" s="217"/>
    </row>
    <row r="213" ht="14.25" customHeight="1">
      <c r="A213" s="245">
        <v>17.0</v>
      </c>
      <c r="B213" s="310" t="s">
        <v>3826</v>
      </c>
      <c r="C213" s="311"/>
      <c r="D213" s="266" t="s">
        <v>3827</v>
      </c>
      <c r="E213" s="267" t="s">
        <v>220</v>
      </c>
      <c r="F213" s="245"/>
      <c r="G213" s="273"/>
      <c r="H213" s="273"/>
      <c r="I213" s="269"/>
      <c r="J213" s="269"/>
      <c r="K213" s="269"/>
      <c r="L213" s="269"/>
      <c r="M213" s="269"/>
      <c r="N213" s="269"/>
      <c r="O213" s="269"/>
      <c r="P213" s="269"/>
      <c r="Q213" s="269"/>
      <c r="R213" s="269"/>
      <c r="S213" s="269"/>
      <c r="T213" s="269"/>
      <c r="U213" s="217"/>
      <c r="V213" s="217"/>
      <c r="W213" s="217"/>
      <c r="X213" s="217"/>
      <c r="Y213" s="217"/>
      <c r="Z213" s="217"/>
    </row>
    <row r="214" ht="14.25" customHeight="1">
      <c r="A214" s="245">
        <v>18.0</v>
      </c>
      <c r="B214" s="310" t="s">
        <v>3832</v>
      </c>
      <c r="C214" s="311"/>
      <c r="D214" s="266" t="s">
        <v>3833</v>
      </c>
      <c r="E214" s="267" t="s">
        <v>220</v>
      </c>
      <c r="F214" s="245"/>
      <c r="G214" s="273"/>
      <c r="H214" s="273"/>
      <c r="I214" s="269"/>
      <c r="J214" s="269"/>
      <c r="K214" s="269"/>
      <c r="L214" s="269"/>
      <c r="M214" s="269"/>
      <c r="N214" s="269"/>
      <c r="O214" s="269"/>
      <c r="P214" s="269"/>
      <c r="Q214" s="269"/>
      <c r="R214" s="269"/>
      <c r="S214" s="269"/>
      <c r="T214" s="269"/>
      <c r="U214" s="217"/>
      <c r="V214" s="217"/>
      <c r="W214" s="217"/>
      <c r="X214" s="217"/>
      <c r="Y214" s="217"/>
      <c r="Z214" s="217"/>
    </row>
    <row r="215" ht="14.25" customHeight="1">
      <c r="A215" s="245">
        <v>19.0</v>
      </c>
      <c r="B215" s="304" t="s">
        <v>3837</v>
      </c>
      <c r="C215" s="305"/>
      <c r="D215" s="266" t="s">
        <v>3838</v>
      </c>
      <c r="E215" s="267" t="s">
        <v>227</v>
      </c>
      <c r="F215" s="245"/>
      <c r="G215" s="273"/>
      <c r="H215" s="273"/>
      <c r="I215" s="269"/>
      <c r="J215" s="269"/>
      <c r="K215" s="269"/>
      <c r="L215" s="269"/>
      <c r="M215" s="269"/>
      <c r="N215" s="269"/>
      <c r="O215" s="269"/>
      <c r="P215" s="269"/>
      <c r="Q215" s="269"/>
      <c r="R215" s="269"/>
      <c r="S215" s="269"/>
      <c r="T215" s="269"/>
      <c r="U215" s="217"/>
      <c r="V215" s="217"/>
      <c r="W215" s="217"/>
      <c r="X215" s="217"/>
      <c r="Y215" s="217"/>
      <c r="Z215" s="217"/>
    </row>
    <row r="216" ht="14.25" customHeight="1">
      <c r="A216" s="245">
        <v>20.0</v>
      </c>
      <c r="B216" s="302" t="s">
        <v>3842</v>
      </c>
      <c r="C216" s="303"/>
      <c r="D216" s="266" t="s">
        <v>3843</v>
      </c>
      <c r="E216" s="267" t="s">
        <v>227</v>
      </c>
      <c r="F216" s="245"/>
      <c r="G216" s="273"/>
      <c r="H216" s="273"/>
      <c r="I216" s="269"/>
      <c r="J216" s="269"/>
      <c r="K216" s="269"/>
      <c r="L216" s="269"/>
      <c r="M216" s="269"/>
      <c r="N216" s="269"/>
      <c r="O216" s="269"/>
      <c r="P216" s="269"/>
      <c r="Q216" s="269"/>
      <c r="R216" s="269"/>
      <c r="S216" s="269"/>
      <c r="T216" s="269"/>
      <c r="W216" s="217"/>
      <c r="X216" s="217"/>
      <c r="Y216" s="217"/>
      <c r="Z216" s="217"/>
    </row>
    <row r="217" ht="14.25" customHeight="1">
      <c r="A217" s="245">
        <v>21.0</v>
      </c>
      <c r="B217" s="310" t="s">
        <v>3847</v>
      </c>
      <c r="C217" s="311"/>
      <c r="D217" s="266" t="s">
        <v>3848</v>
      </c>
      <c r="E217" s="267" t="s">
        <v>227</v>
      </c>
      <c r="F217" s="245"/>
      <c r="G217" s="273"/>
      <c r="H217" s="273"/>
      <c r="I217" s="269"/>
      <c r="J217" s="269"/>
      <c r="K217" s="269"/>
      <c r="L217" s="269"/>
      <c r="M217" s="269"/>
      <c r="N217" s="269"/>
      <c r="O217" s="269"/>
      <c r="P217" s="269"/>
      <c r="Q217" s="269"/>
      <c r="R217" s="269"/>
      <c r="S217" s="269"/>
      <c r="T217" s="269"/>
      <c r="U217" s="217"/>
      <c r="V217" s="217"/>
      <c r="W217" s="217"/>
      <c r="X217" s="217"/>
      <c r="Y217" s="217"/>
      <c r="Z217" s="217"/>
    </row>
    <row r="218" ht="14.25" customHeight="1">
      <c r="A218" s="245">
        <v>22.0</v>
      </c>
      <c r="B218" s="310" t="s">
        <v>3852</v>
      </c>
      <c r="C218" s="311"/>
      <c r="D218" s="266" t="s">
        <v>3853</v>
      </c>
      <c r="E218" s="267" t="s">
        <v>227</v>
      </c>
      <c r="F218" s="245"/>
      <c r="G218" s="273"/>
      <c r="H218" s="273"/>
      <c r="I218" s="269"/>
      <c r="J218" s="269"/>
      <c r="K218" s="269"/>
      <c r="L218" s="269"/>
      <c r="M218" s="269"/>
      <c r="N218" s="269"/>
      <c r="O218" s="269"/>
      <c r="P218" s="269"/>
      <c r="Q218" s="269"/>
      <c r="R218" s="269"/>
      <c r="S218" s="269"/>
      <c r="T218" s="269"/>
      <c r="U218" s="217"/>
      <c r="V218" s="217"/>
      <c r="W218" s="217"/>
      <c r="X218" s="217"/>
      <c r="Y218" s="217"/>
      <c r="Z218" s="217"/>
    </row>
    <row r="219" ht="14.25" customHeight="1">
      <c r="A219" s="245">
        <v>23.0</v>
      </c>
      <c r="B219" s="304" t="s">
        <v>3857</v>
      </c>
      <c r="C219" s="305"/>
      <c r="D219" s="266" t="s">
        <v>3858</v>
      </c>
      <c r="E219" s="267" t="s">
        <v>227</v>
      </c>
      <c r="F219" s="245"/>
      <c r="G219" s="273"/>
      <c r="H219" s="273"/>
      <c r="I219" s="269"/>
      <c r="J219" s="269"/>
      <c r="K219" s="269"/>
      <c r="L219" s="269"/>
      <c r="M219" s="269"/>
      <c r="N219" s="269"/>
      <c r="O219" s="269"/>
      <c r="P219" s="269"/>
      <c r="Q219" s="269"/>
      <c r="R219" s="269"/>
      <c r="S219" s="269"/>
      <c r="T219" s="269"/>
      <c r="U219" s="217"/>
      <c r="V219" s="217"/>
      <c r="W219" s="217"/>
      <c r="X219" s="217"/>
      <c r="Y219" s="217"/>
      <c r="Z219" s="217"/>
    </row>
    <row r="220" ht="14.25" customHeight="1">
      <c r="A220" s="245">
        <v>24.0</v>
      </c>
      <c r="B220" s="302" t="s">
        <v>3863</v>
      </c>
      <c r="C220" s="303"/>
      <c r="D220" s="266" t="s">
        <v>3864</v>
      </c>
      <c r="E220" s="267" t="s">
        <v>227</v>
      </c>
      <c r="F220" s="245"/>
      <c r="G220" s="273"/>
      <c r="H220" s="273"/>
      <c r="I220" s="269"/>
      <c r="J220" s="269"/>
      <c r="K220" s="269"/>
      <c r="L220" s="269"/>
      <c r="M220" s="269"/>
      <c r="N220" s="269"/>
      <c r="O220" s="269"/>
      <c r="P220" s="269"/>
      <c r="Q220" s="269"/>
      <c r="R220" s="269"/>
      <c r="S220" s="269"/>
      <c r="T220" s="269"/>
      <c r="W220" s="217"/>
      <c r="X220" s="217"/>
      <c r="Y220" s="217"/>
      <c r="Z220" s="217"/>
    </row>
    <row r="221" ht="14.25" customHeight="1">
      <c r="A221" s="245">
        <v>25.0</v>
      </c>
      <c r="B221" s="304" t="s">
        <v>3868</v>
      </c>
      <c r="C221" s="305"/>
      <c r="D221" s="266" t="s">
        <v>3869</v>
      </c>
      <c r="E221" s="267" t="s">
        <v>227</v>
      </c>
      <c r="F221" s="269"/>
      <c r="G221" s="269"/>
      <c r="H221" s="269"/>
      <c r="I221" s="269"/>
      <c r="J221" s="269"/>
      <c r="K221" s="269"/>
      <c r="L221" s="269"/>
      <c r="M221" s="269"/>
      <c r="N221" s="269"/>
      <c r="O221" s="269"/>
      <c r="P221" s="269"/>
      <c r="Q221" s="269"/>
      <c r="R221" s="269"/>
      <c r="S221" s="269"/>
      <c r="T221" s="269"/>
      <c r="U221" s="217"/>
      <c r="V221" s="217"/>
      <c r="W221" s="217"/>
      <c r="X221" s="217"/>
      <c r="Y221" s="217"/>
      <c r="Z221" s="217"/>
    </row>
    <row r="222" ht="14.25" customHeight="1">
      <c r="A222" s="245">
        <v>26.0</v>
      </c>
      <c r="B222" s="302" t="s">
        <v>3873</v>
      </c>
      <c r="C222" s="303"/>
      <c r="D222" s="266" t="s">
        <v>3874</v>
      </c>
      <c r="E222" s="267" t="s">
        <v>227</v>
      </c>
      <c r="F222" s="269"/>
      <c r="G222" s="269"/>
      <c r="H222" s="269"/>
      <c r="I222" s="269"/>
      <c r="J222" s="269"/>
      <c r="K222" s="269"/>
      <c r="L222" s="269"/>
      <c r="M222" s="269"/>
      <c r="N222" s="269"/>
      <c r="O222" s="269"/>
      <c r="P222" s="269"/>
      <c r="Q222" s="269"/>
      <c r="R222" s="269"/>
      <c r="S222" s="269"/>
      <c r="T222" s="269"/>
      <c r="W222" s="217"/>
      <c r="X222" s="217"/>
      <c r="Y222" s="217"/>
      <c r="Z222" s="217"/>
    </row>
    <row r="223" ht="14.25" customHeight="1">
      <c r="A223" s="245">
        <v>27.0</v>
      </c>
      <c r="B223" s="304" t="s">
        <v>3878</v>
      </c>
      <c r="C223" s="305"/>
      <c r="D223" s="266" t="s">
        <v>3879</v>
      </c>
      <c r="E223" s="267" t="s">
        <v>227</v>
      </c>
      <c r="F223" s="269"/>
      <c r="G223" s="269"/>
      <c r="H223" s="269"/>
      <c r="I223" s="269"/>
      <c r="J223" s="269"/>
      <c r="K223" s="269"/>
      <c r="L223" s="269"/>
      <c r="M223" s="269"/>
      <c r="N223" s="269"/>
      <c r="O223" s="269"/>
      <c r="P223" s="269"/>
      <c r="Q223" s="269"/>
      <c r="R223" s="269"/>
      <c r="S223" s="269"/>
      <c r="T223" s="269"/>
      <c r="U223" s="217"/>
      <c r="V223" s="217"/>
      <c r="W223" s="217"/>
      <c r="X223" s="217"/>
      <c r="Y223" s="217"/>
      <c r="Z223" s="217"/>
    </row>
    <row r="224" ht="14.25" customHeight="1">
      <c r="A224" s="245">
        <v>28.0</v>
      </c>
      <c r="B224" s="302" t="s">
        <v>3884</v>
      </c>
      <c r="C224" s="303"/>
      <c r="D224" s="266" t="s">
        <v>3885</v>
      </c>
      <c r="E224" s="267" t="s">
        <v>227</v>
      </c>
      <c r="F224" s="269"/>
      <c r="G224" s="269"/>
      <c r="H224" s="269"/>
      <c r="I224" s="269"/>
      <c r="J224" s="269"/>
      <c r="K224" s="269"/>
      <c r="L224" s="269"/>
      <c r="M224" s="269"/>
      <c r="N224" s="269"/>
      <c r="O224" s="269"/>
      <c r="P224" s="269"/>
      <c r="Q224" s="269"/>
      <c r="R224" s="269"/>
      <c r="S224" s="269"/>
      <c r="T224" s="269"/>
      <c r="W224" s="217"/>
      <c r="X224" s="217"/>
      <c r="Y224" s="217"/>
      <c r="Z224" s="217"/>
    </row>
    <row r="225" ht="14.25" customHeight="1">
      <c r="A225" s="245">
        <v>29.0</v>
      </c>
      <c r="B225" s="304" t="s">
        <v>3890</v>
      </c>
      <c r="C225" s="305"/>
      <c r="D225" s="266" t="s">
        <v>3891</v>
      </c>
      <c r="E225" s="267" t="s">
        <v>220</v>
      </c>
      <c r="F225" s="269"/>
      <c r="G225" s="269"/>
      <c r="H225" s="269"/>
      <c r="I225" s="269"/>
      <c r="J225" s="269"/>
      <c r="K225" s="269"/>
      <c r="L225" s="269"/>
      <c r="M225" s="269"/>
      <c r="N225" s="269"/>
      <c r="O225" s="269"/>
      <c r="P225" s="269"/>
      <c r="Q225" s="269"/>
      <c r="R225" s="269"/>
      <c r="S225" s="269"/>
      <c r="T225" s="269"/>
      <c r="U225" s="217"/>
      <c r="V225" s="217"/>
      <c r="W225" s="217"/>
      <c r="X225" s="217"/>
      <c r="Y225" s="217"/>
      <c r="Z225" s="217"/>
    </row>
    <row r="226" ht="14.25" customHeight="1">
      <c r="A226" s="245">
        <v>30.0</v>
      </c>
      <c r="B226" s="302" t="s">
        <v>3895</v>
      </c>
      <c r="C226" s="303"/>
      <c r="D226" s="266" t="s">
        <v>3896</v>
      </c>
      <c r="E226" s="267" t="s">
        <v>227</v>
      </c>
      <c r="F226" s="269"/>
      <c r="G226" s="269"/>
      <c r="H226" s="269"/>
      <c r="I226" s="269"/>
      <c r="J226" s="269"/>
      <c r="K226" s="269"/>
      <c r="L226" s="269"/>
      <c r="M226" s="269"/>
      <c r="N226" s="269"/>
      <c r="O226" s="269"/>
      <c r="P226" s="269"/>
      <c r="Q226" s="269"/>
      <c r="R226" s="269"/>
      <c r="S226" s="269"/>
      <c r="T226" s="269"/>
      <c r="W226" s="217"/>
      <c r="X226" s="217"/>
      <c r="Y226" s="217"/>
      <c r="Z226" s="217"/>
    </row>
    <row r="227" ht="14.25" customHeight="1">
      <c r="A227" s="245">
        <v>31.0</v>
      </c>
      <c r="B227" s="304" t="s">
        <v>3901</v>
      </c>
      <c r="C227" s="305"/>
      <c r="D227" s="266" t="s">
        <v>3902</v>
      </c>
      <c r="E227" s="267" t="s">
        <v>227</v>
      </c>
      <c r="F227" s="269"/>
      <c r="G227" s="269"/>
      <c r="H227" s="269"/>
      <c r="I227" s="269"/>
      <c r="J227" s="269"/>
      <c r="K227" s="269"/>
      <c r="L227" s="269"/>
      <c r="M227" s="269"/>
      <c r="N227" s="269"/>
      <c r="O227" s="269"/>
      <c r="P227" s="269"/>
      <c r="Q227" s="269"/>
      <c r="R227" s="269"/>
      <c r="S227" s="269"/>
      <c r="T227" s="269"/>
      <c r="U227" s="217"/>
      <c r="V227" s="217"/>
      <c r="W227" s="217"/>
      <c r="X227" s="217"/>
      <c r="Y227" s="217"/>
      <c r="Z227" s="217"/>
    </row>
    <row r="228" ht="14.25" customHeight="1">
      <c r="A228" s="245">
        <v>32.0</v>
      </c>
      <c r="B228" s="302" t="s">
        <v>3906</v>
      </c>
      <c r="C228" s="303"/>
      <c r="D228" s="266" t="s">
        <v>3907</v>
      </c>
      <c r="E228" s="267" t="s">
        <v>227</v>
      </c>
      <c r="F228" s="269"/>
      <c r="G228" s="269"/>
      <c r="H228" s="269"/>
      <c r="I228" s="269"/>
      <c r="J228" s="269"/>
      <c r="K228" s="269"/>
      <c r="L228" s="269"/>
      <c r="M228" s="269"/>
      <c r="N228" s="269"/>
      <c r="O228" s="269"/>
      <c r="P228" s="269"/>
      <c r="Q228" s="269"/>
      <c r="R228" s="269"/>
      <c r="S228" s="269"/>
      <c r="T228" s="269"/>
      <c r="U228" s="217"/>
      <c r="V228" s="217"/>
      <c r="W228" s="217"/>
      <c r="X228" s="217"/>
      <c r="Y228" s="217"/>
      <c r="Z228" s="217"/>
    </row>
    <row r="229" ht="14.25" customHeight="1">
      <c r="A229" s="245">
        <v>33.0</v>
      </c>
      <c r="B229" s="310" t="s">
        <v>3911</v>
      </c>
      <c r="C229" s="311"/>
      <c r="D229" s="266" t="s">
        <v>3912</v>
      </c>
      <c r="E229" s="267" t="s">
        <v>227</v>
      </c>
      <c r="F229" s="269"/>
      <c r="G229" s="269"/>
      <c r="H229" s="269"/>
      <c r="I229" s="269"/>
      <c r="J229" s="269"/>
      <c r="K229" s="269"/>
      <c r="L229" s="269"/>
      <c r="M229" s="269"/>
      <c r="N229" s="269"/>
      <c r="O229" s="269"/>
      <c r="P229" s="269"/>
      <c r="Q229" s="269"/>
      <c r="R229" s="269"/>
      <c r="S229" s="269"/>
      <c r="T229" s="269"/>
      <c r="U229" s="217"/>
      <c r="V229" s="217"/>
      <c r="W229" s="217"/>
      <c r="X229" s="217"/>
      <c r="Y229" s="217"/>
      <c r="Z229" s="217"/>
    </row>
    <row r="230" ht="14.25" customHeight="1">
      <c r="A230" s="245">
        <v>34.0</v>
      </c>
      <c r="B230" s="310" t="s">
        <v>3916</v>
      </c>
      <c r="C230" s="311"/>
      <c r="D230" s="270" t="s">
        <v>3917</v>
      </c>
      <c r="E230" s="267" t="s">
        <v>227</v>
      </c>
      <c r="F230" s="269"/>
      <c r="G230" s="269"/>
      <c r="H230" s="269"/>
      <c r="I230" s="269"/>
      <c r="J230" s="269"/>
      <c r="K230" s="269"/>
      <c r="L230" s="269"/>
      <c r="M230" s="269"/>
      <c r="N230" s="269"/>
      <c r="O230" s="269"/>
      <c r="P230" s="269"/>
      <c r="Q230" s="269"/>
      <c r="R230" s="269"/>
      <c r="S230" s="269"/>
      <c r="T230" s="269"/>
      <c r="U230" s="217"/>
      <c r="V230" s="217"/>
      <c r="W230" s="217"/>
      <c r="X230" s="217"/>
      <c r="Y230" s="217"/>
      <c r="Z230" s="217"/>
    </row>
    <row r="231" ht="14.25" customHeight="1">
      <c r="A231" s="245">
        <v>35.0</v>
      </c>
      <c r="B231" s="310" t="s">
        <v>3921</v>
      </c>
      <c r="C231" s="311"/>
      <c r="D231" s="314" t="s">
        <v>3922</v>
      </c>
      <c r="E231" s="315" t="s">
        <v>220</v>
      </c>
      <c r="F231" s="269"/>
      <c r="G231" s="269"/>
      <c r="H231" s="269"/>
      <c r="I231" s="269"/>
      <c r="J231" s="269"/>
      <c r="K231" s="269"/>
      <c r="L231" s="269"/>
      <c r="M231" s="269"/>
      <c r="N231" s="269"/>
      <c r="O231" s="269"/>
      <c r="P231" s="269"/>
      <c r="Q231" s="269"/>
      <c r="R231" s="269"/>
      <c r="S231" s="269"/>
      <c r="T231" s="269"/>
      <c r="U231" s="217"/>
      <c r="V231" s="217"/>
      <c r="W231" s="217"/>
      <c r="X231" s="217"/>
      <c r="Y231" s="217"/>
      <c r="Z231" s="217"/>
    </row>
    <row r="232" ht="14.25" customHeight="1">
      <c r="A232" s="245">
        <v>36.0</v>
      </c>
      <c r="B232" s="304" t="s">
        <v>3926</v>
      </c>
      <c r="C232" s="305"/>
      <c r="D232" s="266" t="s">
        <v>3927</v>
      </c>
      <c r="E232" s="267" t="s">
        <v>227</v>
      </c>
      <c r="F232" s="269"/>
      <c r="G232" s="269"/>
      <c r="H232" s="269"/>
      <c r="I232" s="269"/>
      <c r="J232" s="269"/>
      <c r="K232" s="269"/>
      <c r="L232" s="269"/>
      <c r="M232" s="269"/>
      <c r="N232" s="269"/>
      <c r="O232" s="269"/>
      <c r="P232" s="269"/>
      <c r="Q232" s="269"/>
      <c r="R232" s="269"/>
      <c r="S232" s="269"/>
      <c r="T232" s="269"/>
      <c r="U232" s="217"/>
      <c r="V232" s="217"/>
      <c r="W232" s="217"/>
      <c r="X232" s="217"/>
      <c r="Y232" s="217"/>
      <c r="Z232" s="217"/>
    </row>
    <row r="233" ht="16.5" hidden="1" customHeight="1">
      <c r="A233" s="252"/>
      <c r="B233" s="368" t="s">
        <v>8789</v>
      </c>
      <c r="C233" s="252"/>
      <c r="D233" s="253">
        <f>COUNTIF(E197:E232,"L")</f>
        <v>9</v>
      </c>
      <c r="E233" s="253"/>
      <c r="F233" s="254"/>
      <c r="G233" s="254"/>
      <c r="H233" s="254"/>
      <c r="I233" s="254"/>
      <c r="J233" s="254"/>
      <c r="K233" s="254"/>
      <c r="L233" s="254"/>
      <c r="M233" s="254"/>
      <c r="N233" s="254"/>
      <c r="O233" s="254"/>
      <c r="P233" s="254"/>
      <c r="Q233" s="254"/>
      <c r="R233" s="254"/>
      <c r="S233" s="254"/>
      <c r="T233" s="254"/>
      <c r="U233" s="217"/>
      <c r="V233" s="217"/>
      <c r="W233" s="217"/>
      <c r="X233" s="217"/>
      <c r="Y233" s="217"/>
      <c r="Z233" s="217"/>
    </row>
    <row r="234" ht="16.5" hidden="1" customHeight="1">
      <c r="A234" s="252"/>
      <c r="B234" s="368" t="s">
        <v>8790</v>
      </c>
      <c r="C234" s="252"/>
      <c r="D234" s="253">
        <f>COUNTIF(E197:E232,"P")</f>
        <v>27</v>
      </c>
      <c r="E234" s="253"/>
      <c r="F234" s="254"/>
      <c r="G234" s="254"/>
      <c r="H234" s="254"/>
      <c r="I234" s="254"/>
      <c r="J234" s="254"/>
      <c r="K234" s="255" t="s">
        <v>9753</v>
      </c>
      <c r="L234" s="256"/>
      <c r="M234" s="256"/>
      <c r="N234" s="256"/>
      <c r="O234" s="256"/>
      <c r="P234" s="256"/>
      <c r="Q234" s="256"/>
      <c r="R234" s="256"/>
      <c r="S234" s="256"/>
      <c r="T234" s="257"/>
      <c r="U234" s="217"/>
      <c r="V234" s="217"/>
      <c r="W234" s="217"/>
      <c r="X234" s="217"/>
      <c r="Y234" s="217"/>
      <c r="Z234" s="217"/>
    </row>
    <row r="235" ht="16.5" hidden="1" customHeight="1">
      <c r="A235" s="252"/>
      <c r="B235" s="368" t="s">
        <v>8792</v>
      </c>
      <c r="C235" s="252"/>
      <c r="D235" s="253">
        <f>SUM(D233:D234)</f>
        <v>36</v>
      </c>
      <c r="E235" s="253"/>
      <c r="F235" s="254"/>
      <c r="G235" s="254"/>
      <c r="H235" s="254"/>
      <c r="I235" s="254"/>
      <c r="J235" s="254"/>
      <c r="K235" s="258" t="s">
        <v>8793</v>
      </c>
      <c r="L235" s="259"/>
      <c r="M235" s="259"/>
      <c r="N235" s="259"/>
      <c r="O235" s="259"/>
      <c r="P235" s="259"/>
      <c r="Q235" s="259"/>
      <c r="R235" s="259"/>
      <c r="S235" s="259"/>
      <c r="T235" s="260"/>
      <c r="U235" s="217"/>
      <c r="V235" s="217"/>
      <c r="W235" s="217"/>
      <c r="X235" s="217"/>
      <c r="Y235" s="217"/>
      <c r="Z235" s="217"/>
    </row>
    <row r="236" ht="72.75" hidden="1" customHeight="1">
      <c r="A236" s="261" t="s">
        <v>8743</v>
      </c>
      <c r="B236" s="261"/>
      <c r="C236" s="261"/>
      <c r="D236" s="261"/>
      <c r="E236" s="261"/>
      <c r="F236" s="261"/>
      <c r="G236" s="261"/>
      <c r="H236" s="261"/>
      <c r="I236" s="261"/>
      <c r="J236" s="261"/>
      <c r="K236" s="261"/>
      <c r="L236" s="261"/>
      <c r="M236" s="261"/>
      <c r="N236" s="261"/>
      <c r="O236" s="261"/>
      <c r="P236" s="261"/>
      <c r="Q236" s="261"/>
      <c r="R236" s="261"/>
      <c r="S236" s="261"/>
      <c r="T236" s="261"/>
      <c r="U236" s="217"/>
      <c r="V236" s="217"/>
      <c r="W236" s="217"/>
      <c r="X236" s="217"/>
      <c r="Y236" s="217"/>
      <c r="Z236" s="217"/>
    </row>
    <row r="237" ht="16.5" hidden="1" customHeight="1">
      <c r="A237" s="262" t="s">
        <v>9365</v>
      </c>
      <c r="B237" s="263"/>
      <c r="C237" s="263"/>
      <c r="D237" s="263"/>
      <c r="E237" s="263"/>
      <c r="F237" s="263"/>
      <c r="G237" s="263"/>
      <c r="H237" s="263"/>
      <c r="I237" s="263"/>
      <c r="J237" s="263"/>
      <c r="K237" s="263"/>
      <c r="L237" s="263"/>
      <c r="M237" s="263"/>
      <c r="N237" s="263"/>
      <c r="O237" s="263"/>
      <c r="P237" s="263"/>
      <c r="Q237" s="263"/>
      <c r="R237" s="263"/>
      <c r="S237" s="263"/>
      <c r="T237" s="264"/>
      <c r="U237" s="217"/>
      <c r="V237" s="217"/>
      <c r="W237" s="217"/>
      <c r="X237" s="217"/>
      <c r="Y237" s="217"/>
      <c r="Z237" s="217"/>
    </row>
    <row r="238" ht="16.5" hidden="1" customHeight="1">
      <c r="A238" s="222" t="s">
        <v>9798</v>
      </c>
      <c r="B238" s="223"/>
      <c r="C238" s="223"/>
      <c r="D238" s="223"/>
      <c r="E238" s="223"/>
      <c r="F238" s="223"/>
      <c r="G238" s="223"/>
      <c r="H238" s="223"/>
      <c r="I238" s="223"/>
      <c r="J238" s="223"/>
      <c r="K238" s="223"/>
      <c r="L238" s="223"/>
      <c r="M238" s="223"/>
      <c r="N238" s="223"/>
      <c r="O238" s="223"/>
      <c r="P238" s="223"/>
      <c r="Q238" s="223"/>
      <c r="R238" s="223"/>
      <c r="S238" s="223"/>
      <c r="T238" s="224"/>
      <c r="U238" s="217"/>
      <c r="V238" s="217"/>
      <c r="W238" s="217"/>
      <c r="X238" s="217"/>
      <c r="Y238" s="217"/>
      <c r="Z238" s="217"/>
    </row>
    <row r="239" ht="16.5" hidden="1" customHeight="1">
      <c r="A239" s="225" t="s">
        <v>9479</v>
      </c>
      <c r="B239" s="226"/>
      <c r="C239" s="226"/>
      <c r="D239" s="226"/>
      <c r="E239" s="226"/>
      <c r="F239" s="226"/>
      <c r="G239" s="226"/>
      <c r="H239" s="226"/>
      <c r="I239" s="226"/>
      <c r="J239" s="226"/>
      <c r="K239" s="226"/>
      <c r="L239" s="226"/>
      <c r="M239" s="226"/>
      <c r="N239" s="226"/>
      <c r="O239" s="226"/>
      <c r="P239" s="226"/>
      <c r="Q239" s="226"/>
      <c r="R239" s="226"/>
      <c r="S239" s="226"/>
      <c r="T239" s="227"/>
      <c r="U239" s="217"/>
      <c r="V239" s="217"/>
      <c r="W239" s="217"/>
      <c r="X239" s="217"/>
      <c r="Y239" s="217"/>
      <c r="Z239" s="217"/>
    </row>
    <row r="240" ht="16.5" hidden="1" customHeight="1">
      <c r="A240" s="228" t="s">
        <v>9845</v>
      </c>
      <c r="B240" s="229"/>
      <c r="C240" s="229"/>
      <c r="D240" s="229"/>
      <c r="E240" s="229"/>
      <c r="F240" s="230"/>
      <c r="G240" s="230"/>
      <c r="H240" s="230"/>
      <c r="I240" s="230"/>
      <c r="J240" s="230"/>
      <c r="K240" s="230"/>
      <c r="L240" s="230"/>
      <c r="M240" s="230"/>
      <c r="N240" s="230"/>
      <c r="O240" s="230"/>
      <c r="P240" s="230"/>
      <c r="Q240" s="230"/>
      <c r="R240" s="230"/>
      <c r="S240" s="230"/>
      <c r="T240" s="230"/>
      <c r="U240" s="217"/>
      <c r="V240" s="217"/>
      <c r="W240" s="217"/>
      <c r="X240" s="217"/>
      <c r="Y240" s="217"/>
      <c r="Z240" s="217"/>
    </row>
    <row r="241" ht="14.25" hidden="1" customHeight="1">
      <c r="A241" s="231" t="s">
        <v>8748</v>
      </c>
      <c r="B241" s="231" t="s">
        <v>9</v>
      </c>
      <c r="C241" s="231" t="s">
        <v>5246</v>
      </c>
      <c r="D241" s="231" t="s">
        <v>8680</v>
      </c>
      <c r="E241" s="232" t="s">
        <v>13</v>
      </c>
      <c r="F241" s="233" t="s">
        <v>9801</v>
      </c>
      <c r="G241" s="234"/>
      <c r="H241" s="234"/>
      <c r="I241" s="234"/>
      <c r="J241" s="234"/>
      <c r="K241" s="234"/>
      <c r="L241" s="234"/>
      <c r="M241" s="234"/>
      <c r="N241" s="234"/>
      <c r="O241" s="234"/>
      <c r="P241" s="234"/>
      <c r="Q241" s="234"/>
      <c r="R241" s="234"/>
      <c r="S241" s="234"/>
      <c r="T241" s="235"/>
      <c r="U241" s="217"/>
      <c r="V241" s="217"/>
      <c r="W241" s="217"/>
      <c r="X241" s="217"/>
      <c r="Y241" s="217"/>
      <c r="Z241" s="217"/>
    </row>
    <row r="242" ht="14.25" hidden="1" customHeight="1">
      <c r="A242" s="236"/>
      <c r="B242" s="236"/>
      <c r="C242" s="236"/>
      <c r="D242" s="236"/>
      <c r="E242" s="237"/>
      <c r="F242" s="238" t="s">
        <v>9802</v>
      </c>
      <c r="G242" s="239"/>
      <c r="H242" s="239"/>
      <c r="I242" s="239"/>
      <c r="J242" s="239"/>
      <c r="K242" s="239"/>
      <c r="L242" s="239"/>
      <c r="M242" s="239"/>
      <c r="N242" s="239"/>
      <c r="O242" s="239"/>
      <c r="P242" s="239"/>
      <c r="Q242" s="240"/>
      <c r="R242" s="233" t="s">
        <v>9713</v>
      </c>
      <c r="S242" s="234"/>
      <c r="T242" s="235"/>
      <c r="U242" s="217"/>
      <c r="V242" s="217"/>
      <c r="W242" s="217"/>
      <c r="X242" s="217"/>
      <c r="Y242" s="217"/>
      <c r="Z242" s="217"/>
    </row>
    <row r="243" ht="14.25" hidden="1" customHeight="1">
      <c r="A243" s="241"/>
      <c r="B243" s="241"/>
      <c r="C243" s="241"/>
      <c r="D243" s="241"/>
      <c r="E243" s="242"/>
      <c r="F243" s="243">
        <v>1.0</v>
      </c>
      <c r="G243" s="243">
        <v>2.0</v>
      </c>
      <c r="H243" s="243">
        <v>3.0</v>
      </c>
      <c r="I243" s="243">
        <v>4.0</v>
      </c>
      <c r="J243" s="243">
        <v>5.0</v>
      </c>
      <c r="K243" s="243">
        <v>6.0</v>
      </c>
      <c r="L243" s="243">
        <v>7.0</v>
      </c>
      <c r="M243" s="243">
        <v>8.0</v>
      </c>
      <c r="N243" s="243">
        <v>9.0</v>
      </c>
      <c r="O243" s="243">
        <v>10.0</v>
      </c>
      <c r="P243" s="243">
        <v>11.0</v>
      </c>
      <c r="Q243" s="243">
        <v>12.0</v>
      </c>
      <c r="R243" s="243" t="s">
        <v>9714</v>
      </c>
      <c r="S243" s="243" t="s">
        <v>9715</v>
      </c>
      <c r="T243" s="244" t="s">
        <v>9716</v>
      </c>
      <c r="U243" s="217"/>
      <c r="V243" s="217"/>
      <c r="W243" s="217"/>
      <c r="X243" s="217"/>
      <c r="Y243" s="217"/>
      <c r="Z243" s="217"/>
    </row>
    <row r="244" ht="14.25" customHeight="1">
      <c r="A244" s="245">
        <v>1.0</v>
      </c>
      <c r="B244" s="302" t="s">
        <v>3932</v>
      </c>
      <c r="C244" s="303"/>
      <c r="D244" s="266" t="s">
        <v>3933</v>
      </c>
      <c r="E244" s="267" t="s">
        <v>227</v>
      </c>
      <c r="F244" s="269"/>
      <c r="G244" s="269"/>
      <c r="H244" s="269"/>
      <c r="I244" s="269"/>
      <c r="J244" s="269"/>
      <c r="K244" s="269"/>
      <c r="L244" s="269"/>
      <c r="M244" s="269"/>
      <c r="N244" s="269"/>
      <c r="O244" s="269"/>
      <c r="P244" s="269"/>
      <c r="Q244" s="269"/>
      <c r="R244" s="269"/>
      <c r="S244" s="269"/>
      <c r="T244" s="269"/>
      <c r="W244" s="217"/>
      <c r="X244" s="217"/>
      <c r="Y244" s="217"/>
      <c r="Z244" s="217"/>
    </row>
    <row r="245" ht="14.25" customHeight="1">
      <c r="A245" s="245">
        <v>2.0</v>
      </c>
      <c r="B245" s="310" t="s">
        <v>3938</v>
      </c>
      <c r="C245" s="311"/>
      <c r="D245" s="266" t="s">
        <v>3939</v>
      </c>
      <c r="E245" s="267" t="s">
        <v>227</v>
      </c>
      <c r="F245" s="269"/>
      <c r="G245" s="269"/>
      <c r="H245" s="269"/>
      <c r="I245" s="269"/>
      <c r="J245" s="269"/>
      <c r="K245" s="269"/>
      <c r="L245" s="269"/>
      <c r="M245" s="269"/>
      <c r="N245" s="269"/>
      <c r="O245" s="269"/>
      <c r="P245" s="269"/>
      <c r="Q245" s="269"/>
      <c r="R245" s="269"/>
      <c r="S245" s="269"/>
      <c r="T245" s="269"/>
      <c r="U245" s="217"/>
      <c r="V245" s="217"/>
      <c r="W245" s="217"/>
      <c r="X245" s="217"/>
      <c r="Y245" s="217"/>
      <c r="Z245" s="217"/>
    </row>
    <row r="246" ht="14.25" customHeight="1">
      <c r="A246" s="245">
        <v>3.0</v>
      </c>
      <c r="B246" s="304" t="s">
        <v>3943</v>
      </c>
      <c r="C246" s="305"/>
      <c r="D246" s="266" t="s">
        <v>3944</v>
      </c>
      <c r="E246" s="316" t="s">
        <v>227</v>
      </c>
      <c r="F246" s="269"/>
      <c r="G246" s="269"/>
      <c r="H246" s="269"/>
      <c r="I246" s="269"/>
      <c r="J246" s="269"/>
      <c r="K246" s="269"/>
      <c r="L246" s="269"/>
      <c r="M246" s="269"/>
      <c r="N246" s="269"/>
      <c r="O246" s="269"/>
      <c r="P246" s="269"/>
      <c r="Q246" s="269"/>
      <c r="R246" s="269"/>
      <c r="S246" s="269"/>
      <c r="T246" s="269"/>
      <c r="U246" s="217"/>
      <c r="V246" s="217"/>
      <c r="W246" s="217"/>
      <c r="X246" s="217"/>
      <c r="Y246" s="217"/>
      <c r="Z246" s="217"/>
    </row>
    <row r="247" ht="14.25" customHeight="1">
      <c r="A247" s="245">
        <v>4.0</v>
      </c>
      <c r="B247" s="297" t="s">
        <v>3948</v>
      </c>
      <c r="C247" s="298"/>
      <c r="D247" s="266" t="s">
        <v>3949</v>
      </c>
      <c r="E247" s="267" t="s">
        <v>220</v>
      </c>
      <c r="F247" s="269"/>
      <c r="G247" s="269"/>
      <c r="H247" s="269"/>
      <c r="I247" s="269"/>
      <c r="J247" s="269"/>
      <c r="K247" s="269"/>
      <c r="L247" s="269"/>
      <c r="M247" s="269"/>
      <c r="N247" s="269"/>
      <c r="O247" s="269"/>
      <c r="P247" s="269"/>
      <c r="Q247" s="269"/>
      <c r="R247" s="269"/>
      <c r="S247" s="269"/>
      <c r="T247" s="269"/>
      <c r="U247" s="217"/>
      <c r="V247" s="217"/>
      <c r="W247" s="217"/>
      <c r="X247" s="217"/>
      <c r="Y247" s="217"/>
      <c r="Z247" s="217"/>
    </row>
    <row r="248" ht="14.25" customHeight="1">
      <c r="A248" s="245">
        <v>5.0</v>
      </c>
      <c r="B248" s="297" t="s">
        <v>3953</v>
      </c>
      <c r="C248" s="298"/>
      <c r="D248" s="266" t="s">
        <v>3954</v>
      </c>
      <c r="E248" s="267" t="s">
        <v>227</v>
      </c>
      <c r="F248" s="269"/>
      <c r="G248" s="269"/>
      <c r="H248" s="269"/>
      <c r="I248" s="269"/>
      <c r="J248" s="269"/>
      <c r="K248" s="269"/>
      <c r="L248" s="269"/>
      <c r="M248" s="269"/>
      <c r="N248" s="269"/>
      <c r="O248" s="269"/>
      <c r="P248" s="269"/>
      <c r="Q248" s="269"/>
      <c r="R248" s="269"/>
      <c r="S248" s="269"/>
      <c r="T248" s="269"/>
      <c r="U248" s="217"/>
      <c r="V248" s="217"/>
      <c r="W248" s="217"/>
      <c r="X248" s="217"/>
      <c r="Y248" s="217"/>
      <c r="Z248" s="217"/>
    </row>
    <row r="249" ht="14.25" customHeight="1">
      <c r="A249" s="245">
        <v>6.0</v>
      </c>
      <c r="B249" s="297" t="s">
        <v>3959</v>
      </c>
      <c r="C249" s="298"/>
      <c r="D249" s="266" t="s">
        <v>3960</v>
      </c>
      <c r="E249" s="267" t="s">
        <v>227</v>
      </c>
      <c r="F249" s="269"/>
      <c r="G249" s="269"/>
      <c r="H249" s="269"/>
      <c r="I249" s="269"/>
      <c r="J249" s="269"/>
      <c r="K249" s="269"/>
      <c r="L249" s="269"/>
      <c r="M249" s="269"/>
      <c r="N249" s="269"/>
      <c r="O249" s="269"/>
      <c r="P249" s="269"/>
      <c r="Q249" s="269"/>
      <c r="R249" s="269"/>
      <c r="S249" s="269"/>
      <c r="T249" s="269"/>
      <c r="U249" s="217"/>
      <c r="V249" s="217"/>
      <c r="W249" s="217"/>
      <c r="X249" s="217"/>
      <c r="Y249" s="217"/>
      <c r="Z249" s="217"/>
    </row>
    <row r="250" ht="14.25" customHeight="1">
      <c r="A250" s="245">
        <v>7.0</v>
      </c>
      <c r="B250" s="297" t="s">
        <v>3964</v>
      </c>
      <c r="C250" s="298"/>
      <c r="D250" s="266" t="s">
        <v>3965</v>
      </c>
      <c r="E250" s="267" t="s">
        <v>227</v>
      </c>
      <c r="F250" s="269"/>
      <c r="G250" s="269"/>
      <c r="H250" s="269"/>
      <c r="I250" s="269"/>
      <c r="J250" s="269"/>
      <c r="K250" s="269"/>
      <c r="L250" s="269"/>
      <c r="M250" s="269"/>
      <c r="N250" s="269"/>
      <c r="O250" s="269"/>
      <c r="P250" s="269"/>
      <c r="Q250" s="269"/>
      <c r="R250" s="269"/>
      <c r="S250" s="269"/>
      <c r="T250" s="269"/>
      <c r="U250" s="217"/>
      <c r="V250" s="217"/>
      <c r="W250" s="217"/>
      <c r="X250" s="217"/>
      <c r="Y250" s="217"/>
      <c r="Z250" s="217"/>
    </row>
    <row r="251" ht="14.25" customHeight="1">
      <c r="A251" s="245">
        <v>8.0</v>
      </c>
      <c r="B251" s="297" t="s">
        <v>3969</v>
      </c>
      <c r="C251" s="298"/>
      <c r="D251" s="266" t="s">
        <v>3970</v>
      </c>
      <c r="E251" s="267" t="s">
        <v>227</v>
      </c>
      <c r="F251" s="269"/>
      <c r="G251" s="269"/>
      <c r="H251" s="269"/>
      <c r="I251" s="269"/>
      <c r="J251" s="269"/>
      <c r="K251" s="269"/>
      <c r="L251" s="269"/>
      <c r="M251" s="269"/>
      <c r="N251" s="269"/>
      <c r="O251" s="269"/>
      <c r="P251" s="269"/>
      <c r="Q251" s="269"/>
      <c r="R251" s="269"/>
      <c r="S251" s="269"/>
      <c r="T251" s="269"/>
      <c r="U251" s="217"/>
      <c r="V251" s="217"/>
      <c r="W251" s="217"/>
      <c r="X251" s="217"/>
      <c r="Y251" s="217"/>
      <c r="Z251" s="217"/>
    </row>
    <row r="252" ht="14.25" customHeight="1">
      <c r="A252" s="245">
        <v>9.0</v>
      </c>
      <c r="B252" s="297" t="s">
        <v>3974</v>
      </c>
      <c r="C252" s="298"/>
      <c r="D252" s="266" t="s">
        <v>3975</v>
      </c>
      <c r="E252" s="267" t="s">
        <v>227</v>
      </c>
      <c r="F252" s="269"/>
      <c r="G252" s="269"/>
      <c r="H252" s="269"/>
      <c r="I252" s="269"/>
      <c r="J252" s="269"/>
      <c r="K252" s="269"/>
      <c r="L252" s="269"/>
      <c r="M252" s="269"/>
      <c r="N252" s="269"/>
      <c r="O252" s="269"/>
      <c r="P252" s="269"/>
      <c r="Q252" s="269"/>
      <c r="R252" s="269"/>
      <c r="S252" s="269"/>
      <c r="T252" s="269"/>
      <c r="U252" s="217"/>
      <c r="V252" s="217"/>
      <c r="W252" s="217"/>
      <c r="X252" s="217"/>
      <c r="Y252" s="217"/>
      <c r="Z252" s="217"/>
    </row>
    <row r="253" ht="14.25" customHeight="1">
      <c r="A253" s="245">
        <v>10.0</v>
      </c>
      <c r="B253" s="302" t="s">
        <v>3979</v>
      </c>
      <c r="C253" s="303"/>
      <c r="D253" s="266" t="s">
        <v>3980</v>
      </c>
      <c r="E253" s="267" t="s">
        <v>220</v>
      </c>
      <c r="F253" s="269"/>
      <c r="G253" s="269"/>
      <c r="H253" s="269"/>
      <c r="I253" s="269"/>
      <c r="J253" s="269"/>
      <c r="K253" s="269"/>
      <c r="L253" s="269"/>
      <c r="M253" s="269"/>
      <c r="N253" s="269"/>
      <c r="O253" s="269"/>
      <c r="P253" s="269"/>
      <c r="Q253" s="269"/>
      <c r="R253" s="269"/>
      <c r="S253" s="269"/>
      <c r="T253" s="269"/>
      <c r="W253" s="217"/>
      <c r="X253" s="217"/>
      <c r="Y253" s="217"/>
      <c r="Z253" s="217"/>
    </row>
    <row r="254" ht="14.25" customHeight="1">
      <c r="A254" s="245">
        <v>11.0</v>
      </c>
      <c r="B254" s="304" t="s">
        <v>3984</v>
      </c>
      <c r="C254" s="305"/>
      <c r="D254" s="266" t="s">
        <v>3985</v>
      </c>
      <c r="E254" s="267" t="s">
        <v>220</v>
      </c>
      <c r="F254" s="269"/>
      <c r="G254" s="269"/>
      <c r="H254" s="269"/>
      <c r="I254" s="269"/>
      <c r="J254" s="269"/>
      <c r="K254" s="269"/>
      <c r="L254" s="269"/>
      <c r="M254" s="269"/>
      <c r="N254" s="269"/>
      <c r="O254" s="269"/>
      <c r="P254" s="269"/>
      <c r="Q254" s="269"/>
      <c r="R254" s="269"/>
      <c r="S254" s="269"/>
      <c r="T254" s="269"/>
      <c r="U254" s="217"/>
      <c r="V254" s="217"/>
      <c r="W254" s="217"/>
      <c r="X254" s="217"/>
      <c r="Y254" s="217"/>
      <c r="Z254" s="217"/>
    </row>
    <row r="255" ht="14.25" customHeight="1">
      <c r="A255" s="245">
        <v>12.0</v>
      </c>
      <c r="B255" s="302" t="s">
        <v>3990</v>
      </c>
      <c r="C255" s="303"/>
      <c r="D255" s="266" t="s">
        <v>3991</v>
      </c>
      <c r="E255" s="267" t="s">
        <v>227</v>
      </c>
      <c r="F255" s="269"/>
      <c r="G255" s="269"/>
      <c r="H255" s="269"/>
      <c r="I255" s="269"/>
      <c r="J255" s="269"/>
      <c r="K255" s="269"/>
      <c r="L255" s="269"/>
      <c r="M255" s="269"/>
      <c r="N255" s="269"/>
      <c r="O255" s="269"/>
      <c r="P255" s="269"/>
      <c r="Q255" s="269"/>
      <c r="R255" s="269"/>
      <c r="S255" s="269"/>
      <c r="T255" s="269"/>
      <c r="W255" s="217"/>
      <c r="X255" s="217"/>
      <c r="Y255" s="217"/>
      <c r="Z255" s="217"/>
    </row>
    <row r="256" ht="14.25" customHeight="1">
      <c r="A256" s="245">
        <v>13.0</v>
      </c>
      <c r="B256" s="304" t="s">
        <v>3995</v>
      </c>
      <c r="C256" s="305"/>
      <c r="D256" s="266" t="s">
        <v>3996</v>
      </c>
      <c r="E256" s="267" t="s">
        <v>220</v>
      </c>
      <c r="F256" s="269"/>
      <c r="G256" s="269"/>
      <c r="H256" s="269"/>
      <c r="I256" s="269"/>
      <c r="J256" s="269"/>
      <c r="K256" s="269"/>
      <c r="L256" s="269"/>
      <c r="M256" s="269"/>
      <c r="N256" s="269"/>
      <c r="O256" s="269"/>
      <c r="P256" s="269"/>
      <c r="Q256" s="269"/>
      <c r="R256" s="269"/>
      <c r="S256" s="269"/>
      <c r="T256" s="269"/>
      <c r="U256" s="217"/>
      <c r="V256" s="217"/>
      <c r="W256" s="217"/>
      <c r="X256" s="217"/>
      <c r="Y256" s="217"/>
      <c r="Z256" s="217"/>
    </row>
    <row r="257" ht="22.5" customHeight="1">
      <c r="A257" s="245">
        <v>14.0</v>
      </c>
      <c r="B257" s="297" t="s">
        <v>4000</v>
      </c>
      <c r="C257" s="298"/>
      <c r="D257" s="276" t="s">
        <v>4001</v>
      </c>
      <c r="E257" s="277" t="s">
        <v>220</v>
      </c>
      <c r="F257" s="269"/>
      <c r="G257" s="269"/>
      <c r="H257" s="269"/>
      <c r="I257" s="269"/>
      <c r="J257" s="269"/>
      <c r="K257" s="269"/>
      <c r="L257" s="269"/>
      <c r="M257" s="269"/>
      <c r="N257" s="269"/>
      <c r="O257" s="269"/>
      <c r="P257" s="269"/>
      <c r="Q257" s="269"/>
      <c r="R257" s="269"/>
      <c r="S257" s="269"/>
      <c r="T257" s="269"/>
      <c r="U257" s="217"/>
      <c r="V257" s="217"/>
      <c r="W257" s="217"/>
      <c r="X257" s="217"/>
      <c r="Y257" s="217"/>
      <c r="Z257" s="217"/>
    </row>
    <row r="258" ht="14.25" customHeight="1">
      <c r="A258" s="245">
        <v>15.0</v>
      </c>
      <c r="B258" s="302" t="s">
        <v>4005</v>
      </c>
      <c r="C258" s="303"/>
      <c r="D258" s="266" t="s">
        <v>4006</v>
      </c>
      <c r="E258" s="267" t="s">
        <v>227</v>
      </c>
      <c r="F258" s="269"/>
      <c r="G258" s="269"/>
      <c r="H258" s="269"/>
      <c r="I258" s="269"/>
      <c r="J258" s="269"/>
      <c r="K258" s="269"/>
      <c r="L258" s="269"/>
      <c r="M258" s="269"/>
      <c r="N258" s="269"/>
      <c r="O258" s="269"/>
      <c r="P258" s="269"/>
      <c r="Q258" s="269"/>
      <c r="R258" s="269"/>
      <c r="S258" s="269"/>
      <c r="T258" s="269"/>
      <c r="W258" s="217"/>
      <c r="X258" s="217"/>
      <c r="Y258" s="217"/>
      <c r="Z258" s="217"/>
    </row>
    <row r="259" ht="14.25" customHeight="1">
      <c r="A259" s="245">
        <v>16.0</v>
      </c>
      <c r="B259" s="304" t="s">
        <v>4010</v>
      </c>
      <c r="C259" s="305"/>
      <c r="D259" s="266" t="s">
        <v>4011</v>
      </c>
      <c r="E259" s="267" t="s">
        <v>227</v>
      </c>
      <c r="F259" s="269"/>
      <c r="G259" s="269"/>
      <c r="H259" s="269"/>
      <c r="I259" s="269"/>
      <c r="J259" s="269"/>
      <c r="K259" s="269"/>
      <c r="L259" s="269"/>
      <c r="M259" s="269"/>
      <c r="N259" s="269"/>
      <c r="O259" s="269"/>
      <c r="P259" s="269"/>
      <c r="Q259" s="269"/>
      <c r="R259" s="269"/>
      <c r="S259" s="269"/>
      <c r="T259" s="269"/>
      <c r="U259" s="217"/>
      <c r="V259" s="217"/>
      <c r="W259" s="217"/>
      <c r="X259" s="217"/>
      <c r="Y259" s="217"/>
      <c r="Z259" s="217"/>
    </row>
    <row r="260" ht="14.25" customHeight="1">
      <c r="A260" s="245">
        <v>17.0</v>
      </c>
      <c r="B260" s="302" t="s">
        <v>4016</v>
      </c>
      <c r="C260" s="303"/>
      <c r="D260" s="266" t="s">
        <v>4017</v>
      </c>
      <c r="E260" s="267" t="s">
        <v>227</v>
      </c>
      <c r="F260" s="269"/>
      <c r="G260" s="269"/>
      <c r="H260" s="269"/>
      <c r="I260" s="269"/>
      <c r="J260" s="269"/>
      <c r="K260" s="269"/>
      <c r="L260" s="269"/>
      <c r="M260" s="269"/>
      <c r="N260" s="269"/>
      <c r="O260" s="269"/>
      <c r="P260" s="269"/>
      <c r="Q260" s="269"/>
      <c r="R260" s="269"/>
      <c r="S260" s="269"/>
      <c r="T260" s="269"/>
      <c r="W260" s="217"/>
      <c r="X260" s="217"/>
      <c r="Y260" s="217"/>
      <c r="Z260" s="217"/>
    </row>
    <row r="261" ht="22.5" customHeight="1">
      <c r="A261" s="245">
        <v>18.0</v>
      </c>
      <c r="B261" s="304" t="s">
        <v>4021</v>
      </c>
      <c r="C261" s="305"/>
      <c r="D261" s="266" t="s">
        <v>4022</v>
      </c>
      <c r="E261" s="267" t="s">
        <v>227</v>
      </c>
      <c r="F261" s="269"/>
      <c r="G261" s="269"/>
      <c r="H261" s="269"/>
      <c r="I261" s="269"/>
      <c r="J261" s="269"/>
      <c r="K261" s="269"/>
      <c r="L261" s="269"/>
      <c r="M261" s="269"/>
      <c r="N261" s="269"/>
      <c r="O261" s="269"/>
      <c r="P261" s="269"/>
      <c r="Q261" s="269"/>
      <c r="R261" s="269"/>
      <c r="S261" s="269"/>
      <c r="T261" s="269"/>
      <c r="U261" s="217"/>
      <c r="V261" s="217"/>
      <c r="W261" s="217"/>
      <c r="X261" s="217"/>
      <c r="Y261" s="217"/>
      <c r="Z261" s="217"/>
    </row>
    <row r="262" ht="14.25" customHeight="1">
      <c r="A262" s="245">
        <v>19.0</v>
      </c>
      <c r="B262" s="297" t="s">
        <v>4026</v>
      </c>
      <c r="C262" s="298"/>
      <c r="D262" s="266" t="s">
        <v>4027</v>
      </c>
      <c r="E262" s="267" t="s">
        <v>220</v>
      </c>
      <c r="F262" s="269"/>
      <c r="G262" s="269"/>
      <c r="H262" s="269"/>
      <c r="I262" s="269"/>
      <c r="J262" s="269"/>
      <c r="K262" s="269"/>
      <c r="L262" s="269"/>
      <c r="M262" s="269"/>
      <c r="N262" s="269"/>
      <c r="O262" s="269"/>
      <c r="P262" s="269"/>
      <c r="Q262" s="269"/>
      <c r="R262" s="269"/>
      <c r="S262" s="269"/>
      <c r="T262" s="269"/>
      <c r="U262" s="217"/>
      <c r="V262" s="217"/>
      <c r="W262" s="217"/>
      <c r="X262" s="217"/>
      <c r="Y262" s="217"/>
      <c r="Z262" s="217"/>
    </row>
    <row r="263" ht="14.25" customHeight="1">
      <c r="A263" s="245">
        <v>20.0</v>
      </c>
      <c r="B263" s="302" t="s">
        <v>4031</v>
      </c>
      <c r="C263" s="303"/>
      <c r="D263" s="266" t="s">
        <v>4032</v>
      </c>
      <c r="E263" s="267" t="s">
        <v>220</v>
      </c>
      <c r="F263" s="269"/>
      <c r="G263" s="269"/>
      <c r="H263" s="269"/>
      <c r="I263" s="269"/>
      <c r="J263" s="269"/>
      <c r="K263" s="269"/>
      <c r="L263" s="269"/>
      <c r="M263" s="269"/>
      <c r="N263" s="269"/>
      <c r="O263" s="269"/>
      <c r="P263" s="269"/>
      <c r="Q263" s="269"/>
      <c r="R263" s="269"/>
      <c r="S263" s="269"/>
      <c r="T263" s="269"/>
      <c r="W263" s="217"/>
      <c r="X263" s="217"/>
      <c r="Y263" s="217"/>
      <c r="Z263" s="217"/>
    </row>
    <row r="264" ht="14.25" customHeight="1">
      <c r="A264" s="245">
        <v>21.0</v>
      </c>
      <c r="B264" s="304" t="s">
        <v>4036</v>
      </c>
      <c r="C264" s="305"/>
      <c r="D264" s="266" t="s">
        <v>4037</v>
      </c>
      <c r="E264" s="267" t="s">
        <v>220</v>
      </c>
      <c r="F264" s="269"/>
      <c r="G264" s="269"/>
      <c r="H264" s="269"/>
      <c r="I264" s="269"/>
      <c r="J264" s="269"/>
      <c r="K264" s="269"/>
      <c r="L264" s="269"/>
      <c r="M264" s="269"/>
      <c r="N264" s="269"/>
      <c r="O264" s="269"/>
      <c r="P264" s="269"/>
      <c r="Q264" s="269"/>
      <c r="R264" s="269"/>
      <c r="S264" s="269"/>
      <c r="T264" s="269"/>
      <c r="U264" s="217"/>
      <c r="V264" s="217"/>
      <c r="W264" s="217"/>
      <c r="X264" s="217"/>
      <c r="Y264" s="217"/>
      <c r="Z264" s="217"/>
    </row>
    <row r="265" ht="14.25" customHeight="1">
      <c r="A265" s="245">
        <v>22.0</v>
      </c>
      <c r="B265" s="302" t="s">
        <v>4042</v>
      </c>
      <c r="C265" s="303"/>
      <c r="D265" s="266" t="s">
        <v>4043</v>
      </c>
      <c r="E265" s="267" t="s">
        <v>220</v>
      </c>
      <c r="F265" s="269"/>
      <c r="G265" s="269"/>
      <c r="H265" s="269"/>
      <c r="I265" s="269"/>
      <c r="J265" s="269"/>
      <c r="K265" s="269"/>
      <c r="L265" s="269"/>
      <c r="M265" s="269"/>
      <c r="N265" s="269"/>
      <c r="O265" s="269"/>
      <c r="P265" s="269"/>
      <c r="Q265" s="269"/>
      <c r="R265" s="269"/>
      <c r="S265" s="269"/>
      <c r="T265" s="269"/>
      <c r="W265" s="217"/>
      <c r="X265" s="217"/>
      <c r="Y265" s="217"/>
      <c r="Z265" s="217"/>
    </row>
    <row r="266" ht="14.25" customHeight="1">
      <c r="A266" s="245">
        <v>23.0</v>
      </c>
      <c r="B266" s="304" t="s">
        <v>4047</v>
      </c>
      <c r="C266" s="305"/>
      <c r="D266" s="266" t="s">
        <v>4048</v>
      </c>
      <c r="E266" s="267" t="s">
        <v>227</v>
      </c>
      <c r="F266" s="269"/>
      <c r="G266" s="269"/>
      <c r="H266" s="269"/>
      <c r="I266" s="269"/>
      <c r="J266" s="269"/>
      <c r="K266" s="269"/>
      <c r="L266" s="269"/>
      <c r="M266" s="269"/>
      <c r="N266" s="269"/>
      <c r="O266" s="269"/>
      <c r="P266" s="269"/>
      <c r="Q266" s="269"/>
      <c r="R266" s="269"/>
      <c r="S266" s="269"/>
      <c r="T266" s="269"/>
      <c r="U266" s="217"/>
      <c r="V266" s="217"/>
      <c r="W266" s="217"/>
      <c r="X266" s="217"/>
      <c r="Y266" s="217"/>
      <c r="Z266" s="217"/>
    </row>
    <row r="267" ht="14.25" customHeight="1">
      <c r="A267" s="245">
        <v>24.0</v>
      </c>
      <c r="B267" s="302" t="s">
        <v>4052</v>
      </c>
      <c r="C267" s="303"/>
      <c r="D267" s="266" t="s">
        <v>4053</v>
      </c>
      <c r="E267" s="267" t="s">
        <v>227</v>
      </c>
      <c r="F267" s="269"/>
      <c r="G267" s="269"/>
      <c r="H267" s="269"/>
      <c r="I267" s="269"/>
      <c r="J267" s="269"/>
      <c r="K267" s="269"/>
      <c r="L267" s="269"/>
      <c r="M267" s="269"/>
      <c r="N267" s="269"/>
      <c r="O267" s="269"/>
      <c r="P267" s="269"/>
      <c r="Q267" s="269"/>
      <c r="R267" s="269"/>
      <c r="S267" s="269"/>
      <c r="T267" s="269"/>
      <c r="W267" s="217"/>
      <c r="X267" s="217"/>
      <c r="Y267" s="217"/>
      <c r="Z267" s="217"/>
    </row>
    <row r="268" ht="14.25" customHeight="1">
      <c r="A268" s="245">
        <v>25.0</v>
      </c>
      <c r="B268" s="304" t="s">
        <v>4057</v>
      </c>
      <c r="C268" s="305"/>
      <c r="D268" s="266" t="s">
        <v>4058</v>
      </c>
      <c r="E268" s="267" t="s">
        <v>227</v>
      </c>
      <c r="F268" s="269"/>
      <c r="G268" s="269"/>
      <c r="H268" s="269"/>
      <c r="I268" s="269"/>
      <c r="J268" s="269"/>
      <c r="K268" s="269"/>
      <c r="L268" s="269"/>
      <c r="M268" s="269"/>
      <c r="N268" s="269"/>
      <c r="O268" s="269"/>
      <c r="P268" s="269"/>
      <c r="Q268" s="269"/>
      <c r="R268" s="269"/>
      <c r="S268" s="269"/>
      <c r="T268" s="269"/>
      <c r="U268" s="217"/>
      <c r="V268" s="217"/>
      <c r="W268" s="217"/>
      <c r="X268" s="217"/>
      <c r="Y268" s="217"/>
      <c r="Z268" s="217"/>
    </row>
    <row r="269" ht="14.25" customHeight="1">
      <c r="A269" s="245">
        <v>26.0</v>
      </c>
      <c r="B269" s="297" t="s">
        <v>4063</v>
      </c>
      <c r="C269" s="298"/>
      <c r="D269" s="266" t="s">
        <v>4064</v>
      </c>
      <c r="E269" s="267" t="s">
        <v>227</v>
      </c>
      <c r="F269" s="269"/>
      <c r="G269" s="269"/>
      <c r="H269" s="269"/>
      <c r="I269" s="269"/>
      <c r="J269" s="269"/>
      <c r="K269" s="269"/>
      <c r="L269" s="269"/>
      <c r="M269" s="269"/>
      <c r="N269" s="269"/>
      <c r="O269" s="269"/>
      <c r="P269" s="269"/>
      <c r="Q269" s="269"/>
      <c r="R269" s="269"/>
      <c r="S269" s="269"/>
      <c r="T269" s="269"/>
      <c r="W269" s="217"/>
      <c r="X269" s="217"/>
      <c r="Y269" s="217"/>
      <c r="Z269" s="217"/>
    </row>
    <row r="270" ht="14.25" customHeight="1">
      <c r="A270" s="245">
        <v>27.0</v>
      </c>
      <c r="B270" s="302" t="s">
        <v>4068</v>
      </c>
      <c r="C270" s="303"/>
      <c r="D270" s="266" t="s">
        <v>4069</v>
      </c>
      <c r="E270" s="267" t="s">
        <v>220</v>
      </c>
      <c r="F270" s="269"/>
      <c r="G270" s="269"/>
      <c r="H270" s="269"/>
      <c r="I270" s="269"/>
      <c r="J270" s="269"/>
      <c r="K270" s="269"/>
      <c r="L270" s="269"/>
      <c r="M270" s="269"/>
      <c r="N270" s="269"/>
      <c r="O270" s="269"/>
      <c r="P270" s="269"/>
      <c r="Q270" s="269"/>
      <c r="R270" s="269"/>
      <c r="S270" s="269"/>
      <c r="T270" s="269"/>
      <c r="W270" s="217"/>
      <c r="X270" s="217"/>
      <c r="Y270" s="217"/>
      <c r="Z270" s="217"/>
    </row>
    <row r="271" ht="14.25" customHeight="1">
      <c r="A271" s="245">
        <v>28.0</v>
      </c>
      <c r="B271" s="310" t="s">
        <v>4073</v>
      </c>
      <c r="C271" s="311"/>
      <c r="D271" s="266" t="s">
        <v>4074</v>
      </c>
      <c r="E271" s="267" t="s">
        <v>220</v>
      </c>
      <c r="F271" s="269"/>
      <c r="G271" s="269"/>
      <c r="H271" s="269"/>
      <c r="I271" s="269"/>
      <c r="J271" s="269"/>
      <c r="K271" s="269"/>
      <c r="L271" s="269"/>
      <c r="M271" s="269"/>
      <c r="N271" s="269"/>
      <c r="O271" s="269"/>
      <c r="P271" s="269"/>
      <c r="Q271" s="269"/>
      <c r="R271" s="269"/>
      <c r="S271" s="269"/>
      <c r="T271" s="269"/>
      <c r="U271" s="217"/>
      <c r="V271" s="217"/>
      <c r="W271" s="217"/>
      <c r="X271" s="217"/>
      <c r="Y271" s="217"/>
      <c r="Z271" s="217"/>
    </row>
    <row r="272" ht="14.25" customHeight="1">
      <c r="A272" s="245">
        <v>29.0</v>
      </c>
      <c r="B272" s="304" t="s">
        <v>4078</v>
      </c>
      <c r="C272" s="305"/>
      <c r="D272" s="266" t="s">
        <v>4079</v>
      </c>
      <c r="E272" s="267" t="s">
        <v>220</v>
      </c>
      <c r="F272" s="269"/>
      <c r="G272" s="317"/>
      <c r="H272" s="269"/>
      <c r="I272" s="269"/>
      <c r="J272" s="269"/>
      <c r="K272" s="269"/>
      <c r="L272" s="269"/>
      <c r="M272" s="269"/>
      <c r="N272" s="269"/>
      <c r="O272" s="269"/>
      <c r="P272" s="269"/>
      <c r="Q272" s="269"/>
      <c r="R272" s="269"/>
      <c r="S272" s="269"/>
      <c r="T272" s="269"/>
      <c r="U272" s="217"/>
      <c r="V272" s="217"/>
      <c r="W272" s="217"/>
      <c r="X272" s="217"/>
      <c r="Y272" s="217"/>
      <c r="Z272" s="217"/>
    </row>
    <row r="273" ht="14.25" customHeight="1">
      <c r="A273" s="245">
        <v>30.0</v>
      </c>
      <c r="B273" s="302" t="s">
        <v>4083</v>
      </c>
      <c r="C273" s="303"/>
      <c r="D273" s="266" t="s">
        <v>4084</v>
      </c>
      <c r="E273" s="267" t="s">
        <v>227</v>
      </c>
      <c r="F273" s="269"/>
      <c r="G273" s="269"/>
      <c r="H273" s="269"/>
      <c r="I273" s="269"/>
      <c r="J273" s="269"/>
      <c r="K273" s="269"/>
      <c r="L273" s="269"/>
      <c r="M273" s="269"/>
      <c r="N273" s="269"/>
      <c r="O273" s="269"/>
      <c r="P273" s="269"/>
      <c r="Q273" s="269"/>
      <c r="R273" s="269"/>
      <c r="S273" s="269"/>
      <c r="T273" s="269"/>
      <c r="W273" s="217"/>
      <c r="X273" s="217"/>
      <c r="Y273" s="217"/>
      <c r="Z273" s="217"/>
    </row>
    <row r="274" ht="14.25" customHeight="1">
      <c r="A274" s="245">
        <v>31.0</v>
      </c>
      <c r="B274" s="304" t="s">
        <v>4089</v>
      </c>
      <c r="C274" s="305"/>
      <c r="D274" s="266" t="s">
        <v>4090</v>
      </c>
      <c r="E274" s="267" t="s">
        <v>227</v>
      </c>
      <c r="F274" s="269"/>
      <c r="G274" s="269"/>
      <c r="H274" s="269"/>
      <c r="I274" s="269"/>
      <c r="J274" s="269"/>
      <c r="K274" s="269"/>
      <c r="L274" s="269"/>
      <c r="M274" s="269"/>
      <c r="N274" s="269"/>
      <c r="O274" s="269"/>
      <c r="P274" s="269"/>
      <c r="Q274" s="269"/>
      <c r="R274" s="269"/>
      <c r="S274" s="269"/>
      <c r="T274" s="269"/>
      <c r="U274" s="217"/>
      <c r="V274" s="217"/>
      <c r="W274" s="217"/>
      <c r="X274" s="217"/>
      <c r="Y274" s="217"/>
      <c r="Z274" s="217"/>
    </row>
    <row r="275" ht="14.25" customHeight="1">
      <c r="A275" s="245">
        <v>32.0</v>
      </c>
      <c r="B275" s="297" t="s">
        <v>4094</v>
      </c>
      <c r="C275" s="298"/>
      <c r="D275" s="266" t="s">
        <v>4095</v>
      </c>
      <c r="E275" s="267" t="s">
        <v>227</v>
      </c>
      <c r="F275" s="269"/>
      <c r="G275" s="269"/>
      <c r="H275" s="269"/>
      <c r="I275" s="269"/>
      <c r="J275" s="269"/>
      <c r="K275" s="269"/>
      <c r="L275" s="269"/>
      <c r="M275" s="269"/>
      <c r="N275" s="269"/>
      <c r="O275" s="269"/>
      <c r="P275" s="269"/>
      <c r="Q275" s="269"/>
      <c r="R275" s="269"/>
      <c r="S275" s="269"/>
      <c r="T275" s="269"/>
      <c r="U275" s="217"/>
      <c r="V275" s="217"/>
      <c r="W275" s="217"/>
      <c r="X275" s="217"/>
      <c r="Y275" s="217"/>
      <c r="Z275" s="217"/>
    </row>
    <row r="276" ht="14.25" customHeight="1">
      <c r="A276" s="245">
        <v>33.0</v>
      </c>
      <c r="B276" s="297" t="s">
        <v>4099</v>
      </c>
      <c r="C276" s="298"/>
      <c r="D276" s="266" t="s">
        <v>4100</v>
      </c>
      <c r="E276" s="267" t="s">
        <v>227</v>
      </c>
      <c r="F276" s="269"/>
      <c r="G276" s="269"/>
      <c r="H276" s="269"/>
      <c r="I276" s="269"/>
      <c r="J276" s="269"/>
      <c r="K276" s="269"/>
      <c r="L276" s="269"/>
      <c r="M276" s="269"/>
      <c r="N276" s="269"/>
      <c r="O276" s="269"/>
      <c r="P276" s="269"/>
      <c r="Q276" s="269"/>
      <c r="R276" s="269"/>
      <c r="S276" s="269"/>
      <c r="T276" s="269"/>
      <c r="U276" s="217"/>
      <c r="V276" s="217"/>
      <c r="W276" s="217"/>
      <c r="X276" s="217"/>
      <c r="Y276" s="217"/>
      <c r="Z276" s="217"/>
    </row>
    <row r="277" ht="14.25" customHeight="1">
      <c r="A277" s="245">
        <v>34.0</v>
      </c>
      <c r="B277" s="297" t="s">
        <v>4104</v>
      </c>
      <c r="C277" s="298"/>
      <c r="D277" s="266" t="s">
        <v>4105</v>
      </c>
      <c r="E277" s="267" t="s">
        <v>220</v>
      </c>
      <c r="F277" s="269"/>
      <c r="G277" s="269"/>
      <c r="H277" s="269"/>
      <c r="I277" s="269"/>
      <c r="J277" s="269"/>
      <c r="K277" s="269"/>
      <c r="L277" s="269"/>
      <c r="M277" s="269"/>
      <c r="N277" s="269"/>
      <c r="O277" s="269"/>
      <c r="P277" s="269"/>
      <c r="Q277" s="269"/>
      <c r="R277" s="269"/>
      <c r="S277" s="269"/>
      <c r="T277" s="269"/>
      <c r="U277" s="217"/>
      <c r="V277" s="217"/>
      <c r="W277" s="217"/>
      <c r="X277" s="217"/>
      <c r="Y277" s="217"/>
      <c r="Z277" s="217"/>
    </row>
    <row r="278" ht="14.25" customHeight="1">
      <c r="A278" s="245">
        <v>35.0</v>
      </c>
      <c r="B278" s="297" t="s">
        <v>4109</v>
      </c>
      <c r="C278" s="298"/>
      <c r="D278" s="314" t="s">
        <v>4110</v>
      </c>
      <c r="E278" s="315" t="s">
        <v>227</v>
      </c>
      <c r="F278" s="269"/>
      <c r="G278" s="269"/>
      <c r="H278" s="269"/>
      <c r="I278" s="269"/>
      <c r="J278" s="269"/>
      <c r="K278" s="269"/>
      <c r="L278" s="269"/>
      <c r="M278" s="269"/>
      <c r="N278" s="269"/>
      <c r="O278" s="269"/>
      <c r="P278" s="269"/>
      <c r="Q278" s="269"/>
      <c r="R278" s="269"/>
      <c r="S278" s="269"/>
      <c r="T278" s="269"/>
      <c r="U278" s="217"/>
      <c r="V278" s="217"/>
      <c r="W278" s="217"/>
      <c r="X278" s="217"/>
      <c r="Y278" s="217"/>
      <c r="Z278" s="217"/>
    </row>
    <row r="279" ht="14.25" customHeight="1">
      <c r="A279" s="245">
        <v>36.0</v>
      </c>
      <c r="B279" s="297" t="s">
        <v>4115</v>
      </c>
      <c r="C279" s="298"/>
      <c r="D279" s="266" t="s">
        <v>4116</v>
      </c>
      <c r="E279" s="267" t="s">
        <v>227</v>
      </c>
      <c r="F279" s="287"/>
      <c r="G279" s="287"/>
      <c r="H279" s="287"/>
      <c r="I279" s="287"/>
      <c r="J279" s="287"/>
      <c r="K279" s="287"/>
      <c r="L279" s="287"/>
      <c r="M279" s="287"/>
      <c r="N279" s="287"/>
      <c r="O279" s="287"/>
      <c r="P279" s="287"/>
      <c r="Q279" s="287"/>
      <c r="R279" s="287"/>
      <c r="S279" s="287"/>
      <c r="T279" s="287"/>
      <c r="U279" s="217"/>
      <c r="V279" s="217"/>
      <c r="W279" s="217"/>
      <c r="X279" s="217"/>
      <c r="Y279" s="217"/>
      <c r="Z279" s="217"/>
    </row>
    <row r="280" ht="16.5" hidden="1" customHeight="1">
      <c r="A280" s="252"/>
      <c r="B280" s="368" t="s">
        <v>8789</v>
      </c>
      <c r="C280" s="252"/>
      <c r="D280" s="253">
        <f>COUNTIF(E244:E279,"L")</f>
        <v>13</v>
      </c>
      <c r="E280" s="253"/>
      <c r="F280" s="254"/>
      <c r="G280" s="254"/>
      <c r="H280" s="254"/>
      <c r="I280" s="254"/>
      <c r="J280" s="254"/>
      <c r="K280" s="254"/>
      <c r="L280" s="254"/>
      <c r="M280" s="254"/>
      <c r="N280" s="254"/>
      <c r="O280" s="254"/>
      <c r="P280" s="254"/>
      <c r="Q280" s="254"/>
      <c r="R280" s="254"/>
      <c r="S280" s="254"/>
      <c r="T280" s="254"/>
      <c r="U280" s="217"/>
      <c r="V280" s="217"/>
      <c r="W280" s="217"/>
      <c r="X280" s="217"/>
      <c r="Y280" s="217"/>
      <c r="Z280" s="217"/>
    </row>
    <row r="281" ht="16.5" hidden="1" customHeight="1">
      <c r="A281" s="252"/>
      <c r="B281" s="368" t="s">
        <v>8790</v>
      </c>
      <c r="C281" s="252"/>
      <c r="D281" s="253">
        <f>COUNTIF(E244:E279,"P")</f>
        <v>23</v>
      </c>
      <c r="E281" s="253"/>
      <c r="F281" s="254"/>
      <c r="G281" s="254"/>
      <c r="H281" s="254"/>
      <c r="I281" s="254"/>
      <c r="J281" s="254"/>
      <c r="K281" s="255" t="s">
        <v>9753</v>
      </c>
      <c r="L281" s="256"/>
      <c r="M281" s="256"/>
      <c r="N281" s="256"/>
      <c r="O281" s="256"/>
      <c r="P281" s="256"/>
      <c r="Q281" s="256"/>
      <c r="R281" s="256"/>
      <c r="S281" s="256"/>
      <c r="T281" s="257"/>
      <c r="U281" s="217"/>
      <c r="V281" s="217"/>
      <c r="W281" s="217"/>
      <c r="X281" s="217"/>
      <c r="Y281" s="217"/>
      <c r="Z281" s="217"/>
    </row>
    <row r="282" ht="16.5" hidden="1" customHeight="1">
      <c r="A282" s="252"/>
      <c r="B282" s="368" t="s">
        <v>8792</v>
      </c>
      <c r="C282" s="252"/>
      <c r="D282" s="253">
        <f>SUM(D280:D281)</f>
        <v>36</v>
      </c>
      <c r="E282" s="253"/>
      <c r="F282" s="254"/>
      <c r="G282" s="254"/>
      <c r="H282" s="254"/>
      <c r="I282" s="254"/>
      <c r="J282" s="254"/>
      <c r="K282" s="258" t="s">
        <v>8793</v>
      </c>
      <c r="L282" s="259"/>
      <c r="M282" s="259"/>
      <c r="N282" s="259"/>
      <c r="O282" s="259"/>
      <c r="P282" s="259"/>
      <c r="Q282" s="259"/>
      <c r="R282" s="259"/>
      <c r="S282" s="259"/>
      <c r="T282" s="260"/>
      <c r="U282" s="217"/>
      <c r="V282" s="217"/>
      <c r="W282" s="217"/>
      <c r="X282" s="217"/>
      <c r="Y282" s="217"/>
      <c r="Z282" s="217"/>
    </row>
    <row r="283" ht="97.5" hidden="1" customHeight="1">
      <c r="A283" s="261" t="s">
        <v>8743</v>
      </c>
      <c r="B283" s="261"/>
      <c r="C283" s="261"/>
      <c r="D283" s="261"/>
      <c r="E283" s="261"/>
      <c r="F283" s="261"/>
      <c r="G283" s="261"/>
      <c r="H283" s="261"/>
      <c r="I283" s="261"/>
      <c r="J283" s="261"/>
      <c r="K283" s="261"/>
      <c r="L283" s="261"/>
      <c r="M283" s="261"/>
      <c r="N283" s="261"/>
      <c r="O283" s="261"/>
      <c r="P283" s="261"/>
      <c r="Q283" s="261"/>
      <c r="R283" s="261"/>
      <c r="S283" s="261"/>
      <c r="T283" s="261"/>
      <c r="U283" s="217"/>
      <c r="V283" s="217"/>
      <c r="W283" s="217"/>
      <c r="X283" s="217"/>
      <c r="Y283" s="217"/>
      <c r="Z283" s="217"/>
    </row>
    <row r="284" ht="16.5" hidden="1" customHeight="1">
      <c r="A284" s="262" t="s">
        <v>9365</v>
      </c>
      <c r="B284" s="263"/>
      <c r="C284" s="263"/>
      <c r="D284" s="263"/>
      <c r="E284" s="263"/>
      <c r="F284" s="263"/>
      <c r="G284" s="263"/>
      <c r="H284" s="263"/>
      <c r="I284" s="263"/>
      <c r="J284" s="263"/>
      <c r="K284" s="263"/>
      <c r="L284" s="263"/>
      <c r="M284" s="263"/>
      <c r="N284" s="263"/>
      <c r="O284" s="263"/>
      <c r="P284" s="263"/>
      <c r="Q284" s="263"/>
      <c r="R284" s="263"/>
      <c r="S284" s="263"/>
      <c r="T284" s="264"/>
      <c r="U284" s="217"/>
      <c r="V284" s="217"/>
      <c r="W284" s="217"/>
      <c r="X284" s="217"/>
      <c r="Y284" s="217"/>
      <c r="Z284" s="217"/>
    </row>
    <row r="285" ht="16.5" hidden="1" customHeight="1">
      <c r="A285" s="222" t="s">
        <v>9798</v>
      </c>
      <c r="B285" s="223"/>
      <c r="C285" s="223"/>
      <c r="D285" s="223"/>
      <c r="E285" s="223"/>
      <c r="F285" s="223"/>
      <c r="G285" s="223"/>
      <c r="H285" s="223"/>
      <c r="I285" s="223"/>
      <c r="J285" s="223"/>
      <c r="K285" s="223"/>
      <c r="L285" s="223"/>
      <c r="M285" s="223"/>
      <c r="N285" s="223"/>
      <c r="O285" s="223"/>
      <c r="P285" s="223"/>
      <c r="Q285" s="223"/>
      <c r="R285" s="223"/>
      <c r="S285" s="223"/>
      <c r="T285" s="224"/>
      <c r="U285" s="217"/>
      <c r="V285" s="217"/>
      <c r="W285" s="217"/>
      <c r="X285" s="217"/>
      <c r="Y285" s="217"/>
      <c r="Z285" s="217"/>
    </row>
    <row r="286" ht="16.5" hidden="1" customHeight="1">
      <c r="A286" s="225" t="s">
        <v>9515</v>
      </c>
      <c r="B286" s="226"/>
      <c r="C286" s="226"/>
      <c r="D286" s="226"/>
      <c r="E286" s="226"/>
      <c r="F286" s="226"/>
      <c r="G286" s="226"/>
      <c r="H286" s="226"/>
      <c r="I286" s="226"/>
      <c r="J286" s="226"/>
      <c r="K286" s="226"/>
      <c r="L286" s="226"/>
      <c r="M286" s="226"/>
      <c r="N286" s="226"/>
      <c r="O286" s="226"/>
      <c r="P286" s="226"/>
      <c r="Q286" s="226"/>
      <c r="R286" s="226"/>
      <c r="S286" s="226"/>
      <c r="T286" s="227"/>
      <c r="U286" s="217"/>
      <c r="V286" s="217"/>
      <c r="W286" s="217"/>
      <c r="X286" s="217"/>
      <c r="Y286" s="217"/>
      <c r="Z286" s="217"/>
    </row>
    <row r="287" ht="16.5" hidden="1" customHeight="1">
      <c r="A287" s="228" t="s">
        <v>9846</v>
      </c>
      <c r="B287" s="229"/>
      <c r="C287" s="229"/>
      <c r="D287" s="229"/>
      <c r="E287" s="229"/>
      <c r="F287" s="230"/>
      <c r="G287" s="230"/>
      <c r="H287" s="230"/>
      <c r="I287" s="230"/>
      <c r="J287" s="230"/>
      <c r="K287" s="230"/>
      <c r="L287" s="230"/>
      <c r="M287" s="230"/>
      <c r="N287" s="230"/>
      <c r="O287" s="230"/>
      <c r="P287" s="230"/>
      <c r="Q287" s="230"/>
      <c r="R287" s="230"/>
      <c r="S287" s="230"/>
      <c r="T287" s="230"/>
      <c r="U287" s="217"/>
      <c r="V287" s="217"/>
      <c r="W287" s="217"/>
      <c r="X287" s="217"/>
      <c r="Y287" s="217"/>
      <c r="Z287" s="217"/>
    </row>
    <row r="288" ht="14.25" hidden="1" customHeight="1">
      <c r="A288" s="231" t="s">
        <v>8748</v>
      </c>
      <c r="B288" s="231" t="s">
        <v>9</v>
      </c>
      <c r="C288" s="231" t="s">
        <v>5246</v>
      </c>
      <c r="D288" s="231" t="s">
        <v>8680</v>
      </c>
      <c r="E288" s="232" t="s">
        <v>13</v>
      </c>
      <c r="F288" s="233" t="s">
        <v>9801</v>
      </c>
      <c r="G288" s="234"/>
      <c r="H288" s="234"/>
      <c r="I288" s="234"/>
      <c r="J288" s="234"/>
      <c r="K288" s="234"/>
      <c r="L288" s="234"/>
      <c r="M288" s="234"/>
      <c r="N288" s="234"/>
      <c r="O288" s="234"/>
      <c r="P288" s="234"/>
      <c r="Q288" s="234"/>
      <c r="R288" s="234"/>
      <c r="S288" s="234"/>
      <c r="T288" s="235"/>
      <c r="U288" s="217"/>
      <c r="V288" s="217"/>
      <c r="W288" s="217"/>
      <c r="X288" s="217"/>
      <c r="Y288" s="217"/>
      <c r="Z288" s="217"/>
    </row>
    <row r="289" ht="14.25" hidden="1" customHeight="1">
      <c r="A289" s="236"/>
      <c r="B289" s="236"/>
      <c r="C289" s="236"/>
      <c r="D289" s="236"/>
      <c r="E289" s="237"/>
      <c r="F289" s="238" t="s">
        <v>9802</v>
      </c>
      <c r="G289" s="239"/>
      <c r="H289" s="239"/>
      <c r="I289" s="239"/>
      <c r="J289" s="239"/>
      <c r="K289" s="239"/>
      <c r="L289" s="239"/>
      <c r="M289" s="239"/>
      <c r="N289" s="239"/>
      <c r="O289" s="239"/>
      <c r="P289" s="239"/>
      <c r="Q289" s="240"/>
      <c r="R289" s="233" t="s">
        <v>9713</v>
      </c>
      <c r="S289" s="234"/>
      <c r="T289" s="235"/>
      <c r="U289" s="217"/>
      <c r="V289" s="217"/>
      <c r="W289" s="217"/>
      <c r="X289" s="217"/>
      <c r="Y289" s="217"/>
      <c r="Z289" s="217"/>
    </row>
    <row r="290" ht="14.25" hidden="1" customHeight="1">
      <c r="A290" s="241"/>
      <c r="B290" s="295"/>
      <c r="C290" s="295"/>
      <c r="D290" s="241"/>
      <c r="E290" s="242"/>
      <c r="F290" s="243">
        <v>1.0</v>
      </c>
      <c r="G290" s="243">
        <v>2.0</v>
      </c>
      <c r="H290" s="243">
        <v>3.0</v>
      </c>
      <c r="I290" s="243">
        <v>4.0</v>
      </c>
      <c r="J290" s="243">
        <v>5.0</v>
      </c>
      <c r="K290" s="243">
        <v>6.0</v>
      </c>
      <c r="L290" s="243">
        <v>7.0</v>
      </c>
      <c r="M290" s="243">
        <v>8.0</v>
      </c>
      <c r="N290" s="243">
        <v>9.0</v>
      </c>
      <c r="O290" s="243">
        <v>10.0</v>
      </c>
      <c r="P290" s="243">
        <v>11.0</v>
      </c>
      <c r="Q290" s="243">
        <v>12.0</v>
      </c>
      <c r="R290" s="243" t="s">
        <v>9714</v>
      </c>
      <c r="S290" s="243" t="s">
        <v>9715</v>
      </c>
      <c r="T290" s="244" t="s">
        <v>9716</v>
      </c>
      <c r="U290" s="217"/>
      <c r="V290" s="217"/>
      <c r="W290" s="217"/>
      <c r="X290" s="217"/>
      <c r="Y290" s="217"/>
      <c r="Z290" s="217"/>
    </row>
    <row r="291" ht="14.25" customHeight="1">
      <c r="A291" s="318">
        <v>1.0</v>
      </c>
      <c r="B291" s="304" t="s">
        <v>4120</v>
      </c>
      <c r="C291" s="305"/>
      <c r="D291" s="266" t="s">
        <v>4121</v>
      </c>
      <c r="E291" s="267" t="s">
        <v>220</v>
      </c>
      <c r="F291" s="269"/>
      <c r="G291" s="245"/>
      <c r="H291" s="245"/>
      <c r="I291" s="245"/>
      <c r="J291" s="317"/>
      <c r="K291" s="275"/>
      <c r="L291" s="269"/>
      <c r="M291" s="269"/>
      <c r="N291" s="269"/>
      <c r="O291" s="269"/>
      <c r="P291" s="269"/>
      <c r="Q291" s="269"/>
      <c r="R291" s="269"/>
      <c r="S291" s="269"/>
      <c r="T291" s="269"/>
      <c r="U291" s="217"/>
      <c r="V291" s="217"/>
      <c r="W291" s="217"/>
      <c r="X291" s="217"/>
      <c r="Y291" s="217"/>
      <c r="Z291" s="217"/>
    </row>
    <row r="292" ht="14.25" customHeight="1">
      <c r="A292" s="318">
        <v>2.0</v>
      </c>
      <c r="B292" s="297" t="s">
        <v>4126</v>
      </c>
      <c r="C292" s="298"/>
      <c r="D292" s="266" t="s">
        <v>4127</v>
      </c>
      <c r="E292" s="267" t="s">
        <v>220</v>
      </c>
      <c r="F292" s="269"/>
      <c r="G292" s="245"/>
      <c r="H292" s="245"/>
      <c r="I292" s="245"/>
      <c r="J292" s="317"/>
      <c r="K292" s="275"/>
      <c r="L292" s="269"/>
      <c r="M292" s="269"/>
      <c r="N292" s="269"/>
      <c r="O292" s="269"/>
      <c r="P292" s="269"/>
      <c r="Q292" s="269"/>
      <c r="R292" s="269"/>
      <c r="S292" s="269"/>
      <c r="T292" s="269"/>
      <c r="U292" s="217"/>
      <c r="V292" s="217"/>
      <c r="W292" s="217"/>
      <c r="X292" s="217"/>
      <c r="Y292" s="217"/>
      <c r="Z292" s="217"/>
    </row>
    <row r="293" ht="14.25" customHeight="1">
      <c r="A293" s="318">
        <v>3.0</v>
      </c>
      <c r="B293" s="297" t="s">
        <v>4131</v>
      </c>
      <c r="C293" s="298"/>
      <c r="D293" s="319" t="s">
        <v>4132</v>
      </c>
      <c r="E293" s="320" t="s">
        <v>227</v>
      </c>
      <c r="F293" s="269"/>
      <c r="G293" s="245"/>
      <c r="H293" s="245"/>
      <c r="I293" s="245"/>
      <c r="J293" s="317"/>
      <c r="K293" s="275"/>
      <c r="L293" s="269"/>
      <c r="M293" s="269"/>
      <c r="N293" s="269"/>
      <c r="O293" s="269"/>
      <c r="P293" s="269"/>
      <c r="Q293" s="269"/>
      <c r="R293" s="269"/>
      <c r="S293" s="269"/>
      <c r="T293" s="269"/>
      <c r="W293" s="217"/>
      <c r="X293" s="217"/>
      <c r="Y293" s="217"/>
      <c r="Z293" s="217"/>
    </row>
    <row r="294" ht="14.25" customHeight="1">
      <c r="A294" s="318">
        <v>4.0</v>
      </c>
      <c r="B294" s="297" t="s">
        <v>4136</v>
      </c>
      <c r="C294" s="298"/>
      <c r="D294" s="266" t="s">
        <v>4137</v>
      </c>
      <c r="E294" s="267" t="s">
        <v>227</v>
      </c>
      <c r="F294" s="269"/>
      <c r="G294" s="245"/>
      <c r="H294" s="245"/>
      <c r="I294" s="245"/>
      <c r="J294" s="317"/>
      <c r="K294" s="275"/>
      <c r="L294" s="269"/>
      <c r="M294" s="269"/>
      <c r="N294" s="269"/>
      <c r="O294" s="269"/>
      <c r="P294" s="269"/>
      <c r="Q294" s="269"/>
      <c r="R294" s="269"/>
      <c r="S294" s="269"/>
      <c r="T294" s="269"/>
      <c r="U294" s="217"/>
      <c r="V294" s="217"/>
      <c r="W294" s="217"/>
      <c r="X294" s="217"/>
      <c r="Y294" s="217"/>
      <c r="Z294" s="217"/>
    </row>
    <row r="295" ht="14.25" customHeight="1">
      <c r="A295" s="318">
        <v>5.0</v>
      </c>
      <c r="B295" s="297" t="s">
        <v>4142</v>
      </c>
      <c r="C295" s="298"/>
      <c r="D295" s="266" t="s">
        <v>4143</v>
      </c>
      <c r="E295" s="267" t="s">
        <v>220</v>
      </c>
      <c r="F295" s="269"/>
      <c r="G295" s="245"/>
      <c r="H295" s="245"/>
      <c r="I295" s="245"/>
      <c r="J295" s="317"/>
      <c r="K295" s="275"/>
      <c r="L295" s="269"/>
      <c r="M295" s="269"/>
      <c r="N295" s="269"/>
      <c r="O295" s="269"/>
      <c r="P295" s="269"/>
      <c r="Q295" s="269"/>
      <c r="R295" s="269"/>
      <c r="S295" s="269"/>
      <c r="T295" s="269"/>
      <c r="U295" s="217"/>
      <c r="V295" s="217"/>
      <c r="W295" s="217"/>
      <c r="X295" s="217"/>
      <c r="Y295" s="217"/>
      <c r="Z295" s="217"/>
    </row>
    <row r="296" ht="14.25" customHeight="1">
      <c r="A296" s="318">
        <v>6.0</v>
      </c>
      <c r="B296" s="297" t="s">
        <v>4147</v>
      </c>
      <c r="C296" s="298"/>
      <c r="D296" s="266" t="s">
        <v>4148</v>
      </c>
      <c r="E296" s="267" t="s">
        <v>227</v>
      </c>
      <c r="F296" s="269"/>
      <c r="G296" s="245"/>
      <c r="H296" s="245"/>
      <c r="I296" s="245"/>
      <c r="J296" s="317"/>
      <c r="K296" s="275"/>
      <c r="L296" s="269"/>
      <c r="M296" s="269"/>
      <c r="N296" s="269"/>
      <c r="O296" s="269"/>
      <c r="P296" s="269"/>
      <c r="Q296" s="269"/>
      <c r="R296" s="269"/>
      <c r="S296" s="269"/>
      <c r="T296" s="269"/>
      <c r="U296" s="217"/>
      <c r="V296" s="217"/>
      <c r="W296" s="217"/>
      <c r="X296" s="217"/>
      <c r="Y296" s="217"/>
      <c r="Z296" s="217"/>
    </row>
    <row r="297" ht="14.25" customHeight="1">
      <c r="A297" s="318">
        <v>7.0</v>
      </c>
      <c r="B297" s="297" t="s">
        <v>4152</v>
      </c>
      <c r="C297" s="298"/>
      <c r="D297" s="266" t="s">
        <v>4153</v>
      </c>
      <c r="E297" s="267" t="s">
        <v>227</v>
      </c>
      <c r="F297" s="249"/>
      <c r="G297" s="245"/>
      <c r="H297" s="245"/>
      <c r="I297" s="245"/>
      <c r="J297" s="317"/>
      <c r="K297" s="275"/>
      <c r="L297" s="269"/>
      <c r="M297" s="269"/>
      <c r="N297" s="269"/>
      <c r="O297" s="269"/>
      <c r="P297" s="269"/>
      <c r="Q297" s="269"/>
      <c r="R297" s="269"/>
      <c r="S297" s="269"/>
      <c r="T297" s="269"/>
      <c r="U297" s="217"/>
      <c r="V297" s="217"/>
      <c r="W297" s="217"/>
      <c r="X297" s="217"/>
      <c r="Y297" s="217"/>
      <c r="Z297" s="217"/>
    </row>
    <row r="298" ht="14.25" customHeight="1">
      <c r="A298" s="318">
        <v>8.0</v>
      </c>
      <c r="B298" s="297" t="s">
        <v>4157</v>
      </c>
      <c r="C298" s="298"/>
      <c r="D298" s="266" t="s">
        <v>4158</v>
      </c>
      <c r="E298" s="267" t="s">
        <v>227</v>
      </c>
      <c r="F298" s="287"/>
      <c r="G298" s="287"/>
      <c r="H298" s="287"/>
      <c r="I298" s="287"/>
      <c r="J298" s="287"/>
      <c r="K298" s="287"/>
      <c r="L298" s="287"/>
      <c r="M298" s="287"/>
      <c r="N298" s="287"/>
      <c r="O298" s="287"/>
      <c r="P298" s="287"/>
      <c r="Q298" s="287"/>
      <c r="R298" s="287"/>
      <c r="S298" s="287"/>
      <c r="T298" s="287"/>
      <c r="U298" s="217"/>
      <c r="V298" s="217"/>
      <c r="W298" s="217"/>
      <c r="X298" s="217"/>
      <c r="Y298" s="217"/>
      <c r="Z298" s="217"/>
    </row>
    <row r="299" ht="14.25" customHeight="1">
      <c r="A299" s="318">
        <v>9.0</v>
      </c>
      <c r="B299" s="297" t="s">
        <v>4162</v>
      </c>
      <c r="C299" s="298"/>
      <c r="D299" s="266" t="s">
        <v>4163</v>
      </c>
      <c r="E299" s="267" t="s">
        <v>227</v>
      </c>
      <c r="F299" s="269"/>
      <c r="G299" s="245"/>
      <c r="H299" s="245"/>
      <c r="I299" s="245"/>
      <c r="J299" s="317"/>
      <c r="K299" s="275"/>
      <c r="L299" s="269"/>
      <c r="M299" s="269"/>
      <c r="N299" s="269"/>
      <c r="O299" s="269"/>
      <c r="P299" s="269"/>
      <c r="Q299" s="269"/>
      <c r="R299" s="269"/>
      <c r="S299" s="269"/>
      <c r="T299" s="269"/>
      <c r="U299" s="217"/>
      <c r="V299" s="217"/>
      <c r="W299" s="217"/>
      <c r="X299" s="217"/>
      <c r="Y299" s="217"/>
      <c r="Z299" s="217"/>
    </row>
    <row r="300" ht="14.25" customHeight="1">
      <c r="A300" s="318">
        <v>10.0</v>
      </c>
      <c r="B300" s="297" t="s">
        <v>4167</v>
      </c>
      <c r="C300" s="298"/>
      <c r="D300" s="266" t="s">
        <v>4168</v>
      </c>
      <c r="E300" s="267" t="s">
        <v>227</v>
      </c>
      <c r="F300" s="269"/>
      <c r="G300" s="245"/>
      <c r="H300" s="245"/>
      <c r="I300" s="245"/>
      <c r="J300" s="317"/>
      <c r="K300" s="275"/>
      <c r="L300" s="269"/>
      <c r="M300" s="269"/>
      <c r="N300" s="269"/>
      <c r="O300" s="269"/>
      <c r="P300" s="269"/>
      <c r="Q300" s="269"/>
      <c r="R300" s="269"/>
      <c r="S300" s="269"/>
      <c r="T300" s="269"/>
      <c r="W300" s="217"/>
      <c r="X300" s="217"/>
      <c r="Y300" s="217"/>
      <c r="Z300" s="217"/>
    </row>
    <row r="301" ht="14.25" customHeight="1">
      <c r="A301" s="318">
        <v>11.0</v>
      </c>
      <c r="B301" s="297" t="s">
        <v>4173</v>
      </c>
      <c r="C301" s="298"/>
      <c r="D301" s="266" t="s">
        <v>4174</v>
      </c>
      <c r="E301" s="267" t="s">
        <v>227</v>
      </c>
      <c r="F301" s="269"/>
      <c r="G301" s="245"/>
      <c r="H301" s="245"/>
      <c r="I301" s="245"/>
      <c r="J301" s="317"/>
      <c r="K301" s="275"/>
      <c r="L301" s="269"/>
      <c r="M301" s="269"/>
      <c r="N301" s="269"/>
      <c r="O301" s="269"/>
      <c r="P301" s="269"/>
      <c r="Q301" s="269"/>
      <c r="R301" s="269"/>
      <c r="S301" s="269"/>
      <c r="T301" s="269"/>
      <c r="U301" s="217"/>
      <c r="V301" s="217"/>
      <c r="W301" s="217"/>
      <c r="X301" s="217"/>
      <c r="Y301" s="217"/>
      <c r="Z301" s="217"/>
    </row>
    <row r="302" ht="14.25" customHeight="1">
      <c r="A302" s="318">
        <v>12.0</v>
      </c>
      <c r="B302" s="297" t="s">
        <v>4178</v>
      </c>
      <c r="C302" s="298"/>
      <c r="D302" s="266" t="s">
        <v>4179</v>
      </c>
      <c r="E302" s="267" t="s">
        <v>227</v>
      </c>
      <c r="F302" s="269"/>
      <c r="G302" s="269"/>
      <c r="H302" s="269"/>
      <c r="I302" s="269"/>
      <c r="J302" s="269"/>
      <c r="K302" s="269"/>
      <c r="L302" s="269"/>
      <c r="M302" s="269"/>
      <c r="N302" s="269"/>
      <c r="O302" s="269"/>
      <c r="P302" s="269"/>
      <c r="Q302" s="269"/>
      <c r="R302" s="269"/>
      <c r="S302" s="269"/>
      <c r="T302" s="269"/>
      <c r="U302" s="217"/>
      <c r="V302" s="217"/>
      <c r="W302" s="217"/>
      <c r="X302" s="217"/>
      <c r="Y302" s="217"/>
      <c r="Z302" s="217"/>
    </row>
    <row r="303" ht="14.25" customHeight="1">
      <c r="A303" s="318">
        <v>13.0</v>
      </c>
      <c r="B303" s="297" t="s">
        <v>4183</v>
      </c>
      <c r="C303" s="298"/>
      <c r="D303" s="266" t="s">
        <v>4184</v>
      </c>
      <c r="E303" s="267" t="s">
        <v>220</v>
      </c>
      <c r="F303" s="269"/>
      <c r="G303" s="269"/>
      <c r="H303" s="269"/>
      <c r="I303" s="269"/>
      <c r="J303" s="269"/>
      <c r="K303" s="269"/>
      <c r="L303" s="269"/>
      <c r="M303" s="269"/>
      <c r="N303" s="269"/>
      <c r="O303" s="269"/>
      <c r="P303" s="269"/>
      <c r="Q303" s="269"/>
      <c r="R303" s="269"/>
      <c r="S303" s="269"/>
      <c r="T303" s="269"/>
      <c r="U303" s="217"/>
      <c r="V303" s="217"/>
      <c r="W303" s="217"/>
      <c r="X303" s="217"/>
      <c r="Y303" s="217"/>
      <c r="Z303" s="217"/>
    </row>
    <row r="304" ht="14.25" customHeight="1">
      <c r="A304" s="318">
        <v>14.0</v>
      </c>
      <c r="B304" s="297" t="s">
        <v>4189</v>
      </c>
      <c r="C304" s="298"/>
      <c r="D304" s="266" t="s">
        <v>4190</v>
      </c>
      <c r="E304" s="267" t="s">
        <v>220</v>
      </c>
      <c r="F304" s="269"/>
      <c r="G304" s="269"/>
      <c r="H304" s="269"/>
      <c r="I304" s="269"/>
      <c r="J304" s="269"/>
      <c r="K304" s="269"/>
      <c r="L304" s="269"/>
      <c r="M304" s="269"/>
      <c r="N304" s="269"/>
      <c r="O304" s="269"/>
      <c r="P304" s="269"/>
      <c r="Q304" s="269"/>
      <c r="R304" s="269"/>
      <c r="S304" s="269"/>
      <c r="T304" s="269"/>
      <c r="W304" s="217"/>
      <c r="X304" s="217"/>
      <c r="Y304" s="217"/>
      <c r="Z304" s="217"/>
    </row>
    <row r="305" ht="14.25" customHeight="1">
      <c r="A305" s="318">
        <v>15.0</v>
      </c>
      <c r="B305" s="297" t="s">
        <v>4194</v>
      </c>
      <c r="C305" s="298"/>
      <c r="D305" s="266" t="s">
        <v>4195</v>
      </c>
      <c r="E305" s="267" t="s">
        <v>227</v>
      </c>
      <c r="F305" s="269"/>
      <c r="G305" s="269"/>
      <c r="H305" s="269"/>
      <c r="I305" s="269"/>
      <c r="J305" s="269"/>
      <c r="K305" s="269"/>
      <c r="L305" s="269"/>
      <c r="M305" s="269"/>
      <c r="N305" s="269"/>
      <c r="O305" s="269"/>
      <c r="P305" s="269"/>
      <c r="Q305" s="269"/>
      <c r="R305" s="269"/>
      <c r="S305" s="269"/>
      <c r="T305" s="269"/>
      <c r="U305" s="217"/>
      <c r="V305" s="217"/>
      <c r="W305" s="217"/>
      <c r="X305" s="217"/>
      <c r="Y305" s="217"/>
      <c r="Z305" s="217"/>
    </row>
    <row r="306" ht="14.25" customHeight="1">
      <c r="A306" s="318">
        <v>16.0</v>
      </c>
      <c r="B306" s="297" t="s">
        <v>4199</v>
      </c>
      <c r="C306" s="298"/>
      <c r="D306" s="270" t="s">
        <v>4200</v>
      </c>
      <c r="E306" s="271" t="s">
        <v>220</v>
      </c>
      <c r="F306" s="269"/>
      <c r="G306" s="269"/>
      <c r="H306" s="269"/>
      <c r="I306" s="269"/>
      <c r="J306" s="269"/>
      <c r="K306" s="269"/>
      <c r="L306" s="269"/>
      <c r="M306" s="269"/>
      <c r="N306" s="269"/>
      <c r="O306" s="269"/>
      <c r="P306" s="269"/>
      <c r="Q306" s="269"/>
      <c r="R306" s="269"/>
      <c r="S306" s="269"/>
      <c r="T306" s="269"/>
      <c r="W306" s="217"/>
      <c r="X306" s="217"/>
      <c r="Y306" s="217"/>
      <c r="Z306" s="217"/>
    </row>
    <row r="307" ht="14.25" customHeight="1">
      <c r="A307" s="318">
        <v>17.0</v>
      </c>
      <c r="B307" s="297" t="s">
        <v>4204</v>
      </c>
      <c r="C307" s="298"/>
      <c r="D307" s="266" t="s">
        <v>4205</v>
      </c>
      <c r="E307" s="267" t="s">
        <v>227</v>
      </c>
      <c r="F307" s="269"/>
      <c r="G307" s="269"/>
      <c r="H307" s="269"/>
      <c r="I307" s="269"/>
      <c r="J307" s="269"/>
      <c r="K307" s="269"/>
      <c r="L307" s="269"/>
      <c r="M307" s="269"/>
      <c r="N307" s="269"/>
      <c r="O307" s="269"/>
      <c r="P307" s="269"/>
      <c r="Q307" s="269"/>
      <c r="R307" s="269"/>
      <c r="S307" s="269"/>
      <c r="T307" s="269"/>
      <c r="W307" s="217"/>
      <c r="X307" s="217"/>
      <c r="Y307" s="217"/>
      <c r="Z307" s="217"/>
    </row>
    <row r="308" ht="14.25" customHeight="1">
      <c r="A308" s="318">
        <v>18.0</v>
      </c>
      <c r="B308" s="297" t="s">
        <v>4209</v>
      </c>
      <c r="C308" s="298"/>
      <c r="D308" s="266" t="s">
        <v>4210</v>
      </c>
      <c r="E308" s="267" t="s">
        <v>227</v>
      </c>
      <c r="F308" s="269"/>
      <c r="G308" s="269"/>
      <c r="H308" s="269"/>
      <c r="I308" s="269"/>
      <c r="J308" s="269"/>
      <c r="K308" s="269"/>
      <c r="L308" s="269"/>
      <c r="M308" s="269"/>
      <c r="N308" s="269"/>
      <c r="O308" s="269"/>
      <c r="P308" s="269"/>
      <c r="Q308" s="269"/>
      <c r="R308" s="269"/>
      <c r="S308" s="269"/>
      <c r="T308" s="269"/>
      <c r="W308" s="217"/>
      <c r="X308" s="217"/>
      <c r="Y308" s="217"/>
      <c r="Z308" s="217"/>
    </row>
    <row r="309" ht="14.25" customHeight="1">
      <c r="A309" s="318">
        <v>19.0</v>
      </c>
      <c r="B309" s="297" t="s">
        <v>4214</v>
      </c>
      <c r="C309" s="298"/>
      <c r="D309" s="266" t="s">
        <v>4215</v>
      </c>
      <c r="E309" s="267" t="s">
        <v>220</v>
      </c>
      <c r="F309" s="269"/>
      <c r="G309" s="269"/>
      <c r="H309" s="269"/>
      <c r="I309" s="269"/>
      <c r="J309" s="269"/>
      <c r="K309" s="269"/>
      <c r="L309" s="269"/>
      <c r="M309" s="269"/>
      <c r="N309" s="269"/>
      <c r="O309" s="269"/>
      <c r="P309" s="269"/>
      <c r="Q309" s="269"/>
      <c r="R309" s="269"/>
      <c r="S309" s="269"/>
      <c r="T309" s="269"/>
      <c r="W309" s="217"/>
      <c r="X309" s="217"/>
      <c r="Y309" s="217"/>
      <c r="Z309" s="217"/>
    </row>
    <row r="310" ht="14.25" customHeight="1">
      <c r="A310" s="318">
        <v>20.0</v>
      </c>
      <c r="B310" s="297" t="s">
        <v>4220</v>
      </c>
      <c r="C310" s="298"/>
      <c r="D310" s="266" t="s">
        <v>4221</v>
      </c>
      <c r="E310" s="267" t="s">
        <v>220</v>
      </c>
      <c r="F310" s="269"/>
      <c r="G310" s="317"/>
      <c r="H310" s="269"/>
      <c r="I310" s="269"/>
      <c r="J310" s="269"/>
      <c r="K310" s="269"/>
      <c r="L310" s="269"/>
      <c r="M310" s="269"/>
      <c r="N310" s="269"/>
      <c r="O310" s="269"/>
      <c r="P310" s="269"/>
      <c r="Q310" s="269"/>
      <c r="R310" s="269"/>
      <c r="S310" s="269"/>
      <c r="T310" s="269"/>
      <c r="U310" s="217"/>
      <c r="V310" s="217"/>
      <c r="W310" s="217"/>
      <c r="X310" s="217"/>
      <c r="Y310" s="217"/>
      <c r="Z310" s="217"/>
    </row>
    <row r="311" ht="14.25" customHeight="1">
      <c r="A311" s="318">
        <v>21.0</v>
      </c>
      <c r="B311" s="297" t="s">
        <v>4225</v>
      </c>
      <c r="C311" s="298"/>
      <c r="D311" s="266" t="s">
        <v>4226</v>
      </c>
      <c r="E311" s="267" t="s">
        <v>220</v>
      </c>
      <c r="F311" s="269"/>
      <c r="G311" s="269"/>
      <c r="H311" s="269"/>
      <c r="I311" s="269"/>
      <c r="J311" s="269"/>
      <c r="K311" s="269"/>
      <c r="L311" s="269"/>
      <c r="M311" s="269"/>
      <c r="N311" s="269"/>
      <c r="O311" s="269"/>
      <c r="P311" s="269"/>
      <c r="Q311" s="269"/>
      <c r="R311" s="269"/>
      <c r="S311" s="269"/>
      <c r="T311" s="269"/>
      <c r="U311" s="217"/>
      <c r="V311" s="217"/>
      <c r="W311" s="217"/>
      <c r="X311" s="217"/>
      <c r="Y311" s="217"/>
      <c r="Z311" s="217"/>
    </row>
    <row r="312" ht="14.25" customHeight="1">
      <c r="A312" s="318">
        <v>22.0</v>
      </c>
      <c r="B312" s="297" t="s">
        <v>4230</v>
      </c>
      <c r="C312" s="298"/>
      <c r="D312" s="266" t="s">
        <v>4231</v>
      </c>
      <c r="E312" s="267" t="s">
        <v>220</v>
      </c>
      <c r="F312" s="269"/>
      <c r="G312" s="269"/>
      <c r="H312" s="269"/>
      <c r="I312" s="269"/>
      <c r="J312" s="269"/>
      <c r="K312" s="269"/>
      <c r="L312" s="269"/>
      <c r="M312" s="269"/>
      <c r="N312" s="269"/>
      <c r="O312" s="269"/>
      <c r="P312" s="269"/>
      <c r="Q312" s="269"/>
      <c r="R312" s="269"/>
      <c r="S312" s="269"/>
      <c r="T312" s="269"/>
      <c r="W312" s="217"/>
      <c r="X312" s="217"/>
      <c r="Y312" s="217"/>
      <c r="Z312" s="217"/>
    </row>
    <row r="313" ht="14.25" customHeight="1">
      <c r="A313" s="318">
        <v>23.0</v>
      </c>
      <c r="B313" s="297" t="s">
        <v>4235</v>
      </c>
      <c r="C313" s="298"/>
      <c r="D313" s="266" t="s">
        <v>4236</v>
      </c>
      <c r="E313" s="267" t="s">
        <v>220</v>
      </c>
      <c r="F313" s="269"/>
      <c r="G313" s="269"/>
      <c r="H313" s="269"/>
      <c r="I313" s="269"/>
      <c r="J313" s="269"/>
      <c r="K313" s="269"/>
      <c r="L313" s="269"/>
      <c r="M313" s="269"/>
      <c r="N313" s="269"/>
      <c r="O313" s="269"/>
      <c r="P313" s="269"/>
      <c r="Q313" s="269"/>
      <c r="R313" s="269"/>
      <c r="S313" s="269"/>
      <c r="T313" s="269"/>
      <c r="U313" s="217"/>
      <c r="V313" s="217"/>
      <c r="W313" s="217"/>
      <c r="X313" s="217"/>
      <c r="Y313" s="217"/>
      <c r="Z313" s="217"/>
    </row>
    <row r="314" ht="14.25" customHeight="1">
      <c r="A314" s="318">
        <v>24.0</v>
      </c>
      <c r="B314" s="297" t="s">
        <v>4240</v>
      </c>
      <c r="C314" s="298"/>
      <c r="D314" s="266" t="s">
        <v>4241</v>
      </c>
      <c r="E314" s="267" t="s">
        <v>227</v>
      </c>
      <c r="F314" s="269"/>
      <c r="G314" s="269"/>
      <c r="H314" s="269"/>
      <c r="I314" s="269"/>
      <c r="J314" s="269"/>
      <c r="K314" s="269"/>
      <c r="L314" s="269"/>
      <c r="M314" s="269"/>
      <c r="N314" s="269"/>
      <c r="O314" s="269"/>
      <c r="P314" s="269"/>
      <c r="Q314" s="269"/>
      <c r="R314" s="269"/>
      <c r="S314" s="269"/>
      <c r="T314" s="269"/>
      <c r="U314" s="217"/>
      <c r="V314" s="217"/>
      <c r="W314" s="217"/>
      <c r="X314" s="217"/>
      <c r="Y314" s="217"/>
      <c r="Z314" s="217"/>
    </row>
    <row r="315" ht="14.25" customHeight="1">
      <c r="A315" s="318">
        <v>25.0</v>
      </c>
      <c r="B315" s="297" t="s">
        <v>4245</v>
      </c>
      <c r="C315" s="298"/>
      <c r="D315" s="266" t="s">
        <v>4246</v>
      </c>
      <c r="E315" s="267" t="s">
        <v>227</v>
      </c>
      <c r="F315" s="269"/>
      <c r="G315" s="269"/>
      <c r="H315" s="269"/>
      <c r="I315" s="269"/>
      <c r="J315" s="269"/>
      <c r="K315" s="269"/>
      <c r="L315" s="269"/>
      <c r="M315" s="269"/>
      <c r="N315" s="269"/>
      <c r="O315" s="269"/>
      <c r="P315" s="269"/>
      <c r="Q315" s="269"/>
      <c r="R315" s="269"/>
      <c r="S315" s="269"/>
      <c r="T315" s="269"/>
      <c r="U315" s="217"/>
      <c r="V315" s="217"/>
      <c r="W315" s="217"/>
      <c r="X315" s="217"/>
      <c r="Y315" s="217"/>
      <c r="Z315" s="217"/>
    </row>
    <row r="316" ht="14.25" customHeight="1">
      <c r="A316" s="318">
        <v>26.0</v>
      </c>
      <c r="B316" s="297" t="s">
        <v>4250</v>
      </c>
      <c r="C316" s="298"/>
      <c r="D316" s="266" t="s">
        <v>4251</v>
      </c>
      <c r="E316" s="267" t="s">
        <v>227</v>
      </c>
      <c r="F316" s="269"/>
      <c r="G316" s="269"/>
      <c r="H316" s="269"/>
      <c r="I316" s="269"/>
      <c r="J316" s="269"/>
      <c r="K316" s="269"/>
      <c r="L316" s="269"/>
      <c r="M316" s="269"/>
      <c r="N316" s="269"/>
      <c r="O316" s="269"/>
      <c r="P316" s="269"/>
      <c r="Q316" s="269"/>
      <c r="R316" s="269"/>
      <c r="S316" s="269"/>
      <c r="T316" s="269"/>
      <c r="U316" s="217"/>
      <c r="V316" s="217"/>
      <c r="W316" s="217"/>
      <c r="X316" s="217"/>
      <c r="Y316" s="217"/>
      <c r="Z316" s="217"/>
    </row>
    <row r="317" ht="14.25" customHeight="1">
      <c r="A317" s="318">
        <v>27.0</v>
      </c>
      <c r="B317" s="297" t="s">
        <v>4256</v>
      </c>
      <c r="C317" s="298"/>
      <c r="D317" s="266" t="s">
        <v>4257</v>
      </c>
      <c r="E317" s="267" t="s">
        <v>227</v>
      </c>
      <c r="F317" s="287"/>
      <c r="G317" s="287"/>
      <c r="H317" s="287"/>
      <c r="I317" s="287"/>
      <c r="J317" s="287"/>
      <c r="K317" s="287"/>
      <c r="L317" s="287"/>
      <c r="M317" s="287"/>
      <c r="N317" s="287"/>
      <c r="O317" s="287"/>
      <c r="P317" s="287"/>
      <c r="Q317" s="287"/>
      <c r="R317" s="287"/>
      <c r="S317" s="287"/>
      <c r="T317" s="287"/>
      <c r="U317" s="217"/>
      <c r="V317" s="217"/>
      <c r="W317" s="217"/>
      <c r="X317" s="217"/>
      <c r="Y317" s="217"/>
      <c r="Z317" s="217"/>
    </row>
    <row r="318" ht="22.5" customHeight="1">
      <c r="A318" s="318">
        <v>28.0</v>
      </c>
      <c r="B318" s="297" t="s">
        <v>4261</v>
      </c>
      <c r="C318" s="298"/>
      <c r="D318" s="266" t="s">
        <v>4262</v>
      </c>
      <c r="E318" s="267" t="s">
        <v>227</v>
      </c>
      <c r="F318" s="269"/>
      <c r="G318" s="269"/>
      <c r="H318" s="269"/>
      <c r="I318" s="269"/>
      <c r="J318" s="269"/>
      <c r="K318" s="269"/>
      <c r="L318" s="269"/>
      <c r="M318" s="269"/>
      <c r="N318" s="269"/>
      <c r="O318" s="269"/>
      <c r="P318" s="269"/>
      <c r="Q318" s="269"/>
      <c r="R318" s="269"/>
      <c r="S318" s="269"/>
      <c r="T318" s="269"/>
      <c r="W318" s="217"/>
      <c r="X318" s="217"/>
      <c r="Y318" s="217"/>
      <c r="Z318" s="217"/>
    </row>
    <row r="319" ht="14.25" customHeight="1">
      <c r="A319" s="318">
        <v>29.0</v>
      </c>
      <c r="B319" s="297" t="s">
        <v>4266</v>
      </c>
      <c r="C319" s="298"/>
      <c r="D319" s="266" t="s">
        <v>4267</v>
      </c>
      <c r="E319" s="267" t="s">
        <v>220</v>
      </c>
      <c r="F319" s="269"/>
      <c r="G319" s="269"/>
      <c r="H319" s="269"/>
      <c r="I319" s="269"/>
      <c r="J319" s="269"/>
      <c r="K319" s="269"/>
      <c r="L319" s="269"/>
      <c r="M319" s="269"/>
      <c r="N319" s="269"/>
      <c r="O319" s="269"/>
      <c r="P319" s="269"/>
      <c r="Q319" s="269"/>
      <c r="R319" s="269"/>
      <c r="S319" s="269"/>
      <c r="T319" s="269"/>
      <c r="U319" s="217"/>
      <c r="V319" s="217"/>
      <c r="W319" s="217"/>
      <c r="X319" s="217"/>
      <c r="Y319" s="217"/>
      <c r="Z319" s="217"/>
    </row>
    <row r="320" ht="14.25" customHeight="1">
      <c r="A320" s="318">
        <v>30.0</v>
      </c>
      <c r="B320" s="297" t="s">
        <v>4271</v>
      </c>
      <c r="C320" s="298"/>
      <c r="D320" s="266" t="s">
        <v>4272</v>
      </c>
      <c r="E320" s="267" t="s">
        <v>220</v>
      </c>
      <c r="F320" s="269"/>
      <c r="G320" s="269"/>
      <c r="H320" s="269"/>
      <c r="I320" s="269"/>
      <c r="J320" s="269"/>
      <c r="K320" s="269"/>
      <c r="L320" s="269"/>
      <c r="M320" s="269"/>
      <c r="N320" s="269"/>
      <c r="O320" s="269"/>
      <c r="P320" s="269"/>
      <c r="Q320" s="269"/>
      <c r="R320" s="269"/>
      <c r="S320" s="269"/>
      <c r="T320" s="269"/>
      <c r="U320" s="217"/>
      <c r="V320" s="217"/>
      <c r="W320" s="217"/>
      <c r="X320" s="217"/>
      <c r="Y320" s="217"/>
      <c r="Z320" s="217"/>
    </row>
    <row r="321" ht="14.25" customHeight="1">
      <c r="A321" s="318">
        <v>31.0</v>
      </c>
      <c r="B321" s="297" t="s">
        <v>4276</v>
      </c>
      <c r="C321" s="298"/>
      <c r="D321" s="266" t="s">
        <v>4277</v>
      </c>
      <c r="E321" s="267" t="s">
        <v>227</v>
      </c>
      <c r="F321" s="269"/>
      <c r="G321" s="269"/>
      <c r="H321" s="269"/>
      <c r="I321" s="269"/>
      <c r="J321" s="269"/>
      <c r="K321" s="269"/>
      <c r="L321" s="269"/>
      <c r="M321" s="269"/>
      <c r="N321" s="269"/>
      <c r="O321" s="269"/>
      <c r="P321" s="269"/>
      <c r="Q321" s="269"/>
      <c r="R321" s="269"/>
      <c r="S321" s="269"/>
      <c r="T321" s="269"/>
      <c r="U321" s="217"/>
      <c r="V321" s="217"/>
      <c r="W321" s="217"/>
      <c r="X321" s="217"/>
      <c r="Y321" s="217"/>
      <c r="Z321" s="217"/>
    </row>
    <row r="322" ht="14.25" customHeight="1">
      <c r="A322" s="318">
        <v>32.0</v>
      </c>
      <c r="B322" s="297" t="s">
        <v>4281</v>
      </c>
      <c r="C322" s="298"/>
      <c r="D322" s="266" t="s">
        <v>4282</v>
      </c>
      <c r="E322" s="267" t="s">
        <v>227</v>
      </c>
      <c r="F322" s="269"/>
      <c r="G322" s="269"/>
      <c r="H322" s="269"/>
      <c r="I322" s="269"/>
      <c r="J322" s="269"/>
      <c r="K322" s="269"/>
      <c r="L322" s="269"/>
      <c r="M322" s="269"/>
      <c r="N322" s="269"/>
      <c r="O322" s="269"/>
      <c r="P322" s="269"/>
      <c r="Q322" s="269"/>
      <c r="R322" s="269"/>
      <c r="S322" s="269"/>
      <c r="T322" s="269"/>
      <c r="W322" s="217"/>
      <c r="X322" s="217"/>
      <c r="Y322" s="217"/>
      <c r="Z322" s="217"/>
    </row>
    <row r="323" ht="14.25" customHeight="1">
      <c r="A323" s="318">
        <v>33.0</v>
      </c>
      <c r="B323" s="297" t="s">
        <v>4286</v>
      </c>
      <c r="C323" s="298"/>
      <c r="D323" s="266" t="s">
        <v>4287</v>
      </c>
      <c r="E323" s="267" t="s">
        <v>227</v>
      </c>
      <c r="F323" s="269"/>
      <c r="G323" s="269"/>
      <c r="H323" s="269"/>
      <c r="I323" s="269"/>
      <c r="J323" s="269"/>
      <c r="K323" s="269"/>
      <c r="L323" s="269"/>
      <c r="M323" s="269"/>
      <c r="N323" s="269"/>
      <c r="O323" s="269"/>
      <c r="P323" s="269"/>
      <c r="Q323" s="269"/>
      <c r="R323" s="269"/>
      <c r="S323" s="269"/>
      <c r="T323" s="269"/>
      <c r="U323" s="217"/>
      <c r="V323" s="217"/>
      <c r="W323" s="217"/>
      <c r="X323" s="217"/>
      <c r="Y323" s="217"/>
      <c r="Z323" s="217"/>
    </row>
    <row r="324" ht="14.25" customHeight="1">
      <c r="A324" s="318">
        <v>34.0</v>
      </c>
      <c r="B324" s="297" t="s">
        <v>4292</v>
      </c>
      <c r="C324" s="298"/>
      <c r="D324" s="266" t="s">
        <v>4293</v>
      </c>
      <c r="E324" s="267" t="s">
        <v>227</v>
      </c>
      <c r="F324" s="269"/>
      <c r="G324" s="269"/>
      <c r="H324" s="269"/>
      <c r="I324" s="269"/>
      <c r="J324" s="269"/>
      <c r="K324" s="269"/>
      <c r="L324" s="269"/>
      <c r="M324" s="269"/>
      <c r="N324" s="269"/>
      <c r="O324" s="269"/>
      <c r="P324" s="269"/>
      <c r="Q324" s="269"/>
      <c r="R324" s="269"/>
      <c r="S324" s="269"/>
      <c r="T324" s="269"/>
      <c r="W324" s="217"/>
      <c r="X324" s="217"/>
      <c r="Y324" s="217"/>
      <c r="Z324" s="217"/>
    </row>
    <row r="325" ht="14.25" customHeight="1">
      <c r="A325" s="318">
        <v>35.0</v>
      </c>
      <c r="B325" s="297" t="s">
        <v>4297</v>
      </c>
      <c r="C325" s="298"/>
      <c r="D325" s="314" t="s">
        <v>4298</v>
      </c>
      <c r="E325" s="315" t="s">
        <v>227</v>
      </c>
      <c r="F325" s="269"/>
      <c r="G325" s="269"/>
      <c r="H325" s="269"/>
      <c r="I325" s="269"/>
      <c r="J325" s="269"/>
      <c r="K325" s="269"/>
      <c r="L325" s="269"/>
      <c r="M325" s="269"/>
      <c r="N325" s="269"/>
      <c r="O325" s="269"/>
      <c r="P325" s="269"/>
      <c r="Q325" s="269"/>
      <c r="R325" s="269"/>
      <c r="S325" s="269"/>
      <c r="T325" s="269"/>
      <c r="U325" s="217"/>
      <c r="V325" s="217"/>
      <c r="W325" s="217"/>
      <c r="X325" s="217"/>
      <c r="Y325" s="217"/>
      <c r="Z325" s="217"/>
    </row>
    <row r="326" ht="14.25" customHeight="1">
      <c r="A326" s="318">
        <v>36.0</v>
      </c>
      <c r="B326" s="297" t="s">
        <v>4302</v>
      </c>
      <c r="C326" s="298"/>
      <c r="D326" s="266" t="s">
        <v>4303</v>
      </c>
      <c r="E326" s="267" t="s">
        <v>220</v>
      </c>
      <c r="F326" s="269"/>
      <c r="G326" s="269"/>
      <c r="H326" s="269"/>
      <c r="I326" s="269"/>
      <c r="J326" s="269"/>
      <c r="K326" s="269"/>
      <c r="L326" s="269"/>
      <c r="M326" s="269"/>
      <c r="N326" s="269"/>
      <c r="O326" s="269"/>
      <c r="P326" s="269"/>
      <c r="Q326" s="269"/>
      <c r="R326" s="269"/>
      <c r="S326" s="269"/>
      <c r="T326" s="269"/>
      <c r="U326" s="217"/>
      <c r="V326" s="217"/>
      <c r="W326" s="217"/>
      <c r="X326" s="217"/>
      <c r="Y326" s="217"/>
      <c r="Z326" s="217"/>
    </row>
    <row r="327" ht="16.5" hidden="1" customHeight="1">
      <c r="A327" s="252"/>
      <c r="B327" s="368" t="s">
        <v>8789</v>
      </c>
      <c r="C327" s="252"/>
      <c r="D327" s="253">
        <f>COUNTIF(E291:E326,"L")</f>
        <v>14</v>
      </c>
      <c r="E327" s="253"/>
      <c r="F327" s="254"/>
      <c r="G327" s="254"/>
      <c r="H327" s="254"/>
      <c r="I327" s="254"/>
      <c r="J327" s="254"/>
      <c r="K327" s="254"/>
      <c r="L327" s="254"/>
      <c r="M327" s="254"/>
      <c r="N327" s="254"/>
      <c r="O327" s="254"/>
      <c r="P327" s="254"/>
      <c r="Q327" s="254"/>
      <c r="R327" s="254"/>
      <c r="S327" s="254"/>
      <c r="T327" s="254"/>
      <c r="U327" s="217"/>
      <c r="V327" s="217"/>
      <c r="W327" s="217"/>
      <c r="X327" s="217"/>
      <c r="Y327" s="217"/>
      <c r="Z327" s="217"/>
    </row>
    <row r="328" ht="16.5" hidden="1" customHeight="1">
      <c r="A328" s="252"/>
      <c r="B328" s="368" t="s">
        <v>8790</v>
      </c>
      <c r="C328" s="252"/>
      <c r="D328" s="253">
        <f>COUNTIF(E291:E326,"P")</f>
        <v>22</v>
      </c>
      <c r="E328" s="253"/>
      <c r="F328" s="254"/>
      <c r="G328" s="254"/>
      <c r="H328" s="254"/>
      <c r="I328" s="254"/>
      <c r="J328" s="254"/>
      <c r="K328" s="255" t="s">
        <v>9753</v>
      </c>
      <c r="L328" s="256"/>
      <c r="M328" s="256"/>
      <c r="N328" s="256"/>
      <c r="O328" s="256"/>
      <c r="P328" s="256"/>
      <c r="Q328" s="256"/>
      <c r="R328" s="256"/>
      <c r="S328" s="256"/>
      <c r="T328" s="257"/>
      <c r="U328" s="217"/>
      <c r="V328" s="217"/>
      <c r="W328" s="217"/>
      <c r="X328" s="217"/>
      <c r="Y328" s="217"/>
      <c r="Z328" s="217"/>
    </row>
    <row r="329" ht="16.5" hidden="1" customHeight="1">
      <c r="A329" s="252"/>
      <c r="B329" s="368" t="s">
        <v>8792</v>
      </c>
      <c r="C329" s="252"/>
      <c r="D329" s="253">
        <f>SUM(D327:D328)</f>
        <v>36</v>
      </c>
      <c r="E329" s="253"/>
      <c r="F329" s="254"/>
      <c r="G329" s="254"/>
      <c r="H329" s="254"/>
      <c r="I329" s="254"/>
      <c r="J329" s="254"/>
      <c r="K329" s="258" t="s">
        <v>8793</v>
      </c>
      <c r="L329" s="259"/>
      <c r="M329" s="259"/>
      <c r="N329" s="259"/>
      <c r="O329" s="259"/>
      <c r="P329" s="259"/>
      <c r="Q329" s="259"/>
      <c r="R329" s="259"/>
      <c r="S329" s="259"/>
      <c r="T329" s="260"/>
      <c r="U329" s="217"/>
      <c r="V329" s="217"/>
      <c r="W329" s="217"/>
      <c r="X329" s="217"/>
      <c r="Y329" s="217"/>
      <c r="Z329" s="217"/>
    </row>
    <row r="330" ht="75.0" hidden="1" customHeight="1">
      <c r="A330" s="261" t="s">
        <v>8743</v>
      </c>
      <c r="B330" s="261"/>
      <c r="C330" s="261"/>
      <c r="D330" s="261"/>
      <c r="E330" s="261"/>
      <c r="F330" s="261"/>
      <c r="G330" s="261"/>
      <c r="H330" s="261"/>
      <c r="I330" s="261"/>
      <c r="J330" s="261"/>
      <c r="K330" s="261"/>
      <c r="L330" s="261"/>
      <c r="M330" s="261"/>
      <c r="N330" s="261"/>
      <c r="O330" s="261"/>
      <c r="P330" s="261"/>
      <c r="Q330" s="261"/>
      <c r="R330" s="261"/>
      <c r="S330" s="261"/>
      <c r="T330" s="261"/>
      <c r="U330" s="217"/>
      <c r="V330" s="217"/>
      <c r="W330" s="217"/>
      <c r="X330" s="217"/>
      <c r="Y330" s="217"/>
      <c r="Z330" s="217"/>
    </row>
    <row r="331" ht="16.5" hidden="1" customHeight="1">
      <c r="A331" s="262" t="s">
        <v>9365</v>
      </c>
      <c r="B331" s="263"/>
      <c r="C331" s="263"/>
      <c r="D331" s="263"/>
      <c r="E331" s="263"/>
      <c r="F331" s="263"/>
      <c r="G331" s="263"/>
      <c r="H331" s="263"/>
      <c r="I331" s="263"/>
      <c r="J331" s="263"/>
      <c r="K331" s="263"/>
      <c r="L331" s="263"/>
      <c r="M331" s="263"/>
      <c r="N331" s="263"/>
      <c r="O331" s="263"/>
      <c r="P331" s="263"/>
      <c r="Q331" s="263"/>
      <c r="R331" s="263"/>
      <c r="S331" s="263"/>
      <c r="T331" s="264"/>
      <c r="U331" s="217"/>
      <c r="V331" s="217"/>
      <c r="W331" s="217"/>
      <c r="X331" s="217"/>
      <c r="Y331" s="217"/>
      <c r="Z331" s="217"/>
    </row>
    <row r="332" ht="16.5" hidden="1" customHeight="1">
      <c r="A332" s="222" t="s">
        <v>9840</v>
      </c>
      <c r="B332" s="223"/>
      <c r="C332" s="223"/>
      <c r="D332" s="223"/>
      <c r="E332" s="223"/>
      <c r="F332" s="223"/>
      <c r="G332" s="223"/>
      <c r="H332" s="223"/>
      <c r="I332" s="223"/>
      <c r="J332" s="223"/>
      <c r="K332" s="223"/>
      <c r="L332" s="223"/>
      <c r="M332" s="223"/>
      <c r="N332" s="223"/>
      <c r="O332" s="223"/>
      <c r="P332" s="223"/>
      <c r="Q332" s="223"/>
      <c r="R332" s="223"/>
      <c r="S332" s="223"/>
      <c r="T332" s="224"/>
      <c r="U332" s="217"/>
      <c r="V332" s="217"/>
      <c r="W332" s="217"/>
      <c r="X332" s="217"/>
      <c r="Y332" s="217"/>
      <c r="Z332" s="217"/>
    </row>
    <row r="333" ht="16.5" hidden="1" customHeight="1">
      <c r="A333" s="225" t="s">
        <v>9847</v>
      </c>
      <c r="B333" s="226"/>
      <c r="C333" s="226"/>
      <c r="D333" s="226"/>
      <c r="E333" s="226"/>
      <c r="F333" s="226"/>
      <c r="G333" s="226"/>
      <c r="H333" s="226"/>
      <c r="I333" s="226"/>
      <c r="J333" s="226"/>
      <c r="K333" s="226"/>
      <c r="L333" s="226"/>
      <c r="M333" s="226"/>
      <c r="N333" s="226"/>
      <c r="O333" s="226"/>
      <c r="P333" s="226"/>
      <c r="Q333" s="226"/>
      <c r="R333" s="226"/>
      <c r="S333" s="226"/>
      <c r="T333" s="227"/>
      <c r="U333" s="217"/>
      <c r="V333" s="217"/>
      <c r="W333" s="217"/>
      <c r="X333" s="217"/>
      <c r="Y333" s="217"/>
      <c r="Z333" s="217"/>
    </row>
    <row r="334" ht="16.5" hidden="1" customHeight="1">
      <c r="A334" s="228" t="s">
        <v>9848</v>
      </c>
      <c r="B334" s="229"/>
      <c r="C334" s="229"/>
      <c r="D334" s="229"/>
      <c r="E334" s="229"/>
      <c r="F334" s="230"/>
      <c r="G334" s="230"/>
      <c r="H334" s="230"/>
      <c r="I334" s="230"/>
      <c r="J334" s="230"/>
      <c r="K334" s="230"/>
      <c r="L334" s="230"/>
      <c r="M334" s="230"/>
      <c r="N334" s="230"/>
      <c r="O334" s="230"/>
      <c r="P334" s="230"/>
      <c r="Q334" s="230"/>
      <c r="R334" s="230"/>
      <c r="S334" s="230"/>
      <c r="T334" s="230"/>
      <c r="U334" s="217"/>
      <c r="V334" s="217"/>
      <c r="W334" s="217"/>
      <c r="X334" s="217"/>
      <c r="Y334" s="217"/>
      <c r="Z334" s="217"/>
    </row>
    <row r="335" ht="14.25" hidden="1" customHeight="1">
      <c r="A335" s="231" t="s">
        <v>8748</v>
      </c>
      <c r="B335" s="231" t="s">
        <v>9</v>
      </c>
      <c r="C335" s="231" t="s">
        <v>5246</v>
      </c>
      <c r="D335" s="231" t="s">
        <v>8680</v>
      </c>
      <c r="E335" s="232" t="s">
        <v>13</v>
      </c>
      <c r="F335" s="233" t="s">
        <v>9801</v>
      </c>
      <c r="G335" s="234"/>
      <c r="H335" s="234"/>
      <c r="I335" s="234"/>
      <c r="J335" s="234"/>
      <c r="K335" s="234"/>
      <c r="L335" s="234"/>
      <c r="M335" s="234"/>
      <c r="N335" s="234"/>
      <c r="O335" s="234"/>
      <c r="P335" s="234"/>
      <c r="Q335" s="234"/>
      <c r="R335" s="234"/>
      <c r="S335" s="234"/>
      <c r="T335" s="235"/>
      <c r="U335" s="217"/>
      <c r="V335" s="217"/>
      <c r="W335" s="217"/>
      <c r="X335" s="217"/>
      <c r="Y335" s="217"/>
      <c r="Z335" s="217"/>
    </row>
    <row r="336" ht="14.25" hidden="1" customHeight="1">
      <c r="A336" s="236"/>
      <c r="B336" s="236"/>
      <c r="C336" s="236"/>
      <c r="D336" s="236"/>
      <c r="E336" s="237"/>
      <c r="F336" s="238" t="s">
        <v>9802</v>
      </c>
      <c r="G336" s="239"/>
      <c r="H336" s="239"/>
      <c r="I336" s="239"/>
      <c r="J336" s="239"/>
      <c r="K336" s="239"/>
      <c r="L336" s="239"/>
      <c r="M336" s="239"/>
      <c r="N336" s="239"/>
      <c r="O336" s="239"/>
      <c r="P336" s="239"/>
      <c r="Q336" s="240"/>
      <c r="R336" s="233" t="s">
        <v>9713</v>
      </c>
      <c r="S336" s="234"/>
      <c r="T336" s="235"/>
      <c r="U336" s="217"/>
      <c r="V336" s="217"/>
      <c r="W336" s="217"/>
      <c r="X336" s="217"/>
      <c r="Y336" s="217"/>
      <c r="Z336" s="217"/>
    </row>
    <row r="337" ht="14.25" hidden="1" customHeight="1">
      <c r="A337" s="241"/>
      <c r="B337" s="241"/>
      <c r="C337" s="241"/>
      <c r="D337" s="241"/>
      <c r="E337" s="242"/>
      <c r="F337" s="243">
        <v>1.0</v>
      </c>
      <c r="G337" s="243">
        <v>2.0</v>
      </c>
      <c r="H337" s="243">
        <v>3.0</v>
      </c>
      <c r="I337" s="243">
        <v>4.0</v>
      </c>
      <c r="J337" s="243">
        <v>5.0</v>
      </c>
      <c r="K337" s="243">
        <v>6.0</v>
      </c>
      <c r="L337" s="243">
        <v>7.0</v>
      </c>
      <c r="M337" s="243">
        <v>8.0</v>
      </c>
      <c r="N337" s="243">
        <v>9.0</v>
      </c>
      <c r="O337" s="243">
        <v>10.0</v>
      </c>
      <c r="P337" s="243">
        <v>11.0</v>
      </c>
      <c r="Q337" s="243">
        <v>12.0</v>
      </c>
      <c r="R337" s="243" t="s">
        <v>9714</v>
      </c>
      <c r="S337" s="243" t="s">
        <v>9715</v>
      </c>
      <c r="T337" s="244" t="s">
        <v>9716</v>
      </c>
      <c r="U337" s="217"/>
      <c r="V337" s="217"/>
      <c r="W337" s="217"/>
      <c r="X337" s="217"/>
      <c r="Y337" s="217"/>
      <c r="Z337" s="217"/>
    </row>
    <row r="338" ht="14.25" customHeight="1">
      <c r="A338" s="245">
        <v>1.0</v>
      </c>
      <c r="B338" s="302" t="s">
        <v>4307</v>
      </c>
      <c r="C338" s="303"/>
      <c r="D338" s="266" t="s">
        <v>4308</v>
      </c>
      <c r="E338" s="267" t="s">
        <v>220</v>
      </c>
      <c r="F338" s="269"/>
      <c r="G338" s="269"/>
      <c r="H338" s="269"/>
      <c r="I338" s="269"/>
      <c r="J338" s="269"/>
      <c r="K338" s="269"/>
      <c r="L338" s="269"/>
      <c r="M338" s="269"/>
      <c r="N338" s="269"/>
      <c r="O338" s="269"/>
      <c r="P338" s="269"/>
      <c r="Q338" s="269"/>
      <c r="R338" s="269"/>
      <c r="S338" s="269"/>
      <c r="T338" s="269"/>
      <c r="U338" s="217"/>
      <c r="V338" s="217"/>
      <c r="W338" s="217"/>
      <c r="X338" s="217"/>
      <c r="Y338" s="217"/>
      <c r="Z338" s="217"/>
    </row>
    <row r="339" ht="14.25" customHeight="1">
      <c r="A339" s="245">
        <v>2.0</v>
      </c>
      <c r="B339" s="310" t="s">
        <v>4313</v>
      </c>
      <c r="C339" s="311"/>
      <c r="D339" s="319" t="s">
        <v>4314</v>
      </c>
      <c r="E339" s="320" t="s">
        <v>227</v>
      </c>
      <c r="F339" s="269"/>
      <c r="G339" s="269"/>
      <c r="H339" s="269"/>
      <c r="I339" s="269"/>
      <c r="J339" s="269"/>
      <c r="K339" s="269"/>
      <c r="L339" s="269"/>
      <c r="M339" s="269"/>
      <c r="N339" s="269"/>
      <c r="O339" s="269"/>
      <c r="P339" s="269"/>
      <c r="Q339" s="269"/>
      <c r="R339" s="269"/>
      <c r="S339" s="269"/>
      <c r="T339" s="269"/>
      <c r="U339" s="217"/>
      <c r="V339" s="217"/>
      <c r="W339" s="217"/>
      <c r="X339" s="217"/>
      <c r="Y339" s="217"/>
      <c r="Z339" s="217"/>
    </row>
    <row r="340" ht="14.25" customHeight="1">
      <c r="A340" s="245">
        <v>3.0</v>
      </c>
      <c r="B340" s="310" t="s">
        <v>4318</v>
      </c>
      <c r="C340" s="311"/>
      <c r="D340" s="266" t="s">
        <v>4319</v>
      </c>
      <c r="E340" s="267" t="s">
        <v>220</v>
      </c>
      <c r="F340" s="269"/>
      <c r="G340" s="269"/>
      <c r="H340" s="269"/>
      <c r="I340" s="269"/>
      <c r="J340" s="269"/>
      <c r="K340" s="269"/>
      <c r="L340" s="269"/>
      <c r="M340" s="269"/>
      <c r="N340" s="269"/>
      <c r="O340" s="269"/>
      <c r="P340" s="269"/>
      <c r="Q340" s="269"/>
      <c r="R340" s="269"/>
      <c r="S340" s="269"/>
      <c r="T340" s="269"/>
      <c r="U340" s="217"/>
      <c r="V340" s="217"/>
      <c r="W340" s="217"/>
      <c r="X340" s="217"/>
      <c r="Y340" s="217"/>
      <c r="Z340" s="217"/>
    </row>
    <row r="341" ht="14.25" customHeight="1">
      <c r="A341" s="245">
        <v>4.0</v>
      </c>
      <c r="B341" s="310" t="s">
        <v>4323</v>
      </c>
      <c r="C341" s="311"/>
      <c r="D341" s="266" t="s">
        <v>4324</v>
      </c>
      <c r="E341" s="267" t="s">
        <v>227</v>
      </c>
      <c r="F341" s="269"/>
      <c r="G341" s="269"/>
      <c r="H341" s="269"/>
      <c r="I341" s="269"/>
      <c r="J341" s="269"/>
      <c r="K341" s="269"/>
      <c r="L341" s="269"/>
      <c r="M341" s="269"/>
      <c r="N341" s="269"/>
      <c r="O341" s="269"/>
      <c r="P341" s="269"/>
      <c r="Q341" s="269"/>
      <c r="R341" s="269"/>
      <c r="S341" s="269"/>
      <c r="T341" s="269"/>
      <c r="W341" s="217"/>
      <c r="X341" s="217"/>
      <c r="Y341" s="217"/>
      <c r="Z341" s="217"/>
    </row>
    <row r="342" ht="14.25" customHeight="1">
      <c r="A342" s="245">
        <v>5.0</v>
      </c>
      <c r="B342" s="310" t="s">
        <v>4329</v>
      </c>
      <c r="C342" s="311"/>
      <c r="D342" s="266" t="s">
        <v>4330</v>
      </c>
      <c r="E342" s="267" t="s">
        <v>227</v>
      </c>
      <c r="F342" s="269"/>
      <c r="G342" s="269"/>
      <c r="H342" s="269"/>
      <c r="I342" s="269"/>
      <c r="J342" s="269"/>
      <c r="K342" s="269"/>
      <c r="L342" s="269"/>
      <c r="M342" s="269"/>
      <c r="N342" s="269"/>
      <c r="O342" s="269"/>
      <c r="P342" s="269"/>
      <c r="Q342" s="269"/>
      <c r="R342" s="269"/>
      <c r="S342" s="269"/>
      <c r="T342" s="269"/>
      <c r="U342" s="217"/>
      <c r="V342" s="217"/>
      <c r="W342" s="217"/>
      <c r="X342" s="217"/>
      <c r="Y342" s="217"/>
      <c r="Z342" s="217"/>
    </row>
    <row r="343" ht="14.25" customHeight="1">
      <c r="A343" s="245">
        <v>6.0</v>
      </c>
      <c r="B343" s="310" t="s">
        <v>4334</v>
      </c>
      <c r="C343" s="311"/>
      <c r="D343" s="266" t="s">
        <v>4335</v>
      </c>
      <c r="E343" s="267" t="s">
        <v>227</v>
      </c>
      <c r="F343" s="269"/>
      <c r="G343" s="269"/>
      <c r="H343" s="269"/>
      <c r="I343" s="269"/>
      <c r="J343" s="269"/>
      <c r="K343" s="269"/>
      <c r="L343" s="269"/>
      <c r="M343" s="269"/>
      <c r="N343" s="269"/>
      <c r="O343" s="269"/>
      <c r="P343" s="269"/>
      <c r="Q343" s="269"/>
      <c r="R343" s="269"/>
      <c r="S343" s="269"/>
      <c r="T343" s="269"/>
      <c r="U343" s="217"/>
      <c r="V343" s="217"/>
      <c r="W343" s="217"/>
      <c r="X343" s="217"/>
      <c r="Y343" s="217"/>
      <c r="Z343" s="217"/>
    </row>
    <row r="344" ht="14.25" customHeight="1">
      <c r="A344" s="245">
        <v>7.0</v>
      </c>
      <c r="B344" s="310" t="s">
        <v>4339</v>
      </c>
      <c r="C344" s="311"/>
      <c r="D344" s="266" t="s">
        <v>4340</v>
      </c>
      <c r="E344" s="267" t="s">
        <v>227</v>
      </c>
      <c r="F344" s="269"/>
      <c r="G344" s="269"/>
      <c r="H344" s="269"/>
      <c r="I344" s="269"/>
      <c r="J344" s="269"/>
      <c r="K344" s="269"/>
      <c r="L344" s="269"/>
      <c r="M344" s="269"/>
      <c r="N344" s="269"/>
      <c r="O344" s="269"/>
      <c r="P344" s="269"/>
      <c r="Q344" s="269"/>
      <c r="R344" s="269"/>
      <c r="S344" s="269"/>
      <c r="T344" s="269"/>
      <c r="U344" s="217"/>
      <c r="V344" s="217"/>
      <c r="W344" s="217"/>
      <c r="X344" s="217"/>
      <c r="Y344" s="217"/>
      <c r="Z344" s="217"/>
    </row>
    <row r="345" ht="14.25" customHeight="1">
      <c r="A345" s="245">
        <v>8.0</v>
      </c>
      <c r="B345" s="310" t="s">
        <v>4344</v>
      </c>
      <c r="C345" s="311"/>
      <c r="D345" s="266" t="s">
        <v>4345</v>
      </c>
      <c r="E345" s="267" t="s">
        <v>227</v>
      </c>
      <c r="F345" s="269"/>
      <c r="G345" s="269"/>
      <c r="H345" s="269"/>
      <c r="I345" s="269"/>
      <c r="J345" s="269"/>
      <c r="K345" s="269"/>
      <c r="L345" s="269"/>
      <c r="M345" s="269"/>
      <c r="N345" s="269"/>
      <c r="O345" s="269"/>
      <c r="P345" s="269"/>
      <c r="Q345" s="269"/>
      <c r="R345" s="269"/>
      <c r="S345" s="269"/>
      <c r="T345" s="269"/>
      <c r="U345" s="217"/>
      <c r="V345" s="217"/>
      <c r="W345" s="217"/>
      <c r="X345" s="217"/>
      <c r="Y345" s="217"/>
      <c r="Z345" s="217"/>
    </row>
    <row r="346" ht="14.25" customHeight="1">
      <c r="A346" s="245">
        <v>9.0</v>
      </c>
      <c r="B346" s="310" t="s">
        <v>4349</v>
      </c>
      <c r="C346" s="311"/>
      <c r="D346" s="266" t="s">
        <v>4350</v>
      </c>
      <c r="E346" s="267" t="s">
        <v>227</v>
      </c>
      <c r="F346" s="269"/>
      <c r="G346" s="269"/>
      <c r="H346" s="269"/>
      <c r="I346" s="269"/>
      <c r="J346" s="269"/>
      <c r="K346" s="269"/>
      <c r="L346" s="269"/>
      <c r="M346" s="269"/>
      <c r="N346" s="269"/>
      <c r="O346" s="269"/>
      <c r="P346" s="269"/>
      <c r="Q346" s="269"/>
      <c r="R346" s="269"/>
      <c r="S346" s="269"/>
      <c r="T346" s="269"/>
      <c r="U346" s="217"/>
      <c r="V346" s="217"/>
      <c r="W346" s="217"/>
      <c r="X346" s="217"/>
      <c r="Y346" s="217"/>
      <c r="Z346" s="217"/>
    </row>
    <row r="347" ht="14.25" customHeight="1">
      <c r="A347" s="245">
        <v>10.0</v>
      </c>
      <c r="B347" s="310" t="s">
        <v>4354</v>
      </c>
      <c r="C347" s="311"/>
      <c r="D347" s="266" t="s">
        <v>4355</v>
      </c>
      <c r="E347" s="267" t="s">
        <v>227</v>
      </c>
      <c r="F347" s="269"/>
      <c r="G347" s="269"/>
      <c r="H347" s="269"/>
      <c r="I347" s="269"/>
      <c r="J347" s="269"/>
      <c r="K347" s="269"/>
      <c r="L347" s="269"/>
      <c r="M347" s="269"/>
      <c r="N347" s="269"/>
      <c r="O347" s="269"/>
      <c r="P347" s="269"/>
      <c r="Q347" s="269"/>
      <c r="R347" s="269"/>
      <c r="S347" s="269"/>
      <c r="T347" s="269"/>
      <c r="U347" s="217"/>
      <c r="V347" s="217"/>
      <c r="W347" s="217"/>
      <c r="X347" s="217"/>
      <c r="Y347" s="217"/>
      <c r="Z347" s="217"/>
    </row>
    <row r="348" ht="14.25" customHeight="1">
      <c r="A348" s="245">
        <v>11.0</v>
      </c>
      <c r="B348" s="310" t="s">
        <v>4359</v>
      </c>
      <c r="C348" s="311"/>
      <c r="D348" s="266" t="s">
        <v>4360</v>
      </c>
      <c r="E348" s="267" t="s">
        <v>220</v>
      </c>
      <c r="F348" s="269"/>
      <c r="G348" s="269"/>
      <c r="H348" s="269"/>
      <c r="I348" s="269"/>
      <c r="J348" s="269"/>
      <c r="K348" s="269"/>
      <c r="L348" s="269"/>
      <c r="M348" s="269"/>
      <c r="N348" s="269"/>
      <c r="O348" s="269"/>
      <c r="P348" s="269"/>
      <c r="Q348" s="269"/>
      <c r="R348" s="269"/>
      <c r="S348" s="269"/>
      <c r="T348" s="269"/>
      <c r="U348" s="217"/>
      <c r="V348" s="217"/>
      <c r="W348" s="217"/>
      <c r="X348" s="217"/>
      <c r="Y348" s="217"/>
      <c r="Z348" s="217"/>
    </row>
    <row r="349" ht="14.25" customHeight="1">
      <c r="A349" s="245">
        <v>12.0</v>
      </c>
      <c r="B349" s="310" t="s">
        <v>4365</v>
      </c>
      <c r="C349" s="311"/>
      <c r="D349" s="266" t="s">
        <v>4366</v>
      </c>
      <c r="E349" s="267" t="s">
        <v>227</v>
      </c>
      <c r="F349" s="269"/>
      <c r="G349" s="269"/>
      <c r="H349" s="269"/>
      <c r="I349" s="269"/>
      <c r="J349" s="269"/>
      <c r="K349" s="269"/>
      <c r="L349" s="269"/>
      <c r="M349" s="269"/>
      <c r="N349" s="269"/>
      <c r="O349" s="269"/>
      <c r="P349" s="269"/>
      <c r="Q349" s="269"/>
      <c r="R349" s="269"/>
      <c r="S349" s="269"/>
      <c r="T349" s="269"/>
      <c r="U349" s="217"/>
      <c r="V349" s="217"/>
      <c r="W349" s="217"/>
      <c r="X349" s="217"/>
      <c r="Y349" s="217"/>
      <c r="Z349" s="217"/>
    </row>
    <row r="350" ht="14.25" customHeight="1">
      <c r="A350" s="245">
        <v>13.0</v>
      </c>
      <c r="B350" s="310" t="s">
        <v>4370</v>
      </c>
      <c r="C350" s="311"/>
      <c r="D350" s="266" t="s">
        <v>4371</v>
      </c>
      <c r="E350" s="267" t="s">
        <v>227</v>
      </c>
      <c r="F350" s="269"/>
      <c r="G350" s="269"/>
      <c r="H350" s="269"/>
      <c r="I350" s="269"/>
      <c r="J350" s="269"/>
      <c r="K350" s="269"/>
      <c r="L350" s="269"/>
      <c r="M350" s="269"/>
      <c r="N350" s="269"/>
      <c r="O350" s="269"/>
      <c r="P350" s="269"/>
      <c r="Q350" s="269"/>
      <c r="R350" s="269"/>
      <c r="S350" s="269"/>
      <c r="T350" s="269"/>
      <c r="U350" s="217"/>
      <c r="V350" s="217"/>
      <c r="W350" s="217"/>
      <c r="X350" s="217"/>
      <c r="Y350" s="217"/>
      <c r="Z350" s="217"/>
    </row>
    <row r="351" ht="14.25" customHeight="1">
      <c r="A351" s="245">
        <v>14.0</v>
      </c>
      <c r="B351" s="310" t="s">
        <v>4375</v>
      </c>
      <c r="C351" s="311"/>
      <c r="D351" s="266" t="s">
        <v>4376</v>
      </c>
      <c r="E351" s="267" t="s">
        <v>227</v>
      </c>
      <c r="F351" s="269"/>
      <c r="G351" s="269"/>
      <c r="H351" s="269"/>
      <c r="I351" s="269"/>
      <c r="J351" s="269"/>
      <c r="K351" s="269"/>
      <c r="L351" s="269"/>
      <c r="M351" s="269"/>
      <c r="N351" s="269"/>
      <c r="O351" s="269"/>
      <c r="P351" s="269"/>
      <c r="Q351" s="269"/>
      <c r="R351" s="269"/>
      <c r="S351" s="269"/>
      <c r="T351" s="269"/>
      <c r="U351" s="217"/>
      <c r="V351" s="217"/>
      <c r="W351" s="217"/>
      <c r="X351" s="217"/>
      <c r="Y351" s="217"/>
      <c r="Z351" s="217"/>
    </row>
    <row r="352" ht="14.25" customHeight="1">
      <c r="A352" s="245">
        <v>15.0</v>
      </c>
      <c r="B352" s="310" t="s">
        <v>4380</v>
      </c>
      <c r="C352" s="311"/>
      <c r="D352" s="266" t="s">
        <v>4381</v>
      </c>
      <c r="E352" s="267" t="s">
        <v>227</v>
      </c>
      <c r="F352" s="269"/>
      <c r="G352" s="269"/>
      <c r="H352" s="269"/>
      <c r="I352" s="269"/>
      <c r="J352" s="269"/>
      <c r="K352" s="269"/>
      <c r="L352" s="269"/>
      <c r="M352" s="269"/>
      <c r="N352" s="269"/>
      <c r="O352" s="269"/>
      <c r="P352" s="269"/>
      <c r="Q352" s="269"/>
      <c r="R352" s="269"/>
      <c r="S352" s="269"/>
      <c r="T352" s="269"/>
      <c r="U352" s="217"/>
      <c r="V352" s="217"/>
      <c r="W352" s="217"/>
      <c r="X352" s="217"/>
      <c r="Y352" s="217"/>
      <c r="Z352" s="217"/>
    </row>
    <row r="353" ht="14.25" customHeight="1">
      <c r="A353" s="245">
        <v>16.0</v>
      </c>
      <c r="B353" s="310" t="s">
        <v>4386</v>
      </c>
      <c r="C353" s="311"/>
      <c r="D353" s="266" t="s">
        <v>4387</v>
      </c>
      <c r="E353" s="267" t="s">
        <v>227</v>
      </c>
      <c r="F353" s="269"/>
      <c r="G353" s="269"/>
      <c r="H353" s="269"/>
      <c r="I353" s="269"/>
      <c r="J353" s="269"/>
      <c r="K353" s="269"/>
      <c r="L353" s="269"/>
      <c r="M353" s="269"/>
      <c r="N353" s="269"/>
      <c r="O353" s="269"/>
      <c r="P353" s="269"/>
      <c r="Q353" s="269"/>
      <c r="R353" s="269"/>
      <c r="S353" s="269"/>
      <c r="T353" s="269"/>
      <c r="U353" s="217"/>
      <c r="V353" s="217"/>
      <c r="W353" s="217"/>
      <c r="X353" s="217"/>
      <c r="Y353" s="217"/>
      <c r="Z353" s="217"/>
    </row>
    <row r="354" ht="14.25" customHeight="1">
      <c r="A354" s="245">
        <v>17.0</v>
      </c>
      <c r="B354" s="310" t="s">
        <v>4391</v>
      </c>
      <c r="C354" s="311"/>
      <c r="D354" s="266" t="s">
        <v>4392</v>
      </c>
      <c r="E354" s="267" t="s">
        <v>220</v>
      </c>
      <c r="F354" s="269"/>
      <c r="G354" s="269"/>
      <c r="H354" s="269"/>
      <c r="I354" s="269"/>
      <c r="J354" s="269"/>
      <c r="K354" s="269"/>
      <c r="L354" s="269"/>
      <c r="M354" s="269"/>
      <c r="N354" s="269"/>
      <c r="O354" s="269"/>
      <c r="P354" s="269"/>
      <c r="Q354" s="269"/>
      <c r="R354" s="269"/>
      <c r="S354" s="269"/>
      <c r="T354" s="269"/>
      <c r="U354" s="217"/>
      <c r="V354" s="217"/>
      <c r="W354" s="217"/>
      <c r="X354" s="217"/>
      <c r="Y354" s="217"/>
      <c r="Z354" s="217"/>
    </row>
    <row r="355" ht="14.25" customHeight="1">
      <c r="A355" s="245">
        <v>18.0</v>
      </c>
      <c r="B355" s="310" t="s">
        <v>127</v>
      </c>
      <c r="C355" s="311"/>
      <c r="D355" s="266" t="s">
        <v>4396</v>
      </c>
      <c r="E355" s="267" t="s">
        <v>227</v>
      </c>
      <c r="F355" s="269"/>
      <c r="G355" s="269"/>
      <c r="H355" s="269"/>
      <c r="I355" s="269"/>
      <c r="J355" s="269"/>
      <c r="K355" s="269"/>
      <c r="L355" s="269"/>
      <c r="M355" s="269"/>
      <c r="N355" s="269"/>
      <c r="O355" s="269"/>
      <c r="P355" s="269"/>
      <c r="Q355" s="269"/>
      <c r="R355" s="269"/>
      <c r="S355" s="269"/>
      <c r="T355" s="269"/>
      <c r="U355" s="217"/>
      <c r="V355" s="217"/>
      <c r="W355" s="217"/>
      <c r="X355" s="217"/>
      <c r="Y355" s="217"/>
      <c r="Z355" s="217"/>
    </row>
    <row r="356" ht="14.25" customHeight="1">
      <c r="A356" s="245">
        <v>19.0</v>
      </c>
      <c r="B356" s="310" t="s">
        <v>4400</v>
      </c>
      <c r="C356" s="311"/>
      <c r="D356" s="266" t="s">
        <v>4401</v>
      </c>
      <c r="E356" s="267" t="s">
        <v>227</v>
      </c>
      <c r="F356" s="269"/>
      <c r="G356" s="269"/>
      <c r="H356" s="269"/>
      <c r="I356" s="269"/>
      <c r="J356" s="269"/>
      <c r="K356" s="269"/>
      <c r="L356" s="269"/>
      <c r="M356" s="269"/>
      <c r="N356" s="269"/>
      <c r="O356" s="269"/>
      <c r="P356" s="269"/>
      <c r="Q356" s="269"/>
      <c r="R356" s="269"/>
      <c r="S356" s="269"/>
      <c r="T356" s="269"/>
      <c r="U356" s="217"/>
      <c r="V356" s="217"/>
      <c r="W356" s="217"/>
      <c r="X356" s="217"/>
      <c r="Y356" s="217"/>
      <c r="Z356" s="217"/>
    </row>
    <row r="357" ht="14.25" customHeight="1">
      <c r="A357" s="245">
        <v>20.0</v>
      </c>
      <c r="B357" s="310" t="s">
        <v>4406</v>
      </c>
      <c r="C357" s="311"/>
      <c r="D357" s="266" t="s">
        <v>4407</v>
      </c>
      <c r="E357" s="267" t="s">
        <v>227</v>
      </c>
      <c r="F357" s="269"/>
      <c r="G357" s="269"/>
      <c r="H357" s="269"/>
      <c r="I357" s="269"/>
      <c r="J357" s="269"/>
      <c r="K357" s="269"/>
      <c r="L357" s="269"/>
      <c r="M357" s="269"/>
      <c r="N357" s="269"/>
      <c r="O357" s="269"/>
      <c r="P357" s="269"/>
      <c r="Q357" s="269"/>
      <c r="R357" s="269"/>
      <c r="S357" s="269"/>
      <c r="T357" s="269"/>
      <c r="U357" s="217"/>
      <c r="V357" s="217"/>
      <c r="W357" s="217"/>
      <c r="X357" s="217"/>
      <c r="Y357" s="217"/>
      <c r="Z357" s="217"/>
    </row>
    <row r="358" ht="22.5" customHeight="1">
      <c r="A358" s="245">
        <v>21.0</v>
      </c>
      <c r="B358" s="310" t="s">
        <v>4412</v>
      </c>
      <c r="C358" s="311"/>
      <c r="D358" s="266" t="s">
        <v>4413</v>
      </c>
      <c r="E358" s="267" t="s">
        <v>227</v>
      </c>
      <c r="F358" s="269"/>
      <c r="G358" s="269"/>
      <c r="H358" s="269"/>
      <c r="I358" s="269"/>
      <c r="J358" s="269"/>
      <c r="K358" s="269"/>
      <c r="L358" s="269"/>
      <c r="M358" s="269"/>
      <c r="N358" s="269"/>
      <c r="O358" s="269"/>
      <c r="P358" s="269"/>
      <c r="Q358" s="269"/>
      <c r="R358" s="269"/>
      <c r="S358" s="269"/>
      <c r="T358" s="269"/>
      <c r="U358" s="217"/>
      <c r="V358" s="217"/>
      <c r="W358" s="217"/>
      <c r="X358" s="217"/>
      <c r="Y358" s="217"/>
      <c r="Z358" s="217"/>
    </row>
    <row r="359" ht="14.25" customHeight="1">
      <c r="A359" s="245">
        <v>22.0</v>
      </c>
      <c r="B359" s="310" t="s">
        <v>4417</v>
      </c>
      <c r="C359" s="311"/>
      <c r="D359" s="266" t="s">
        <v>4418</v>
      </c>
      <c r="E359" s="267" t="s">
        <v>220</v>
      </c>
      <c r="F359" s="269"/>
      <c r="G359" s="269"/>
      <c r="H359" s="269"/>
      <c r="I359" s="269"/>
      <c r="J359" s="269"/>
      <c r="K359" s="269"/>
      <c r="L359" s="269"/>
      <c r="M359" s="269"/>
      <c r="N359" s="269"/>
      <c r="O359" s="269"/>
      <c r="P359" s="269"/>
      <c r="Q359" s="269"/>
      <c r="R359" s="269"/>
      <c r="S359" s="269"/>
      <c r="T359" s="269"/>
      <c r="U359" s="217"/>
      <c r="V359" s="217"/>
      <c r="W359" s="217"/>
      <c r="X359" s="217"/>
      <c r="Y359" s="217"/>
      <c r="Z359" s="217"/>
    </row>
    <row r="360" ht="13.5" customHeight="1">
      <c r="A360" s="245">
        <v>23.0</v>
      </c>
      <c r="B360" s="310" t="s">
        <v>4422</v>
      </c>
      <c r="C360" s="311"/>
      <c r="D360" s="266" t="s">
        <v>4423</v>
      </c>
      <c r="E360" s="267" t="s">
        <v>220</v>
      </c>
      <c r="F360" s="269"/>
      <c r="G360" s="269"/>
      <c r="H360" s="269"/>
      <c r="I360" s="269"/>
      <c r="J360" s="269"/>
      <c r="K360" s="269"/>
      <c r="L360" s="269"/>
      <c r="M360" s="269"/>
      <c r="N360" s="269"/>
      <c r="O360" s="269"/>
      <c r="P360" s="269"/>
      <c r="Q360" s="269"/>
      <c r="R360" s="269"/>
      <c r="S360" s="269"/>
      <c r="T360" s="269"/>
      <c r="U360" s="217"/>
      <c r="V360" s="217"/>
      <c r="W360" s="217"/>
      <c r="X360" s="217"/>
      <c r="Y360" s="217"/>
      <c r="Z360" s="217"/>
    </row>
    <row r="361" ht="14.25" customHeight="1">
      <c r="A361" s="245">
        <v>24.0</v>
      </c>
      <c r="B361" s="310" t="s">
        <v>4427</v>
      </c>
      <c r="C361" s="311"/>
      <c r="D361" s="266" t="s">
        <v>4428</v>
      </c>
      <c r="E361" s="267" t="s">
        <v>220</v>
      </c>
      <c r="F361" s="269"/>
      <c r="G361" s="269"/>
      <c r="H361" s="269"/>
      <c r="I361" s="269"/>
      <c r="J361" s="269"/>
      <c r="K361" s="269"/>
      <c r="L361" s="269"/>
      <c r="M361" s="269"/>
      <c r="N361" s="269"/>
      <c r="O361" s="269"/>
      <c r="P361" s="269"/>
      <c r="Q361" s="269"/>
      <c r="R361" s="269"/>
      <c r="S361" s="269"/>
      <c r="T361" s="269"/>
      <c r="U361" s="217"/>
      <c r="V361" s="217"/>
      <c r="W361" s="217"/>
      <c r="X361" s="217"/>
      <c r="Y361" s="217"/>
      <c r="Z361" s="217"/>
    </row>
    <row r="362" ht="14.25" customHeight="1">
      <c r="A362" s="245">
        <v>25.0</v>
      </c>
      <c r="B362" s="310" t="s">
        <v>4432</v>
      </c>
      <c r="C362" s="311"/>
      <c r="D362" s="266" t="s">
        <v>4433</v>
      </c>
      <c r="E362" s="267" t="s">
        <v>220</v>
      </c>
      <c r="F362" s="269"/>
      <c r="G362" s="269"/>
      <c r="H362" s="269"/>
      <c r="I362" s="269"/>
      <c r="J362" s="269"/>
      <c r="K362" s="269"/>
      <c r="L362" s="269"/>
      <c r="M362" s="269"/>
      <c r="N362" s="269"/>
      <c r="O362" s="269"/>
      <c r="P362" s="269"/>
      <c r="Q362" s="269"/>
      <c r="R362" s="269"/>
      <c r="S362" s="269"/>
      <c r="T362" s="269"/>
      <c r="U362" s="217"/>
      <c r="V362" s="217"/>
      <c r="W362" s="217"/>
      <c r="X362" s="217"/>
      <c r="Y362" s="217"/>
      <c r="Z362" s="217"/>
    </row>
    <row r="363" ht="14.25" customHeight="1">
      <c r="A363" s="245">
        <v>26.0</v>
      </c>
      <c r="B363" s="310" t="s">
        <v>4437</v>
      </c>
      <c r="C363" s="311"/>
      <c r="D363" s="266" t="s">
        <v>4438</v>
      </c>
      <c r="E363" s="267" t="s">
        <v>220</v>
      </c>
      <c r="F363" s="269"/>
      <c r="G363" s="269"/>
      <c r="H363" s="269"/>
      <c r="I363" s="269"/>
      <c r="J363" s="269"/>
      <c r="K363" s="269"/>
      <c r="L363" s="269"/>
      <c r="M363" s="269"/>
      <c r="N363" s="269"/>
      <c r="O363" s="269"/>
      <c r="P363" s="269"/>
      <c r="Q363" s="269"/>
      <c r="R363" s="269"/>
      <c r="S363" s="269"/>
      <c r="T363" s="269"/>
      <c r="W363" s="217"/>
      <c r="X363" s="217"/>
      <c r="Y363" s="217"/>
      <c r="Z363" s="217"/>
    </row>
    <row r="364" ht="14.25" customHeight="1">
      <c r="A364" s="245">
        <v>27.0</v>
      </c>
      <c r="B364" s="310" t="s">
        <v>4442</v>
      </c>
      <c r="C364" s="311"/>
      <c r="D364" s="266" t="s">
        <v>4443</v>
      </c>
      <c r="E364" s="267" t="s">
        <v>220</v>
      </c>
      <c r="F364" s="269"/>
      <c r="G364" s="269"/>
      <c r="H364" s="269"/>
      <c r="I364" s="269"/>
      <c r="J364" s="269"/>
      <c r="K364" s="269"/>
      <c r="L364" s="269"/>
      <c r="M364" s="269"/>
      <c r="N364" s="269"/>
      <c r="O364" s="269"/>
      <c r="P364" s="269"/>
      <c r="Q364" s="269"/>
      <c r="R364" s="269"/>
      <c r="S364" s="269"/>
      <c r="T364" s="269"/>
      <c r="U364" s="217"/>
      <c r="V364" s="217"/>
      <c r="W364" s="217"/>
      <c r="X364" s="217"/>
      <c r="Y364" s="217"/>
      <c r="Z364" s="217"/>
    </row>
    <row r="365" ht="14.25" customHeight="1">
      <c r="A365" s="245">
        <v>28.0</v>
      </c>
      <c r="B365" s="310" t="s">
        <v>4448</v>
      </c>
      <c r="C365" s="311"/>
      <c r="D365" s="266" t="s">
        <v>4449</v>
      </c>
      <c r="E365" s="267" t="s">
        <v>227</v>
      </c>
      <c r="F365" s="269"/>
      <c r="G365" s="269"/>
      <c r="H365" s="269"/>
      <c r="I365" s="269"/>
      <c r="J365" s="269"/>
      <c r="K365" s="269"/>
      <c r="L365" s="269"/>
      <c r="M365" s="269"/>
      <c r="N365" s="269"/>
      <c r="O365" s="269"/>
      <c r="P365" s="269"/>
      <c r="Q365" s="269"/>
      <c r="R365" s="269"/>
      <c r="S365" s="269"/>
      <c r="T365" s="269"/>
      <c r="W365" s="217"/>
      <c r="X365" s="217"/>
      <c r="Y365" s="217"/>
      <c r="Z365" s="217"/>
    </row>
    <row r="366" ht="14.25" customHeight="1">
      <c r="A366" s="245">
        <v>29.0</v>
      </c>
      <c r="B366" s="310" t="s">
        <v>52</v>
      </c>
      <c r="C366" s="311"/>
      <c r="D366" s="266" t="s">
        <v>4453</v>
      </c>
      <c r="E366" s="267" t="s">
        <v>227</v>
      </c>
      <c r="F366" s="269"/>
      <c r="G366" s="269"/>
      <c r="H366" s="269"/>
      <c r="I366" s="269"/>
      <c r="J366" s="269"/>
      <c r="K366" s="269"/>
      <c r="L366" s="269"/>
      <c r="M366" s="269"/>
      <c r="N366" s="269"/>
      <c r="O366" s="269"/>
      <c r="P366" s="269"/>
      <c r="Q366" s="269"/>
      <c r="R366" s="269"/>
      <c r="S366" s="269"/>
      <c r="T366" s="269"/>
      <c r="U366" s="217"/>
      <c r="V366" s="217"/>
      <c r="W366" s="217"/>
      <c r="X366" s="217"/>
      <c r="Y366" s="217"/>
      <c r="Z366" s="217"/>
    </row>
    <row r="367" ht="14.25" customHeight="1">
      <c r="A367" s="245">
        <v>30.0</v>
      </c>
      <c r="B367" s="310" t="s">
        <v>4457</v>
      </c>
      <c r="C367" s="311"/>
      <c r="D367" s="266" t="s">
        <v>4458</v>
      </c>
      <c r="E367" s="267" t="s">
        <v>227</v>
      </c>
      <c r="F367" s="269"/>
      <c r="G367" s="269"/>
      <c r="H367" s="269"/>
      <c r="I367" s="269"/>
      <c r="J367" s="269"/>
      <c r="K367" s="269"/>
      <c r="L367" s="269"/>
      <c r="M367" s="269"/>
      <c r="N367" s="269"/>
      <c r="O367" s="269"/>
      <c r="P367" s="269"/>
      <c r="Q367" s="269"/>
      <c r="R367" s="269"/>
      <c r="S367" s="269"/>
      <c r="T367" s="269"/>
      <c r="U367" s="217"/>
      <c r="V367" s="217"/>
      <c r="W367" s="217"/>
      <c r="X367" s="217"/>
      <c r="Y367" s="217"/>
      <c r="Z367" s="217"/>
    </row>
    <row r="368" ht="14.25" customHeight="1">
      <c r="A368" s="245">
        <v>31.0</v>
      </c>
      <c r="B368" s="310" t="s">
        <v>4462</v>
      </c>
      <c r="C368" s="311"/>
      <c r="D368" s="266" t="s">
        <v>4463</v>
      </c>
      <c r="E368" s="267" t="s">
        <v>220</v>
      </c>
      <c r="F368" s="269"/>
      <c r="G368" s="269"/>
      <c r="H368" s="269"/>
      <c r="I368" s="269"/>
      <c r="J368" s="269"/>
      <c r="K368" s="269"/>
      <c r="L368" s="269"/>
      <c r="M368" s="269"/>
      <c r="N368" s="269"/>
      <c r="O368" s="269"/>
      <c r="P368" s="269"/>
      <c r="Q368" s="269"/>
      <c r="R368" s="269"/>
      <c r="S368" s="269"/>
      <c r="T368" s="269"/>
      <c r="U368" s="217"/>
      <c r="V368" s="217"/>
      <c r="W368" s="217"/>
      <c r="X368" s="217"/>
      <c r="Y368" s="217"/>
      <c r="Z368" s="217"/>
    </row>
    <row r="369" ht="14.25" customHeight="1">
      <c r="A369" s="245">
        <v>32.0</v>
      </c>
      <c r="B369" s="310" t="s">
        <v>4467</v>
      </c>
      <c r="C369" s="311"/>
      <c r="D369" s="266" t="s">
        <v>4468</v>
      </c>
      <c r="E369" s="267" t="s">
        <v>220</v>
      </c>
      <c r="F369" s="269"/>
      <c r="G369" s="269"/>
      <c r="H369" s="269"/>
      <c r="I369" s="269"/>
      <c r="J369" s="269"/>
      <c r="K369" s="269"/>
      <c r="L369" s="269"/>
      <c r="M369" s="269"/>
      <c r="N369" s="269"/>
      <c r="O369" s="269"/>
      <c r="P369" s="269"/>
      <c r="Q369" s="269"/>
      <c r="R369" s="269"/>
      <c r="S369" s="269"/>
      <c r="T369" s="269"/>
      <c r="U369" s="217"/>
      <c r="V369" s="217"/>
      <c r="W369" s="217"/>
      <c r="X369" s="217"/>
      <c r="Y369" s="217"/>
      <c r="Z369" s="217"/>
    </row>
    <row r="370" ht="14.25" customHeight="1">
      <c r="A370" s="245">
        <v>33.0</v>
      </c>
      <c r="B370" s="310" t="s">
        <v>4472</v>
      </c>
      <c r="C370" s="311"/>
      <c r="D370" s="266" t="s">
        <v>4473</v>
      </c>
      <c r="E370" s="267" t="s">
        <v>227</v>
      </c>
      <c r="F370" s="269"/>
      <c r="G370" s="269"/>
      <c r="H370" s="269"/>
      <c r="I370" s="269"/>
      <c r="J370" s="269"/>
      <c r="K370" s="269"/>
      <c r="L370" s="269"/>
      <c r="M370" s="269"/>
      <c r="N370" s="269"/>
      <c r="O370" s="269"/>
      <c r="P370" s="269"/>
      <c r="Q370" s="269"/>
      <c r="R370" s="269"/>
      <c r="S370" s="269"/>
      <c r="T370" s="269"/>
      <c r="U370" s="217"/>
      <c r="V370" s="217"/>
      <c r="W370" s="217"/>
      <c r="X370" s="217"/>
      <c r="Y370" s="217"/>
      <c r="Z370" s="217"/>
    </row>
    <row r="371" ht="14.25" customHeight="1">
      <c r="A371" s="245">
        <v>34.0</v>
      </c>
      <c r="B371" s="310" t="s">
        <v>4477</v>
      </c>
      <c r="C371" s="311"/>
      <c r="D371" s="266" t="s">
        <v>4478</v>
      </c>
      <c r="E371" s="267" t="s">
        <v>220</v>
      </c>
      <c r="F371" s="269"/>
      <c r="G371" s="269"/>
      <c r="H371" s="269"/>
      <c r="I371" s="269"/>
      <c r="J371" s="269"/>
      <c r="K371" s="269"/>
      <c r="L371" s="269"/>
      <c r="M371" s="269"/>
      <c r="N371" s="269"/>
      <c r="O371" s="269"/>
      <c r="P371" s="269"/>
      <c r="Q371" s="269"/>
      <c r="R371" s="269"/>
      <c r="S371" s="269"/>
      <c r="T371" s="269"/>
      <c r="U371" s="217"/>
      <c r="V371" s="217"/>
      <c r="W371" s="217"/>
      <c r="X371" s="217"/>
      <c r="Y371" s="217"/>
      <c r="Z371" s="217"/>
    </row>
    <row r="372" ht="14.25" customHeight="1">
      <c r="A372" s="245">
        <v>35.0</v>
      </c>
      <c r="B372" s="310" t="s">
        <v>4483</v>
      </c>
      <c r="C372" s="311"/>
      <c r="D372" s="266" t="s">
        <v>4484</v>
      </c>
      <c r="E372" s="267" t="s">
        <v>227</v>
      </c>
      <c r="F372" s="269"/>
      <c r="G372" s="269"/>
      <c r="H372" s="269"/>
      <c r="I372" s="269"/>
      <c r="J372" s="269"/>
      <c r="K372" s="269"/>
      <c r="L372" s="269"/>
      <c r="M372" s="269"/>
      <c r="N372" s="269"/>
      <c r="O372" s="269"/>
      <c r="P372" s="269"/>
      <c r="Q372" s="269"/>
      <c r="R372" s="269"/>
      <c r="S372" s="269"/>
      <c r="T372" s="269"/>
      <c r="U372" s="217"/>
      <c r="V372" s="217"/>
      <c r="W372" s="217"/>
      <c r="X372" s="217"/>
      <c r="Y372" s="217"/>
      <c r="Z372" s="217"/>
    </row>
    <row r="373" ht="14.25" customHeight="1">
      <c r="A373" s="245">
        <v>36.0</v>
      </c>
      <c r="B373" s="304" t="s">
        <v>4488</v>
      </c>
      <c r="C373" s="305"/>
      <c r="D373" s="266" t="s">
        <v>4489</v>
      </c>
      <c r="E373" s="267" t="s">
        <v>227</v>
      </c>
      <c r="F373" s="269"/>
      <c r="G373" s="269"/>
      <c r="H373" s="269"/>
      <c r="I373" s="269"/>
      <c r="J373" s="269"/>
      <c r="K373" s="269"/>
      <c r="L373" s="269"/>
      <c r="M373" s="269"/>
      <c r="N373" s="269"/>
      <c r="O373" s="269"/>
      <c r="P373" s="269"/>
      <c r="Q373" s="269"/>
      <c r="R373" s="269"/>
      <c r="S373" s="269"/>
      <c r="T373" s="269"/>
      <c r="U373" s="217"/>
      <c r="V373" s="217"/>
      <c r="W373" s="217"/>
      <c r="X373" s="217"/>
      <c r="Y373" s="217"/>
      <c r="Z373" s="217"/>
    </row>
    <row r="374" ht="16.5" hidden="1" customHeight="1">
      <c r="A374" s="252"/>
      <c r="B374" s="368" t="s">
        <v>8789</v>
      </c>
      <c r="C374" s="252"/>
      <c r="D374" s="253">
        <f>COUNTIF(E338:E373,"L")</f>
        <v>13</v>
      </c>
      <c r="E374" s="253"/>
      <c r="F374" s="254"/>
      <c r="G374" s="254"/>
      <c r="H374" s="254"/>
      <c r="I374" s="254"/>
      <c r="J374" s="254"/>
      <c r="K374" s="254"/>
      <c r="L374" s="254"/>
      <c r="M374" s="254"/>
      <c r="N374" s="254"/>
      <c r="O374" s="254"/>
      <c r="P374" s="254"/>
      <c r="Q374" s="254"/>
      <c r="R374" s="254"/>
      <c r="S374" s="254"/>
      <c r="T374" s="254"/>
      <c r="U374" s="217"/>
      <c r="V374" s="217"/>
      <c r="W374" s="217"/>
      <c r="X374" s="217"/>
      <c r="Y374" s="217"/>
      <c r="Z374" s="217"/>
    </row>
    <row r="375" ht="16.5" hidden="1" customHeight="1">
      <c r="A375" s="252"/>
      <c r="B375" s="368" t="s">
        <v>8790</v>
      </c>
      <c r="C375" s="252"/>
      <c r="D375" s="253">
        <f>COUNTIF(E338:E373,"P")</f>
        <v>23</v>
      </c>
      <c r="E375" s="253"/>
      <c r="F375" s="254"/>
      <c r="G375" s="254"/>
      <c r="H375" s="254"/>
      <c r="I375" s="254"/>
      <c r="J375" s="254"/>
      <c r="K375" s="255" t="s">
        <v>9753</v>
      </c>
      <c r="L375" s="256"/>
      <c r="M375" s="256"/>
      <c r="N375" s="256"/>
      <c r="O375" s="256"/>
      <c r="P375" s="256"/>
      <c r="Q375" s="256"/>
      <c r="R375" s="256"/>
      <c r="S375" s="256"/>
      <c r="T375" s="257"/>
      <c r="U375" s="217"/>
      <c r="V375" s="217"/>
      <c r="W375" s="217"/>
      <c r="X375" s="217"/>
      <c r="Y375" s="217"/>
      <c r="Z375" s="217"/>
    </row>
    <row r="376" ht="16.5" hidden="1" customHeight="1">
      <c r="A376" s="252"/>
      <c r="B376" s="368" t="s">
        <v>8792</v>
      </c>
      <c r="C376" s="252"/>
      <c r="D376" s="253">
        <f>SUM(D374:D375)</f>
        <v>36</v>
      </c>
      <c r="E376" s="253"/>
      <c r="F376" s="254"/>
      <c r="G376" s="254"/>
      <c r="H376" s="254"/>
      <c r="I376" s="254"/>
      <c r="J376" s="254"/>
      <c r="K376" s="258" t="s">
        <v>8793</v>
      </c>
      <c r="L376" s="259"/>
      <c r="M376" s="259"/>
      <c r="N376" s="259"/>
      <c r="O376" s="259"/>
      <c r="P376" s="259"/>
      <c r="Q376" s="259"/>
      <c r="R376" s="259"/>
      <c r="S376" s="259"/>
      <c r="T376" s="260"/>
      <c r="U376" s="217"/>
      <c r="V376" s="217"/>
      <c r="W376" s="217"/>
      <c r="X376" s="217"/>
      <c r="Y376" s="217"/>
      <c r="Z376" s="217"/>
    </row>
    <row r="377" ht="82.5" hidden="1" customHeight="1">
      <c r="A377" s="261" t="s">
        <v>8743</v>
      </c>
      <c r="B377" s="261"/>
      <c r="C377" s="261"/>
      <c r="D377" s="261"/>
      <c r="E377" s="261"/>
      <c r="F377" s="261"/>
      <c r="G377" s="261"/>
      <c r="H377" s="261"/>
      <c r="I377" s="261"/>
      <c r="J377" s="261"/>
      <c r="K377" s="261"/>
      <c r="L377" s="261"/>
      <c r="M377" s="261"/>
      <c r="N377" s="261"/>
      <c r="O377" s="261"/>
      <c r="P377" s="261"/>
      <c r="Q377" s="261"/>
      <c r="R377" s="261"/>
      <c r="S377" s="261"/>
      <c r="T377" s="261"/>
      <c r="U377" s="217"/>
      <c r="V377" s="217"/>
      <c r="W377" s="217"/>
      <c r="X377" s="217"/>
      <c r="Y377" s="217"/>
      <c r="Z377" s="217"/>
    </row>
    <row r="378" ht="16.5" hidden="1" customHeight="1">
      <c r="A378" s="262" t="s">
        <v>9365</v>
      </c>
      <c r="B378" s="263"/>
      <c r="C378" s="263"/>
      <c r="D378" s="263"/>
      <c r="E378" s="263"/>
      <c r="F378" s="263"/>
      <c r="G378" s="263"/>
      <c r="H378" s="263"/>
      <c r="I378" s="263"/>
      <c r="J378" s="263"/>
      <c r="K378" s="263"/>
      <c r="L378" s="263"/>
      <c r="M378" s="263"/>
      <c r="N378" s="263"/>
      <c r="O378" s="263"/>
      <c r="P378" s="263"/>
      <c r="Q378" s="263"/>
      <c r="R378" s="263"/>
      <c r="S378" s="263"/>
      <c r="T378" s="264"/>
      <c r="U378" s="217"/>
      <c r="V378" s="217"/>
      <c r="W378" s="217"/>
      <c r="X378" s="217"/>
      <c r="Y378" s="217"/>
      <c r="Z378" s="217"/>
    </row>
    <row r="379" ht="16.5" hidden="1" customHeight="1">
      <c r="A379" s="222" t="s">
        <v>9798</v>
      </c>
      <c r="B379" s="223"/>
      <c r="C379" s="223"/>
      <c r="D379" s="223"/>
      <c r="E379" s="223"/>
      <c r="F379" s="223"/>
      <c r="G379" s="223"/>
      <c r="H379" s="223"/>
      <c r="I379" s="223"/>
      <c r="J379" s="223"/>
      <c r="K379" s="223"/>
      <c r="L379" s="223"/>
      <c r="M379" s="223"/>
      <c r="N379" s="223"/>
      <c r="O379" s="223"/>
      <c r="P379" s="223"/>
      <c r="Q379" s="223"/>
      <c r="R379" s="223"/>
      <c r="S379" s="223"/>
      <c r="T379" s="224"/>
      <c r="U379" s="217"/>
      <c r="V379" s="217"/>
      <c r="W379" s="217"/>
      <c r="X379" s="217"/>
      <c r="Y379" s="217"/>
      <c r="Z379" s="217"/>
    </row>
    <row r="380" ht="16.5" hidden="1" customHeight="1">
      <c r="A380" s="225" t="s">
        <v>9849</v>
      </c>
      <c r="B380" s="226"/>
      <c r="C380" s="226"/>
      <c r="D380" s="226"/>
      <c r="E380" s="226"/>
      <c r="F380" s="226"/>
      <c r="G380" s="226"/>
      <c r="H380" s="226"/>
      <c r="I380" s="226"/>
      <c r="J380" s="226"/>
      <c r="K380" s="226"/>
      <c r="L380" s="226"/>
      <c r="M380" s="226"/>
      <c r="N380" s="226"/>
      <c r="O380" s="226"/>
      <c r="P380" s="226"/>
      <c r="Q380" s="226"/>
      <c r="R380" s="226"/>
      <c r="S380" s="226"/>
      <c r="T380" s="227"/>
      <c r="U380" s="217"/>
      <c r="V380" s="217"/>
      <c r="W380" s="217"/>
      <c r="X380" s="217"/>
      <c r="Y380" s="217"/>
      <c r="Z380" s="217"/>
    </row>
    <row r="381" ht="16.5" hidden="1" customHeight="1">
      <c r="A381" s="228" t="s">
        <v>9661</v>
      </c>
      <c r="B381" s="229"/>
      <c r="C381" s="229"/>
      <c r="D381" s="229"/>
      <c r="E381" s="229"/>
      <c r="F381" s="230"/>
      <c r="G381" s="230"/>
      <c r="H381" s="230"/>
      <c r="I381" s="230"/>
      <c r="J381" s="230"/>
      <c r="K381" s="230"/>
      <c r="L381" s="230"/>
      <c r="M381" s="230"/>
      <c r="N381" s="230"/>
      <c r="O381" s="230"/>
      <c r="P381" s="230"/>
      <c r="Q381" s="230"/>
      <c r="R381" s="230"/>
      <c r="S381" s="230"/>
      <c r="T381" s="230"/>
      <c r="U381" s="217"/>
      <c r="V381" s="217"/>
      <c r="W381" s="217"/>
      <c r="X381" s="217"/>
      <c r="Y381" s="217"/>
      <c r="Z381" s="217"/>
    </row>
    <row r="382" ht="14.25" hidden="1" customHeight="1">
      <c r="A382" s="231" t="s">
        <v>8748</v>
      </c>
      <c r="B382" s="231" t="s">
        <v>9</v>
      </c>
      <c r="C382" s="231" t="s">
        <v>5246</v>
      </c>
      <c r="D382" s="231" t="s">
        <v>8680</v>
      </c>
      <c r="E382" s="232" t="s">
        <v>13</v>
      </c>
      <c r="F382" s="233" t="s">
        <v>9801</v>
      </c>
      <c r="G382" s="234"/>
      <c r="H382" s="234"/>
      <c r="I382" s="234"/>
      <c r="J382" s="234"/>
      <c r="K382" s="234"/>
      <c r="L382" s="234"/>
      <c r="M382" s="234"/>
      <c r="N382" s="234"/>
      <c r="O382" s="234"/>
      <c r="P382" s="234"/>
      <c r="Q382" s="234"/>
      <c r="R382" s="234"/>
      <c r="S382" s="234"/>
      <c r="T382" s="235"/>
      <c r="U382" s="217"/>
      <c r="V382" s="217"/>
      <c r="W382" s="217"/>
      <c r="X382" s="217"/>
      <c r="Y382" s="217"/>
      <c r="Z382" s="217"/>
    </row>
    <row r="383" ht="14.25" hidden="1" customHeight="1">
      <c r="A383" s="236"/>
      <c r="B383" s="236"/>
      <c r="C383" s="236"/>
      <c r="D383" s="236"/>
      <c r="E383" s="237"/>
      <c r="F383" s="238" t="s">
        <v>9802</v>
      </c>
      <c r="G383" s="239"/>
      <c r="H383" s="239"/>
      <c r="I383" s="239"/>
      <c r="J383" s="239"/>
      <c r="K383" s="239"/>
      <c r="L383" s="239"/>
      <c r="M383" s="239"/>
      <c r="N383" s="239"/>
      <c r="O383" s="239"/>
      <c r="P383" s="239"/>
      <c r="Q383" s="240"/>
      <c r="R383" s="233" t="s">
        <v>9713</v>
      </c>
      <c r="S383" s="234"/>
      <c r="T383" s="235"/>
      <c r="U383" s="217"/>
      <c r="V383" s="217"/>
      <c r="W383" s="217"/>
      <c r="X383" s="217"/>
      <c r="Y383" s="217"/>
      <c r="Z383" s="217"/>
    </row>
    <row r="384" ht="14.25" hidden="1" customHeight="1">
      <c r="A384" s="241"/>
      <c r="B384" s="241"/>
      <c r="C384" s="295"/>
      <c r="D384" s="241"/>
      <c r="E384" s="242"/>
      <c r="F384" s="243">
        <v>1.0</v>
      </c>
      <c r="G384" s="243">
        <v>2.0</v>
      </c>
      <c r="H384" s="243">
        <v>3.0</v>
      </c>
      <c r="I384" s="243">
        <v>4.0</v>
      </c>
      <c r="J384" s="243">
        <v>5.0</v>
      </c>
      <c r="K384" s="243">
        <v>6.0</v>
      </c>
      <c r="L384" s="243">
        <v>7.0</v>
      </c>
      <c r="M384" s="243">
        <v>8.0</v>
      </c>
      <c r="N384" s="243">
        <v>9.0</v>
      </c>
      <c r="O384" s="243">
        <v>10.0</v>
      </c>
      <c r="P384" s="243">
        <v>11.0</v>
      </c>
      <c r="Q384" s="243">
        <v>12.0</v>
      </c>
      <c r="R384" s="243" t="s">
        <v>9714</v>
      </c>
      <c r="S384" s="243" t="s">
        <v>9715</v>
      </c>
      <c r="T384" s="244" t="s">
        <v>9716</v>
      </c>
      <c r="U384" s="217"/>
      <c r="V384" s="217"/>
      <c r="W384" s="217"/>
      <c r="X384" s="217"/>
      <c r="Y384" s="217"/>
      <c r="Z384" s="217"/>
    </row>
    <row r="385" ht="14.25" customHeight="1">
      <c r="A385" s="245">
        <v>1.0</v>
      </c>
      <c r="B385" s="279" t="s">
        <v>7412</v>
      </c>
      <c r="C385" s="321">
        <v>2.42510006E8</v>
      </c>
      <c r="D385" s="266" t="s">
        <v>4494</v>
      </c>
      <c r="E385" s="267" t="s">
        <v>227</v>
      </c>
      <c r="F385" s="269"/>
      <c r="G385" s="269"/>
      <c r="H385" s="269"/>
      <c r="I385" s="269"/>
      <c r="J385" s="269"/>
      <c r="K385" s="269"/>
      <c r="L385" s="269"/>
      <c r="M385" s="269"/>
      <c r="N385" s="269"/>
      <c r="O385" s="269"/>
      <c r="P385" s="269"/>
      <c r="Q385" s="269"/>
      <c r="R385" s="269"/>
      <c r="S385" s="269"/>
      <c r="T385" s="269"/>
      <c r="W385" s="217"/>
      <c r="X385" s="217"/>
      <c r="Y385" s="217"/>
      <c r="Z385" s="217"/>
    </row>
    <row r="386" ht="14.25" customHeight="1">
      <c r="A386" s="245">
        <v>2.0</v>
      </c>
      <c r="B386" s="279" t="s">
        <v>7415</v>
      </c>
      <c r="C386" s="269">
        <v>2.42510022E8</v>
      </c>
      <c r="D386" s="266" t="s">
        <v>4500</v>
      </c>
      <c r="E386" s="267" t="s">
        <v>220</v>
      </c>
      <c r="F386" s="269"/>
      <c r="G386" s="269"/>
      <c r="H386" s="269"/>
      <c r="I386" s="269"/>
      <c r="J386" s="269"/>
      <c r="K386" s="269"/>
      <c r="L386" s="269"/>
      <c r="M386" s="269"/>
      <c r="N386" s="269"/>
      <c r="O386" s="269"/>
      <c r="P386" s="269"/>
      <c r="Q386" s="269"/>
      <c r="R386" s="269"/>
      <c r="S386" s="269"/>
      <c r="T386" s="269"/>
      <c r="U386" s="217"/>
      <c r="V386" s="217"/>
      <c r="W386" s="217"/>
      <c r="X386" s="217"/>
      <c r="Y386" s="217"/>
      <c r="Z386" s="217"/>
    </row>
    <row r="387" ht="14.25" customHeight="1">
      <c r="A387" s="245">
        <v>3.0</v>
      </c>
      <c r="B387" s="279" t="s">
        <v>7417</v>
      </c>
      <c r="C387" s="269">
        <v>2.42510035E8</v>
      </c>
      <c r="D387" s="266" t="s">
        <v>4505</v>
      </c>
      <c r="E387" s="267" t="s">
        <v>227</v>
      </c>
      <c r="F387" s="269"/>
      <c r="G387" s="269"/>
      <c r="H387" s="269"/>
      <c r="I387" s="269"/>
      <c r="J387" s="269"/>
      <c r="K387" s="269"/>
      <c r="L387" s="269"/>
      <c r="M387" s="269"/>
      <c r="N387" s="269"/>
      <c r="O387" s="269"/>
      <c r="P387" s="269"/>
      <c r="Q387" s="269"/>
      <c r="R387" s="269"/>
      <c r="S387" s="269"/>
      <c r="T387" s="269"/>
      <c r="W387" s="217"/>
      <c r="X387" s="217"/>
      <c r="Y387" s="217"/>
      <c r="Z387" s="217"/>
    </row>
    <row r="388" ht="14.25" customHeight="1">
      <c r="A388" s="245">
        <v>4.0</v>
      </c>
      <c r="B388" s="279" t="s">
        <v>7419</v>
      </c>
      <c r="C388" s="269">
        <v>2.42510047E8</v>
      </c>
      <c r="D388" s="266" t="s">
        <v>4510</v>
      </c>
      <c r="E388" s="267" t="s">
        <v>220</v>
      </c>
      <c r="F388" s="269"/>
      <c r="G388" s="269"/>
      <c r="H388" s="269"/>
      <c r="I388" s="269"/>
      <c r="J388" s="269"/>
      <c r="K388" s="269"/>
      <c r="L388" s="269"/>
      <c r="M388" s="269"/>
      <c r="N388" s="269"/>
      <c r="O388" s="269"/>
      <c r="P388" s="269"/>
      <c r="Q388" s="269"/>
      <c r="R388" s="269"/>
      <c r="S388" s="269"/>
      <c r="T388" s="269"/>
      <c r="W388" s="217"/>
      <c r="X388" s="217"/>
      <c r="Y388" s="217"/>
      <c r="Z388" s="217"/>
    </row>
    <row r="389" ht="14.25" customHeight="1">
      <c r="A389" s="245">
        <v>5.0</v>
      </c>
      <c r="B389" s="279" t="s">
        <v>7421</v>
      </c>
      <c r="C389" s="269">
        <v>2.42510051E8</v>
      </c>
      <c r="D389" s="266" t="s">
        <v>4515</v>
      </c>
      <c r="E389" s="267" t="s">
        <v>227</v>
      </c>
      <c r="F389" s="269"/>
      <c r="G389" s="269"/>
      <c r="H389" s="269"/>
      <c r="I389" s="269"/>
      <c r="J389" s="269"/>
      <c r="K389" s="269"/>
      <c r="L389" s="269"/>
      <c r="M389" s="269"/>
      <c r="N389" s="269"/>
      <c r="O389" s="269"/>
      <c r="P389" s="269"/>
      <c r="Q389" s="269"/>
      <c r="R389" s="269"/>
      <c r="S389" s="269"/>
      <c r="T389" s="269"/>
      <c r="U389" s="217"/>
      <c r="V389" s="217"/>
      <c r="W389" s="217"/>
      <c r="X389" s="217"/>
      <c r="Y389" s="217"/>
      <c r="Z389" s="217"/>
    </row>
    <row r="390" ht="14.25" customHeight="1">
      <c r="A390" s="245">
        <v>6.0</v>
      </c>
      <c r="B390" s="279" t="s">
        <v>7423</v>
      </c>
      <c r="C390" s="269">
        <v>2.42510059E8</v>
      </c>
      <c r="D390" s="266" t="s">
        <v>4520</v>
      </c>
      <c r="E390" s="267" t="s">
        <v>220</v>
      </c>
      <c r="F390" s="269"/>
      <c r="G390" s="269"/>
      <c r="H390" s="269"/>
      <c r="I390" s="269"/>
      <c r="J390" s="269"/>
      <c r="K390" s="269"/>
      <c r="L390" s="269"/>
      <c r="M390" s="269"/>
      <c r="N390" s="269"/>
      <c r="O390" s="269"/>
      <c r="P390" s="269"/>
      <c r="Q390" s="269"/>
      <c r="R390" s="269"/>
      <c r="S390" s="269"/>
      <c r="T390" s="269"/>
      <c r="W390" s="217"/>
      <c r="X390" s="217"/>
      <c r="Y390" s="217"/>
      <c r="Z390" s="217"/>
    </row>
    <row r="391" ht="14.25" customHeight="1">
      <c r="A391" s="245">
        <v>7.0</v>
      </c>
      <c r="B391" s="279" t="s">
        <v>7425</v>
      </c>
      <c r="C391" s="269">
        <v>2.42510083E8</v>
      </c>
      <c r="D391" s="266" t="s">
        <v>4526</v>
      </c>
      <c r="E391" s="267" t="s">
        <v>220</v>
      </c>
      <c r="F391" s="269"/>
      <c r="G391" s="269"/>
      <c r="H391" s="269"/>
      <c r="I391" s="269"/>
      <c r="J391" s="269"/>
      <c r="K391" s="269"/>
      <c r="L391" s="269"/>
      <c r="M391" s="269"/>
      <c r="N391" s="269"/>
      <c r="O391" s="269"/>
      <c r="P391" s="269"/>
      <c r="Q391" s="269"/>
      <c r="R391" s="269"/>
      <c r="S391" s="269"/>
      <c r="T391" s="269"/>
      <c r="U391" s="217"/>
      <c r="V391" s="217"/>
      <c r="W391" s="217"/>
      <c r="X391" s="217"/>
      <c r="Y391" s="217"/>
      <c r="Z391" s="217"/>
    </row>
    <row r="392" ht="14.25" customHeight="1">
      <c r="A392" s="245">
        <v>8.0</v>
      </c>
      <c r="B392" s="279" t="s">
        <v>7427</v>
      </c>
      <c r="C392" s="269">
        <v>2.42510098E8</v>
      </c>
      <c r="D392" s="266" t="s">
        <v>4531</v>
      </c>
      <c r="E392" s="267" t="s">
        <v>220</v>
      </c>
      <c r="F392" s="269"/>
      <c r="G392" s="269"/>
      <c r="H392" s="269"/>
      <c r="I392" s="269"/>
      <c r="J392" s="269"/>
      <c r="K392" s="269"/>
      <c r="L392" s="269"/>
      <c r="M392" s="269"/>
      <c r="N392" s="269"/>
      <c r="O392" s="269"/>
      <c r="P392" s="269"/>
      <c r="Q392" s="269"/>
      <c r="R392" s="269"/>
      <c r="S392" s="269"/>
      <c r="T392" s="269"/>
      <c r="W392" s="217"/>
      <c r="X392" s="217"/>
      <c r="Y392" s="217"/>
      <c r="Z392" s="217"/>
    </row>
    <row r="393" ht="14.25" customHeight="1">
      <c r="A393" s="245">
        <v>9.0</v>
      </c>
      <c r="B393" s="279" t="s">
        <v>7429</v>
      </c>
      <c r="C393" s="269">
        <v>2.42510103E8</v>
      </c>
      <c r="D393" s="266" t="s">
        <v>4536</v>
      </c>
      <c r="E393" s="267" t="s">
        <v>220</v>
      </c>
      <c r="F393" s="269"/>
      <c r="G393" s="269"/>
      <c r="H393" s="269"/>
      <c r="I393" s="269"/>
      <c r="J393" s="269"/>
      <c r="K393" s="269"/>
      <c r="L393" s="269"/>
      <c r="M393" s="269"/>
      <c r="N393" s="269"/>
      <c r="O393" s="269"/>
      <c r="P393" s="269"/>
      <c r="Q393" s="269"/>
      <c r="R393" s="269"/>
      <c r="S393" s="269"/>
      <c r="T393" s="269"/>
      <c r="U393" s="217"/>
      <c r="V393" s="217"/>
      <c r="W393" s="217"/>
      <c r="X393" s="217"/>
      <c r="Y393" s="217"/>
      <c r="Z393" s="217"/>
    </row>
    <row r="394" ht="14.25" customHeight="1">
      <c r="A394" s="245">
        <v>10.0</v>
      </c>
      <c r="B394" s="279" t="s">
        <v>7431</v>
      </c>
      <c r="C394" s="269">
        <v>2.42510123E8</v>
      </c>
      <c r="D394" s="266" t="s">
        <v>4541</v>
      </c>
      <c r="E394" s="267" t="s">
        <v>220</v>
      </c>
      <c r="F394" s="269"/>
      <c r="G394" s="269"/>
      <c r="H394" s="269"/>
      <c r="I394" s="269"/>
      <c r="J394" s="269"/>
      <c r="K394" s="269"/>
      <c r="L394" s="269"/>
      <c r="M394" s="269"/>
      <c r="N394" s="269"/>
      <c r="O394" s="269"/>
      <c r="P394" s="269"/>
      <c r="Q394" s="269"/>
      <c r="R394" s="269"/>
      <c r="S394" s="269"/>
      <c r="T394" s="269"/>
      <c r="W394" s="217"/>
      <c r="X394" s="217"/>
      <c r="Y394" s="217"/>
      <c r="Z394" s="217"/>
    </row>
    <row r="395" ht="14.25" customHeight="1">
      <c r="A395" s="245">
        <v>11.0</v>
      </c>
      <c r="B395" s="279" t="s">
        <v>7433</v>
      </c>
      <c r="C395" s="269">
        <v>2.42510128E8</v>
      </c>
      <c r="D395" s="266" t="s">
        <v>4546</v>
      </c>
      <c r="E395" s="267" t="s">
        <v>220</v>
      </c>
      <c r="F395" s="269"/>
      <c r="G395" s="269"/>
      <c r="H395" s="269"/>
      <c r="I395" s="269"/>
      <c r="J395" s="269"/>
      <c r="K395" s="269"/>
      <c r="L395" s="269"/>
      <c r="M395" s="269"/>
      <c r="N395" s="269"/>
      <c r="O395" s="269"/>
      <c r="P395" s="269"/>
      <c r="Q395" s="269"/>
      <c r="R395" s="269"/>
      <c r="S395" s="269"/>
      <c r="T395" s="269"/>
      <c r="U395" s="217"/>
      <c r="V395" s="217"/>
      <c r="W395" s="217"/>
      <c r="X395" s="217"/>
      <c r="Y395" s="217"/>
      <c r="Z395" s="217"/>
    </row>
    <row r="396" ht="14.25" customHeight="1">
      <c r="A396" s="245">
        <v>12.0</v>
      </c>
      <c r="B396" s="279" t="s">
        <v>7435</v>
      </c>
      <c r="C396" s="269">
        <v>2.42510175E8</v>
      </c>
      <c r="D396" s="266" t="s">
        <v>4551</v>
      </c>
      <c r="E396" s="267" t="s">
        <v>220</v>
      </c>
      <c r="F396" s="269"/>
      <c r="G396" s="269"/>
      <c r="H396" s="269"/>
      <c r="I396" s="269"/>
      <c r="J396" s="269"/>
      <c r="K396" s="269"/>
      <c r="L396" s="269"/>
      <c r="M396" s="269"/>
      <c r="N396" s="269"/>
      <c r="O396" s="269"/>
      <c r="P396" s="269"/>
      <c r="Q396" s="269"/>
      <c r="R396" s="269"/>
      <c r="S396" s="269"/>
      <c r="T396" s="269"/>
      <c r="V396" s="217"/>
      <c r="W396" s="217"/>
      <c r="X396" s="217"/>
      <c r="Y396" s="217"/>
      <c r="Z396" s="217"/>
    </row>
    <row r="397" ht="22.5" customHeight="1">
      <c r="A397" s="245">
        <v>13.0</v>
      </c>
      <c r="B397" s="279" t="s">
        <v>7437</v>
      </c>
      <c r="C397" s="269">
        <v>2.42510181E8</v>
      </c>
      <c r="D397" s="266" t="s">
        <v>4556</v>
      </c>
      <c r="E397" s="267" t="s">
        <v>227</v>
      </c>
      <c r="F397" s="269"/>
      <c r="G397" s="269"/>
      <c r="H397" s="269"/>
      <c r="I397" s="269"/>
      <c r="J397" s="269"/>
      <c r="K397" s="269"/>
      <c r="L397" s="269"/>
      <c r="M397" s="269"/>
      <c r="N397" s="269"/>
      <c r="O397" s="269"/>
      <c r="P397" s="269"/>
      <c r="Q397" s="269"/>
      <c r="R397" s="269"/>
      <c r="S397" s="269"/>
      <c r="T397" s="269"/>
      <c r="U397" s="217"/>
      <c r="V397" s="217"/>
      <c r="W397" s="217"/>
      <c r="X397" s="217"/>
      <c r="Y397" s="217"/>
      <c r="Z397" s="217"/>
    </row>
    <row r="398" ht="14.25" customHeight="1">
      <c r="A398" s="245">
        <v>14.0</v>
      </c>
      <c r="B398" s="279" t="s">
        <v>7439</v>
      </c>
      <c r="C398" s="269">
        <v>2.42510211E8</v>
      </c>
      <c r="D398" s="266" t="s">
        <v>4562</v>
      </c>
      <c r="E398" s="267" t="s">
        <v>220</v>
      </c>
      <c r="F398" s="269"/>
      <c r="G398" s="269"/>
      <c r="H398" s="269"/>
      <c r="I398" s="269"/>
      <c r="J398" s="269"/>
      <c r="K398" s="269"/>
      <c r="L398" s="269"/>
      <c r="M398" s="269"/>
      <c r="N398" s="269"/>
      <c r="O398" s="269"/>
      <c r="P398" s="269"/>
      <c r="Q398" s="269"/>
      <c r="R398" s="269"/>
      <c r="S398" s="269"/>
      <c r="T398" s="269"/>
      <c r="W398" s="217"/>
      <c r="X398" s="217"/>
      <c r="Y398" s="217"/>
      <c r="Z398" s="217"/>
    </row>
    <row r="399" ht="14.25" customHeight="1">
      <c r="A399" s="245">
        <v>15.0</v>
      </c>
      <c r="B399" s="279" t="s">
        <v>7441</v>
      </c>
      <c r="C399" s="269">
        <v>2.42510225E8</v>
      </c>
      <c r="D399" s="266" t="s">
        <v>4567</v>
      </c>
      <c r="E399" s="267" t="s">
        <v>227</v>
      </c>
      <c r="F399" s="269"/>
      <c r="G399" s="269"/>
      <c r="H399" s="269"/>
      <c r="I399" s="269"/>
      <c r="J399" s="269"/>
      <c r="K399" s="269"/>
      <c r="L399" s="269"/>
      <c r="M399" s="269"/>
      <c r="N399" s="269"/>
      <c r="O399" s="269"/>
      <c r="P399" s="269"/>
      <c r="Q399" s="269"/>
      <c r="R399" s="269"/>
      <c r="S399" s="269"/>
      <c r="T399" s="269"/>
      <c r="W399" s="217"/>
      <c r="X399" s="217"/>
      <c r="Y399" s="217"/>
      <c r="Z399" s="217"/>
    </row>
    <row r="400" ht="22.5" customHeight="1">
      <c r="A400" s="245">
        <v>16.0</v>
      </c>
      <c r="B400" s="279" t="s">
        <v>7443</v>
      </c>
      <c r="C400" s="269">
        <v>2.42510234E8</v>
      </c>
      <c r="D400" s="266" t="s">
        <v>4572</v>
      </c>
      <c r="E400" s="267" t="s">
        <v>220</v>
      </c>
      <c r="F400" s="269"/>
      <c r="G400" s="269"/>
      <c r="H400" s="269"/>
      <c r="I400" s="269"/>
      <c r="J400" s="269"/>
      <c r="K400" s="269"/>
      <c r="L400" s="269"/>
      <c r="M400" s="269"/>
      <c r="N400" s="269"/>
      <c r="O400" s="269"/>
      <c r="P400" s="269"/>
      <c r="Q400" s="269"/>
      <c r="R400" s="269"/>
      <c r="S400" s="269"/>
      <c r="T400" s="269"/>
      <c r="U400" s="217"/>
      <c r="V400" s="217"/>
      <c r="W400" s="217"/>
      <c r="X400" s="217"/>
      <c r="Y400" s="217"/>
      <c r="Z400" s="217"/>
    </row>
    <row r="401" ht="14.25" customHeight="1">
      <c r="A401" s="245">
        <v>17.0</v>
      </c>
      <c r="B401" s="279" t="s">
        <v>7445</v>
      </c>
      <c r="C401" s="269">
        <v>2.42510235E8</v>
      </c>
      <c r="D401" s="266" t="s">
        <v>4577</v>
      </c>
      <c r="E401" s="267" t="s">
        <v>220</v>
      </c>
      <c r="F401" s="269"/>
      <c r="G401" s="269"/>
      <c r="H401" s="269"/>
      <c r="I401" s="269"/>
      <c r="J401" s="269"/>
      <c r="K401" s="269"/>
      <c r="L401" s="269"/>
      <c r="M401" s="269"/>
      <c r="N401" s="269"/>
      <c r="O401" s="269"/>
      <c r="P401" s="269"/>
      <c r="Q401" s="269"/>
      <c r="R401" s="269"/>
      <c r="S401" s="269"/>
      <c r="T401" s="269"/>
      <c r="U401" s="217"/>
      <c r="V401" s="217"/>
      <c r="W401" s="217"/>
      <c r="X401" s="217"/>
      <c r="Y401" s="217"/>
      <c r="Z401" s="217"/>
    </row>
    <row r="402" ht="14.25" customHeight="1">
      <c r="A402" s="245">
        <v>18.0</v>
      </c>
      <c r="B402" s="279" t="s">
        <v>7447</v>
      </c>
      <c r="C402" s="269">
        <v>2.4251024E8</v>
      </c>
      <c r="D402" s="266" t="s">
        <v>4582</v>
      </c>
      <c r="E402" s="267" t="s">
        <v>220</v>
      </c>
      <c r="F402" s="269"/>
      <c r="G402" s="269"/>
      <c r="H402" s="269"/>
      <c r="I402" s="269"/>
      <c r="J402" s="269"/>
      <c r="K402" s="269"/>
      <c r="L402" s="269"/>
      <c r="M402" s="269"/>
      <c r="N402" s="269"/>
      <c r="O402" s="269"/>
      <c r="P402" s="269"/>
      <c r="Q402" s="269"/>
      <c r="R402" s="269"/>
      <c r="S402" s="269"/>
      <c r="T402" s="269"/>
      <c r="U402" s="217"/>
      <c r="V402" s="217"/>
      <c r="W402" s="217"/>
      <c r="X402" s="217"/>
      <c r="Y402" s="217"/>
      <c r="Z402" s="217"/>
    </row>
    <row r="403" ht="14.25" customHeight="1">
      <c r="A403" s="245">
        <v>19.0</v>
      </c>
      <c r="B403" s="279" t="s">
        <v>7449</v>
      </c>
      <c r="C403" s="269">
        <v>2.42510242E8</v>
      </c>
      <c r="D403" s="266" t="s">
        <v>4587</v>
      </c>
      <c r="E403" s="267" t="s">
        <v>220</v>
      </c>
      <c r="F403" s="269"/>
      <c r="G403" s="269"/>
      <c r="H403" s="269"/>
      <c r="I403" s="269"/>
      <c r="J403" s="269"/>
      <c r="K403" s="269"/>
      <c r="L403" s="269"/>
      <c r="M403" s="269"/>
      <c r="N403" s="269"/>
      <c r="O403" s="269"/>
      <c r="P403" s="269"/>
      <c r="Q403" s="269"/>
      <c r="R403" s="269"/>
      <c r="S403" s="269"/>
      <c r="T403" s="269"/>
      <c r="U403" s="217"/>
      <c r="V403" s="217"/>
      <c r="W403" s="217"/>
      <c r="X403" s="217"/>
      <c r="Y403" s="217"/>
      <c r="Z403" s="217"/>
    </row>
    <row r="404" ht="22.5" customHeight="1">
      <c r="A404" s="245">
        <v>20.0</v>
      </c>
      <c r="B404" s="279" t="s">
        <v>7451</v>
      </c>
      <c r="C404" s="269">
        <v>2.42510252E8</v>
      </c>
      <c r="D404" s="266" t="s">
        <v>4592</v>
      </c>
      <c r="E404" s="267" t="s">
        <v>220</v>
      </c>
      <c r="F404" s="269"/>
      <c r="G404" s="269"/>
      <c r="H404" s="269"/>
      <c r="I404" s="269"/>
      <c r="J404" s="269"/>
      <c r="K404" s="269"/>
      <c r="L404" s="269"/>
      <c r="M404" s="269"/>
      <c r="N404" s="269"/>
      <c r="O404" s="269"/>
      <c r="P404" s="269"/>
      <c r="Q404" s="269"/>
      <c r="R404" s="269"/>
      <c r="S404" s="269"/>
      <c r="T404" s="269"/>
      <c r="W404" s="217"/>
      <c r="X404" s="217"/>
      <c r="Y404" s="217"/>
      <c r="Z404" s="217"/>
    </row>
    <row r="405" ht="22.5" customHeight="1">
      <c r="A405" s="245">
        <v>21.0</v>
      </c>
      <c r="B405" s="279" t="s">
        <v>7453</v>
      </c>
      <c r="C405" s="269">
        <v>2.42510259E8</v>
      </c>
      <c r="D405" s="266" t="s">
        <v>4597</v>
      </c>
      <c r="E405" s="267" t="s">
        <v>220</v>
      </c>
      <c r="F405" s="269"/>
      <c r="G405" s="269"/>
      <c r="H405" s="269"/>
      <c r="I405" s="269"/>
      <c r="J405" s="269"/>
      <c r="K405" s="269"/>
      <c r="L405" s="269"/>
      <c r="M405" s="269"/>
      <c r="N405" s="269"/>
      <c r="O405" s="269"/>
      <c r="P405" s="269"/>
      <c r="Q405" s="269"/>
      <c r="R405" s="269"/>
      <c r="S405" s="269"/>
      <c r="T405" s="269"/>
      <c r="V405" s="217"/>
      <c r="W405" s="217"/>
      <c r="X405" s="217"/>
      <c r="Y405" s="217"/>
      <c r="Z405" s="217"/>
    </row>
    <row r="406" ht="14.25" customHeight="1">
      <c r="A406" s="245">
        <v>22.0</v>
      </c>
      <c r="B406" s="279" t="s">
        <v>7455</v>
      </c>
      <c r="C406" s="269">
        <v>2.4251026E8</v>
      </c>
      <c r="D406" s="266" t="s">
        <v>4603</v>
      </c>
      <c r="E406" s="267" t="s">
        <v>220</v>
      </c>
      <c r="F406" s="269"/>
      <c r="G406" s="269"/>
      <c r="H406" s="269"/>
      <c r="I406" s="269"/>
      <c r="J406" s="269"/>
      <c r="K406" s="269"/>
      <c r="L406" s="269"/>
      <c r="M406" s="269"/>
      <c r="N406" s="269"/>
      <c r="O406" s="269"/>
      <c r="P406" s="269"/>
      <c r="Q406" s="269"/>
      <c r="R406" s="269"/>
      <c r="S406" s="269"/>
      <c r="T406" s="269"/>
      <c r="V406" s="217"/>
      <c r="W406" s="217"/>
      <c r="X406" s="217"/>
      <c r="Y406" s="217"/>
      <c r="Z406" s="217"/>
    </row>
    <row r="407" ht="14.25" customHeight="1">
      <c r="A407" s="245">
        <v>23.0</v>
      </c>
      <c r="B407" s="279" t="s">
        <v>7457</v>
      </c>
      <c r="C407" s="269">
        <v>2.42510262E8</v>
      </c>
      <c r="D407" s="266" t="s">
        <v>4608</v>
      </c>
      <c r="E407" s="267" t="s">
        <v>220</v>
      </c>
      <c r="F407" s="269"/>
      <c r="G407" s="269"/>
      <c r="H407" s="269"/>
      <c r="I407" s="269"/>
      <c r="J407" s="269"/>
      <c r="K407" s="269"/>
      <c r="L407" s="269"/>
      <c r="M407" s="269"/>
      <c r="N407" s="269"/>
      <c r="O407" s="269"/>
      <c r="P407" s="269"/>
      <c r="Q407" s="269"/>
      <c r="R407" s="269"/>
      <c r="S407" s="269"/>
      <c r="T407" s="269"/>
      <c r="V407" s="217"/>
      <c r="W407" s="217"/>
      <c r="X407" s="217"/>
      <c r="Y407" s="217"/>
      <c r="Z407" s="217"/>
    </row>
    <row r="408" ht="22.5" customHeight="1">
      <c r="A408" s="245">
        <v>24.0</v>
      </c>
      <c r="B408" s="279" t="s">
        <v>7459</v>
      </c>
      <c r="C408" s="269">
        <v>2.42510265E8</v>
      </c>
      <c r="D408" s="266" t="s">
        <v>4613</v>
      </c>
      <c r="E408" s="267" t="s">
        <v>220</v>
      </c>
      <c r="F408" s="269"/>
      <c r="G408" s="269"/>
      <c r="H408" s="269"/>
      <c r="I408" s="269"/>
      <c r="J408" s="269"/>
      <c r="K408" s="269"/>
      <c r="L408" s="269"/>
      <c r="M408" s="269"/>
      <c r="N408" s="269"/>
      <c r="O408" s="269"/>
      <c r="P408" s="269"/>
      <c r="Q408" s="269"/>
      <c r="R408" s="269"/>
      <c r="S408" s="269"/>
      <c r="T408" s="269"/>
      <c r="U408" s="217"/>
      <c r="V408" s="217"/>
      <c r="W408" s="217"/>
      <c r="X408" s="217"/>
      <c r="Y408" s="217"/>
      <c r="Z408" s="217"/>
    </row>
    <row r="409" ht="14.25" customHeight="1">
      <c r="A409" s="245">
        <v>25.0</v>
      </c>
      <c r="B409" s="279" t="s">
        <v>7461</v>
      </c>
      <c r="C409" s="269">
        <v>2.42510266E8</v>
      </c>
      <c r="D409" s="266" t="s">
        <v>4618</v>
      </c>
      <c r="E409" s="267" t="s">
        <v>220</v>
      </c>
      <c r="F409" s="269"/>
      <c r="G409" s="269"/>
      <c r="H409" s="269"/>
      <c r="I409" s="269"/>
      <c r="J409" s="269"/>
      <c r="K409" s="269"/>
      <c r="L409" s="269"/>
      <c r="M409" s="269"/>
      <c r="N409" s="269"/>
      <c r="O409" s="269"/>
      <c r="P409" s="269"/>
      <c r="Q409" s="269"/>
      <c r="R409" s="269"/>
      <c r="S409" s="269"/>
      <c r="T409" s="269"/>
      <c r="U409" s="217"/>
      <c r="V409" s="217"/>
      <c r="W409" s="217"/>
      <c r="X409" s="217"/>
      <c r="Y409" s="217"/>
      <c r="Z409" s="217"/>
    </row>
    <row r="410" ht="22.5" customHeight="1">
      <c r="A410" s="245">
        <v>26.0</v>
      </c>
      <c r="B410" s="279" t="s">
        <v>7463</v>
      </c>
      <c r="C410" s="269">
        <v>2.42510275E8</v>
      </c>
      <c r="D410" s="266" t="s">
        <v>4623</v>
      </c>
      <c r="E410" s="267" t="s">
        <v>220</v>
      </c>
      <c r="F410" s="269"/>
      <c r="G410" s="269"/>
      <c r="H410" s="269"/>
      <c r="I410" s="269"/>
      <c r="J410" s="269"/>
      <c r="K410" s="269"/>
      <c r="L410" s="269"/>
      <c r="M410" s="269"/>
      <c r="N410" s="269"/>
      <c r="O410" s="269"/>
      <c r="P410" s="269"/>
      <c r="Q410" s="269"/>
      <c r="R410" s="269"/>
      <c r="S410" s="269"/>
      <c r="T410" s="269"/>
      <c r="U410" s="217"/>
      <c r="V410" s="217"/>
      <c r="W410" s="217"/>
      <c r="X410" s="217"/>
      <c r="Y410" s="217"/>
      <c r="Z410" s="217"/>
    </row>
    <row r="411" ht="14.25" customHeight="1">
      <c r="A411" s="245">
        <v>27.0</v>
      </c>
      <c r="B411" s="279" t="s">
        <v>7465</v>
      </c>
      <c r="C411" s="269">
        <v>2.425103E8</v>
      </c>
      <c r="D411" s="266" t="s">
        <v>4628</v>
      </c>
      <c r="E411" s="267" t="s">
        <v>227</v>
      </c>
      <c r="F411" s="269"/>
      <c r="G411" s="269"/>
      <c r="H411" s="269"/>
      <c r="I411" s="269"/>
      <c r="J411" s="269"/>
      <c r="K411" s="269"/>
      <c r="L411" s="269"/>
      <c r="M411" s="269"/>
      <c r="N411" s="269"/>
      <c r="O411" s="269"/>
      <c r="P411" s="269"/>
      <c r="Q411" s="269"/>
      <c r="R411" s="269"/>
      <c r="S411" s="269"/>
      <c r="T411" s="269"/>
      <c r="U411" s="217"/>
      <c r="V411" s="217"/>
      <c r="W411" s="217"/>
      <c r="X411" s="217"/>
      <c r="Y411" s="217"/>
      <c r="Z411" s="217"/>
    </row>
    <row r="412" ht="14.25" customHeight="1">
      <c r="A412" s="245">
        <v>28.0</v>
      </c>
      <c r="B412" s="279" t="s">
        <v>7467</v>
      </c>
      <c r="C412" s="269">
        <v>2.42510302E8</v>
      </c>
      <c r="D412" s="266" t="s">
        <v>4634</v>
      </c>
      <c r="E412" s="267" t="s">
        <v>227</v>
      </c>
      <c r="F412" s="269"/>
      <c r="G412" s="269"/>
      <c r="H412" s="269"/>
      <c r="I412" s="269"/>
      <c r="J412" s="269"/>
      <c r="K412" s="269"/>
      <c r="L412" s="269"/>
      <c r="M412" s="269"/>
      <c r="N412" s="269"/>
      <c r="O412" s="269"/>
      <c r="P412" s="269"/>
      <c r="Q412" s="269"/>
      <c r="R412" s="269"/>
      <c r="S412" s="269"/>
      <c r="T412" s="269"/>
      <c r="W412" s="217"/>
      <c r="X412" s="217"/>
      <c r="Y412" s="217"/>
      <c r="Z412" s="217"/>
    </row>
    <row r="413" ht="14.25" customHeight="1">
      <c r="A413" s="245">
        <v>29.0</v>
      </c>
      <c r="B413" s="279" t="s">
        <v>7469</v>
      </c>
      <c r="C413" s="269">
        <v>2.42510333E8</v>
      </c>
      <c r="D413" s="266" t="s">
        <v>4639</v>
      </c>
      <c r="E413" s="267" t="s">
        <v>220</v>
      </c>
      <c r="F413" s="269"/>
      <c r="G413" s="269"/>
      <c r="H413" s="269"/>
      <c r="I413" s="269"/>
      <c r="J413" s="269"/>
      <c r="K413" s="269"/>
      <c r="L413" s="269"/>
      <c r="M413" s="269"/>
      <c r="N413" s="269"/>
      <c r="O413" s="269"/>
      <c r="P413" s="269"/>
      <c r="Q413" s="269"/>
      <c r="R413" s="269"/>
      <c r="S413" s="269"/>
      <c r="T413" s="269"/>
      <c r="U413" s="217"/>
      <c r="V413" s="217"/>
      <c r="W413" s="217"/>
      <c r="X413" s="217"/>
      <c r="Y413" s="217"/>
      <c r="Z413" s="217"/>
    </row>
    <row r="414" ht="14.25" customHeight="1">
      <c r="A414" s="245">
        <v>30.0</v>
      </c>
      <c r="B414" s="279" t="s">
        <v>7471</v>
      </c>
      <c r="C414" s="269">
        <v>2.42510337E8</v>
      </c>
      <c r="D414" s="266" t="s">
        <v>4644</v>
      </c>
      <c r="E414" s="267" t="s">
        <v>220</v>
      </c>
      <c r="F414" s="269"/>
      <c r="G414" s="269"/>
      <c r="H414" s="269"/>
      <c r="I414" s="269"/>
      <c r="J414" s="269"/>
      <c r="K414" s="269"/>
      <c r="L414" s="269"/>
      <c r="M414" s="269"/>
      <c r="N414" s="269"/>
      <c r="O414" s="269"/>
      <c r="P414" s="269"/>
      <c r="Q414" s="269"/>
      <c r="R414" s="269"/>
      <c r="S414" s="269"/>
      <c r="T414" s="269"/>
      <c r="U414" s="217"/>
      <c r="V414" s="217"/>
      <c r="W414" s="217"/>
      <c r="X414" s="217"/>
      <c r="Y414" s="217"/>
      <c r="Z414" s="217"/>
    </row>
    <row r="415" ht="14.25" customHeight="1">
      <c r="A415" s="245">
        <v>31.0</v>
      </c>
      <c r="B415" s="279" t="s">
        <v>7473</v>
      </c>
      <c r="C415" s="269">
        <v>2.42510347E8</v>
      </c>
      <c r="D415" s="266" t="s">
        <v>4649</v>
      </c>
      <c r="E415" s="267" t="s">
        <v>220</v>
      </c>
      <c r="F415" s="269"/>
      <c r="G415" s="269"/>
      <c r="H415" s="269"/>
      <c r="I415" s="269"/>
      <c r="J415" s="269"/>
      <c r="K415" s="269"/>
      <c r="L415" s="269"/>
      <c r="M415" s="269"/>
      <c r="N415" s="269"/>
      <c r="O415" s="269"/>
      <c r="P415" s="269"/>
      <c r="Q415" s="269"/>
      <c r="R415" s="269"/>
      <c r="S415" s="269"/>
      <c r="T415" s="269"/>
      <c r="W415" s="217"/>
      <c r="X415" s="217"/>
      <c r="Y415" s="217"/>
      <c r="Z415" s="217"/>
    </row>
    <row r="416" ht="14.25" customHeight="1">
      <c r="A416" s="245">
        <v>32.0</v>
      </c>
      <c r="B416" s="279" t="s">
        <v>7475</v>
      </c>
      <c r="C416" s="269">
        <v>2.42510352E8</v>
      </c>
      <c r="D416" s="266" t="s">
        <v>4654</v>
      </c>
      <c r="E416" s="267" t="s">
        <v>220</v>
      </c>
      <c r="F416" s="269"/>
      <c r="G416" s="269"/>
      <c r="H416" s="269"/>
      <c r="I416" s="269"/>
      <c r="J416" s="269"/>
      <c r="K416" s="269"/>
      <c r="L416" s="269"/>
      <c r="M416" s="269"/>
      <c r="N416" s="269"/>
      <c r="O416" s="269"/>
      <c r="P416" s="269"/>
      <c r="Q416" s="269"/>
      <c r="R416" s="269"/>
      <c r="S416" s="269"/>
      <c r="T416" s="269"/>
      <c r="U416" s="217"/>
      <c r="V416" s="217"/>
      <c r="W416" s="217"/>
      <c r="X416" s="217"/>
      <c r="Y416" s="217"/>
      <c r="Z416" s="217"/>
    </row>
    <row r="417" ht="14.25" customHeight="1">
      <c r="A417" s="245">
        <v>33.0</v>
      </c>
      <c r="B417" s="279" t="s">
        <v>7477</v>
      </c>
      <c r="C417" s="269">
        <v>2.4251036E8</v>
      </c>
      <c r="D417" s="266" t="s">
        <v>4659</v>
      </c>
      <c r="E417" s="267" t="s">
        <v>227</v>
      </c>
      <c r="F417" s="269"/>
      <c r="G417" s="269"/>
      <c r="H417" s="269"/>
      <c r="I417" s="269"/>
      <c r="J417" s="269"/>
      <c r="K417" s="269"/>
      <c r="L417" s="269"/>
      <c r="M417" s="269"/>
      <c r="N417" s="269"/>
      <c r="O417" s="269"/>
      <c r="P417" s="269"/>
      <c r="Q417" s="269"/>
      <c r="R417" s="269"/>
      <c r="S417" s="269"/>
      <c r="T417" s="269"/>
      <c r="U417" s="217"/>
      <c r="V417" s="217"/>
      <c r="W417" s="217"/>
      <c r="X417" s="217"/>
      <c r="Y417" s="217"/>
      <c r="Z417" s="217"/>
    </row>
    <row r="418" ht="14.25" customHeight="1">
      <c r="A418" s="245">
        <v>34.0</v>
      </c>
      <c r="B418" s="279" t="s">
        <v>7479</v>
      </c>
      <c r="C418" s="269">
        <v>2.42510378E8</v>
      </c>
      <c r="D418" s="266" t="s">
        <v>4664</v>
      </c>
      <c r="E418" s="267" t="s">
        <v>220</v>
      </c>
      <c r="F418" s="269"/>
      <c r="G418" s="269"/>
      <c r="H418" s="269"/>
      <c r="I418" s="269"/>
      <c r="J418" s="269"/>
      <c r="K418" s="269"/>
      <c r="L418" s="269"/>
      <c r="M418" s="269"/>
      <c r="N418" s="269"/>
      <c r="O418" s="269"/>
      <c r="P418" s="269"/>
      <c r="Q418" s="269"/>
      <c r="R418" s="269"/>
      <c r="S418" s="269"/>
      <c r="T418" s="269"/>
      <c r="U418" s="217"/>
      <c r="V418" s="217"/>
      <c r="W418" s="217"/>
      <c r="X418" s="217"/>
      <c r="Y418" s="217"/>
      <c r="Z418" s="217"/>
    </row>
    <row r="419" ht="14.25" customHeight="1">
      <c r="A419" s="245">
        <v>35.0</v>
      </c>
      <c r="B419" s="279" t="s">
        <v>7481</v>
      </c>
      <c r="C419" s="269">
        <v>2.42510424E8</v>
      </c>
      <c r="D419" s="266" t="s">
        <v>4669</v>
      </c>
      <c r="E419" s="267" t="s">
        <v>227</v>
      </c>
      <c r="F419" s="269"/>
      <c r="G419" s="269"/>
      <c r="H419" s="269"/>
      <c r="I419" s="269"/>
      <c r="J419" s="269"/>
      <c r="K419" s="269"/>
      <c r="L419" s="269"/>
      <c r="M419" s="269"/>
      <c r="N419" s="269"/>
      <c r="O419" s="269"/>
      <c r="P419" s="269"/>
      <c r="Q419" s="269"/>
      <c r="R419" s="269"/>
      <c r="S419" s="269"/>
      <c r="T419" s="269"/>
      <c r="U419" s="217"/>
      <c r="V419" s="217"/>
      <c r="W419" s="217"/>
      <c r="X419" s="217"/>
      <c r="Y419" s="217"/>
      <c r="Z419" s="217"/>
    </row>
    <row r="420" ht="14.25" customHeight="1">
      <c r="A420" s="245">
        <v>36.0</v>
      </c>
      <c r="B420" s="279" t="s">
        <v>7483</v>
      </c>
      <c r="C420" s="269">
        <v>2.42510429E8</v>
      </c>
      <c r="D420" s="266" t="s">
        <v>4674</v>
      </c>
      <c r="E420" s="267" t="s">
        <v>220</v>
      </c>
      <c r="F420" s="269"/>
      <c r="G420" s="269"/>
      <c r="H420" s="269"/>
      <c r="I420" s="269"/>
      <c r="J420" s="269"/>
      <c r="K420" s="269"/>
      <c r="L420" s="269"/>
      <c r="M420" s="269"/>
      <c r="N420" s="269"/>
      <c r="O420" s="269"/>
      <c r="P420" s="269"/>
      <c r="Q420" s="269"/>
      <c r="R420" s="269"/>
      <c r="S420" s="269"/>
      <c r="T420" s="269"/>
      <c r="U420" s="217"/>
      <c r="V420" s="217"/>
      <c r="W420" s="217"/>
      <c r="X420" s="217"/>
      <c r="Y420" s="217"/>
      <c r="Z420" s="217"/>
    </row>
    <row r="421" ht="16.5" hidden="1" customHeight="1">
      <c r="A421" s="252"/>
      <c r="B421" s="368" t="s">
        <v>8789</v>
      </c>
      <c r="C421" s="252"/>
      <c r="D421" s="253">
        <f>COUNTIF(E385:E420,"L")</f>
        <v>27</v>
      </c>
      <c r="E421" s="253"/>
      <c r="F421" s="254"/>
      <c r="G421" s="254"/>
      <c r="H421" s="254"/>
      <c r="I421" s="254"/>
      <c r="J421" s="254"/>
      <c r="K421" s="254"/>
      <c r="L421" s="254"/>
      <c r="M421" s="254"/>
      <c r="N421" s="254"/>
      <c r="O421" s="254"/>
      <c r="P421" s="254"/>
      <c r="Q421" s="254"/>
      <c r="R421" s="254"/>
      <c r="S421" s="254"/>
      <c r="T421" s="254"/>
      <c r="U421" s="217"/>
      <c r="V421" s="217"/>
      <c r="W421" s="217"/>
      <c r="X421" s="217"/>
      <c r="Y421" s="217"/>
      <c r="Z421" s="217"/>
    </row>
    <row r="422" ht="16.5" hidden="1" customHeight="1">
      <c r="A422" s="252"/>
      <c r="B422" s="368" t="s">
        <v>8790</v>
      </c>
      <c r="C422" s="252"/>
      <c r="D422" s="253">
        <f>COUNTIF(E385:E420,"P")</f>
        <v>9</v>
      </c>
      <c r="E422" s="253"/>
      <c r="F422" s="254"/>
      <c r="G422" s="254"/>
      <c r="H422" s="254"/>
      <c r="I422" s="254"/>
      <c r="J422" s="254"/>
      <c r="K422" s="255" t="s">
        <v>9753</v>
      </c>
      <c r="L422" s="256"/>
      <c r="M422" s="256"/>
      <c r="N422" s="256"/>
      <c r="O422" s="256"/>
      <c r="P422" s="256"/>
      <c r="Q422" s="256"/>
      <c r="R422" s="256"/>
      <c r="S422" s="256"/>
      <c r="T422" s="257"/>
      <c r="U422" s="217"/>
      <c r="V422" s="217"/>
      <c r="W422" s="217"/>
      <c r="X422" s="217"/>
      <c r="Y422" s="217"/>
      <c r="Z422" s="217"/>
    </row>
    <row r="423" ht="16.5" hidden="1" customHeight="1">
      <c r="A423" s="252"/>
      <c r="B423" s="368" t="s">
        <v>8792</v>
      </c>
      <c r="C423" s="252"/>
      <c r="D423" s="253">
        <f>SUM(D421:D422)</f>
        <v>36</v>
      </c>
      <c r="E423" s="253"/>
      <c r="F423" s="254"/>
      <c r="G423" s="254"/>
      <c r="H423" s="254"/>
      <c r="I423" s="254"/>
      <c r="J423" s="254"/>
      <c r="K423" s="258" t="s">
        <v>8793</v>
      </c>
      <c r="L423" s="259"/>
      <c r="M423" s="259"/>
      <c r="N423" s="259"/>
      <c r="O423" s="259"/>
      <c r="P423" s="259"/>
      <c r="Q423" s="259"/>
      <c r="R423" s="259"/>
      <c r="S423" s="259"/>
      <c r="T423" s="260"/>
      <c r="U423" s="217"/>
      <c r="V423" s="217"/>
      <c r="W423" s="217"/>
      <c r="X423" s="217"/>
      <c r="Y423" s="217"/>
      <c r="Z423" s="217"/>
    </row>
    <row r="424" ht="75.0" hidden="1" customHeight="1">
      <c r="A424" s="261" t="s">
        <v>8743</v>
      </c>
      <c r="B424" s="261"/>
      <c r="C424" s="261"/>
      <c r="D424" s="261"/>
      <c r="E424" s="261"/>
      <c r="F424" s="261"/>
      <c r="G424" s="261"/>
      <c r="H424" s="261"/>
      <c r="I424" s="261"/>
      <c r="J424" s="261"/>
      <c r="K424" s="261"/>
      <c r="L424" s="261"/>
      <c r="M424" s="261"/>
      <c r="N424" s="261"/>
      <c r="O424" s="261"/>
      <c r="P424" s="261"/>
      <c r="Q424" s="261"/>
      <c r="R424" s="261"/>
      <c r="S424" s="261"/>
      <c r="T424" s="261"/>
      <c r="U424" s="217"/>
      <c r="V424" s="217"/>
      <c r="W424" s="217"/>
      <c r="X424" s="217"/>
      <c r="Y424" s="217"/>
      <c r="Z424" s="217"/>
    </row>
    <row r="425" ht="16.5" hidden="1" customHeight="1">
      <c r="A425" s="262" t="s">
        <v>9365</v>
      </c>
      <c r="B425" s="263"/>
      <c r="C425" s="263"/>
      <c r="D425" s="263"/>
      <c r="E425" s="263"/>
      <c r="F425" s="263"/>
      <c r="G425" s="263"/>
      <c r="H425" s="263"/>
      <c r="I425" s="263"/>
      <c r="J425" s="263"/>
      <c r="K425" s="263"/>
      <c r="L425" s="263"/>
      <c r="M425" s="263"/>
      <c r="N425" s="263"/>
      <c r="O425" s="263"/>
      <c r="P425" s="263"/>
      <c r="Q425" s="263"/>
      <c r="R425" s="263"/>
      <c r="S425" s="263"/>
      <c r="T425" s="264"/>
      <c r="U425" s="217"/>
      <c r="V425" s="217"/>
      <c r="W425" s="217"/>
      <c r="X425" s="217"/>
      <c r="Y425" s="217"/>
      <c r="Z425" s="217"/>
    </row>
    <row r="426" ht="16.5" hidden="1" customHeight="1">
      <c r="A426" s="222" t="s">
        <v>9798</v>
      </c>
      <c r="B426" s="223"/>
      <c r="C426" s="223"/>
      <c r="D426" s="223"/>
      <c r="E426" s="223"/>
      <c r="F426" s="223"/>
      <c r="G426" s="223"/>
      <c r="H426" s="223"/>
      <c r="I426" s="223"/>
      <c r="J426" s="223"/>
      <c r="K426" s="223"/>
      <c r="L426" s="223"/>
      <c r="M426" s="223"/>
      <c r="N426" s="223"/>
      <c r="O426" s="223"/>
      <c r="P426" s="223"/>
      <c r="Q426" s="223"/>
      <c r="R426" s="223"/>
      <c r="S426" s="223"/>
      <c r="T426" s="224"/>
      <c r="U426" s="217"/>
      <c r="V426" s="217"/>
      <c r="W426" s="217"/>
      <c r="X426" s="217"/>
      <c r="Y426" s="217"/>
      <c r="Z426" s="217"/>
    </row>
    <row r="427" ht="16.5" hidden="1" customHeight="1">
      <c r="A427" s="225" t="s">
        <v>9850</v>
      </c>
      <c r="B427" s="226"/>
      <c r="C427" s="226"/>
      <c r="D427" s="226"/>
      <c r="E427" s="226"/>
      <c r="F427" s="226"/>
      <c r="G427" s="226"/>
      <c r="H427" s="226"/>
      <c r="I427" s="226"/>
      <c r="J427" s="226"/>
      <c r="K427" s="226"/>
      <c r="L427" s="226"/>
      <c r="M427" s="226"/>
      <c r="N427" s="226"/>
      <c r="O427" s="226"/>
      <c r="P427" s="226"/>
      <c r="Q427" s="226"/>
      <c r="R427" s="226"/>
      <c r="S427" s="226"/>
      <c r="T427" s="227"/>
      <c r="U427" s="217"/>
      <c r="V427" s="217"/>
      <c r="W427" s="217"/>
      <c r="X427" s="217"/>
      <c r="Y427" s="217"/>
      <c r="Z427" s="217"/>
    </row>
    <row r="428" ht="16.5" hidden="1" customHeight="1">
      <c r="A428" s="228" t="s">
        <v>9851</v>
      </c>
      <c r="B428" s="229"/>
      <c r="C428" s="229"/>
      <c r="D428" s="229"/>
      <c r="E428" s="229"/>
      <c r="F428" s="230"/>
      <c r="G428" s="230"/>
      <c r="H428" s="230"/>
      <c r="I428" s="230"/>
      <c r="J428" s="230"/>
      <c r="K428" s="230"/>
      <c r="L428" s="230"/>
      <c r="M428" s="230"/>
      <c r="N428" s="230"/>
      <c r="O428" s="230"/>
      <c r="P428" s="230"/>
      <c r="Q428" s="230"/>
      <c r="R428" s="230"/>
      <c r="S428" s="230"/>
      <c r="T428" s="230"/>
      <c r="U428" s="217"/>
      <c r="V428" s="217"/>
      <c r="W428" s="217"/>
      <c r="X428" s="217"/>
      <c r="Y428" s="217"/>
      <c r="Z428" s="217"/>
    </row>
    <row r="429" ht="14.25" hidden="1" customHeight="1">
      <c r="A429" s="231" t="s">
        <v>8748</v>
      </c>
      <c r="B429" s="231" t="s">
        <v>9</v>
      </c>
      <c r="C429" s="231" t="s">
        <v>5246</v>
      </c>
      <c r="D429" s="231" t="s">
        <v>8680</v>
      </c>
      <c r="E429" s="232" t="s">
        <v>13</v>
      </c>
      <c r="F429" s="233" t="s">
        <v>9801</v>
      </c>
      <c r="G429" s="234"/>
      <c r="H429" s="234"/>
      <c r="I429" s="234"/>
      <c r="J429" s="234"/>
      <c r="K429" s="234"/>
      <c r="L429" s="234"/>
      <c r="M429" s="234"/>
      <c r="N429" s="234"/>
      <c r="O429" s="234"/>
      <c r="P429" s="234"/>
      <c r="Q429" s="234"/>
      <c r="R429" s="234"/>
      <c r="S429" s="234"/>
      <c r="T429" s="235"/>
      <c r="U429" s="217"/>
      <c r="V429" s="217"/>
      <c r="W429" s="217"/>
      <c r="X429" s="217"/>
      <c r="Y429" s="217"/>
      <c r="Z429" s="217"/>
    </row>
    <row r="430" ht="14.25" hidden="1" customHeight="1">
      <c r="A430" s="236"/>
      <c r="B430" s="236"/>
      <c r="C430" s="236"/>
      <c r="D430" s="236"/>
      <c r="E430" s="237"/>
      <c r="F430" s="238" t="s">
        <v>9802</v>
      </c>
      <c r="G430" s="239"/>
      <c r="H430" s="239"/>
      <c r="I430" s="239"/>
      <c r="J430" s="239"/>
      <c r="K430" s="239"/>
      <c r="L430" s="239"/>
      <c r="M430" s="239"/>
      <c r="N430" s="239"/>
      <c r="O430" s="239"/>
      <c r="P430" s="239"/>
      <c r="Q430" s="240"/>
      <c r="R430" s="233" t="s">
        <v>9713</v>
      </c>
      <c r="S430" s="234"/>
      <c r="T430" s="235"/>
      <c r="U430" s="217"/>
      <c r="V430" s="217"/>
      <c r="W430" s="217"/>
      <c r="X430" s="217"/>
      <c r="Y430" s="217"/>
      <c r="Z430" s="217"/>
    </row>
    <row r="431" ht="14.25" hidden="1" customHeight="1">
      <c r="A431" s="241"/>
      <c r="B431" s="295"/>
      <c r="C431" s="295"/>
      <c r="D431" s="241"/>
      <c r="E431" s="242"/>
      <c r="F431" s="243">
        <v>1.0</v>
      </c>
      <c r="G431" s="243">
        <v>2.0</v>
      </c>
      <c r="H431" s="243">
        <v>3.0</v>
      </c>
      <c r="I431" s="243">
        <v>4.0</v>
      </c>
      <c r="J431" s="243">
        <v>5.0</v>
      </c>
      <c r="K431" s="243">
        <v>6.0</v>
      </c>
      <c r="L431" s="243">
        <v>7.0</v>
      </c>
      <c r="M431" s="243">
        <v>8.0</v>
      </c>
      <c r="N431" s="243">
        <v>9.0</v>
      </c>
      <c r="O431" s="243">
        <v>10.0</v>
      </c>
      <c r="P431" s="243">
        <v>11.0</v>
      </c>
      <c r="Q431" s="243">
        <v>12.0</v>
      </c>
      <c r="R431" s="243" t="s">
        <v>9714</v>
      </c>
      <c r="S431" s="243" t="s">
        <v>9715</v>
      </c>
      <c r="T431" s="244" t="s">
        <v>9716</v>
      </c>
      <c r="U431" s="217"/>
      <c r="V431" s="217"/>
      <c r="W431" s="217"/>
      <c r="X431" s="217"/>
      <c r="Y431" s="217"/>
      <c r="Z431" s="217"/>
    </row>
    <row r="432" ht="14.25" customHeight="1">
      <c r="A432" s="318">
        <v>1.0</v>
      </c>
      <c r="B432" s="304" t="s">
        <v>4678</v>
      </c>
      <c r="C432" s="305"/>
      <c r="D432" s="266" t="s">
        <v>4679</v>
      </c>
      <c r="E432" s="267" t="s">
        <v>227</v>
      </c>
      <c r="F432" s="269"/>
      <c r="G432" s="322"/>
      <c r="H432" s="323"/>
      <c r="I432" s="323"/>
      <c r="J432" s="324"/>
      <c r="K432" s="325"/>
      <c r="L432" s="269"/>
      <c r="M432" s="269"/>
      <c r="N432" s="269"/>
      <c r="O432" s="269"/>
      <c r="P432" s="269"/>
      <c r="Q432" s="269"/>
      <c r="R432" s="269"/>
      <c r="S432" s="269"/>
      <c r="T432" s="269"/>
      <c r="U432" s="217"/>
      <c r="V432" s="217"/>
      <c r="W432" s="217"/>
      <c r="X432" s="217"/>
      <c r="Y432" s="217"/>
      <c r="Z432" s="217"/>
    </row>
    <row r="433" ht="14.25" customHeight="1">
      <c r="A433" s="318">
        <v>2.0</v>
      </c>
      <c r="B433" s="297" t="s">
        <v>4684</v>
      </c>
      <c r="C433" s="298"/>
      <c r="D433" s="266" t="s">
        <v>4685</v>
      </c>
      <c r="E433" s="267" t="s">
        <v>227</v>
      </c>
      <c r="F433" s="269"/>
      <c r="G433" s="322"/>
      <c r="H433" s="323"/>
      <c r="I433" s="323"/>
      <c r="J433" s="324"/>
      <c r="K433" s="325"/>
      <c r="L433" s="269"/>
      <c r="M433" s="269"/>
      <c r="N433" s="269"/>
      <c r="O433" s="269"/>
      <c r="P433" s="269"/>
      <c r="Q433" s="269"/>
      <c r="R433" s="269"/>
      <c r="S433" s="269"/>
      <c r="T433" s="269"/>
      <c r="U433" s="217"/>
      <c r="V433" s="217"/>
      <c r="W433" s="217"/>
      <c r="X433" s="217"/>
      <c r="Y433" s="217"/>
      <c r="Z433" s="217"/>
    </row>
    <row r="434" ht="14.25" customHeight="1">
      <c r="A434" s="318">
        <v>3.0</v>
      </c>
      <c r="B434" s="297" t="s">
        <v>4689</v>
      </c>
      <c r="C434" s="298"/>
      <c r="D434" s="276" t="s">
        <v>4690</v>
      </c>
      <c r="E434" s="277" t="s">
        <v>227</v>
      </c>
      <c r="F434" s="287"/>
      <c r="G434" s="326"/>
      <c r="H434" s="327"/>
      <c r="I434" s="327"/>
      <c r="J434" s="328"/>
      <c r="K434" s="329"/>
      <c r="L434" s="287"/>
      <c r="M434" s="287"/>
      <c r="N434" s="287"/>
      <c r="O434" s="287"/>
      <c r="P434" s="287"/>
      <c r="Q434" s="287"/>
      <c r="R434" s="287"/>
      <c r="S434" s="287"/>
      <c r="T434" s="287"/>
      <c r="W434" s="217"/>
      <c r="X434" s="217"/>
      <c r="Y434" s="217"/>
      <c r="Z434" s="217"/>
    </row>
    <row r="435" ht="14.25" customHeight="1">
      <c r="A435" s="318">
        <v>4.0</v>
      </c>
      <c r="B435" s="297" t="s">
        <v>4694</v>
      </c>
      <c r="C435" s="298"/>
      <c r="D435" s="266" t="s">
        <v>4695</v>
      </c>
      <c r="E435" s="267" t="s">
        <v>220</v>
      </c>
      <c r="F435" s="269"/>
      <c r="G435" s="322"/>
      <c r="H435" s="323"/>
      <c r="I435" s="323"/>
      <c r="J435" s="324"/>
      <c r="K435" s="325"/>
      <c r="L435" s="269"/>
      <c r="M435" s="269"/>
      <c r="N435" s="269"/>
      <c r="O435" s="269"/>
      <c r="P435" s="269"/>
      <c r="Q435" s="269"/>
      <c r="R435" s="269"/>
      <c r="S435" s="269"/>
      <c r="T435" s="269"/>
      <c r="U435" s="217"/>
      <c r="V435" s="217"/>
      <c r="W435" s="217"/>
      <c r="X435" s="217"/>
      <c r="Y435" s="217"/>
      <c r="Z435" s="217"/>
    </row>
    <row r="436" ht="14.25" customHeight="1">
      <c r="A436" s="318">
        <v>5.0</v>
      </c>
      <c r="B436" s="297" t="s">
        <v>4700</v>
      </c>
      <c r="C436" s="298"/>
      <c r="D436" s="266" t="s">
        <v>4701</v>
      </c>
      <c r="E436" s="267" t="s">
        <v>220</v>
      </c>
      <c r="F436" s="269"/>
      <c r="G436" s="322"/>
      <c r="H436" s="323"/>
      <c r="I436" s="323"/>
      <c r="J436" s="324"/>
      <c r="K436" s="325"/>
      <c r="L436" s="269"/>
      <c r="M436" s="269"/>
      <c r="N436" s="269"/>
      <c r="O436" s="269"/>
      <c r="P436" s="269"/>
      <c r="Q436" s="269"/>
      <c r="R436" s="269"/>
      <c r="S436" s="269"/>
      <c r="T436" s="269"/>
      <c r="U436" s="217"/>
      <c r="V436" s="217"/>
      <c r="W436" s="217"/>
      <c r="X436" s="217"/>
      <c r="Y436" s="217"/>
      <c r="Z436" s="217"/>
    </row>
    <row r="437" ht="22.5" customHeight="1">
      <c r="A437" s="318">
        <v>6.0</v>
      </c>
      <c r="B437" s="297" t="s">
        <v>4705</v>
      </c>
      <c r="C437" s="298"/>
      <c r="D437" s="266" t="s">
        <v>4706</v>
      </c>
      <c r="E437" s="267" t="s">
        <v>227</v>
      </c>
      <c r="F437" s="269"/>
      <c r="G437" s="322"/>
      <c r="H437" s="323"/>
      <c r="I437" s="323"/>
      <c r="J437" s="324"/>
      <c r="K437" s="325"/>
      <c r="L437" s="269"/>
      <c r="M437" s="269"/>
      <c r="N437" s="269"/>
      <c r="O437" s="269"/>
      <c r="P437" s="269"/>
      <c r="Q437" s="269"/>
      <c r="R437" s="269"/>
      <c r="S437" s="269"/>
      <c r="T437" s="269"/>
      <c r="U437" s="217"/>
      <c r="V437" s="217"/>
      <c r="W437" s="217"/>
      <c r="X437" s="217"/>
      <c r="Y437" s="217"/>
      <c r="Z437" s="217"/>
    </row>
    <row r="438" ht="14.25" customHeight="1">
      <c r="A438" s="318">
        <v>7.0</v>
      </c>
      <c r="B438" s="297" t="s">
        <v>4710</v>
      </c>
      <c r="C438" s="298"/>
      <c r="D438" s="266" t="s">
        <v>4711</v>
      </c>
      <c r="E438" s="267" t="s">
        <v>227</v>
      </c>
      <c r="F438" s="269"/>
      <c r="G438" s="322"/>
      <c r="H438" s="323"/>
      <c r="I438" s="323"/>
      <c r="J438" s="324"/>
      <c r="K438" s="325"/>
      <c r="L438" s="269"/>
      <c r="M438" s="269"/>
      <c r="N438" s="269"/>
      <c r="O438" s="269"/>
      <c r="P438" s="269"/>
      <c r="Q438" s="269"/>
      <c r="R438" s="269"/>
      <c r="S438" s="269"/>
      <c r="T438" s="269"/>
      <c r="U438" s="217"/>
      <c r="V438" s="217"/>
      <c r="W438" s="217"/>
      <c r="X438" s="217"/>
      <c r="Y438" s="217"/>
      <c r="Z438" s="217"/>
    </row>
    <row r="439" ht="14.25" customHeight="1">
      <c r="A439" s="318">
        <v>8.0</v>
      </c>
      <c r="B439" s="297" t="s">
        <v>4715</v>
      </c>
      <c r="C439" s="298"/>
      <c r="D439" s="266" t="s">
        <v>4716</v>
      </c>
      <c r="E439" s="267" t="s">
        <v>220</v>
      </c>
      <c r="F439" s="269"/>
      <c r="G439" s="322"/>
      <c r="H439" s="323"/>
      <c r="I439" s="323"/>
      <c r="J439" s="324"/>
      <c r="K439" s="325"/>
      <c r="L439" s="269"/>
      <c r="M439" s="269"/>
      <c r="N439" s="269"/>
      <c r="O439" s="269"/>
      <c r="P439" s="269"/>
      <c r="Q439" s="269"/>
      <c r="R439" s="269"/>
      <c r="S439" s="269"/>
      <c r="T439" s="269"/>
      <c r="U439" s="217"/>
      <c r="V439" s="217"/>
      <c r="W439" s="217"/>
      <c r="X439" s="217"/>
      <c r="Y439" s="217"/>
      <c r="Z439" s="217"/>
    </row>
    <row r="440" ht="14.25" customHeight="1">
      <c r="A440" s="318">
        <v>9.0</v>
      </c>
      <c r="B440" s="297" t="s">
        <v>4720</v>
      </c>
      <c r="C440" s="298"/>
      <c r="D440" s="266" t="s">
        <v>4721</v>
      </c>
      <c r="E440" s="267" t="s">
        <v>220</v>
      </c>
      <c r="F440" s="269"/>
      <c r="G440" s="322"/>
      <c r="H440" s="323"/>
      <c r="I440" s="323"/>
      <c r="J440" s="324"/>
      <c r="K440" s="325"/>
      <c r="L440" s="269"/>
      <c r="M440" s="269"/>
      <c r="N440" s="269"/>
      <c r="O440" s="269"/>
      <c r="P440" s="269"/>
      <c r="Q440" s="269"/>
      <c r="R440" s="269"/>
      <c r="S440" s="269"/>
      <c r="T440" s="269"/>
      <c r="U440" s="217"/>
      <c r="V440" s="217"/>
      <c r="W440" s="217"/>
      <c r="X440" s="217"/>
      <c r="Y440" s="217"/>
      <c r="Z440" s="217"/>
    </row>
    <row r="441" ht="14.25" customHeight="1">
      <c r="A441" s="318">
        <v>10.0</v>
      </c>
      <c r="B441" s="297" t="s">
        <v>4725</v>
      </c>
      <c r="C441" s="298"/>
      <c r="D441" s="266" t="s">
        <v>4726</v>
      </c>
      <c r="E441" s="267" t="s">
        <v>220</v>
      </c>
      <c r="F441" s="269"/>
      <c r="G441" s="322"/>
      <c r="H441" s="323"/>
      <c r="I441" s="323"/>
      <c r="J441" s="324"/>
      <c r="K441" s="325"/>
      <c r="L441" s="269"/>
      <c r="M441" s="269"/>
      <c r="N441" s="269"/>
      <c r="O441" s="269"/>
      <c r="P441" s="269"/>
      <c r="Q441" s="269"/>
      <c r="R441" s="269"/>
      <c r="S441" s="269"/>
      <c r="T441" s="269"/>
      <c r="U441" s="217"/>
      <c r="V441" s="217"/>
      <c r="W441" s="217"/>
      <c r="X441" s="217"/>
      <c r="Y441" s="217"/>
      <c r="Z441" s="217"/>
    </row>
    <row r="442" ht="14.25" customHeight="1">
      <c r="A442" s="318">
        <v>11.0</v>
      </c>
      <c r="B442" s="297" t="s">
        <v>4731</v>
      </c>
      <c r="C442" s="298"/>
      <c r="D442" s="266" t="s">
        <v>4732</v>
      </c>
      <c r="E442" s="267" t="s">
        <v>220</v>
      </c>
      <c r="F442" s="269"/>
      <c r="G442" s="322"/>
      <c r="H442" s="323"/>
      <c r="I442" s="323"/>
      <c r="J442" s="324"/>
      <c r="K442" s="325"/>
      <c r="L442" s="269"/>
      <c r="M442" s="269"/>
      <c r="N442" s="269"/>
      <c r="O442" s="269"/>
      <c r="P442" s="269"/>
      <c r="Q442" s="269"/>
      <c r="R442" s="269"/>
      <c r="S442" s="269"/>
      <c r="T442" s="269"/>
      <c r="U442" s="217"/>
      <c r="V442" s="217"/>
      <c r="W442" s="217"/>
      <c r="X442" s="217"/>
      <c r="Y442" s="217"/>
      <c r="Z442" s="217"/>
    </row>
    <row r="443" ht="14.25" customHeight="1">
      <c r="A443" s="318">
        <v>12.0</v>
      </c>
      <c r="B443" s="297" t="s">
        <v>4736</v>
      </c>
      <c r="C443" s="298"/>
      <c r="D443" s="266" t="s">
        <v>4737</v>
      </c>
      <c r="E443" s="267" t="s">
        <v>220</v>
      </c>
      <c r="F443" s="269"/>
      <c r="G443" s="322"/>
      <c r="H443" s="323"/>
      <c r="I443" s="323"/>
      <c r="J443" s="324"/>
      <c r="K443" s="325"/>
      <c r="L443" s="269"/>
      <c r="M443" s="269"/>
      <c r="N443" s="269"/>
      <c r="O443" s="269"/>
      <c r="P443" s="269"/>
      <c r="Q443" s="269"/>
      <c r="R443" s="269"/>
      <c r="S443" s="269"/>
      <c r="T443" s="269"/>
      <c r="U443" s="217"/>
      <c r="V443" s="217"/>
      <c r="W443" s="217"/>
      <c r="X443" s="217"/>
      <c r="Y443" s="217"/>
      <c r="Z443" s="217"/>
    </row>
    <row r="444" ht="14.25" customHeight="1">
      <c r="A444" s="318">
        <v>13.0</v>
      </c>
      <c r="B444" s="297" t="s">
        <v>4741</v>
      </c>
      <c r="C444" s="298"/>
      <c r="D444" s="266" t="s">
        <v>4742</v>
      </c>
      <c r="E444" s="267" t="s">
        <v>220</v>
      </c>
      <c r="F444" s="269"/>
      <c r="G444" s="322"/>
      <c r="H444" s="323"/>
      <c r="I444" s="323"/>
      <c r="J444" s="324"/>
      <c r="K444" s="325"/>
      <c r="L444" s="269"/>
      <c r="M444" s="269"/>
      <c r="N444" s="269"/>
      <c r="O444" s="269"/>
      <c r="P444" s="269"/>
      <c r="Q444" s="269"/>
      <c r="R444" s="269"/>
      <c r="S444" s="269"/>
      <c r="T444" s="269"/>
      <c r="U444" s="217"/>
      <c r="V444" s="217"/>
      <c r="W444" s="217"/>
      <c r="X444" s="217"/>
      <c r="Y444" s="217"/>
      <c r="Z444" s="217"/>
    </row>
    <row r="445" ht="14.25" customHeight="1">
      <c r="A445" s="318">
        <v>14.0</v>
      </c>
      <c r="B445" s="297" t="s">
        <v>4746</v>
      </c>
      <c r="C445" s="298"/>
      <c r="D445" s="266" t="s">
        <v>4747</v>
      </c>
      <c r="E445" s="267" t="s">
        <v>220</v>
      </c>
      <c r="F445" s="269"/>
      <c r="G445" s="322"/>
      <c r="H445" s="323"/>
      <c r="I445" s="323"/>
      <c r="J445" s="324"/>
      <c r="K445" s="325"/>
      <c r="L445" s="269"/>
      <c r="M445" s="269"/>
      <c r="N445" s="269"/>
      <c r="O445" s="269"/>
      <c r="P445" s="269"/>
      <c r="Q445" s="269"/>
      <c r="R445" s="269"/>
      <c r="S445" s="269"/>
      <c r="T445" s="269"/>
      <c r="U445" s="217"/>
      <c r="V445" s="217"/>
      <c r="W445" s="217"/>
      <c r="X445" s="217"/>
      <c r="Y445" s="217"/>
      <c r="Z445" s="217"/>
    </row>
    <row r="446" ht="14.25" customHeight="1">
      <c r="A446" s="318">
        <v>15.0</v>
      </c>
      <c r="B446" s="297" t="s">
        <v>4751</v>
      </c>
      <c r="C446" s="298"/>
      <c r="D446" s="266" t="s">
        <v>4752</v>
      </c>
      <c r="E446" s="267" t="s">
        <v>220</v>
      </c>
      <c r="F446" s="269"/>
      <c r="G446" s="322"/>
      <c r="H446" s="323"/>
      <c r="I446" s="323"/>
      <c r="J446" s="324"/>
      <c r="K446" s="325"/>
      <c r="L446" s="269"/>
      <c r="M446" s="269"/>
      <c r="N446" s="269"/>
      <c r="O446" s="269"/>
      <c r="P446" s="269"/>
      <c r="Q446" s="269"/>
      <c r="R446" s="269"/>
      <c r="S446" s="269"/>
      <c r="T446" s="269"/>
      <c r="U446" s="217"/>
      <c r="V446" s="217"/>
      <c r="W446" s="217"/>
      <c r="X446" s="217"/>
      <c r="Y446" s="217"/>
      <c r="Z446" s="217"/>
    </row>
    <row r="447" ht="14.25" customHeight="1">
      <c r="A447" s="318">
        <v>16.0</v>
      </c>
      <c r="B447" s="297" t="s">
        <v>4756</v>
      </c>
      <c r="C447" s="298"/>
      <c r="D447" s="266" t="s">
        <v>4757</v>
      </c>
      <c r="E447" s="267" t="s">
        <v>220</v>
      </c>
      <c r="F447" s="269"/>
      <c r="G447" s="322"/>
      <c r="H447" s="323"/>
      <c r="I447" s="324"/>
      <c r="J447" s="324"/>
      <c r="K447" s="325"/>
      <c r="L447" s="269"/>
      <c r="M447" s="269"/>
      <c r="N447" s="269"/>
      <c r="O447" s="269"/>
      <c r="P447" s="269"/>
      <c r="Q447" s="269"/>
      <c r="R447" s="269"/>
      <c r="S447" s="269"/>
      <c r="T447" s="269"/>
      <c r="U447" s="217"/>
      <c r="V447" s="217"/>
      <c r="W447" s="217"/>
      <c r="X447" s="217"/>
      <c r="Y447" s="217"/>
      <c r="Z447" s="217"/>
    </row>
    <row r="448" ht="14.25" customHeight="1">
      <c r="A448" s="318">
        <v>17.0</v>
      </c>
      <c r="B448" s="297" t="s">
        <v>4762</v>
      </c>
      <c r="C448" s="298"/>
      <c r="D448" s="266" t="s">
        <v>4763</v>
      </c>
      <c r="E448" s="267" t="s">
        <v>220</v>
      </c>
      <c r="F448" s="269"/>
      <c r="G448" s="269"/>
      <c r="H448" s="269"/>
      <c r="I448" s="269"/>
      <c r="J448" s="269"/>
      <c r="K448" s="269"/>
      <c r="L448" s="269"/>
      <c r="M448" s="269"/>
      <c r="N448" s="269"/>
      <c r="O448" s="269"/>
      <c r="P448" s="269"/>
      <c r="Q448" s="269"/>
      <c r="R448" s="269"/>
      <c r="S448" s="269"/>
      <c r="T448" s="269"/>
      <c r="U448" s="217"/>
      <c r="V448" s="217"/>
      <c r="W448" s="217"/>
      <c r="X448" s="217"/>
      <c r="Y448" s="217"/>
      <c r="Z448" s="217"/>
    </row>
    <row r="449" ht="14.25" customHeight="1">
      <c r="A449" s="318">
        <v>18.0</v>
      </c>
      <c r="B449" s="297" t="s">
        <v>4767</v>
      </c>
      <c r="C449" s="298"/>
      <c r="D449" s="266" t="s">
        <v>4768</v>
      </c>
      <c r="E449" s="267" t="s">
        <v>220</v>
      </c>
      <c r="F449" s="269"/>
      <c r="G449" s="269"/>
      <c r="H449" s="269"/>
      <c r="I449" s="269"/>
      <c r="J449" s="269"/>
      <c r="K449" s="269"/>
      <c r="L449" s="269"/>
      <c r="M449" s="269"/>
      <c r="N449" s="269"/>
      <c r="O449" s="269"/>
      <c r="P449" s="269"/>
      <c r="Q449" s="269"/>
      <c r="R449" s="269"/>
      <c r="S449" s="269"/>
      <c r="T449" s="269"/>
      <c r="U449" s="217"/>
      <c r="V449" s="217"/>
      <c r="W449" s="217"/>
      <c r="X449" s="217"/>
      <c r="Y449" s="217"/>
      <c r="Z449" s="217"/>
    </row>
    <row r="450" ht="14.25" customHeight="1">
      <c r="A450" s="318">
        <v>19.0</v>
      </c>
      <c r="B450" s="297" t="s">
        <v>4772</v>
      </c>
      <c r="C450" s="298"/>
      <c r="D450" s="266" t="s">
        <v>4773</v>
      </c>
      <c r="E450" s="267" t="s">
        <v>220</v>
      </c>
      <c r="F450" s="269"/>
      <c r="G450" s="269"/>
      <c r="H450" s="269"/>
      <c r="I450" s="269"/>
      <c r="J450" s="269"/>
      <c r="K450" s="269"/>
      <c r="L450" s="269"/>
      <c r="M450" s="269"/>
      <c r="N450" s="269"/>
      <c r="O450" s="269"/>
      <c r="P450" s="269"/>
      <c r="Q450" s="269"/>
      <c r="R450" s="269"/>
      <c r="S450" s="269"/>
      <c r="T450" s="269"/>
      <c r="U450" s="217"/>
      <c r="V450" s="217"/>
      <c r="W450" s="217"/>
      <c r="X450" s="217"/>
      <c r="Y450" s="217"/>
      <c r="Z450" s="217"/>
    </row>
    <row r="451" ht="14.25" customHeight="1">
      <c r="A451" s="318">
        <v>20.0</v>
      </c>
      <c r="B451" s="297" t="s">
        <v>4777</v>
      </c>
      <c r="C451" s="298"/>
      <c r="D451" s="266" t="s">
        <v>4778</v>
      </c>
      <c r="E451" s="267" t="s">
        <v>220</v>
      </c>
      <c r="F451" s="269"/>
      <c r="G451" s="269"/>
      <c r="H451" s="269"/>
      <c r="I451" s="269"/>
      <c r="J451" s="269"/>
      <c r="K451" s="269"/>
      <c r="L451" s="269"/>
      <c r="M451" s="269"/>
      <c r="N451" s="269"/>
      <c r="O451" s="269"/>
      <c r="P451" s="269"/>
      <c r="Q451" s="269"/>
      <c r="R451" s="269"/>
      <c r="S451" s="269"/>
      <c r="T451" s="269"/>
      <c r="U451" s="217"/>
      <c r="V451" s="217"/>
      <c r="W451" s="217"/>
      <c r="X451" s="217"/>
      <c r="Y451" s="217"/>
      <c r="Z451" s="217"/>
    </row>
    <row r="452" ht="14.25" customHeight="1">
      <c r="A452" s="318">
        <v>21.0</v>
      </c>
      <c r="B452" s="297" t="s">
        <v>4782</v>
      </c>
      <c r="C452" s="298"/>
      <c r="D452" s="266" t="s">
        <v>4783</v>
      </c>
      <c r="E452" s="267" t="s">
        <v>220</v>
      </c>
      <c r="F452" s="269"/>
      <c r="G452" s="269"/>
      <c r="H452" s="269"/>
      <c r="I452" s="269"/>
      <c r="J452" s="269"/>
      <c r="K452" s="269"/>
      <c r="L452" s="269"/>
      <c r="M452" s="269"/>
      <c r="N452" s="269"/>
      <c r="O452" s="269"/>
      <c r="P452" s="269"/>
      <c r="Q452" s="269"/>
      <c r="R452" s="269"/>
      <c r="S452" s="269"/>
      <c r="T452" s="269"/>
      <c r="U452" s="217"/>
      <c r="V452" s="217"/>
      <c r="W452" s="217"/>
      <c r="X452" s="217"/>
      <c r="Y452" s="217"/>
      <c r="Z452" s="217"/>
    </row>
    <row r="453" ht="14.25" customHeight="1">
      <c r="A453" s="318">
        <v>22.0</v>
      </c>
      <c r="B453" s="297" t="s">
        <v>4787</v>
      </c>
      <c r="C453" s="298"/>
      <c r="D453" s="266" t="s">
        <v>4788</v>
      </c>
      <c r="E453" s="267" t="s">
        <v>220</v>
      </c>
      <c r="F453" s="269"/>
      <c r="G453" s="269"/>
      <c r="H453" s="269"/>
      <c r="I453" s="269"/>
      <c r="J453" s="269"/>
      <c r="K453" s="269"/>
      <c r="L453" s="269"/>
      <c r="M453" s="269"/>
      <c r="N453" s="269"/>
      <c r="O453" s="269"/>
      <c r="P453" s="269"/>
      <c r="Q453" s="269"/>
      <c r="R453" s="269"/>
      <c r="S453" s="269"/>
      <c r="T453" s="269"/>
      <c r="U453" s="217"/>
      <c r="V453" s="217"/>
      <c r="W453" s="217"/>
      <c r="X453" s="217"/>
      <c r="Y453" s="217"/>
      <c r="Z453" s="217"/>
    </row>
    <row r="454" ht="14.25" customHeight="1">
      <c r="A454" s="318">
        <v>23.0</v>
      </c>
      <c r="B454" s="297" t="s">
        <v>4793</v>
      </c>
      <c r="C454" s="298"/>
      <c r="D454" s="266" t="s">
        <v>4794</v>
      </c>
      <c r="E454" s="267" t="s">
        <v>220</v>
      </c>
      <c r="F454" s="269"/>
      <c r="G454" s="269"/>
      <c r="H454" s="269"/>
      <c r="I454" s="269"/>
      <c r="J454" s="269"/>
      <c r="K454" s="269"/>
      <c r="L454" s="269"/>
      <c r="M454" s="269"/>
      <c r="N454" s="269"/>
      <c r="O454" s="269"/>
      <c r="P454" s="269"/>
      <c r="Q454" s="269"/>
      <c r="R454" s="269"/>
      <c r="S454" s="269"/>
      <c r="T454" s="269"/>
      <c r="U454" s="217"/>
      <c r="V454" s="217"/>
      <c r="W454" s="217"/>
      <c r="X454" s="217"/>
      <c r="Y454" s="217"/>
      <c r="Z454" s="217"/>
    </row>
    <row r="455" ht="14.25" customHeight="1">
      <c r="A455" s="318">
        <v>24.0</v>
      </c>
      <c r="B455" s="297" t="s">
        <v>4798</v>
      </c>
      <c r="C455" s="298"/>
      <c r="D455" s="266" t="s">
        <v>4799</v>
      </c>
      <c r="E455" s="267" t="s">
        <v>220</v>
      </c>
      <c r="F455" s="269"/>
      <c r="G455" s="269"/>
      <c r="H455" s="269"/>
      <c r="I455" s="269"/>
      <c r="J455" s="269"/>
      <c r="K455" s="269"/>
      <c r="L455" s="269"/>
      <c r="M455" s="269"/>
      <c r="N455" s="269"/>
      <c r="O455" s="269"/>
      <c r="P455" s="269"/>
      <c r="Q455" s="269"/>
      <c r="R455" s="269"/>
      <c r="S455" s="269"/>
      <c r="T455" s="269"/>
      <c r="U455" s="217"/>
      <c r="V455" s="217"/>
      <c r="W455" s="217"/>
      <c r="X455" s="217"/>
      <c r="Y455" s="217"/>
      <c r="Z455" s="217"/>
    </row>
    <row r="456" ht="14.25" customHeight="1">
      <c r="A456" s="318">
        <v>25.0</v>
      </c>
      <c r="B456" s="297" t="s">
        <v>4803</v>
      </c>
      <c r="C456" s="298"/>
      <c r="D456" s="266" t="s">
        <v>4804</v>
      </c>
      <c r="E456" s="267" t="s">
        <v>227</v>
      </c>
      <c r="F456" s="269"/>
      <c r="G456" s="269"/>
      <c r="H456" s="269"/>
      <c r="I456" s="269"/>
      <c r="J456" s="269"/>
      <c r="K456" s="269"/>
      <c r="L456" s="269"/>
      <c r="M456" s="269"/>
      <c r="N456" s="269"/>
      <c r="O456" s="269"/>
      <c r="P456" s="269"/>
      <c r="Q456" s="269"/>
      <c r="R456" s="269"/>
      <c r="S456" s="269"/>
      <c r="T456" s="269"/>
      <c r="U456" s="217"/>
      <c r="V456" s="217"/>
      <c r="W456" s="217"/>
      <c r="X456" s="217"/>
      <c r="Y456" s="217"/>
      <c r="Z456" s="217"/>
    </row>
    <row r="457" ht="14.25" customHeight="1">
      <c r="A457" s="318">
        <v>26.0</v>
      </c>
      <c r="B457" s="297" t="s">
        <v>4808</v>
      </c>
      <c r="C457" s="298"/>
      <c r="D457" s="266" t="s">
        <v>4809</v>
      </c>
      <c r="E457" s="267" t="s">
        <v>220</v>
      </c>
      <c r="F457" s="269"/>
      <c r="G457" s="269"/>
      <c r="H457" s="269"/>
      <c r="I457" s="269"/>
      <c r="J457" s="269"/>
      <c r="K457" s="269"/>
      <c r="L457" s="269"/>
      <c r="M457" s="269"/>
      <c r="N457" s="269"/>
      <c r="O457" s="269"/>
      <c r="P457" s="269"/>
      <c r="Q457" s="269"/>
      <c r="R457" s="269"/>
      <c r="S457" s="269"/>
      <c r="T457" s="269"/>
      <c r="U457" s="217"/>
      <c r="V457" s="217"/>
      <c r="W457" s="217"/>
      <c r="X457" s="217"/>
      <c r="Y457" s="217"/>
      <c r="Z457" s="217"/>
    </row>
    <row r="458" ht="14.25" customHeight="1">
      <c r="A458" s="318">
        <v>27.0</v>
      </c>
      <c r="B458" s="297" t="s">
        <v>4813</v>
      </c>
      <c r="C458" s="298"/>
      <c r="D458" s="266" t="s">
        <v>4814</v>
      </c>
      <c r="E458" s="267" t="s">
        <v>220</v>
      </c>
      <c r="F458" s="269"/>
      <c r="G458" s="269"/>
      <c r="H458" s="269"/>
      <c r="I458" s="269"/>
      <c r="J458" s="269"/>
      <c r="K458" s="269"/>
      <c r="L458" s="269"/>
      <c r="M458" s="269"/>
      <c r="N458" s="269"/>
      <c r="O458" s="269"/>
      <c r="P458" s="269"/>
      <c r="Q458" s="269"/>
      <c r="R458" s="269"/>
      <c r="S458" s="269"/>
      <c r="T458" s="269"/>
      <c r="U458" s="217"/>
      <c r="V458" s="217"/>
      <c r="W458" s="217"/>
      <c r="X458" s="217"/>
      <c r="Y458" s="217"/>
      <c r="Z458" s="217"/>
    </row>
    <row r="459" ht="14.25" customHeight="1">
      <c r="A459" s="318">
        <v>28.0</v>
      </c>
      <c r="B459" s="297" t="s">
        <v>4818</v>
      </c>
      <c r="C459" s="298"/>
      <c r="D459" s="266" t="s">
        <v>4819</v>
      </c>
      <c r="E459" s="267" t="s">
        <v>220</v>
      </c>
      <c r="F459" s="269"/>
      <c r="G459" s="269"/>
      <c r="H459" s="269"/>
      <c r="I459" s="269"/>
      <c r="J459" s="269"/>
      <c r="K459" s="269"/>
      <c r="L459" s="269"/>
      <c r="M459" s="269"/>
      <c r="N459" s="269"/>
      <c r="O459" s="269"/>
      <c r="P459" s="269"/>
      <c r="Q459" s="269"/>
      <c r="R459" s="269"/>
      <c r="S459" s="269"/>
      <c r="T459" s="269"/>
      <c r="U459" s="217"/>
      <c r="V459" s="217"/>
      <c r="W459" s="217"/>
      <c r="X459" s="217"/>
      <c r="Y459" s="217"/>
      <c r="Z459" s="217"/>
    </row>
    <row r="460" ht="14.25" customHeight="1">
      <c r="A460" s="318">
        <v>29.0</v>
      </c>
      <c r="B460" s="297" t="s">
        <v>4823</v>
      </c>
      <c r="C460" s="298"/>
      <c r="D460" s="266" t="s">
        <v>4824</v>
      </c>
      <c r="E460" s="267" t="s">
        <v>227</v>
      </c>
      <c r="F460" s="269"/>
      <c r="G460" s="269"/>
      <c r="H460" s="269"/>
      <c r="I460" s="269"/>
      <c r="J460" s="269"/>
      <c r="K460" s="269"/>
      <c r="L460" s="269"/>
      <c r="M460" s="269"/>
      <c r="N460" s="269"/>
      <c r="O460" s="269"/>
      <c r="P460" s="269"/>
      <c r="Q460" s="269"/>
      <c r="R460" s="269"/>
      <c r="S460" s="269"/>
      <c r="T460" s="269"/>
      <c r="U460" s="217"/>
      <c r="V460" s="217"/>
      <c r="W460" s="217"/>
      <c r="X460" s="217"/>
      <c r="Y460" s="217"/>
      <c r="Z460" s="217"/>
    </row>
    <row r="461" ht="14.25" customHeight="1">
      <c r="A461" s="318">
        <v>30.0</v>
      </c>
      <c r="B461" s="297" t="s">
        <v>4829</v>
      </c>
      <c r="C461" s="298"/>
      <c r="D461" s="266" t="s">
        <v>4830</v>
      </c>
      <c r="E461" s="267" t="s">
        <v>227</v>
      </c>
      <c r="F461" s="269"/>
      <c r="G461" s="269"/>
      <c r="H461" s="269"/>
      <c r="I461" s="269"/>
      <c r="J461" s="269"/>
      <c r="K461" s="269"/>
      <c r="L461" s="269"/>
      <c r="M461" s="269"/>
      <c r="N461" s="269"/>
      <c r="O461" s="269"/>
      <c r="P461" s="269"/>
      <c r="Q461" s="269"/>
      <c r="R461" s="269"/>
      <c r="S461" s="269"/>
      <c r="T461" s="269"/>
      <c r="U461" s="217"/>
      <c r="V461" s="217"/>
      <c r="W461" s="217"/>
      <c r="X461" s="217"/>
      <c r="Y461" s="217"/>
      <c r="Z461" s="217"/>
    </row>
    <row r="462" ht="14.25" customHeight="1">
      <c r="A462" s="318">
        <v>31.0</v>
      </c>
      <c r="B462" s="297" t="s">
        <v>4834</v>
      </c>
      <c r="C462" s="298"/>
      <c r="D462" s="266" t="s">
        <v>4835</v>
      </c>
      <c r="E462" s="267" t="s">
        <v>227</v>
      </c>
      <c r="F462" s="269"/>
      <c r="G462" s="269"/>
      <c r="H462" s="269"/>
      <c r="I462" s="269"/>
      <c r="J462" s="269"/>
      <c r="K462" s="269"/>
      <c r="L462" s="269"/>
      <c r="M462" s="269"/>
      <c r="N462" s="269"/>
      <c r="O462" s="269"/>
      <c r="P462" s="269"/>
      <c r="Q462" s="269"/>
      <c r="R462" s="269"/>
      <c r="S462" s="269"/>
      <c r="T462" s="269"/>
      <c r="U462" s="217"/>
      <c r="V462" s="217"/>
      <c r="W462" s="217"/>
      <c r="X462" s="217"/>
      <c r="Y462" s="217"/>
      <c r="Z462" s="217"/>
    </row>
    <row r="463" ht="14.25" customHeight="1">
      <c r="A463" s="318">
        <v>32.0</v>
      </c>
      <c r="B463" s="297" t="s">
        <v>4839</v>
      </c>
      <c r="C463" s="298"/>
      <c r="D463" s="266" t="s">
        <v>4840</v>
      </c>
      <c r="E463" s="267" t="s">
        <v>220</v>
      </c>
      <c r="F463" s="287"/>
      <c r="G463" s="287"/>
      <c r="H463" s="287"/>
      <c r="I463" s="287"/>
      <c r="J463" s="287"/>
      <c r="K463" s="287"/>
      <c r="L463" s="287"/>
      <c r="M463" s="287"/>
      <c r="N463" s="287"/>
      <c r="O463" s="287"/>
      <c r="P463" s="287"/>
      <c r="Q463" s="287"/>
      <c r="R463" s="287"/>
      <c r="S463" s="287"/>
      <c r="T463" s="287"/>
      <c r="W463" s="217"/>
      <c r="X463" s="217"/>
      <c r="Y463" s="217"/>
      <c r="Z463" s="217"/>
    </row>
    <row r="464" ht="14.25" customHeight="1">
      <c r="A464" s="318">
        <v>33.0</v>
      </c>
      <c r="B464" s="297" t="s">
        <v>4844</v>
      </c>
      <c r="C464" s="298"/>
      <c r="D464" s="266" t="s">
        <v>4845</v>
      </c>
      <c r="E464" s="267" t="s">
        <v>220</v>
      </c>
      <c r="F464" s="269"/>
      <c r="G464" s="269"/>
      <c r="H464" s="269"/>
      <c r="I464" s="269"/>
      <c r="J464" s="269"/>
      <c r="K464" s="269"/>
      <c r="L464" s="269"/>
      <c r="M464" s="269"/>
      <c r="N464" s="269"/>
      <c r="O464" s="269"/>
      <c r="P464" s="269"/>
      <c r="Q464" s="269"/>
      <c r="R464" s="269"/>
      <c r="S464" s="269"/>
      <c r="T464" s="269"/>
      <c r="U464" s="217"/>
      <c r="V464" s="217"/>
      <c r="W464" s="217"/>
      <c r="X464" s="217"/>
      <c r="Y464" s="217"/>
      <c r="Z464" s="217"/>
    </row>
    <row r="465" ht="22.5" customHeight="1">
      <c r="A465" s="318">
        <v>34.0</v>
      </c>
      <c r="B465" s="297" t="s">
        <v>4849</v>
      </c>
      <c r="C465" s="298"/>
      <c r="D465" s="266" t="s">
        <v>4850</v>
      </c>
      <c r="E465" s="267" t="s">
        <v>220</v>
      </c>
      <c r="F465" s="269"/>
      <c r="G465" s="269"/>
      <c r="H465" s="269"/>
      <c r="I465" s="269"/>
      <c r="J465" s="269"/>
      <c r="K465" s="269"/>
      <c r="L465" s="269"/>
      <c r="M465" s="269"/>
      <c r="N465" s="269"/>
      <c r="O465" s="269"/>
      <c r="P465" s="269"/>
      <c r="Q465" s="269"/>
      <c r="R465" s="269"/>
      <c r="S465" s="269"/>
      <c r="T465" s="269"/>
      <c r="U465" s="217"/>
      <c r="V465" s="217"/>
      <c r="W465" s="217"/>
      <c r="X465" s="217"/>
      <c r="Y465" s="217"/>
      <c r="Z465" s="217"/>
    </row>
    <row r="466" ht="22.5" customHeight="1">
      <c r="A466" s="318">
        <v>35.0</v>
      </c>
      <c r="B466" s="297" t="s">
        <v>4854</v>
      </c>
      <c r="C466" s="298"/>
      <c r="D466" s="266" t="s">
        <v>4855</v>
      </c>
      <c r="E466" s="267" t="s">
        <v>220</v>
      </c>
      <c r="F466" s="269"/>
      <c r="G466" s="269"/>
      <c r="H466" s="269"/>
      <c r="I466" s="269"/>
      <c r="J466" s="269"/>
      <c r="K466" s="269"/>
      <c r="L466" s="269"/>
      <c r="M466" s="269"/>
      <c r="N466" s="269"/>
      <c r="O466" s="269"/>
      <c r="P466" s="269"/>
      <c r="Q466" s="269"/>
      <c r="R466" s="269"/>
      <c r="S466" s="269"/>
      <c r="T466" s="269"/>
      <c r="U466" s="217"/>
      <c r="V466" s="217"/>
      <c r="W466" s="217"/>
      <c r="X466" s="217"/>
      <c r="Y466" s="217"/>
      <c r="Z466" s="217"/>
    </row>
    <row r="467" ht="14.25" customHeight="1">
      <c r="A467" s="318">
        <v>36.0</v>
      </c>
      <c r="B467" s="330" t="s">
        <v>4859</v>
      </c>
      <c r="C467" s="331"/>
      <c r="D467" s="266" t="s">
        <v>4860</v>
      </c>
      <c r="E467" s="267" t="s">
        <v>227</v>
      </c>
      <c r="F467" s="269"/>
      <c r="G467" s="269"/>
      <c r="H467" s="269"/>
      <c r="I467" s="269"/>
      <c r="J467" s="269"/>
      <c r="K467" s="269"/>
      <c r="L467" s="269"/>
      <c r="M467" s="269"/>
      <c r="N467" s="269"/>
      <c r="O467" s="269"/>
      <c r="P467" s="269"/>
      <c r="Q467" s="269"/>
      <c r="R467" s="269"/>
      <c r="S467" s="269"/>
      <c r="T467" s="269"/>
      <c r="U467" s="217"/>
      <c r="V467" s="217"/>
      <c r="W467" s="217"/>
      <c r="X467" s="217"/>
      <c r="Y467" s="217"/>
      <c r="Z467" s="217"/>
    </row>
    <row r="468" ht="16.5" hidden="1" customHeight="1">
      <c r="A468" s="252"/>
      <c r="B468" s="368" t="s">
        <v>8789</v>
      </c>
      <c r="C468" s="252"/>
      <c r="D468" s="253">
        <f>COUNTIF(E432:E467,"L")</f>
        <v>26</v>
      </c>
      <c r="E468" s="254"/>
      <c r="F468" s="254"/>
      <c r="G468" s="254"/>
      <c r="H468" s="254"/>
      <c r="I468" s="254"/>
      <c r="J468" s="254"/>
      <c r="K468" s="254"/>
      <c r="L468" s="254"/>
      <c r="M468" s="254"/>
      <c r="N468" s="254"/>
      <c r="O468" s="254"/>
      <c r="P468" s="254"/>
      <c r="Q468" s="254"/>
      <c r="R468" s="254"/>
      <c r="S468" s="254"/>
      <c r="T468" s="254"/>
      <c r="U468" s="217"/>
      <c r="V468" s="217"/>
      <c r="W468" s="217"/>
      <c r="X468" s="217"/>
      <c r="Y468" s="217"/>
      <c r="Z468" s="217"/>
    </row>
    <row r="469" ht="16.5" hidden="1" customHeight="1">
      <c r="A469" s="332"/>
      <c r="B469" s="368" t="s">
        <v>8790</v>
      </c>
      <c r="C469" s="252"/>
      <c r="D469" s="253">
        <f>COUNTIF(E432:E467,"P")</f>
        <v>10</v>
      </c>
      <c r="E469" s="254"/>
      <c r="F469" s="254"/>
      <c r="G469" s="254"/>
      <c r="H469" s="254"/>
      <c r="I469" s="254"/>
      <c r="J469" s="254"/>
      <c r="K469" s="333" t="s">
        <v>9753</v>
      </c>
      <c r="L469" s="293"/>
      <c r="M469" s="293"/>
      <c r="N469" s="293"/>
      <c r="O469" s="293"/>
      <c r="P469" s="293"/>
      <c r="Q469" s="293"/>
      <c r="R469" s="293"/>
      <c r="S469" s="293"/>
      <c r="T469" s="293"/>
      <c r="U469" s="217"/>
      <c r="V469" s="217"/>
      <c r="W469" s="217"/>
      <c r="X469" s="217"/>
      <c r="Y469" s="217"/>
      <c r="Z469" s="217"/>
    </row>
    <row r="470" ht="16.5" hidden="1" customHeight="1">
      <c r="A470" s="332"/>
      <c r="B470" s="368" t="s">
        <v>8792</v>
      </c>
      <c r="C470" s="252"/>
      <c r="D470" s="253">
        <f>SUM(D468:D469)</f>
        <v>36</v>
      </c>
      <c r="E470" s="254"/>
      <c r="F470" s="254"/>
      <c r="G470" s="254"/>
      <c r="H470" s="254"/>
      <c r="I470" s="254"/>
      <c r="J470" s="254"/>
      <c r="K470" s="258" t="s">
        <v>8793</v>
      </c>
      <c r="L470" s="259"/>
      <c r="M470" s="259"/>
      <c r="N470" s="259"/>
      <c r="O470" s="259"/>
      <c r="P470" s="259"/>
      <c r="Q470" s="259"/>
      <c r="R470" s="259"/>
      <c r="S470" s="259"/>
      <c r="T470" s="260"/>
      <c r="U470" s="217"/>
      <c r="V470" s="217"/>
      <c r="W470" s="217"/>
      <c r="X470" s="217"/>
      <c r="Y470" s="217"/>
      <c r="Z470" s="217"/>
    </row>
    <row r="471" ht="80.25" hidden="1" customHeight="1">
      <c r="A471" s="261" t="s">
        <v>8743</v>
      </c>
      <c r="B471" s="261"/>
      <c r="C471" s="261"/>
      <c r="D471" s="261"/>
      <c r="E471" s="261"/>
      <c r="F471" s="261"/>
      <c r="G471" s="261"/>
      <c r="H471" s="261"/>
      <c r="I471" s="261"/>
      <c r="J471" s="261"/>
      <c r="K471" s="261"/>
      <c r="L471" s="261"/>
      <c r="M471" s="261"/>
      <c r="N471" s="261"/>
      <c r="O471" s="261"/>
      <c r="P471" s="261"/>
      <c r="Q471" s="261"/>
      <c r="R471" s="261"/>
      <c r="S471" s="261"/>
      <c r="T471" s="261"/>
      <c r="U471" s="217"/>
      <c r="V471" s="217"/>
      <c r="W471" s="217"/>
      <c r="X471" s="217"/>
      <c r="Y471" s="217"/>
      <c r="Z471" s="217"/>
    </row>
    <row r="472" ht="16.5" hidden="1" customHeight="1">
      <c r="A472" s="262" t="s">
        <v>9365</v>
      </c>
      <c r="B472" s="263"/>
      <c r="C472" s="263"/>
      <c r="D472" s="263"/>
      <c r="E472" s="263"/>
      <c r="F472" s="263"/>
      <c r="G472" s="263"/>
      <c r="H472" s="263"/>
      <c r="I472" s="263"/>
      <c r="J472" s="263"/>
      <c r="K472" s="263"/>
      <c r="L472" s="263"/>
      <c r="M472" s="263"/>
      <c r="N472" s="263"/>
      <c r="O472" s="263"/>
      <c r="P472" s="263"/>
      <c r="Q472" s="263"/>
      <c r="R472" s="263"/>
      <c r="S472" s="263"/>
      <c r="T472" s="264"/>
      <c r="U472" s="217"/>
      <c r="V472" s="217"/>
      <c r="W472" s="217"/>
      <c r="X472" s="217"/>
      <c r="Y472" s="217"/>
      <c r="Z472" s="217"/>
    </row>
    <row r="473" ht="16.5" hidden="1" customHeight="1">
      <c r="A473" s="222" t="s">
        <v>9798</v>
      </c>
      <c r="B473" s="223"/>
      <c r="C473" s="223"/>
      <c r="D473" s="223"/>
      <c r="E473" s="223"/>
      <c r="F473" s="223"/>
      <c r="G473" s="223"/>
      <c r="H473" s="223"/>
      <c r="I473" s="223"/>
      <c r="J473" s="223"/>
      <c r="K473" s="223"/>
      <c r="L473" s="223"/>
      <c r="M473" s="223"/>
      <c r="N473" s="223"/>
      <c r="O473" s="223"/>
      <c r="P473" s="223"/>
      <c r="Q473" s="223"/>
      <c r="R473" s="223"/>
      <c r="S473" s="223"/>
      <c r="T473" s="224"/>
      <c r="U473" s="217"/>
      <c r="V473" s="217"/>
      <c r="W473" s="217"/>
      <c r="X473" s="217"/>
      <c r="Y473" s="217"/>
      <c r="Z473" s="217"/>
    </row>
    <row r="474" ht="16.5" hidden="1" customHeight="1">
      <c r="A474" s="225" t="s">
        <v>9852</v>
      </c>
      <c r="B474" s="226"/>
      <c r="C474" s="226"/>
      <c r="D474" s="226"/>
      <c r="E474" s="226"/>
      <c r="F474" s="226"/>
      <c r="G474" s="226"/>
      <c r="H474" s="226"/>
      <c r="I474" s="226"/>
      <c r="J474" s="226"/>
      <c r="K474" s="226"/>
      <c r="L474" s="226"/>
      <c r="M474" s="226"/>
      <c r="N474" s="226"/>
      <c r="O474" s="226"/>
      <c r="P474" s="226"/>
      <c r="Q474" s="226"/>
      <c r="R474" s="226"/>
      <c r="S474" s="226"/>
      <c r="T474" s="227"/>
      <c r="U474" s="217"/>
      <c r="V474" s="217"/>
      <c r="W474" s="217"/>
      <c r="X474" s="217"/>
      <c r="Y474" s="217"/>
      <c r="Z474" s="217"/>
    </row>
    <row r="475" ht="16.5" hidden="1" customHeight="1">
      <c r="A475" s="228" t="s">
        <v>9853</v>
      </c>
      <c r="B475" s="229"/>
      <c r="C475" s="229"/>
      <c r="D475" s="229"/>
      <c r="E475" s="229"/>
      <c r="F475" s="230"/>
      <c r="G475" s="230"/>
      <c r="H475" s="230"/>
      <c r="I475" s="230"/>
      <c r="J475" s="230"/>
      <c r="K475" s="230"/>
      <c r="L475" s="230"/>
      <c r="M475" s="230"/>
      <c r="N475" s="230"/>
      <c r="O475" s="230"/>
      <c r="P475" s="230"/>
      <c r="Q475" s="230"/>
      <c r="R475" s="230"/>
      <c r="S475" s="230"/>
      <c r="T475" s="230"/>
      <c r="U475" s="217"/>
      <c r="V475" s="217"/>
      <c r="W475" s="217"/>
      <c r="X475" s="217"/>
      <c r="Y475" s="217"/>
      <c r="Z475" s="217"/>
    </row>
    <row r="476" ht="14.25" hidden="1" customHeight="1">
      <c r="A476" s="231" t="s">
        <v>8748</v>
      </c>
      <c r="B476" s="231" t="s">
        <v>9</v>
      </c>
      <c r="C476" s="231" t="s">
        <v>5246</v>
      </c>
      <c r="D476" s="231" t="s">
        <v>8680</v>
      </c>
      <c r="E476" s="232" t="s">
        <v>13</v>
      </c>
      <c r="F476" s="233" t="s">
        <v>9801</v>
      </c>
      <c r="G476" s="234"/>
      <c r="H476" s="234"/>
      <c r="I476" s="234"/>
      <c r="J476" s="234"/>
      <c r="K476" s="234"/>
      <c r="L476" s="234"/>
      <c r="M476" s="234"/>
      <c r="N476" s="234"/>
      <c r="O476" s="234"/>
      <c r="P476" s="234"/>
      <c r="Q476" s="234"/>
      <c r="R476" s="234"/>
      <c r="S476" s="234"/>
      <c r="T476" s="235"/>
      <c r="U476" s="217"/>
      <c r="V476" s="217"/>
      <c r="W476" s="217"/>
      <c r="X476" s="217"/>
      <c r="Y476" s="217"/>
      <c r="Z476" s="217"/>
    </row>
    <row r="477" ht="14.25" hidden="1" customHeight="1">
      <c r="A477" s="236"/>
      <c r="B477" s="236"/>
      <c r="C477" s="236"/>
      <c r="D477" s="236"/>
      <c r="E477" s="237"/>
      <c r="F477" s="238" t="s">
        <v>9802</v>
      </c>
      <c r="G477" s="239"/>
      <c r="H477" s="239"/>
      <c r="I477" s="239"/>
      <c r="J477" s="239"/>
      <c r="K477" s="239"/>
      <c r="L477" s="239"/>
      <c r="M477" s="239"/>
      <c r="N477" s="239"/>
      <c r="O477" s="239"/>
      <c r="P477" s="239"/>
      <c r="Q477" s="240"/>
      <c r="R477" s="233" t="s">
        <v>9713</v>
      </c>
      <c r="S477" s="234"/>
      <c r="T477" s="235"/>
      <c r="U477" s="217"/>
      <c r="V477" s="217"/>
      <c r="W477" s="217"/>
      <c r="X477" s="217"/>
      <c r="Y477" s="217"/>
      <c r="Z477" s="217"/>
    </row>
    <row r="478" ht="14.25" hidden="1" customHeight="1">
      <c r="A478" s="295"/>
      <c r="B478" s="295"/>
      <c r="C478" s="295"/>
      <c r="D478" s="241"/>
      <c r="E478" s="242"/>
      <c r="F478" s="243">
        <v>1.0</v>
      </c>
      <c r="G478" s="243">
        <v>2.0</v>
      </c>
      <c r="H478" s="243">
        <v>3.0</v>
      </c>
      <c r="I478" s="243">
        <v>4.0</v>
      </c>
      <c r="J478" s="243">
        <v>5.0</v>
      </c>
      <c r="K478" s="243">
        <v>6.0</v>
      </c>
      <c r="L478" s="243">
        <v>7.0</v>
      </c>
      <c r="M478" s="243">
        <v>8.0</v>
      </c>
      <c r="N478" s="243">
        <v>9.0</v>
      </c>
      <c r="O478" s="243">
        <v>10.0</v>
      </c>
      <c r="P478" s="243">
        <v>11.0</v>
      </c>
      <c r="Q478" s="243">
        <v>12.0</v>
      </c>
      <c r="R478" s="243" t="s">
        <v>9714</v>
      </c>
      <c r="S478" s="243" t="s">
        <v>9715</v>
      </c>
      <c r="T478" s="244" t="s">
        <v>9716</v>
      </c>
      <c r="U478" s="217"/>
      <c r="V478" s="217"/>
      <c r="W478" s="217"/>
      <c r="X478" s="217"/>
      <c r="Y478" s="217"/>
      <c r="Z478" s="217"/>
    </row>
    <row r="479" ht="14.25" customHeight="1">
      <c r="A479" s="334">
        <v>1.0</v>
      </c>
      <c r="B479" s="304" t="s">
        <v>4865</v>
      </c>
      <c r="C479" s="305"/>
      <c r="D479" s="266" t="s">
        <v>4866</v>
      </c>
      <c r="E479" s="267" t="s">
        <v>220</v>
      </c>
      <c r="F479" s="269"/>
      <c r="G479" s="269"/>
      <c r="H479" s="269"/>
      <c r="I479" s="269"/>
      <c r="J479" s="269"/>
      <c r="K479" s="269"/>
      <c r="L479" s="269"/>
      <c r="M479" s="269"/>
      <c r="N479" s="269"/>
      <c r="O479" s="269"/>
      <c r="P479" s="269"/>
      <c r="Q479" s="269"/>
      <c r="R479" s="269"/>
      <c r="S479" s="269"/>
      <c r="T479" s="269"/>
      <c r="U479" s="217"/>
      <c r="V479" s="217"/>
      <c r="W479" s="217"/>
      <c r="X479" s="217"/>
      <c r="Y479" s="217"/>
      <c r="Z479" s="217"/>
    </row>
    <row r="480" ht="14.25" customHeight="1">
      <c r="A480" s="318">
        <v>2.0</v>
      </c>
      <c r="B480" s="297" t="s">
        <v>4871</v>
      </c>
      <c r="C480" s="298"/>
      <c r="D480" s="266" t="s">
        <v>4872</v>
      </c>
      <c r="E480" s="267" t="s">
        <v>227</v>
      </c>
      <c r="F480" s="269"/>
      <c r="G480" s="269"/>
      <c r="H480" s="269"/>
      <c r="I480" s="269"/>
      <c r="J480" s="269"/>
      <c r="K480" s="269"/>
      <c r="L480" s="269"/>
      <c r="M480" s="269"/>
      <c r="N480" s="269"/>
      <c r="O480" s="269"/>
      <c r="P480" s="269"/>
      <c r="Q480" s="269"/>
      <c r="R480" s="269"/>
      <c r="S480" s="269"/>
      <c r="T480" s="269"/>
      <c r="U480" s="217"/>
      <c r="V480" s="217"/>
      <c r="W480" s="217"/>
      <c r="X480" s="217"/>
      <c r="Y480" s="217"/>
      <c r="Z480" s="217"/>
    </row>
    <row r="481" ht="14.25" customHeight="1">
      <c r="A481" s="334">
        <v>3.0</v>
      </c>
      <c r="B481" s="297" t="s">
        <v>4876</v>
      </c>
      <c r="C481" s="298"/>
      <c r="D481" s="266" t="s">
        <v>4877</v>
      </c>
      <c r="E481" s="267" t="s">
        <v>227</v>
      </c>
      <c r="F481" s="287"/>
      <c r="G481" s="287"/>
      <c r="H481" s="287"/>
      <c r="I481" s="287"/>
      <c r="J481" s="287"/>
      <c r="K481" s="287"/>
      <c r="L481" s="287"/>
      <c r="M481" s="287"/>
      <c r="N481" s="287"/>
      <c r="O481" s="287"/>
      <c r="P481" s="287"/>
      <c r="Q481" s="287"/>
      <c r="R481" s="287"/>
      <c r="S481" s="287"/>
      <c r="T481" s="287"/>
      <c r="V481" s="217"/>
      <c r="W481" s="217"/>
      <c r="X481" s="217"/>
      <c r="Y481" s="217"/>
      <c r="Z481" s="217"/>
    </row>
    <row r="482" ht="14.25" customHeight="1">
      <c r="A482" s="318">
        <v>4.0</v>
      </c>
      <c r="B482" s="297" t="s">
        <v>4881</v>
      </c>
      <c r="C482" s="298"/>
      <c r="D482" s="266" t="s">
        <v>4882</v>
      </c>
      <c r="E482" s="267" t="s">
        <v>227</v>
      </c>
      <c r="F482" s="269"/>
      <c r="G482" s="269"/>
      <c r="H482" s="269"/>
      <c r="I482" s="269"/>
      <c r="J482" s="269"/>
      <c r="K482" s="269"/>
      <c r="L482" s="269"/>
      <c r="M482" s="269"/>
      <c r="N482" s="269"/>
      <c r="O482" s="269"/>
      <c r="P482" s="269"/>
      <c r="Q482" s="269"/>
      <c r="R482" s="269"/>
      <c r="S482" s="269"/>
      <c r="T482" s="269"/>
      <c r="U482" s="217"/>
      <c r="V482" s="217"/>
      <c r="W482" s="217"/>
      <c r="X482" s="217"/>
      <c r="Y482" s="217"/>
      <c r="Z482" s="217"/>
    </row>
    <row r="483" ht="14.25" customHeight="1">
      <c r="A483" s="334">
        <v>5.0</v>
      </c>
      <c r="B483" s="335" t="s">
        <v>4886</v>
      </c>
      <c r="C483" s="331"/>
      <c r="D483" s="266" t="s">
        <v>4887</v>
      </c>
      <c r="E483" s="267" t="s">
        <v>227</v>
      </c>
      <c r="F483" s="269"/>
      <c r="G483" s="269"/>
      <c r="H483" s="269"/>
      <c r="I483" s="269"/>
      <c r="J483" s="269"/>
      <c r="K483" s="269"/>
      <c r="L483" s="269"/>
      <c r="M483" s="269"/>
      <c r="N483" s="269"/>
      <c r="O483" s="269"/>
      <c r="P483" s="269"/>
      <c r="Q483" s="269"/>
      <c r="R483" s="269"/>
      <c r="S483" s="269"/>
      <c r="T483" s="269"/>
      <c r="U483" s="217"/>
      <c r="V483" s="217"/>
      <c r="W483" s="217"/>
      <c r="X483" s="217"/>
      <c r="Y483" s="217"/>
      <c r="Z483" s="217"/>
    </row>
    <row r="484" ht="14.25" customHeight="1">
      <c r="A484" s="318">
        <v>6.0</v>
      </c>
      <c r="B484" s="297" t="s">
        <v>4891</v>
      </c>
      <c r="C484" s="298"/>
      <c r="D484" s="266" t="s">
        <v>4892</v>
      </c>
      <c r="E484" s="267" t="s">
        <v>220</v>
      </c>
      <c r="F484" s="269"/>
      <c r="G484" s="269"/>
      <c r="H484" s="269"/>
      <c r="I484" s="269"/>
      <c r="J484" s="269"/>
      <c r="K484" s="269"/>
      <c r="L484" s="269"/>
      <c r="M484" s="269"/>
      <c r="N484" s="269"/>
      <c r="O484" s="269"/>
      <c r="P484" s="269"/>
      <c r="Q484" s="269"/>
      <c r="R484" s="269"/>
      <c r="S484" s="269"/>
      <c r="T484" s="269"/>
      <c r="U484" s="217"/>
      <c r="V484" s="217"/>
      <c r="W484" s="217"/>
      <c r="X484" s="217"/>
      <c r="Y484" s="217"/>
      <c r="Z484" s="217"/>
    </row>
    <row r="485" ht="14.25" customHeight="1">
      <c r="A485" s="334">
        <v>7.0</v>
      </c>
      <c r="B485" s="297" t="s">
        <v>4896</v>
      </c>
      <c r="C485" s="298"/>
      <c r="D485" s="266" t="s">
        <v>4897</v>
      </c>
      <c r="E485" s="267" t="s">
        <v>227</v>
      </c>
      <c r="F485" s="269"/>
      <c r="G485" s="269"/>
      <c r="H485" s="269"/>
      <c r="I485" s="269"/>
      <c r="J485" s="269"/>
      <c r="K485" s="269"/>
      <c r="L485" s="269"/>
      <c r="M485" s="269"/>
      <c r="N485" s="269"/>
      <c r="O485" s="269"/>
      <c r="P485" s="269"/>
      <c r="Q485" s="269"/>
      <c r="R485" s="269"/>
      <c r="S485" s="269"/>
      <c r="T485" s="269"/>
      <c r="U485" s="217"/>
      <c r="V485" s="217"/>
      <c r="W485" s="217"/>
      <c r="X485" s="217"/>
      <c r="Y485" s="217"/>
      <c r="Z485" s="217"/>
    </row>
    <row r="486" ht="14.25" customHeight="1">
      <c r="A486" s="318">
        <v>8.0</v>
      </c>
      <c r="B486" s="297" t="s">
        <v>4901</v>
      </c>
      <c r="C486" s="298"/>
      <c r="D486" s="266" t="s">
        <v>4902</v>
      </c>
      <c r="E486" s="267" t="s">
        <v>227</v>
      </c>
      <c r="F486" s="269"/>
      <c r="G486" s="269"/>
      <c r="H486" s="269"/>
      <c r="I486" s="269"/>
      <c r="J486" s="269"/>
      <c r="K486" s="269"/>
      <c r="L486" s="269"/>
      <c r="M486" s="269"/>
      <c r="N486" s="269"/>
      <c r="O486" s="269"/>
      <c r="P486" s="269"/>
      <c r="Q486" s="269"/>
      <c r="R486" s="269"/>
      <c r="S486" s="269"/>
      <c r="T486" s="269"/>
      <c r="U486" s="217"/>
      <c r="V486" s="217"/>
      <c r="W486" s="217"/>
      <c r="X486" s="217"/>
      <c r="Y486" s="217"/>
      <c r="Z486" s="217"/>
    </row>
    <row r="487" ht="14.25" customHeight="1">
      <c r="A487" s="334">
        <v>9.0</v>
      </c>
      <c r="B487" s="297" t="s">
        <v>4907</v>
      </c>
      <c r="C487" s="298"/>
      <c r="D487" s="266" t="s">
        <v>4908</v>
      </c>
      <c r="E487" s="267" t="s">
        <v>227</v>
      </c>
      <c r="F487" s="269"/>
      <c r="G487" s="269"/>
      <c r="H487" s="269"/>
      <c r="I487" s="269"/>
      <c r="J487" s="269"/>
      <c r="K487" s="269"/>
      <c r="L487" s="269"/>
      <c r="M487" s="269"/>
      <c r="N487" s="269"/>
      <c r="O487" s="269"/>
      <c r="P487" s="269"/>
      <c r="Q487" s="269"/>
      <c r="R487" s="269"/>
      <c r="S487" s="269"/>
      <c r="T487" s="269"/>
      <c r="U487" s="217"/>
      <c r="V487" s="217"/>
      <c r="W487" s="217"/>
      <c r="X487" s="217"/>
      <c r="Y487" s="217"/>
      <c r="Z487" s="217"/>
    </row>
    <row r="488" ht="14.25" customHeight="1">
      <c r="A488" s="318">
        <v>10.0</v>
      </c>
      <c r="B488" s="297" t="s">
        <v>4912</v>
      </c>
      <c r="C488" s="298"/>
      <c r="D488" s="266" t="s">
        <v>4913</v>
      </c>
      <c r="E488" s="267" t="s">
        <v>227</v>
      </c>
      <c r="F488" s="269"/>
      <c r="G488" s="269"/>
      <c r="H488" s="269"/>
      <c r="I488" s="269"/>
      <c r="J488" s="269"/>
      <c r="K488" s="269"/>
      <c r="L488" s="269"/>
      <c r="M488" s="269"/>
      <c r="N488" s="269"/>
      <c r="O488" s="269"/>
      <c r="P488" s="269"/>
      <c r="Q488" s="269"/>
      <c r="R488" s="269"/>
      <c r="S488" s="269"/>
      <c r="T488" s="269"/>
      <c r="U488" s="217"/>
      <c r="V488" s="217"/>
      <c r="W488" s="217"/>
      <c r="X488" s="217"/>
      <c r="Y488" s="217"/>
      <c r="Z488" s="217"/>
    </row>
    <row r="489" ht="14.25" customHeight="1">
      <c r="A489" s="334">
        <v>11.0</v>
      </c>
      <c r="B489" s="297" t="s">
        <v>4917</v>
      </c>
      <c r="C489" s="298"/>
      <c r="D489" s="266" t="s">
        <v>4918</v>
      </c>
      <c r="E489" s="267" t="s">
        <v>220</v>
      </c>
      <c r="F489" s="269"/>
      <c r="G489" s="269"/>
      <c r="H489" s="269"/>
      <c r="I489" s="269"/>
      <c r="J489" s="269"/>
      <c r="K489" s="269"/>
      <c r="L489" s="269"/>
      <c r="M489" s="269"/>
      <c r="N489" s="269"/>
      <c r="O489" s="269"/>
      <c r="P489" s="269"/>
      <c r="Q489" s="269"/>
      <c r="R489" s="269"/>
      <c r="S489" s="269"/>
      <c r="T489" s="269"/>
      <c r="U489" s="217"/>
      <c r="V489" s="217"/>
      <c r="W489" s="217"/>
      <c r="X489" s="217"/>
      <c r="Y489" s="217"/>
      <c r="Z489" s="217"/>
    </row>
    <row r="490" ht="14.25" customHeight="1">
      <c r="A490" s="318">
        <v>12.0</v>
      </c>
      <c r="B490" s="297" t="s">
        <v>4922</v>
      </c>
      <c r="C490" s="298"/>
      <c r="D490" s="266" t="s">
        <v>4923</v>
      </c>
      <c r="E490" s="267" t="s">
        <v>227</v>
      </c>
      <c r="F490" s="269"/>
      <c r="G490" s="269"/>
      <c r="H490" s="269"/>
      <c r="I490" s="269"/>
      <c r="J490" s="269"/>
      <c r="K490" s="269"/>
      <c r="L490" s="269"/>
      <c r="M490" s="269"/>
      <c r="N490" s="269"/>
      <c r="O490" s="269"/>
      <c r="P490" s="269"/>
      <c r="Q490" s="269"/>
      <c r="R490" s="269"/>
      <c r="S490" s="269"/>
      <c r="T490" s="269"/>
      <c r="U490" s="217"/>
      <c r="V490" s="217"/>
      <c r="W490" s="217"/>
      <c r="X490" s="217"/>
      <c r="Y490" s="217"/>
      <c r="Z490" s="217"/>
    </row>
    <row r="491" ht="14.25" customHeight="1">
      <c r="A491" s="334">
        <v>13.0</v>
      </c>
      <c r="B491" s="297" t="s">
        <v>4927</v>
      </c>
      <c r="C491" s="298"/>
      <c r="D491" s="266" t="s">
        <v>4928</v>
      </c>
      <c r="E491" s="267" t="s">
        <v>220</v>
      </c>
      <c r="F491" s="269"/>
      <c r="G491" s="269"/>
      <c r="H491" s="269"/>
      <c r="I491" s="269"/>
      <c r="J491" s="269"/>
      <c r="K491" s="269"/>
      <c r="L491" s="269"/>
      <c r="M491" s="269"/>
      <c r="N491" s="269"/>
      <c r="O491" s="269"/>
      <c r="P491" s="269"/>
      <c r="Q491" s="269"/>
      <c r="R491" s="269"/>
      <c r="S491" s="269"/>
      <c r="T491" s="269"/>
      <c r="U491" s="217"/>
      <c r="V491" s="217"/>
      <c r="W491" s="217"/>
      <c r="X491" s="217"/>
      <c r="Y491" s="217"/>
      <c r="Z491" s="217"/>
    </row>
    <row r="492" ht="14.25" customHeight="1">
      <c r="A492" s="318">
        <v>14.0</v>
      </c>
      <c r="B492" s="297" t="s">
        <v>4932</v>
      </c>
      <c r="C492" s="298"/>
      <c r="D492" s="266" t="s">
        <v>4933</v>
      </c>
      <c r="E492" s="267" t="s">
        <v>227</v>
      </c>
      <c r="F492" s="269"/>
      <c r="G492" s="269"/>
      <c r="H492" s="269"/>
      <c r="I492" s="269"/>
      <c r="J492" s="269"/>
      <c r="K492" s="269"/>
      <c r="L492" s="269"/>
      <c r="M492" s="269"/>
      <c r="N492" s="269"/>
      <c r="O492" s="269"/>
      <c r="P492" s="269"/>
      <c r="Q492" s="269"/>
      <c r="R492" s="269"/>
      <c r="S492" s="269"/>
      <c r="T492" s="269"/>
      <c r="U492" s="217"/>
      <c r="V492" s="217"/>
      <c r="W492" s="217"/>
      <c r="X492" s="217"/>
      <c r="Y492" s="217"/>
      <c r="Z492" s="217"/>
    </row>
    <row r="493" ht="14.25" customHeight="1">
      <c r="A493" s="334">
        <v>15.0</v>
      </c>
      <c r="B493" s="297" t="s">
        <v>4937</v>
      </c>
      <c r="C493" s="298"/>
      <c r="D493" s="266" t="s">
        <v>4938</v>
      </c>
      <c r="E493" s="267" t="s">
        <v>227</v>
      </c>
      <c r="F493" s="287"/>
      <c r="G493" s="287"/>
      <c r="H493" s="287"/>
      <c r="I493" s="287"/>
      <c r="J493" s="287"/>
      <c r="K493" s="287"/>
      <c r="L493" s="287"/>
      <c r="M493" s="287"/>
      <c r="N493" s="287"/>
      <c r="O493" s="287"/>
      <c r="P493" s="287"/>
      <c r="Q493" s="287"/>
      <c r="R493" s="287"/>
      <c r="S493" s="287"/>
      <c r="T493" s="287"/>
      <c r="W493" s="217"/>
      <c r="X493" s="217"/>
      <c r="Y493" s="217"/>
      <c r="Z493" s="217"/>
    </row>
    <row r="494" ht="14.25" customHeight="1">
      <c r="A494" s="318">
        <v>16.0</v>
      </c>
      <c r="B494" s="297" t="s">
        <v>4943</v>
      </c>
      <c r="C494" s="298"/>
      <c r="D494" s="266" t="s">
        <v>4944</v>
      </c>
      <c r="E494" s="267" t="s">
        <v>227</v>
      </c>
      <c r="F494" s="287"/>
      <c r="G494" s="287"/>
      <c r="H494" s="287"/>
      <c r="I494" s="287"/>
      <c r="J494" s="287"/>
      <c r="K494" s="287"/>
      <c r="L494" s="287"/>
      <c r="M494" s="287"/>
      <c r="N494" s="287"/>
      <c r="O494" s="287"/>
      <c r="P494" s="287"/>
      <c r="Q494" s="287"/>
      <c r="R494" s="287"/>
      <c r="S494" s="287"/>
      <c r="T494" s="287"/>
      <c r="W494" s="217"/>
      <c r="X494" s="217"/>
      <c r="Y494" s="217"/>
      <c r="Z494" s="217"/>
    </row>
    <row r="495" ht="14.25" customHeight="1">
      <c r="A495" s="334">
        <v>17.0</v>
      </c>
      <c r="B495" s="297" t="s">
        <v>4948</v>
      </c>
      <c r="C495" s="298"/>
      <c r="D495" s="336" t="s">
        <v>4949</v>
      </c>
      <c r="E495" s="267" t="s">
        <v>227</v>
      </c>
      <c r="F495" s="269"/>
      <c r="G495" s="269"/>
      <c r="H495" s="269"/>
      <c r="I495" s="269"/>
      <c r="J495" s="269"/>
      <c r="K495" s="269"/>
      <c r="L495" s="269"/>
      <c r="M495" s="269"/>
      <c r="N495" s="269"/>
      <c r="O495" s="269"/>
      <c r="P495" s="269"/>
      <c r="Q495" s="269"/>
      <c r="R495" s="269"/>
      <c r="S495" s="269"/>
      <c r="T495" s="269"/>
      <c r="U495" s="217"/>
      <c r="V495" s="217"/>
      <c r="W495" s="217"/>
      <c r="X495" s="217"/>
      <c r="Y495" s="217"/>
      <c r="Z495" s="217"/>
    </row>
    <row r="496" ht="22.5" customHeight="1">
      <c r="A496" s="318">
        <v>18.0</v>
      </c>
      <c r="B496" s="297" t="s">
        <v>4953</v>
      </c>
      <c r="C496" s="298"/>
      <c r="D496" s="266" t="s">
        <v>4954</v>
      </c>
      <c r="E496" s="267" t="s">
        <v>227</v>
      </c>
      <c r="F496" s="269"/>
      <c r="G496" s="269"/>
      <c r="H496" s="269"/>
      <c r="I496" s="269"/>
      <c r="J496" s="269"/>
      <c r="K496" s="269"/>
      <c r="L496" s="269"/>
      <c r="M496" s="269"/>
      <c r="N496" s="269"/>
      <c r="O496" s="269"/>
      <c r="P496" s="269"/>
      <c r="Q496" s="269"/>
      <c r="R496" s="269"/>
      <c r="S496" s="269"/>
      <c r="T496" s="269"/>
      <c r="U496" s="217"/>
      <c r="V496" s="217"/>
      <c r="W496" s="217"/>
      <c r="X496" s="217"/>
      <c r="Y496" s="217"/>
      <c r="Z496" s="217"/>
    </row>
    <row r="497" ht="14.25" customHeight="1">
      <c r="A497" s="334">
        <v>19.0</v>
      </c>
      <c r="B497" s="330" t="s">
        <v>4958</v>
      </c>
      <c r="C497" s="331"/>
      <c r="D497" s="266" t="s">
        <v>4959</v>
      </c>
      <c r="E497" s="267" t="s">
        <v>227</v>
      </c>
      <c r="F497" s="269"/>
      <c r="G497" s="269"/>
      <c r="H497" s="269"/>
      <c r="I497" s="269"/>
      <c r="J497" s="269"/>
      <c r="K497" s="269"/>
      <c r="L497" s="269"/>
      <c r="M497" s="269"/>
      <c r="N497" s="269"/>
      <c r="O497" s="269"/>
      <c r="P497" s="269"/>
      <c r="Q497" s="269"/>
      <c r="R497" s="269"/>
      <c r="S497" s="269"/>
      <c r="T497" s="269"/>
      <c r="U497" s="217"/>
      <c r="V497" s="217"/>
      <c r="W497" s="217"/>
      <c r="X497" s="217"/>
      <c r="Y497" s="217"/>
      <c r="Z497" s="217"/>
    </row>
    <row r="498" ht="14.25" customHeight="1">
      <c r="A498" s="318">
        <v>20.0</v>
      </c>
      <c r="B498" s="297" t="s">
        <v>4963</v>
      </c>
      <c r="C498" s="298"/>
      <c r="D498" s="266" t="s">
        <v>4964</v>
      </c>
      <c r="E498" s="267" t="s">
        <v>227</v>
      </c>
      <c r="F498" s="269"/>
      <c r="G498" s="269"/>
      <c r="H498" s="269"/>
      <c r="I498" s="269"/>
      <c r="J498" s="269"/>
      <c r="K498" s="269"/>
      <c r="L498" s="269"/>
      <c r="M498" s="269"/>
      <c r="N498" s="269"/>
      <c r="O498" s="269"/>
      <c r="P498" s="269"/>
      <c r="Q498" s="269"/>
      <c r="R498" s="269"/>
      <c r="S498" s="269"/>
      <c r="T498" s="269"/>
      <c r="U498" s="217"/>
      <c r="V498" s="217"/>
      <c r="W498" s="217"/>
      <c r="X498" s="217"/>
      <c r="Y498" s="217"/>
      <c r="Z498" s="217"/>
    </row>
    <row r="499" ht="14.25" customHeight="1">
      <c r="A499" s="334">
        <v>21.0</v>
      </c>
      <c r="B499" s="297" t="s">
        <v>4968</v>
      </c>
      <c r="C499" s="298"/>
      <c r="D499" s="266" t="s">
        <v>4969</v>
      </c>
      <c r="E499" s="267" t="s">
        <v>220</v>
      </c>
      <c r="F499" s="269"/>
      <c r="G499" s="269"/>
      <c r="H499" s="269"/>
      <c r="I499" s="269"/>
      <c r="J499" s="269"/>
      <c r="K499" s="269"/>
      <c r="L499" s="269"/>
      <c r="M499" s="269"/>
      <c r="N499" s="269"/>
      <c r="O499" s="269"/>
      <c r="P499" s="269"/>
      <c r="Q499" s="269"/>
      <c r="R499" s="269"/>
      <c r="S499" s="269"/>
      <c r="T499" s="269"/>
      <c r="U499" s="217"/>
      <c r="V499" s="217"/>
      <c r="W499" s="217"/>
      <c r="X499" s="217"/>
      <c r="Y499" s="217"/>
      <c r="Z499" s="217"/>
    </row>
    <row r="500" ht="14.25" customHeight="1">
      <c r="A500" s="318">
        <v>22.0</v>
      </c>
      <c r="B500" s="297" t="s">
        <v>4973</v>
      </c>
      <c r="C500" s="298"/>
      <c r="D500" s="266" t="s">
        <v>4974</v>
      </c>
      <c r="E500" s="267" t="s">
        <v>227</v>
      </c>
      <c r="F500" s="269"/>
      <c r="G500" s="269"/>
      <c r="H500" s="269"/>
      <c r="I500" s="269"/>
      <c r="J500" s="269"/>
      <c r="K500" s="269"/>
      <c r="L500" s="269"/>
      <c r="M500" s="269"/>
      <c r="N500" s="269"/>
      <c r="O500" s="269"/>
      <c r="P500" s="269"/>
      <c r="Q500" s="269"/>
      <c r="R500" s="269"/>
      <c r="S500" s="269"/>
      <c r="T500" s="269"/>
      <c r="U500" s="217"/>
      <c r="V500" s="217"/>
      <c r="W500" s="217"/>
      <c r="X500" s="217"/>
      <c r="Y500" s="217"/>
      <c r="Z500" s="217"/>
    </row>
    <row r="501" ht="14.25" customHeight="1">
      <c r="A501" s="334">
        <v>23.0</v>
      </c>
      <c r="B501" s="297" t="s">
        <v>4979</v>
      </c>
      <c r="C501" s="298"/>
      <c r="D501" s="266" t="s">
        <v>4980</v>
      </c>
      <c r="E501" s="267" t="s">
        <v>220</v>
      </c>
      <c r="F501" s="269"/>
      <c r="G501" s="269"/>
      <c r="H501" s="269"/>
      <c r="I501" s="269"/>
      <c r="J501" s="269"/>
      <c r="K501" s="269"/>
      <c r="L501" s="269"/>
      <c r="M501" s="269"/>
      <c r="N501" s="269"/>
      <c r="O501" s="269"/>
      <c r="P501" s="269"/>
      <c r="Q501" s="269"/>
      <c r="R501" s="269"/>
      <c r="S501" s="269"/>
      <c r="T501" s="269"/>
      <c r="U501" s="217"/>
      <c r="V501" s="217"/>
      <c r="W501" s="217"/>
      <c r="X501" s="217"/>
      <c r="Y501" s="217"/>
      <c r="Z501" s="217"/>
    </row>
    <row r="502" ht="22.5" customHeight="1">
      <c r="A502" s="318">
        <v>24.0</v>
      </c>
      <c r="B502" s="297" t="s">
        <v>4984</v>
      </c>
      <c r="C502" s="298"/>
      <c r="D502" s="337" t="s">
        <v>4985</v>
      </c>
      <c r="E502" s="267" t="s">
        <v>220</v>
      </c>
      <c r="F502" s="269"/>
      <c r="G502" s="269"/>
      <c r="H502" s="269"/>
      <c r="I502" s="269"/>
      <c r="J502" s="269"/>
      <c r="K502" s="269"/>
      <c r="L502" s="269"/>
      <c r="M502" s="269"/>
      <c r="N502" s="269"/>
      <c r="O502" s="269"/>
      <c r="P502" s="269"/>
      <c r="Q502" s="269"/>
      <c r="R502" s="269"/>
      <c r="S502" s="269"/>
      <c r="T502" s="269"/>
      <c r="U502" s="217"/>
      <c r="V502" s="217"/>
      <c r="W502" s="217"/>
      <c r="X502" s="217"/>
      <c r="Y502" s="217"/>
      <c r="Z502" s="217"/>
    </row>
    <row r="503" ht="22.5" customHeight="1">
      <c r="A503" s="334">
        <v>25.0</v>
      </c>
      <c r="B503" s="297" t="s">
        <v>4989</v>
      </c>
      <c r="C503" s="298"/>
      <c r="D503" s="266" t="s">
        <v>4990</v>
      </c>
      <c r="E503" s="267" t="s">
        <v>220</v>
      </c>
      <c r="F503" s="269"/>
      <c r="G503" s="269"/>
      <c r="H503" s="269"/>
      <c r="I503" s="269"/>
      <c r="J503" s="269"/>
      <c r="K503" s="269"/>
      <c r="L503" s="269"/>
      <c r="M503" s="269"/>
      <c r="N503" s="269"/>
      <c r="O503" s="269"/>
      <c r="P503" s="269"/>
      <c r="Q503" s="269"/>
      <c r="R503" s="269"/>
      <c r="S503" s="269"/>
      <c r="T503" s="269"/>
      <c r="U503" s="217"/>
      <c r="V503" s="217"/>
      <c r="W503" s="217"/>
      <c r="X503" s="217"/>
      <c r="Y503" s="217"/>
      <c r="Z503" s="217"/>
    </row>
    <row r="504" ht="14.25" customHeight="1">
      <c r="A504" s="318">
        <v>26.0</v>
      </c>
      <c r="B504" s="297" t="s">
        <v>4994</v>
      </c>
      <c r="C504" s="298"/>
      <c r="D504" s="266" t="s">
        <v>4995</v>
      </c>
      <c r="E504" s="267" t="s">
        <v>220</v>
      </c>
      <c r="F504" s="269"/>
      <c r="G504" s="269"/>
      <c r="H504" s="269"/>
      <c r="I504" s="269"/>
      <c r="J504" s="269"/>
      <c r="K504" s="269"/>
      <c r="L504" s="269"/>
      <c r="M504" s="269"/>
      <c r="N504" s="269"/>
      <c r="O504" s="269"/>
      <c r="P504" s="269"/>
      <c r="Q504" s="269"/>
      <c r="R504" s="269"/>
      <c r="S504" s="269"/>
      <c r="T504" s="269"/>
      <c r="U504" s="217"/>
      <c r="V504" s="217"/>
      <c r="W504" s="217"/>
      <c r="X504" s="217"/>
      <c r="Y504" s="217"/>
      <c r="Z504" s="217"/>
    </row>
    <row r="505" ht="16.5" customHeight="1">
      <c r="A505" s="334">
        <v>27.0</v>
      </c>
      <c r="B505" s="297" t="s">
        <v>4999</v>
      </c>
      <c r="C505" s="298"/>
      <c r="D505" s="266" t="s">
        <v>5000</v>
      </c>
      <c r="E505" s="267" t="s">
        <v>227</v>
      </c>
      <c r="F505" s="269"/>
      <c r="G505" s="269"/>
      <c r="H505" s="269"/>
      <c r="I505" s="269"/>
      <c r="J505" s="269"/>
      <c r="K505" s="269"/>
      <c r="L505" s="269"/>
      <c r="M505" s="269"/>
      <c r="N505" s="269"/>
      <c r="O505" s="269"/>
      <c r="P505" s="269"/>
      <c r="Q505" s="269"/>
      <c r="R505" s="269"/>
      <c r="S505" s="269"/>
      <c r="T505" s="269"/>
      <c r="U505" s="217"/>
      <c r="V505" s="217"/>
      <c r="W505" s="217"/>
      <c r="X505" s="217"/>
      <c r="Y505" s="217"/>
      <c r="Z505" s="217"/>
    </row>
    <row r="506" ht="17.25" customHeight="1">
      <c r="A506" s="318">
        <v>28.0</v>
      </c>
      <c r="B506" s="297" t="s">
        <v>5004</v>
      </c>
      <c r="C506" s="298"/>
      <c r="D506" s="266" t="s">
        <v>5005</v>
      </c>
      <c r="E506" s="267" t="s">
        <v>220</v>
      </c>
      <c r="F506" s="269"/>
      <c r="G506" s="269"/>
      <c r="H506" s="269"/>
      <c r="I506" s="269"/>
      <c r="J506" s="269"/>
      <c r="K506" s="269"/>
      <c r="L506" s="269"/>
      <c r="M506" s="269"/>
      <c r="N506" s="269"/>
      <c r="O506" s="269"/>
      <c r="P506" s="269"/>
      <c r="Q506" s="269"/>
      <c r="R506" s="269"/>
      <c r="S506" s="269"/>
      <c r="T506" s="269"/>
      <c r="U506" s="217"/>
      <c r="V506" s="217"/>
      <c r="W506" s="217"/>
      <c r="X506" s="217"/>
      <c r="Y506" s="217"/>
      <c r="Z506" s="217"/>
    </row>
    <row r="507" ht="16.5" customHeight="1">
      <c r="A507" s="334">
        <v>29.0</v>
      </c>
      <c r="B507" s="297" t="s">
        <v>5009</v>
      </c>
      <c r="C507" s="298"/>
      <c r="D507" s="266" t="s">
        <v>5010</v>
      </c>
      <c r="E507" s="267" t="s">
        <v>227</v>
      </c>
      <c r="F507" s="269"/>
      <c r="G507" s="269"/>
      <c r="H507" s="269"/>
      <c r="I507" s="269"/>
      <c r="J507" s="269"/>
      <c r="K507" s="269"/>
      <c r="L507" s="269"/>
      <c r="M507" s="269"/>
      <c r="N507" s="269"/>
      <c r="O507" s="269"/>
      <c r="P507" s="269"/>
      <c r="Q507" s="269"/>
      <c r="R507" s="269"/>
      <c r="S507" s="269"/>
      <c r="T507" s="269"/>
      <c r="U507" s="217"/>
      <c r="V507" s="217"/>
      <c r="W507" s="217"/>
      <c r="X507" s="217"/>
      <c r="Y507" s="217"/>
      <c r="Z507" s="217"/>
    </row>
    <row r="508" ht="16.5" customHeight="1">
      <c r="A508" s="318">
        <v>30.0</v>
      </c>
      <c r="B508" s="297" t="s">
        <v>5014</v>
      </c>
      <c r="C508" s="298"/>
      <c r="D508" s="266" t="s">
        <v>5015</v>
      </c>
      <c r="E508" s="267" t="s">
        <v>220</v>
      </c>
      <c r="F508" s="269"/>
      <c r="G508" s="269"/>
      <c r="H508" s="269"/>
      <c r="I508" s="269"/>
      <c r="J508" s="269"/>
      <c r="K508" s="269"/>
      <c r="L508" s="269"/>
      <c r="M508" s="269"/>
      <c r="N508" s="269"/>
      <c r="O508" s="269"/>
      <c r="P508" s="269"/>
      <c r="Q508" s="269"/>
      <c r="R508" s="269"/>
      <c r="S508" s="269"/>
      <c r="T508" s="269"/>
      <c r="U508" s="217"/>
      <c r="V508" s="217"/>
      <c r="W508" s="217"/>
      <c r="X508" s="217"/>
      <c r="Y508" s="217"/>
      <c r="Z508" s="217"/>
    </row>
    <row r="509" ht="16.5" customHeight="1">
      <c r="A509" s="334">
        <v>31.0</v>
      </c>
      <c r="B509" s="297" t="s">
        <v>5020</v>
      </c>
      <c r="C509" s="298"/>
      <c r="D509" s="266" t="s">
        <v>5021</v>
      </c>
      <c r="E509" s="267" t="s">
        <v>227</v>
      </c>
      <c r="F509" s="269"/>
      <c r="G509" s="269"/>
      <c r="H509" s="269"/>
      <c r="I509" s="269"/>
      <c r="J509" s="269"/>
      <c r="K509" s="269"/>
      <c r="L509" s="269"/>
      <c r="M509" s="269"/>
      <c r="N509" s="269"/>
      <c r="O509" s="269"/>
      <c r="P509" s="269"/>
      <c r="Q509" s="269"/>
      <c r="R509" s="269"/>
      <c r="S509" s="269"/>
      <c r="T509" s="269"/>
      <c r="U509" s="217"/>
      <c r="V509" s="217"/>
      <c r="W509" s="217"/>
      <c r="X509" s="217"/>
      <c r="Y509" s="217"/>
      <c r="Z509" s="217"/>
    </row>
    <row r="510" ht="16.5" customHeight="1">
      <c r="A510" s="318">
        <v>32.0</v>
      </c>
      <c r="B510" s="297" t="s">
        <v>5025</v>
      </c>
      <c r="C510" s="298"/>
      <c r="D510" s="266" t="s">
        <v>5026</v>
      </c>
      <c r="E510" s="267" t="s">
        <v>220</v>
      </c>
      <c r="F510" s="269"/>
      <c r="G510" s="269"/>
      <c r="H510" s="269"/>
      <c r="I510" s="269"/>
      <c r="J510" s="269"/>
      <c r="K510" s="269"/>
      <c r="L510" s="269"/>
      <c r="M510" s="269"/>
      <c r="N510" s="269"/>
      <c r="O510" s="269"/>
      <c r="P510" s="269"/>
      <c r="Q510" s="269"/>
      <c r="R510" s="269"/>
      <c r="S510" s="269"/>
      <c r="T510" s="269"/>
      <c r="U510" s="217"/>
      <c r="V510" s="217"/>
      <c r="W510" s="217"/>
      <c r="X510" s="217"/>
      <c r="Y510" s="217"/>
      <c r="Z510" s="217"/>
    </row>
    <row r="511" ht="16.5" customHeight="1">
      <c r="A511" s="334">
        <v>33.0</v>
      </c>
      <c r="B511" s="297" t="s">
        <v>5030</v>
      </c>
      <c r="C511" s="298"/>
      <c r="D511" s="266" t="s">
        <v>5031</v>
      </c>
      <c r="E511" s="267" t="s">
        <v>227</v>
      </c>
      <c r="F511" s="269"/>
      <c r="G511" s="269"/>
      <c r="H511" s="269"/>
      <c r="I511" s="269"/>
      <c r="J511" s="269"/>
      <c r="K511" s="269"/>
      <c r="L511" s="269"/>
      <c r="M511" s="269"/>
      <c r="N511" s="269"/>
      <c r="O511" s="269"/>
      <c r="P511" s="269"/>
      <c r="Q511" s="269"/>
      <c r="R511" s="269"/>
      <c r="S511" s="269"/>
      <c r="T511" s="269"/>
      <c r="U511" s="217"/>
      <c r="V511" s="217"/>
      <c r="W511" s="217"/>
      <c r="X511" s="217"/>
      <c r="Y511" s="217"/>
      <c r="Z511" s="217"/>
    </row>
    <row r="512" ht="16.5" customHeight="1">
      <c r="A512" s="318">
        <v>34.0</v>
      </c>
      <c r="B512" s="297" t="s">
        <v>5035</v>
      </c>
      <c r="C512" s="298"/>
      <c r="D512" s="266" t="s">
        <v>5036</v>
      </c>
      <c r="E512" s="267" t="s">
        <v>227</v>
      </c>
      <c r="F512" s="269"/>
      <c r="G512" s="269"/>
      <c r="H512" s="269"/>
      <c r="I512" s="269"/>
      <c r="J512" s="269"/>
      <c r="K512" s="269"/>
      <c r="L512" s="269"/>
      <c r="M512" s="269"/>
      <c r="N512" s="269"/>
      <c r="O512" s="269"/>
      <c r="P512" s="269"/>
      <c r="Q512" s="269"/>
      <c r="R512" s="269"/>
      <c r="S512" s="269"/>
      <c r="T512" s="269"/>
      <c r="U512" s="217"/>
      <c r="V512" s="217"/>
      <c r="W512" s="217"/>
      <c r="X512" s="217"/>
      <c r="Y512" s="217"/>
      <c r="Z512" s="217"/>
    </row>
    <row r="513" ht="16.5" customHeight="1">
      <c r="A513" s="334">
        <v>35.0</v>
      </c>
      <c r="B513" s="297" t="s">
        <v>5040</v>
      </c>
      <c r="C513" s="298"/>
      <c r="D513" s="266" t="s">
        <v>5041</v>
      </c>
      <c r="E513" s="267" t="s">
        <v>227</v>
      </c>
      <c r="F513" s="269"/>
      <c r="G513" s="269"/>
      <c r="H513" s="269"/>
      <c r="I513" s="269"/>
      <c r="J513" s="269"/>
      <c r="K513" s="269"/>
      <c r="L513" s="269"/>
      <c r="M513" s="269"/>
      <c r="N513" s="269"/>
      <c r="O513" s="269"/>
      <c r="P513" s="269"/>
      <c r="Q513" s="269"/>
      <c r="R513" s="269"/>
      <c r="S513" s="269"/>
      <c r="T513" s="269"/>
      <c r="U513" s="217"/>
      <c r="V513" s="217"/>
      <c r="W513" s="217"/>
      <c r="X513" s="217"/>
      <c r="Y513" s="217"/>
      <c r="Z513" s="217"/>
    </row>
    <row r="514" ht="16.5" customHeight="1">
      <c r="A514" s="318">
        <v>36.0</v>
      </c>
      <c r="B514" s="297" t="s">
        <v>5045</v>
      </c>
      <c r="C514" s="298"/>
      <c r="D514" s="266" t="s">
        <v>5046</v>
      </c>
      <c r="E514" s="267" t="s">
        <v>227</v>
      </c>
      <c r="F514" s="269"/>
      <c r="G514" s="269"/>
      <c r="H514" s="269"/>
      <c r="I514" s="269"/>
      <c r="J514" s="269"/>
      <c r="K514" s="269"/>
      <c r="L514" s="269"/>
      <c r="M514" s="269"/>
      <c r="N514" s="269"/>
      <c r="O514" s="269"/>
      <c r="P514" s="269"/>
      <c r="Q514" s="269"/>
      <c r="R514" s="269"/>
      <c r="S514" s="269"/>
      <c r="T514" s="269"/>
      <c r="U514" s="217"/>
      <c r="V514" s="217"/>
      <c r="W514" s="217"/>
      <c r="X514" s="217"/>
      <c r="Y514" s="217"/>
      <c r="Z514" s="217"/>
    </row>
    <row r="515" ht="16.5" hidden="1" customHeight="1">
      <c r="A515" s="252"/>
      <c r="B515" s="368" t="s">
        <v>8789</v>
      </c>
      <c r="C515" s="252"/>
      <c r="D515" s="253">
        <f>COUNTIF(E479:E514,"L")</f>
        <v>12</v>
      </c>
      <c r="E515" s="253"/>
      <c r="F515" s="254"/>
      <c r="G515" s="254"/>
      <c r="H515" s="254"/>
      <c r="I515" s="254"/>
      <c r="J515" s="254"/>
      <c r="K515" s="254"/>
      <c r="L515" s="254"/>
      <c r="M515" s="254"/>
      <c r="N515" s="254"/>
      <c r="O515" s="254"/>
      <c r="P515" s="254"/>
      <c r="Q515" s="254"/>
      <c r="R515" s="254"/>
      <c r="S515" s="254"/>
      <c r="T515" s="254"/>
      <c r="U515" s="217"/>
      <c r="V515" s="217"/>
      <c r="W515" s="217"/>
      <c r="X515" s="217"/>
      <c r="Y515" s="217"/>
      <c r="Z515" s="217"/>
    </row>
    <row r="516" ht="16.5" hidden="1" customHeight="1">
      <c r="A516" s="252"/>
      <c r="B516" s="368" t="s">
        <v>8790</v>
      </c>
      <c r="C516" s="252"/>
      <c r="D516" s="253">
        <f>COUNTIF(E473:E514,"P")</f>
        <v>24</v>
      </c>
      <c r="E516" s="253"/>
      <c r="F516" s="254"/>
      <c r="G516" s="254"/>
      <c r="H516" s="254"/>
      <c r="I516" s="254"/>
      <c r="J516" s="254"/>
      <c r="K516" s="338" t="s">
        <v>9753</v>
      </c>
      <c r="L516" s="339"/>
      <c r="M516" s="339"/>
      <c r="N516" s="339"/>
      <c r="O516" s="339"/>
      <c r="P516" s="339"/>
      <c r="Q516" s="339"/>
      <c r="R516" s="340"/>
      <c r="S516" s="293"/>
      <c r="T516" s="293"/>
      <c r="U516" s="217"/>
      <c r="V516" s="217"/>
      <c r="W516" s="217"/>
      <c r="X516" s="217"/>
      <c r="Y516" s="217"/>
      <c r="Z516" s="217"/>
    </row>
    <row r="517" ht="16.5" hidden="1" customHeight="1">
      <c r="A517" s="252"/>
      <c r="B517" s="368" t="s">
        <v>8792</v>
      </c>
      <c r="C517" s="252"/>
      <c r="D517" s="253">
        <f>SUM(D515:D516)</f>
        <v>36</v>
      </c>
      <c r="E517" s="253"/>
      <c r="F517" s="254"/>
      <c r="G517" s="254"/>
      <c r="H517" s="254"/>
      <c r="I517" s="254"/>
      <c r="J517" s="254"/>
      <c r="K517" s="258" t="s">
        <v>8793</v>
      </c>
      <c r="L517" s="259"/>
      <c r="M517" s="259"/>
      <c r="N517" s="259"/>
      <c r="O517" s="259"/>
      <c r="P517" s="259"/>
      <c r="Q517" s="259"/>
      <c r="R517" s="259"/>
      <c r="S517" s="259"/>
      <c r="T517" s="260"/>
      <c r="U517" s="217"/>
      <c r="V517" s="217"/>
      <c r="W517" s="217"/>
      <c r="X517" s="217"/>
      <c r="Y517" s="217"/>
      <c r="Z517" s="217"/>
    </row>
    <row r="518" ht="78.0" hidden="1" customHeight="1">
      <c r="A518" s="261" t="s">
        <v>8743</v>
      </c>
      <c r="B518" s="261"/>
      <c r="C518" s="261"/>
      <c r="D518" s="261"/>
      <c r="E518" s="261"/>
      <c r="F518" s="261"/>
      <c r="G518" s="261"/>
      <c r="H518" s="261"/>
      <c r="I518" s="261"/>
      <c r="J518" s="261"/>
      <c r="K518" s="261"/>
      <c r="L518" s="261"/>
      <c r="M518" s="261"/>
      <c r="N518" s="261"/>
      <c r="O518" s="261"/>
      <c r="P518" s="261"/>
      <c r="Q518" s="261"/>
      <c r="R518" s="261"/>
      <c r="S518" s="261"/>
      <c r="T518" s="261"/>
      <c r="U518" s="217"/>
      <c r="V518" s="217"/>
      <c r="W518" s="217"/>
      <c r="X518" s="217"/>
      <c r="Y518" s="217"/>
      <c r="Z518" s="217"/>
    </row>
    <row r="519" ht="15.75" hidden="1" customHeight="1">
      <c r="A519" s="262" t="s">
        <v>9365</v>
      </c>
      <c r="B519" s="263"/>
      <c r="C519" s="263"/>
      <c r="D519" s="263"/>
      <c r="E519" s="263"/>
      <c r="F519" s="263"/>
      <c r="G519" s="263"/>
      <c r="H519" s="263"/>
      <c r="I519" s="263"/>
      <c r="J519" s="263"/>
      <c r="K519" s="263"/>
      <c r="L519" s="263"/>
      <c r="M519" s="263"/>
      <c r="N519" s="263"/>
      <c r="O519" s="263"/>
      <c r="P519" s="263"/>
      <c r="Q519" s="263"/>
      <c r="R519" s="263"/>
      <c r="S519" s="263"/>
      <c r="T519" s="264"/>
      <c r="U519" s="217"/>
      <c r="V519" s="217"/>
      <c r="W519" s="217"/>
      <c r="X519" s="217"/>
      <c r="Y519" s="217"/>
      <c r="Z519" s="217"/>
    </row>
    <row r="520" ht="15.75" hidden="1" customHeight="1">
      <c r="A520" s="222" t="s">
        <v>9798</v>
      </c>
      <c r="B520" s="223"/>
      <c r="C520" s="223"/>
      <c r="D520" s="223"/>
      <c r="E520" s="223"/>
      <c r="F520" s="223"/>
      <c r="G520" s="223"/>
      <c r="H520" s="223"/>
      <c r="I520" s="223"/>
      <c r="J520" s="223"/>
      <c r="K520" s="223"/>
      <c r="L520" s="223"/>
      <c r="M520" s="223"/>
      <c r="N520" s="223"/>
      <c r="O520" s="223"/>
      <c r="P520" s="223"/>
      <c r="Q520" s="223"/>
      <c r="R520" s="223"/>
      <c r="S520" s="223"/>
      <c r="T520" s="224"/>
      <c r="U520" s="217"/>
      <c r="V520" s="217"/>
      <c r="W520" s="217"/>
      <c r="X520" s="217"/>
      <c r="Y520" s="217"/>
      <c r="Z520" s="217"/>
    </row>
    <row r="521" ht="15.75" hidden="1" customHeight="1">
      <c r="A521" s="225" t="s">
        <v>9854</v>
      </c>
      <c r="B521" s="226"/>
      <c r="C521" s="226"/>
      <c r="D521" s="226"/>
      <c r="E521" s="226"/>
      <c r="F521" s="226"/>
      <c r="G521" s="226"/>
      <c r="H521" s="226"/>
      <c r="I521" s="226"/>
      <c r="J521" s="226"/>
      <c r="K521" s="226"/>
      <c r="L521" s="226"/>
      <c r="M521" s="226"/>
      <c r="N521" s="226"/>
      <c r="O521" s="226"/>
      <c r="P521" s="226"/>
      <c r="Q521" s="226"/>
      <c r="R521" s="226"/>
      <c r="S521" s="226"/>
      <c r="T521" s="227"/>
      <c r="U521" s="217"/>
      <c r="V521" s="217"/>
      <c r="W521" s="217"/>
      <c r="X521" s="217"/>
      <c r="Y521" s="217"/>
      <c r="Z521" s="217"/>
    </row>
    <row r="522" ht="15.75" hidden="1" customHeight="1">
      <c r="A522" s="228" t="s">
        <v>9855</v>
      </c>
      <c r="B522" s="229"/>
      <c r="C522" s="229"/>
      <c r="D522" s="229"/>
      <c r="E522" s="229"/>
      <c r="F522" s="230"/>
      <c r="G522" s="230"/>
      <c r="H522" s="230"/>
      <c r="I522" s="230"/>
      <c r="J522" s="230"/>
      <c r="K522" s="230"/>
      <c r="L522" s="230"/>
      <c r="M522" s="230"/>
      <c r="N522" s="230"/>
      <c r="O522" s="230"/>
      <c r="P522" s="230"/>
      <c r="Q522" s="230"/>
      <c r="R522" s="230"/>
      <c r="S522" s="230"/>
      <c r="T522" s="230"/>
      <c r="U522" s="217"/>
      <c r="V522" s="217"/>
      <c r="W522" s="217"/>
      <c r="X522" s="217"/>
      <c r="Y522" s="217"/>
      <c r="Z522" s="217"/>
    </row>
    <row r="523" ht="14.25" hidden="1" customHeight="1">
      <c r="A523" s="231" t="s">
        <v>8748</v>
      </c>
      <c r="B523" s="231" t="s">
        <v>9</v>
      </c>
      <c r="C523" s="231" t="s">
        <v>5246</v>
      </c>
      <c r="D523" s="231" t="s">
        <v>8680</v>
      </c>
      <c r="E523" s="232" t="s">
        <v>13</v>
      </c>
      <c r="F523" s="233" t="s">
        <v>9801</v>
      </c>
      <c r="G523" s="234"/>
      <c r="H523" s="234"/>
      <c r="I523" s="234"/>
      <c r="J523" s="234"/>
      <c r="K523" s="234"/>
      <c r="L523" s="234"/>
      <c r="M523" s="234"/>
      <c r="N523" s="234"/>
      <c r="O523" s="234"/>
      <c r="P523" s="234"/>
      <c r="Q523" s="234"/>
      <c r="R523" s="234"/>
      <c r="S523" s="234"/>
      <c r="T523" s="235"/>
      <c r="U523" s="217"/>
      <c r="V523" s="217"/>
      <c r="W523" s="217"/>
      <c r="X523" s="217"/>
      <c r="Y523" s="217"/>
      <c r="Z523" s="217"/>
    </row>
    <row r="524" ht="14.25" hidden="1" customHeight="1">
      <c r="A524" s="236"/>
      <c r="B524" s="236"/>
      <c r="C524" s="236"/>
      <c r="D524" s="236"/>
      <c r="E524" s="237"/>
      <c r="F524" s="238" t="s">
        <v>9802</v>
      </c>
      <c r="G524" s="239"/>
      <c r="H524" s="239"/>
      <c r="I524" s="239"/>
      <c r="J524" s="239"/>
      <c r="K524" s="239"/>
      <c r="L524" s="239"/>
      <c r="M524" s="239"/>
      <c r="N524" s="239"/>
      <c r="O524" s="239"/>
      <c r="P524" s="239"/>
      <c r="Q524" s="240"/>
      <c r="R524" s="233" t="s">
        <v>9713</v>
      </c>
      <c r="S524" s="234"/>
      <c r="T524" s="235"/>
      <c r="U524" s="217"/>
      <c r="V524" s="217"/>
      <c r="W524" s="217"/>
      <c r="X524" s="217"/>
      <c r="Y524" s="217"/>
      <c r="Z524" s="217"/>
    </row>
    <row r="525" ht="14.25" hidden="1" customHeight="1">
      <c r="A525" s="241"/>
      <c r="B525" s="295"/>
      <c r="C525" s="295"/>
      <c r="D525" s="241"/>
      <c r="E525" s="242"/>
      <c r="F525" s="243">
        <v>1.0</v>
      </c>
      <c r="G525" s="243">
        <v>2.0</v>
      </c>
      <c r="H525" s="243">
        <v>3.0</v>
      </c>
      <c r="I525" s="243">
        <v>4.0</v>
      </c>
      <c r="J525" s="243">
        <v>5.0</v>
      </c>
      <c r="K525" s="243">
        <v>6.0</v>
      </c>
      <c r="L525" s="243">
        <v>7.0</v>
      </c>
      <c r="M525" s="243">
        <v>8.0</v>
      </c>
      <c r="N525" s="243">
        <v>9.0</v>
      </c>
      <c r="O525" s="243">
        <v>10.0</v>
      </c>
      <c r="P525" s="243">
        <v>11.0</v>
      </c>
      <c r="Q525" s="243">
        <v>12.0</v>
      </c>
      <c r="R525" s="243" t="s">
        <v>9714</v>
      </c>
      <c r="S525" s="243" t="s">
        <v>9715</v>
      </c>
      <c r="T525" s="244" t="s">
        <v>9716</v>
      </c>
      <c r="U525" s="217"/>
      <c r="V525" s="217"/>
      <c r="W525" s="217"/>
      <c r="X525" s="217"/>
      <c r="Y525" s="217"/>
      <c r="Z525" s="217"/>
    </row>
    <row r="526" ht="15.0" customHeight="1">
      <c r="A526" s="318">
        <v>1.0</v>
      </c>
      <c r="B526" s="304" t="s">
        <v>5050</v>
      </c>
      <c r="C526" s="305"/>
      <c r="D526" s="266" t="s">
        <v>5051</v>
      </c>
      <c r="E526" s="267" t="s">
        <v>227</v>
      </c>
      <c r="F526" s="269"/>
      <c r="G526" s="269"/>
      <c r="H526" s="269"/>
      <c r="I526" s="269"/>
      <c r="J526" s="269"/>
      <c r="K526" s="269"/>
      <c r="L526" s="269"/>
      <c r="M526" s="269"/>
      <c r="N526" s="269"/>
      <c r="O526" s="269"/>
      <c r="P526" s="269"/>
      <c r="Q526" s="269"/>
      <c r="R526" s="269"/>
      <c r="S526" s="269"/>
      <c r="T526" s="269"/>
      <c r="U526" s="217"/>
      <c r="V526" s="217"/>
      <c r="W526" s="217"/>
      <c r="X526" s="217"/>
      <c r="Y526" s="217"/>
      <c r="Z526" s="217"/>
    </row>
    <row r="527" ht="15.0" customHeight="1">
      <c r="A527" s="318">
        <v>2.0</v>
      </c>
      <c r="B527" s="297" t="s">
        <v>5057</v>
      </c>
      <c r="C527" s="298"/>
      <c r="D527" s="266" t="s">
        <v>5058</v>
      </c>
      <c r="E527" s="267" t="s">
        <v>227</v>
      </c>
      <c r="F527" s="269"/>
      <c r="G527" s="269"/>
      <c r="H527" s="269"/>
      <c r="I527" s="269"/>
      <c r="J527" s="269"/>
      <c r="K527" s="269"/>
      <c r="L527" s="269"/>
      <c r="M527" s="269"/>
      <c r="N527" s="269"/>
      <c r="O527" s="269"/>
      <c r="P527" s="269"/>
      <c r="Q527" s="269"/>
      <c r="R527" s="269"/>
      <c r="S527" s="269"/>
      <c r="T527" s="269"/>
      <c r="U527" s="217"/>
      <c r="V527" s="217"/>
      <c r="W527" s="217"/>
      <c r="X527" s="217"/>
      <c r="Y527" s="217"/>
      <c r="Z527" s="217"/>
    </row>
    <row r="528" ht="15.0" customHeight="1">
      <c r="A528" s="318">
        <v>3.0</v>
      </c>
      <c r="B528" s="297" t="s">
        <v>5062</v>
      </c>
      <c r="C528" s="298"/>
      <c r="D528" s="266" t="s">
        <v>5063</v>
      </c>
      <c r="E528" s="267" t="s">
        <v>227</v>
      </c>
      <c r="F528" s="269"/>
      <c r="G528" s="269"/>
      <c r="H528" s="269"/>
      <c r="I528" s="269"/>
      <c r="J528" s="269"/>
      <c r="K528" s="269"/>
      <c r="L528" s="269"/>
      <c r="M528" s="269"/>
      <c r="N528" s="269"/>
      <c r="O528" s="269"/>
      <c r="P528" s="269"/>
      <c r="Q528" s="269"/>
      <c r="R528" s="269"/>
      <c r="S528" s="269"/>
      <c r="T528" s="269"/>
      <c r="U528" s="217"/>
      <c r="V528" s="217"/>
      <c r="W528" s="217"/>
      <c r="X528" s="217"/>
      <c r="Y528" s="217"/>
      <c r="Z528" s="217"/>
    </row>
    <row r="529" ht="15.0" customHeight="1">
      <c r="A529" s="318">
        <v>4.0</v>
      </c>
      <c r="B529" s="297" t="s">
        <v>5067</v>
      </c>
      <c r="C529" s="298"/>
      <c r="D529" s="266" t="s">
        <v>5068</v>
      </c>
      <c r="E529" s="267" t="s">
        <v>220</v>
      </c>
      <c r="F529" s="269"/>
      <c r="G529" s="269"/>
      <c r="H529" s="269"/>
      <c r="I529" s="269"/>
      <c r="J529" s="269"/>
      <c r="K529" s="269"/>
      <c r="L529" s="269"/>
      <c r="M529" s="269"/>
      <c r="N529" s="269"/>
      <c r="O529" s="269"/>
      <c r="P529" s="269"/>
      <c r="Q529" s="269"/>
      <c r="R529" s="269"/>
      <c r="S529" s="269"/>
      <c r="T529" s="269"/>
      <c r="U529" s="217"/>
      <c r="V529" s="217"/>
      <c r="W529" s="217"/>
      <c r="X529" s="217"/>
      <c r="Y529" s="217"/>
      <c r="Z529" s="217"/>
    </row>
    <row r="530" ht="15.0" customHeight="1">
      <c r="A530" s="318">
        <v>5.0</v>
      </c>
      <c r="B530" s="297" t="s">
        <v>5072</v>
      </c>
      <c r="C530" s="298"/>
      <c r="D530" s="266" t="s">
        <v>5073</v>
      </c>
      <c r="E530" s="267" t="s">
        <v>227</v>
      </c>
      <c r="F530" s="269"/>
      <c r="G530" s="269"/>
      <c r="H530" s="269"/>
      <c r="I530" s="269"/>
      <c r="J530" s="269"/>
      <c r="K530" s="269"/>
      <c r="L530" s="269"/>
      <c r="M530" s="269"/>
      <c r="N530" s="269"/>
      <c r="O530" s="269"/>
      <c r="P530" s="269"/>
      <c r="Q530" s="269"/>
      <c r="R530" s="269"/>
      <c r="S530" s="269"/>
      <c r="T530" s="269"/>
      <c r="U530" s="217"/>
      <c r="V530" s="217"/>
      <c r="W530" s="217"/>
      <c r="X530" s="217"/>
      <c r="Y530" s="217"/>
      <c r="Z530" s="217"/>
    </row>
    <row r="531" ht="15.0" customHeight="1">
      <c r="A531" s="318">
        <v>6.0</v>
      </c>
      <c r="B531" s="297" t="s">
        <v>5077</v>
      </c>
      <c r="C531" s="298"/>
      <c r="D531" s="266" t="s">
        <v>5078</v>
      </c>
      <c r="E531" s="267" t="s">
        <v>227</v>
      </c>
      <c r="F531" s="269"/>
      <c r="G531" s="269"/>
      <c r="H531" s="269"/>
      <c r="I531" s="269"/>
      <c r="J531" s="269"/>
      <c r="K531" s="269"/>
      <c r="L531" s="269"/>
      <c r="M531" s="269"/>
      <c r="N531" s="269"/>
      <c r="O531" s="269"/>
      <c r="P531" s="269"/>
      <c r="Q531" s="269"/>
      <c r="R531" s="269"/>
      <c r="S531" s="269"/>
      <c r="T531" s="269"/>
      <c r="U531" s="217"/>
      <c r="V531" s="217"/>
      <c r="W531" s="217"/>
      <c r="X531" s="217"/>
      <c r="Y531" s="217"/>
      <c r="Z531" s="217"/>
    </row>
    <row r="532" ht="15.0" customHeight="1">
      <c r="A532" s="318">
        <v>7.0</v>
      </c>
      <c r="B532" s="297" t="s">
        <v>53</v>
      </c>
      <c r="C532" s="298"/>
      <c r="D532" s="266" t="s">
        <v>5082</v>
      </c>
      <c r="E532" s="267" t="s">
        <v>227</v>
      </c>
      <c r="F532" s="269"/>
      <c r="G532" s="269"/>
      <c r="H532" s="269"/>
      <c r="I532" s="269"/>
      <c r="J532" s="269"/>
      <c r="K532" s="269"/>
      <c r="L532" s="269"/>
      <c r="M532" s="269"/>
      <c r="N532" s="269"/>
      <c r="O532" s="269"/>
      <c r="P532" s="269"/>
      <c r="Q532" s="269"/>
      <c r="R532" s="269"/>
      <c r="S532" s="269"/>
      <c r="T532" s="269"/>
      <c r="U532" s="217"/>
      <c r="V532" s="217"/>
      <c r="W532" s="217"/>
      <c r="X532" s="217"/>
      <c r="Y532" s="217"/>
      <c r="Z532" s="217"/>
    </row>
    <row r="533" ht="15.0" customHeight="1">
      <c r="A533" s="318">
        <v>8.0</v>
      </c>
      <c r="B533" s="297" t="s">
        <v>5086</v>
      </c>
      <c r="C533" s="298"/>
      <c r="D533" s="266" t="s">
        <v>5087</v>
      </c>
      <c r="E533" s="267" t="s">
        <v>227</v>
      </c>
      <c r="F533" s="269"/>
      <c r="G533" s="269"/>
      <c r="H533" s="269"/>
      <c r="I533" s="269"/>
      <c r="J533" s="269"/>
      <c r="K533" s="269"/>
      <c r="L533" s="269"/>
      <c r="M533" s="269"/>
      <c r="N533" s="269"/>
      <c r="O533" s="269"/>
      <c r="P533" s="269"/>
      <c r="Q533" s="269"/>
      <c r="R533" s="269"/>
      <c r="S533" s="269"/>
      <c r="T533" s="269"/>
      <c r="U533" s="217"/>
      <c r="V533" s="217"/>
      <c r="W533" s="217"/>
      <c r="X533" s="217"/>
      <c r="Y533" s="217"/>
      <c r="Z533" s="217"/>
    </row>
    <row r="534" ht="15.0" customHeight="1">
      <c r="A534" s="318">
        <v>9.0</v>
      </c>
      <c r="B534" s="297" t="s">
        <v>5091</v>
      </c>
      <c r="C534" s="298"/>
      <c r="D534" s="266" t="s">
        <v>5092</v>
      </c>
      <c r="E534" s="271" t="s">
        <v>227</v>
      </c>
      <c r="F534" s="269"/>
      <c r="G534" s="269"/>
      <c r="H534" s="269"/>
      <c r="I534" s="269"/>
      <c r="J534" s="269"/>
      <c r="K534" s="269"/>
      <c r="L534" s="269"/>
      <c r="M534" s="269"/>
      <c r="N534" s="269"/>
      <c r="O534" s="269"/>
      <c r="P534" s="269"/>
      <c r="Q534" s="269"/>
      <c r="R534" s="269"/>
      <c r="S534" s="269"/>
      <c r="T534" s="269"/>
      <c r="U534" s="217"/>
      <c r="V534" s="217"/>
      <c r="W534" s="217"/>
      <c r="X534" s="217"/>
      <c r="Y534" s="217"/>
      <c r="Z534" s="217"/>
    </row>
    <row r="535" ht="15.0" customHeight="1">
      <c r="A535" s="318">
        <v>10.0</v>
      </c>
      <c r="B535" s="297" t="s">
        <v>5097</v>
      </c>
      <c r="C535" s="298"/>
      <c r="D535" s="266" t="s">
        <v>5098</v>
      </c>
      <c r="E535" s="267" t="s">
        <v>227</v>
      </c>
      <c r="F535" s="269"/>
      <c r="G535" s="269"/>
      <c r="H535" s="269"/>
      <c r="I535" s="269"/>
      <c r="J535" s="269"/>
      <c r="K535" s="269"/>
      <c r="L535" s="269"/>
      <c r="M535" s="269"/>
      <c r="N535" s="269"/>
      <c r="O535" s="269"/>
      <c r="P535" s="269"/>
      <c r="Q535" s="269"/>
      <c r="R535" s="269"/>
      <c r="S535" s="269"/>
      <c r="T535" s="269"/>
      <c r="U535" s="217"/>
      <c r="V535" s="217"/>
      <c r="W535" s="217"/>
      <c r="X535" s="217"/>
      <c r="Y535" s="217"/>
      <c r="Z535" s="217"/>
    </row>
    <row r="536" ht="15.0" customHeight="1">
      <c r="A536" s="318">
        <v>11.0</v>
      </c>
      <c r="B536" s="297" t="s">
        <v>5102</v>
      </c>
      <c r="C536" s="298"/>
      <c r="D536" s="266" t="s">
        <v>5103</v>
      </c>
      <c r="E536" s="267" t="s">
        <v>220</v>
      </c>
      <c r="F536" s="269"/>
      <c r="G536" s="269"/>
      <c r="H536" s="269"/>
      <c r="I536" s="269"/>
      <c r="J536" s="269"/>
      <c r="K536" s="269"/>
      <c r="L536" s="269"/>
      <c r="M536" s="269"/>
      <c r="N536" s="269"/>
      <c r="O536" s="269"/>
      <c r="P536" s="269"/>
      <c r="Q536" s="269"/>
      <c r="R536" s="269"/>
      <c r="S536" s="269"/>
      <c r="T536" s="269"/>
      <c r="U536" s="217"/>
      <c r="V536" s="217"/>
      <c r="W536" s="217"/>
      <c r="X536" s="217"/>
      <c r="Y536" s="217"/>
      <c r="Z536" s="217"/>
    </row>
    <row r="537" ht="15.0" customHeight="1">
      <c r="A537" s="318">
        <v>12.0</v>
      </c>
      <c r="B537" s="297" t="s">
        <v>5107</v>
      </c>
      <c r="C537" s="298"/>
      <c r="D537" s="266" t="s">
        <v>5108</v>
      </c>
      <c r="E537" s="267" t="s">
        <v>220</v>
      </c>
      <c r="F537" s="269"/>
      <c r="G537" s="269"/>
      <c r="H537" s="269"/>
      <c r="I537" s="269"/>
      <c r="J537" s="269"/>
      <c r="K537" s="269"/>
      <c r="L537" s="269"/>
      <c r="M537" s="269"/>
      <c r="N537" s="269"/>
      <c r="O537" s="269"/>
      <c r="P537" s="269"/>
      <c r="Q537" s="269"/>
      <c r="R537" s="269"/>
      <c r="S537" s="269"/>
      <c r="T537" s="269"/>
      <c r="U537" s="217"/>
      <c r="V537" s="217"/>
      <c r="W537" s="217"/>
      <c r="X537" s="217"/>
      <c r="Y537" s="217"/>
      <c r="Z537" s="217"/>
    </row>
    <row r="538" ht="15.0" customHeight="1">
      <c r="A538" s="318">
        <v>13.0</v>
      </c>
      <c r="B538" s="297" t="s">
        <v>5112</v>
      </c>
      <c r="C538" s="298"/>
      <c r="D538" s="266" t="s">
        <v>5113</v>
      </c>
      <c r="E538" s="267" t="s">
        <v>227</v>
      </c>
      <c r="F538" s="269"/>
      <c r="G538" s="269"/>
      <c r="H538" s="269"/>
      <c r="I538" s="269"/>
      <c r="J538" s="269"/>
      <c r="K538" s="269"/>
      <c r="L538" s="269"/>
      <c r="M538" s="269"/>
      <c r="N538" s="269"/>
      <c r="O538" s="269"/>
      <c r="P538" s="269"/>
      <c r="Q538" s="269"/>
      <c r="R538" s="269"/>
      <c r="S538" s="269"/>
      <c r="T538" s="269"/>
      <c r="U538" s="217"/>
      <c r="V538" s="217"/>
      <c r="W538" s="217"/>
      <c r="X538" s="217"/>
      <c r="Y538" s="217"/>
      <c r="Z538" s="217"/>
    </row>
    <row r="539" ht="15.0" customHeight="1">
      <c r="A539" s="318">
        <v>14.0</v>
      </c>
      <c r="B539" s="297" t="s">
        <v>5117</v>
      </c>
      <c r="C539" s="298"/>
      <c r="D539" s="266" t="s">
        <v>5118</v>
      </c>
      <c r="E539" s="267" t="s">
        <v>220</v>
      </c>
      <c r="F539" s="269"/>
      <c r="G539" s="269"/>
      <c r="H539" s="269"/>
      <c r="I539" s="269"/>
      <c r="J539" s="269"/>
      <c r="K539" s="269"/>
      <c r="L539" s="269"/>
      <c r="M539" s="269"/>
      <c r="N539" s="269"/>
      <c r="O539" s="269"/>
      <c r="P539" s="269"/>
      <c r="Q539" s="269"/>
      <c r="R539" s="269"/>
      <c r="S539" s="269"/>
      <c r="T539" s="269"/>
      <c r="U539" s="217"/>
      <c r="V539" s="217"/>
      <c r="W539" s="217"/>
      <c r="X539" s="217"/>
      <c r="Y539" s="217"/>
      <c r="Z539" s="217"/>
    </row>
    <row r="540" ht="15.0" customHeight="1">
      <c r="A540" s="318">
        <v>15.0</v>
      </c>
      <c r="B540" s="297" t="s">
        <v>5122</v>
      </c>
      <c r="C540" s="298"/>
      <c r="D540" s="266" t="s">
        <v>5123</v>
      </c>
      <c r="E540" s="267" t="s">
        <v>227</v>
      </c>
      <c r="F540" s="269"/>
      <c r="G540" s="269"/>
      <c r="H540" s="269"/>
      <c r="I540" s="269"/>
      <c r="J540" s="269"/>
      <c r="K540" s="269"/>
      <c r="L540" s="269"/>
      <c r="M540" s="269"/>
      <c r="N540" s="269"/>
      <c r="O540" s="269"/>
      <c r="P540" s="269"/>
      <c r="Q540" s="269"/>
      <c r="R540" s="269"/>
      <c r="S540" s="269"/>
      <c r="T540" s="269"/>
      <c r="U540" s="217"/>
      <c r="V540" s="217"/>
      <c r="W540" s="217"/>
      <c r="X540" s="217"/>
      <c r="Y540" s="217"/>
      <c r="Z540" s="217"/>
    </row>
    <row r="541" ht="15.0" customHeight="1">
      <c r="A541" s="318">
        <v>16.0</v>
      </c>
      <c r="B541" s="297" t="s">
        <v>5127</v>
      </c>
      <c r="C541" s="298"/>
      <c r="D541" s="266" t="s">
        <v>5128</v>
      </c>
      <c r="E541" s="267" t="s">
        <v>227</v>
      </c>
      <c r="F541" s="269"/>
      <c r="G541" s="269"/>
      <c r="H541" s="269"/>
      <c r="I541" s="269"/>
      <c r="J541" s="269"/>
      <c r="K541" s="269"/>
      <c r="L541" s="269"/>
      <c r="M541" s="269"/>
      <c r="N541" s="269"/>
      <c r="O541" s="269"/>
      <c r="P541" s="269"/>
      <c r="Q541" s="269"/>
      <c r="R541" s="269"/>
      <c r="S541" s="269"/>
      <c r="T541" s="269"/>
      <c r="U541" s="217"/>
      <c r="V541" s="217"/>
      <c r="W541" s="217"/>
      <c r="X541" s="217"/>
      <c r="Y541" s="217"/>
      <c r="Z541" s="217"/>
    </row>
    <row r="542" ht="15.0" customHeight="1">
      <c r="A542" s="318">
        <v>17.0</v>
      </c>
      <c r="B542" s="297" t="s">
        <v>5132</v>
      </c>
      <c r="C542" s="298"/>
      <c r="D542" s="266" t="s">
        <v>5133</v>
      </c>
      <c r="E542" s="267" t="s">
        <v>227</v>
      </c>
      <c r="F542" s="269"/>
      <c r="G542" s="269"/>
      <c r="H542" s="269"/>
      <c r="I542" s="269"/>
      <c r="J542" s="269"/>
      <c r="K542" s="269"/>
      <c r="L542" s="269"/>
      <c r="M542" s="269"/>
      <c r="N542" s="269"/>
      <c r="O542" s="269"/>
      <c r="P542" s="269"/>
      <c r="Q542" s="269"/>
      <c r="R542" s="269"/>
      <c r="S542" s="269"/>
      <c r="T542" s="269"/>
      <c r="U542" s="217"/>
      <c r="V542" s="217"/>
      <c r="W542" s="217"/>
      <c r="X542" s="217"/>
      <c r="Y542" s="217"/>
      <c r="Z542" s="217"/>
    </row>
    <row r="543" ht="15.0" customHeight="1">
      <c r="A543" s="318">
        <v>18.0</v>
      </c>
      <c r="B543" s="335" t="s">
        <v>5138</v>
      </c>
      <c r="C543" s="331"/>
      <c r="D543" s="266" t="s">
        <v>5139</v>
      </c>
      <c r="E543" s="267" t="s">
        <v>220</v>
      </c>
      <c r="F543" s="269"/>
      <c r="G543" s="269"/>
      <c r="H543" s="269"/>
      <c r="I543" s="269"/>
      <c r="J543" s="269"/>
      <c r="K543" s="269"/>
      <c r="L543" s="269"/>
      <c r="M543" s="269"/>
      <c r="N543" s="269"/>
      <c r="O543" s="269"/>
      <c r="P543" s="269"/>
      <c r="Q543" s="269"/>
      <c r="R543" s="269"/>
      <c r="S543" s="269"/>
      <c r="T543" s="269"/>
      <c r="U543" s="217"/>
      <c r="V543" s="217"/>
      <c r="W543" s="217"/>
      <c r="X543" s="217"/>
      <c r="Y543" s="217"/>
      <c r="Z543" s="217"/>
    </row>
    <row r="544" ht="15.0" customHeight="1">
      <c r="A544" s="318">
        <v>19.0</v>
      </c>
      <c r="B544" s="297" t="s">
        <v>5143</v>
      </c>
      <c r="C544" s="298"/>
      <c r="D544" s="266" t="s">
        <v>5144</v>
      </c>
      <c r="E544" s="267" t="s">
        <v>227</v>
      </c>
      <c r="F544" s="269"/>
      <c r="G544" s="269"/>
      <c r="H544" s="269"/>
      <c r="I544" s="269"/>
      <c r="J544" s="269"/>
      <c r="K544" s="269"/>
      <c r="L544" s="269"/>
      <c r="M544" s="269"/>
      <c r="N544" s="269"/>
      <c r="O544" s="269"/>
      <c r="P544" s="269"/>
      <c r="Q544" s="269"/>
      <c r="R544" s="269"/>
      <c r="S544" s="269"/>
      <c r="T544" s="269"/>
      <c r="U544" s="217"/>
      <c r="V544" s="217"/>
      <c r="W544" s="217"/>
      <c r="X544" s="217"/>
      <c r="Y544" s="217"/>
      <c r="Z544" s="217"/>
    </row>
    <row r="545" ht="15.0" customHeight="1">
      <c r="A545" s="318">
        <v>20.0</v>
      </c>
      <c r="B545" s="297" t="s">
        <v>5148</v>
      </c>
      <c r="C545" s="298"/>
      <c r="D545" s="266" t="s">
        <v>5149</v>
      </c>
      <c r="E545" s="267" t="s">
        <v>227</v>
      </c>
      <c r="F545" s="269"/>
      <c r="G545" s="269"/>
      <c r="H545" s="269"/>
      <c r="I545" s="269"/>
      <c r="J545" s="269"/>
      <c r="K545" s="269"/>
      <c r="L545" s="269"/>
      <c r="M545" s="269"/>
      <c r="N545" s="269"/>
      <c r="O545" s="269"/>
      <c r="P545" s="269"/>
      <c r="Q545" s="269"/>
      <c r="R545" s="269"/>
      <c r="S545" s="269"/>
      <c r="T545" s="269"/>
      <c r="U545" s="217"/>
      <c r="V545" s="217"/>
      <c r="W545" s="217"/>
      <c r="X545" s="217"/>
      <c r="Y545" s="217"/>
      <c r="Z545" s="217"/>
    </row>
    <row r="546" ht="15.0" customHeight="1">
      <c r="A546" s="318">
        <v>21.0</v>
      </c>
      <c r="B546" s="297" t="s">
        <v>5153</v>
      </c>
      <c r="C546" s="298"/>
      <c r="D546" s="266" t="s">
        <v>5154</v>
      </c>
      <c r="E546" s="267" t="s">
        <v>220</v>
      </c>
      <c r="F546" s="269"/>
      <c r="G546" s="269"/>
      <c r="H546" s="269"/>
      <c r="I546" s="269"/>
      <c r="J546" s="269"/>
      <c r="K546" s="269"/>
      <c r="L546" s="269"/>
      <c r="M546" s="269"/>
      <c r="N546" s="269"/>
      <c r="O546" s="269"/>
      <c r="P546" s="269"/>
      <c r="Q546" s="269"/>
      <c r="R546" s="269"/>
      <c r="S546" s="269"/>
      <c r="T546" s="269"/>
      <c r="U546" s="217"/>
      <c r="V546" s="217"/>
      <c r="W546" s="217"/>
      <c r="X546" s="217"/>
      <c r="Y546" s="217"/>
      <c r="Z546" s="217"/>
    </row>
    <row r="547" ht="15.0" customHeight="1">
      <c r="A547" s="318">
        <v>22.0</v>
      </c>
      <c r="B547" s="297" t="s">
        <v>5158</v>
      </c>
      <c r="C547" s="298"/>
      <c r="D547" s="266" t="s">
        <v>5159</v>
      </c>
      <c r="E547" s="267" t="s">
        <v>227</v>
      </c>
      <c r="F547" s="269"/>
      <c r="G547" s="269"/>
      <c r="H547" s="269"/>
      <c r="I547" s="269"/>
      <c r="J547" s="269"/>
      <c r="K547" s="269"/>
      <c r="L547" s="269"/>
      <c r="M547" s="269"/>
      <c r="N547" s="269"/>
      <c r="O547" s="269"/>
      <c r="P547" s="269"/>
      <c r="Q547" s="269"/>
      <c r="R547" s="269"/>
      <c r="S547" s="269"/>
      <c r="T547" s="269"/>
      <c r="U547" s="217"/>
      <c r="V547" s="217"/>
      <c r="W547" s="217"/>
      <c r="X547" s="217"/>
      <c r="Y547" s="217"/>
      <c r="Z547" s="217"/>
    </row>
    <row r="548" ht="15.0" customHeight="1">
      <c r="A548" s="318">
        <v>23.0</v>
      </c>
      <c r="B548" s="297" t="s">
        <v>129</v>
      </c>
      <c r="C548" s="298"/>
      <c r="D548" s="266" t="s">
        <v>5163</v>
      </c>
      <c r="E548" s="267" t="s">
        <v>227</v>
      </c>
      <c r="F548" s="269"/>
      <c r="G548" s="269"/>
      <c r="H548" s="269"/>
      <c r="I548" s="269"/>
      <c r="J548" s="269"/>
      <c r="K548" s="269"/>
      <c r="L548" s="269"/>
      <c r="M548" s="269"/>
      <c r="N548" s="269"/>
      <c r="O548" s="269"/>
      <c r="P548" s="269"/>
      <c r="Q548" s="269"/>
      <c r="R548" s="269"/>
      <c r="S548" s="269"/>
      <c r="T548" s="269"/>
      <c r="U548" s="217"/>
      <c r="V548" s="217"/>
      <c r="W548" s="217"/>
      <c r="X548" s="217"/>
      <c r="Y548" s="217"/>
      <c r="Z548" s="217"/>
    </row>
    <row r="549" ht="15.0" customHeight="1">
      <c r="A549" s="318">
        <v>24.0</v>
      </c>
      <c r="B549" s="297" t="s">
        <v>5167</v>
      </c>
      <c r="C549" s="298"/>
      <c r="D549" s="266" t="s">
        <v>5168</v>
      </c>
      <c r="E549" s="267" t="s">
        <v>227</v>
      </c>
      <c r="F549" s="269"/>
      <c r="G549" s="269"/>
      <c r="H549" s="269"/>
      <c r="I549" s="269"/>
      <c r="J549" s="269"/>
      <c r="K549" s="269"/>
      <c r="L549" s="269"/>
      <c r="M549" s="269"/>
      <c r="N549" s="269"/>
      <c r="O549" s="269"/>
      <c r="P549" s="269"/>
      <c r="Q549" s="269"/>
      <c r="R549" s="269"/>
      <c r="S549" s="269"/>
      <c r="T549" s="269"/>
      <c r="U549" s="217"/>
      <c r="V549" s="217"/>
      <c r="W549" s="217"/>
      <c r="X549" s="217"/>
      <c r="Y549" s="217"/>
      <c r="Z549" s="217"/>
    </row>
    <row r="550" ht="15.0" customHeight="1">
      <c r="A550" s="318">
        <v>25.0</v>
      </c>
      <c r="B550" s="297" t="s">
        <v>5173</v>
      </c>
      <c r="C550" s="298"/>
      <c r="D550" s="266" t="s">
        <v>5174</v>
      </c>
      <c r="E550" s="267" t="s">
        <v>220</v>
      </c>
      <c r="F550" s="269"/>
      <c r="G550" s="269"/>
      <c r="H550" s="269"/>
      <c r="I550" s="269"/>
      <c r="J550" s="269"/>
      <c r="K550" s="269"/>
      <c r="L550" s="269"/>
      <c r="M550" s="269"/>
      <c r="N550" s="269"/>
      <c r="O550" s="269"/>
      <c r="P550" s="269"/>
      <c r="Q550" s="269"/>
      <c r="R550" s="269"/>
      <c r="S550" s="269"/>
      <c r="T550" s="269"/>
      <c r="U550" s="217"/>
      <c r="V550" s="217"/>
      <c r="W550" s="217"/>
      <c r="X550" s="217"/>
      <c r="Y550" s="217"/>
      <c r="Z550" s="217"/>
    </row>
    <row r="551" ht="15.0" customHeight="1">
      <c r="A551" s="318">
        <v>26.0</v>
      </c>
      <c r="B551" s="297" t="s">
        <v>5178</v>
      </c>
      <c r="C551" s="298"/>
      <c r="D551" s="270" t="s">
        <v>5179</v>
      </c>
      <c r="E551" s="271" t="s">
        <v>220</v>
      </c>
      <c r="F551" s="269"/>
      <c r="G551" s="269"/>
      <c r="H551" s="269"/>
      <c r="I551" s="269"/>
      <c r="J551" s="269"/>
      <c r="K551" s="269"/>
      <c r="L551" s="269"/>
      <c r="M551" s="269"/>
      <c r="N551" s="269"/>
      <c r="O551" s="269"/>
      <c r="P551" s="269"/>
      <c r="Q551" s="269"/>
      <c r="R551" s="269"/>
      <c r="S551" s="269"/>
      <c r="T551" s="269"/>
      <c r="U551" s="217"/>
      <c r="V551" s="217"/>
      <c r="W551" s="217"/>
      <c r="X551" s="217"/>
      <c r="Y551" s="217"/>
      <c r="Z551" s="217"/>
    </row>
    <row r="552" ht="15.0" customHeight="1">
      <c r="A552" s="318">
        <v>27.0</v>
      </c>
      <c r="B552" s="297" t="s">
        <v>5183</v>
      </c>
      <c r="C552" s="298"/>
      <c r="D552" s="270" t="s">
        <v>5184</v>
      </c>
      <c r="E552" s="271" t="s">
        <v>220</v>
      </c>
      <c r="F552" s="287"/>
      <c r="G552" s="287"/>
      <c r="H552" s="287"/>
      <c r="I552" s="287"/>
      <c r="J552" s="287"/>
      <c r="K552" s="287"/>
      <c r="L552" s="287"/>
      <c r="M552" s="287"/>
      <c r="N552" s="287"/>
      <c r="O552" s="287"/>
      <c r="P552" s="287"/>
      <c r="Q552" s="287"/>
      <c r="R552" s="287"/>
      <c r="S552" s="287"/>
      <c r="T552" s="287"/>
      <c r="W552" s="217"/>
      <c r="X552" s="217"/>
      <c r="Y552" s="217"/>
      <c r="Z552" s="217"/>
    </row>
    <row r="553" ht="15.0" customHeight="1">
      <c r="A553" s="318">
        <v>28.0</v>
      </c>
      <c r="B553" s="297" t="s">
        <v>5188</v>
      </c>
      <c r="C553" s="298"/>
      <c r="D553" s="266" t="s">
        <v>5189</v>
      </c>
      <c r="E553" s="267" t="s">
        <v>220</v>
      </c>
      <c r="F553" s="269"/>
      <c r="G553" s="269"/>
      <c r="H553" s="269"/>
      <c r="I553" s="269"/>
      <c r="J553" s="269"/>
      <c r="K553" s="269"/>
      <c r="L553" s="269"/>
      <c r="M553" s="269"/>
      <c r="N553" s="269"/>
      <c r="O553" s="269"/>
      <c r="P553" s="269"/>
      <c r="Q553" s="269"/>
      <c r="R553" s="269"/>
      <c r="S553" s="269"/>
      <c r="T553" s="269"/>
      <c r="U553" s="217"/>
      <c r="V553" s="217"/>
      <c r="W553" s="217"/>
      <c r="X553" s="217"/>
      <c r="Y553" s="217"/>
      <c r="Z553" s="217"/>
    </row>
    <row r="554" ht="15.0" customHeight="1">
      <c r="A554" s="318">
        <v>29.0</v>
      </c>
      <c r="B554" s="297" t="s">
        <v>5193</v>
      </c>
      <c r="C554" s="298"/>
      <c r="D554" s="266" t="s">
        <v>5194</v>
      </c>
      <c r="E554" s="267" t="s">
        <v>220</v>
      </c>
      <c r="F554" s="269"/>
      <c r="G554" s="269"/>
      <c r="H554" s="269"/>
      <c r="I554" s="269"/>
      <c r="J554" s="269"/>
      <c r="K554" s="269"/>
      <c r="L554" s="269"/>
      <c r="M554" s="269"/>
      <c r="N554" s="269"/>
      <c r="O554" s="269"/>
      <c r="P554" s="269"/>
      <c r="Q554" s="269"/>
      <c r="R554" s="269"/>
      <c r="S554" s="269"/>
      <c r="T554" s="269"/>
      <c r="U554" s="217"/>
      <c r="V554" s="217"/>
      <c r="W554" s="217"/>
      <c r="X554" s="217"/>
      <c r="Y554" s="217"/>
      <c r="Z554" s="217"/>
    </row>
    <row r="555" ht="15.0" customHeight="1">
      <c r="A555" s="318">
        <v>31.0</v>
      </c>
      <c r="B555" s="297" t="s">
        <v>5198</v>
      </c>
      <c r="C555" s="298"/>
      <c r="D555" s="266" t="s">
        <v>5199</v>
      </c>
      <c r="E555" s="267" t="s">
        <v>220</v>
      </c>
      <c r="F555" s="269"/>
      <c r="G555" s="269"/>
      <c r="H555" s="269"/>
      <c r="I555" s="269"/>
      <c r="J555" s="269"/>
      <c r="K555" s="269"/>
      <c r="L555" s="269"/>
      <c r="M555" s="269"/>
      <c r="N555" s="269"/>
      <c r="O555" s="269"/>
      <c r="P555" s="269"/>
      <c r="Q555" s="269"/>
      <c r="R555" s="269"/>
      <c r="S555" s="269"/>
      <c r="T555" s="269"/>
      <c r="U555" s="217"/>
      <c r="V555" s="217"/>
      <c r="W555" s="217"/>
      <c r="X555" s="217"/>
      <c r="Y555" s="217"/>
      <c r="Z555" s="217"/>
    </row>
    <row r="556" ht="15.0" customHeight="1">
      <c r="A556" s="318">
        <v>32.0</v>
      </c>
      <c r="B556" s="297" t="s">
        <v>5203</v>
      </c>
      <c r="C556" s="298"/>
      <c r="D556" s="266" t="s">
        <v>5204</v>
      </c>
      <c r="E556" s="267" t="s">
        <v>227</v>
      </c>
      <c r="F556" s="269"/>
      <c r="G556" s="269"/>
      <c r="H556" s="269"/>
      <c r="I556" s="269"/>
      <c r="J556" s="269"/>
      <c r="K556" s="269"/>
      <c r="L556" s="269"/>
      <c r="M556" s="269"/>
      <c r="N556" s="269"/>
      <c r="O556" s="269"/>
      <c r="P556" s="269"/>
      <c r="Q556" s="269"/>
      <c r="R556" s="269"/>
      <c r="S556" s="269"/>
      <c r="T556" s="269"/>
      <c r="U556" s="217"/>
      <c r="V556" s="217"/>
      <c r="W556" s="217"/>
      <c r="X556" s="217"/>
      <c r="Y556" s="217"/>
      <c r="Z556" s="217"/>
    </row>
    <row r="557" ht="15.0" customHeight="1">
      <c r="A557" s="318">
        <v>33.0</v>
      </c>
      <c r="B557" s="297" t="s">
        <v>5209</v>
      </c>
      <c r="C557" s="298"/>
      <c r="D557" s="266" t="s">
        <v>5210</v>
      </c>
      <c r="E557" s="267" t="s">
        <v>227</v>
      </c>
      <c r="F557" s="269"/>
      <c r="G557" s="269"/>
      <c r="H557" s="269"/>
      <c r="I557" s="269"/>
      <c r="J557" s="269"/>
      <c r="K557" s="269"/>
      <c r="L557" s="269"/>
      <c r="M557" s="269"/>
      <c r="N557" s="269"/>
      <c r="O557" s="269"/>
      <c r="P557" s="269"/>
      <c r="Q557" s="269"/>
      <c r="R557" s="269"/>
      <c r="S557" s="269"/>
      <c r="T557" s="269"/>
      <c r="U557" s="217"/>
      <c r="V557" s="217"/>
      <c r="W557" s="217"/>
      <c r="X557" s="217"/>
      <c r="Y557" s="217"/>
      <c r="Z557" s="217"/>
    </row>
    <row r="558" ht="15.0" customHeight="1">
      <c r="A558" s="318">
        <v>34.0</v>
      </c>
      <c r="B558" s="335" t="s">
        <v>5214</v>
      </c>
      <c r="C558" s="331"/>
      <c r="D558" s="266" t="s">
        <v>5215</v>
      </c>
      <c r="E558" s="267" t="s">
        <v>220</v>
      </c>
      <c r="F558" s="269"/>
      <c r="G558" s="269"/>
      <c r="H558" s="269"/>
      <c r="I558" s="269"/>
      <c r="J558" s="269"/>
      <c r="K558" s="269"/>
      <c r="L558" s="269"/>
      <c r="M558" s="269"/>
      <c r="N558" s="269"/>
      <c r="O558" s="269"/>
      <c r="P558" s="269"/>
      <c r="Q558" s="269"/>
      <c r="R558" s="269"/>
      <c r="S558" s="269"/>
      <c r="T558" s="269"/>
      <c r="U558" s="217"/>
      <c r="V558" s="217"/>
      <c r="W558" s="217"/>
      <c r="X558" s="217"/>
      <c r="Y558" s="217"/>
      <c r="Z558" s="217"/>
    </row>
    <row r="559" ht="15.0" customHeight="1">
      <c r="A559" s="318">
        <v>35.0</v>
      </c>
      <c r="B559" s="341" t="s">
        <v>5219</v>
      </c>
      <c r="C559" s="342"/>
      <c r="D559" s="266" t="s">
        <v>5220</v>
      </c>
      <c r="E559" s="267" t="s">
        <v>227</v>
      </c>
      <c r="F559" s="269"/>
      <c r="G559" s="269"/>
      <c r="H559" s="269"/>
      <c r="I559" s="269"/>
      <c r="J559" s="269"/>
      <c r="K559" s="269"/>
      <c r="L559" s="269"/>
      <c r="M559" s="269"/>
      <c r="N559" s="269"/>
      <c r="O559" s="269"/>
      <c r="P559" s="269"/>
      <c r="Q559" s="269"/>
      <c r="R559" s="269"/>
      <c r="S559" s="269"/>
      <c r="T559" s="269"/>
      <c r="U559" s="217"/>
      <c r="V559" s="217"/>
      <c r="W559" s="217"/>
      <c r="X559" s="217"/>
      <c r="Y559" s="217"/>
      <c r="Z559" s="217"/>
    </row>
    <row r="560" ht="15.0" customHeight="1">
      <c r="A560" s="318">
        <v>36.0</v>
      </c>
      <c r="B560" s="297" t="s">
        <v>5224</v>
      </c>
      <c r="C560" s="298"/>
      <c r="D560" s="270" t="s">
        <v>5225</v>
      </c>
      <c r="E560" s="271" t="s">
        <v>227</v>
      </c>
      <c r="F560" s="269"/>
      <c r="G560" s="269"/>
      <c r="H560" s="269"/>
      <c r="I560" s="269"/>
      <c r="J560" s="269"/>
      <c r="K560" s="269"/>
      <c r="L560" s="269"/>
      <c r="M560" s="269"/>
      <c r="N560" s="269"/>
      <c r="O560" s="269"/>
      <c r="P560" s="269"/>
      <c r="Q560" s="269"/>
      <c r="R560" s="269"/>
      <c r="S560" s="269"/>
      <c r="T560" s="269"/>
      <c r="U560" s="217"/>
      <c r="V560" s="217"/>
      <c r="W560" s="217"/>
      <c r="X560" s="217"/>
      <c r="Y560" s="217"/>
      <c r="Z560" s="217"/>
    </row>
    <row r="561" ht="15.0" customHeight="1">
      <c r="A561" s="318">
        <v>37.0</v>
      </c>
      <c r="B561" s="297" t="s">
        <v>5229</v>
      </c>
      <c r="C561" s="298"/>
      <c r="D561" s="266" t="s">
        <v>5230</v>
      </c>
      <c r="E561" s="267" t="s">
        <v>227</v>
      </c>
      <c r="F561" s="343"/>
      <c r="G561" s="269"/>
      <c r="H561" s="269"/>
      <c r="I561" s="269"/>
      <c r="J561" s="269"/>
      <c r="K561" s="269"/>
      <c r="L561" s="269"/>
      <c r="M561" s="269"/>
      <c r="N561" s="269"/>
      <c r="O561" s="269"/>
      <c r="P561" s="269"/>
      <c r="Q561" s="269"/>
      <c r="R561" s="269"/>
      <c r="S561" s="269"/>
      <c r="T561" s="269"/>
      <c r="U561" s="217"/>
      <c r="V561" s="217"/>
      <c r="W561" s="217"/>
      <c r="X561" s="217"/>
      <c r="Y561" s="217"/>
      <c r="Z561" s="217"/>
    </row>
    <row r="562" ht="15.75" hidden="1" customHeight="1">
      <c r="A562" s="344"/>
      <c r="B562" s="368" t="s">
        <v>8789</v>
      </c>
      <c r="C562" s="252"/>
      <c r="D562" s="253">
        <f>COUNTIF(E526:E561,"L")</f>
        <v>13</v>
      </c>
      <c r="E562" s="253"/>
      <c r="F562" s="254"/>
      <c r="G562" s="254"/>
      <c r="H562" s="254"/>
      <c r="I562" s="254"/>
      <c r="J562" s="254"/>
      <c r="K562" s="254"/>
      <c r="L562" s="254"/>
      <c r="M562" s="254"/>
      <c r="N562" s="254"/>
      <c r="O562" s="254"/>
      <c r="P562" s="254"/>
      <c r="Q562" s="254"/>
      <c r="R562" s="254"/>
      <c r="S562" s="254"/>
      <c r="T562" s="254"/>
      <c r="U562" s="217"/>
      <c r="V562" s="217"/>
      <c r="W562" s="217"/>
      <c r="X562" s="217"/>
      <c r="Y562" s="217"/>
      <c r="Z562" s="217"/>
    </row>
    <row r="563" ht="15.75" hidden="1" customHeight="1">
      <c r="A563" s="344"/>
      <c r="B563" s="368" t="s">
        <v>8790</v>
      </c>
      <c r="C563" s="252"/>
      <c r="D563" s="253">
        <f>COUNTIF(E526:E561,"P")</f>
        <v>23</v>
      </c>
      <c r="E563" s="253"/>
      <c r="F563" s="254"/>
      <c r="G563" s="254"/>
      <c r="H563" s="254"/>
      <c r="I563" s="254"/>
      <c r="J563" s="338" t="s">
        <v>9753</v>
      </c>
      <c r="K563" s="339"/>
      <c r="L563" s="339"/>
      <c r="M563" s="339"/>
      <c r="N563" s="339"/>
      <c r="O563" s="339"/>
      <c r="P563" s="339"/>
      <c r="Q563" s="340"/>
      <c r="R563" s="293"/>
      <c r="S563" s="293"/>
      <c r="T563" s="254"/>
      <c r="U563" s="217"/>
      <c r="V563" s="217"/>
      <c r="W563" s="217"/>
      <c r="X563" s="217"/>
      <c r="Y563" s="217"/>
      <c r="Z563" s="217"/>
    </row>
    <row r="564" ht="15.75" hidden="1" customHeight="1">
      <c r="A564" s="344"/>
      <c r="B564" s="368" t="s">
        <v>8792</v>
      </c>
      <c r="C564" s="252"/>
      <c r="D564" s="253">
        <f>SUM(D562:D563)</f>
        <v>36</v>
      </c>
      <c r="E564" s="253"/>
      <c r="F564" s="254"/>
      <c r="G564" s="254"/>
      <c r="H564" s="254"/>
      <c r="I564" s="254"/>
      <c r="J564" s="258" t="s">
        <v>8793</v>
      </c>
      <c r="K564" s="259"/>
      <c r="L564" s="259"/>
      <c r="M564" s="259"/>
      <c r="N564" s="259"/>
      <c r="O564" s="259"/>
      <c r="P564" s="259"/>
      <c r="Q564" s="259"/>
      <c r="R564" s="259"/>
      <c r="S564" s="260"/>
      <c r="T564" s="254"/>
      <c r="U564" s="217"/>
      <c r="V564" s="217"/>
      <c r="W564" s="217"/>
      <c r="X564" s="217"/>
      <c r="Y564" s="217"/>
      <c r="Z564" s="217"/>
    </row>
    <row r="565" ht="15.75" hidden="1" customHeight="1">
      <c r="A565" s="344"/>
      <c r="B565" s="253"/>
      <c r="C565" s="253"/>
      <c r="D565" s="345"/>
      <c r="E565" s="253"/>
      <c r="F565" s="254"/>
      <c r="G565" s="254"/>
      <c r="H565" s="254"/>
      <c r="I565" s="254"/>
      <c r="J565" s="254"/>
      <c r="K565" s="254"/>
      <c r="L565" s="254"/>
      <c r="M565" s="254"/>
      <c r="N565" s="254"/>
      <c r="O565" s="254"/>
      <c r="P565" s="254"/>
      <c r="Q565" s="254"/>
      <c r="R565" s="254"/>
      <c r="S565" s="254"/>
      <c r="T565" s="254"/>
      <c r="U565" s="217"/>
      <c r="V565" s="217"/>
      <c r="W565" s="217"/>
      <c r="X565" s="217"/>
      <c r="Y565" s="217"/>
      <c r="Z565" s="217"/>
    </row>
    <row r="566" ht="15.75" hidden="1" customHeight="1">
      <c r="A566" s="344"/>
      <c r="B566" s="253" t="s">
        <v>9856</v>
      </c>
      <c r="C566" s="253" t="s">
        <v>9857</v>
      </c>
      <c r="D566" s="345">
        <f t="shared" ref="D566:D567" si="2">SUM(D45,D92,D139,D186,D233,D280,D327,D374,D421,D468,D515,D562)</f>
        <v>165</v>
      </c>
      <c r="E566" s="253"/>
      <c r="F566" s="254"/>
      <c r="G566" s="254"/>
      <c r="H566" s="254"/>
      <c r="I566" s="254"/>
      <c r="J566" s="254"/>
      <c r="K566" s="254"/>
      <c r="L566" s="254"/>
      <c r="M566" s="254"/>
      <c r="N566" s="254"/>
      <c r="O566" s="254"/>
      <c r="P566" s="254"/>
      <c r="Q566" s="254"/>
      <c r="R566" s="254"/>
      <c r="S566" s="254"/>
      <c r="T566" s="254"/>
      <c r="U566" s="217"/>
      <c r="V566" s="217"/>
      <c r="W566" s="217"/>
      <c r="X566" s="217"/>
      <c r="Y566" s="217"/>
      <c r="Z566" s="217"/>
    </row>
    <row r="567" ht="15.75" hidden="1" customHeight="1">
      <c r="A567" s="344"/>
      <c r="B567" s="253" t="s">
        <v>8790</v>
      </c>
      <c r="C567" s="253" t="s">
        <v>9857</v>
      </c>
      <c r="D567" s="345">
        <f t="shared" si="2"/>
        <v>267</v>
      </c>
      <c r="E567" s="253"/>
      <c r="F567" s="254"/>
      <c r="G567" s="254"/>
      <c r="H567" s="254"/>
      <c r="I567" s="254"/>
      <c r="J567" s="254"/>
      <c r="K567" s="254"/>
      <c r="L567" s="254"/>
      <c r="M567" s="254"/>
      <c r="N567" s="254"/>
      <c r="O567" s="254"/>
      <c r="P567" s="254"/>
      <c r="Q567" s="254"/>
      <c r="R567" s="254"/>
      <c r="S567" s="254"/>
      <c r="T567" s="254"/>
      <c r="U567" s="217"/>
      <c r="V567" s="217"/>
      <c r="W567" s="217"/>
      <c r="X567" s="217"/>
      <c r="Y567" s="217"/>
      <c r="Z567" s="217"/>
    </row>
    <row r="568" ht="15.75" hidden="1" customHeight="1">
      <c r="A568" s="344"/>
      <c r="B568" s="253" t="s">
        <v>8792</v>
      </c>
      <c r="C568" s="253" t="s">
        <v>9857</v>
      </c>
      <c r="D568" s="345">
        <f>SUM(D566:D567)</f>
        <v>432</v>
      </c>
      <c r="E568" s="253"/>
      <c r="F568" s="254"/>
      <c r="G568" s="254"/>
      <c r="H568" s="254"/>
      <c r="I568" s="254"/>
      <c r="J568" s="254"/>
      <c r="K568" s="254"/>
      <c r="L568" s="254"/>
      <c r="M568" s="254"/>
      <c r="N568" s="254"/>
      <c r="O568" s="254"/>
      <c r="P568" s="254"/>
      <c r="Q568" s="254"/>
      <c r="R568" s="254"/>
      <c r="S568" s="254"/>
      <c r="T568" s="254"/>
      <c r="U568" s="217"/>
      <c r="V568" s="217"/>
      <c r="W568" s="217"/>
      <c r="X568" s="217"/>
      <c r="Y568" s="217"/>
      <c r="Z568" s="217"/>
    </row>
    <row r="569" ht="15.75" hidden="1" customHeight="1">
      <c r="A569" s="344"/>
      <c r="B569" s="253"/>
      <c r="C569" s="253"/>
      <c r="D569" s="345"/>
      <c r="E569" s="253"/>
      <c r="F569" s="254"/>
      <c r="G569" s="254"/>
      <c r="H569" s="254"/>
      <c r="I569" s="254"/>
      <c r="J569" s="254"/>
      <c r="K569" s="254"/>
      <c r="L569" s="254"/>
      <c r="M569" s="254"/>
      <c r="N569" s="254"/>
      <c r="O569" s="254"/>
      <c r="P569" s="254"/>
      <c r="Q569" s="254"/>
      <c r="R569" s="254"/>
      <c r="S569" s="254"/>
      <c r="T569" s="254"/>
      <c r="U569" s="217"/>
      <c r="V569" s="217"/>
      <c r="W569" s="217"/>
      <c r="X569" s="217"/>
      <c r="Y569" s="217"/>
      <c r="Z569" s="217"/>
    </row>
    <row r="570" ht="15.75" hidden="1" customHeight="1">
      <c r="A570" s="344"/>
      <c r="B570" s="253"/>
      <c r="C570" s="253"/>
      <c r="D570" s="345"/>
      <c r="E570" s="253"/>
      <c r="F570" s="254"/>
      <c r="G570" s="254"/>
      <c r="H570" s="254"/>
      <c r="I570" s="254"/>
      <c r="J570" s="254"/>
      <c r="K570" s="254"/>
      <c r="L570" s="254"/>
      <c r="M570" s="254"/>
      <c r="N570" s="254"/>
      <c r="O570" s="254"/>
      <c r="P570" s="254"/>
      <c r="Q570" s="254"/>
      <c r="R570" s="254"/>
      <c r="S570" s="254"/>
      <c r="T570" s="254"/>
      <c r="U570" s="217"/>
      <c r="V570" s="217"/>
      <c r="W570" s="217"/>
      <c r="X570" s="217"/>
      <c r="Y570" s="217"/>
      <c r="Z570" s="217"/>
    </row>
    <row r="571" ht="15.75" hidden="1" customHeight="1">
      <c r="A571" s="344"/>
      <c r="B571" s="253"/>
      <c r="C571" s="253"/>
      <c r="D571" s="345"/>
      <c r="E571" s="253"/>
      <c r="F571" s="254"/>
      <c r="G571" s="254"/>
      <c r="H571" s="254"/>
      <c r="I571" s="254"/>
      <c r="J571" s="254"/>
      <c r="K571" s="254"/>
      <c r="L571" s="254"/>
      <c r="M571" s="254"/>
      <c r="N571" s="254"/>
      <c r="O571" s="254"/>
      <c r="P571" s="254"/>
      <c r="Q571" s="254"/>
      <c r="R571" s="254"/>
      <c r="S571" s="254"/>
      <c r="T571" s="254"/>
      <c r="U571" s="217"/>
      <c r="V571" s="217"/>
      <c r="W571" s="217"/>
      <c r="X571" s="217"/>
      <c r="Y571" s="217"/>
      <c r="Z571" s="217"/>
    </row>
    <row r="572" ht="15.75" hidden="1" customHeight="1">
      <c r="A572" s="344"/>
      <c r="B572" s="253"/>
      <c r="C572" s="253"/>
      <c r="D572" s="345"/>
      <c r="E572" s="253"/>
      <c r="F572" s="254"/>
      <c r="G572" s="254"/>
      <c r="H572" s="254"/>
      <c r="I572" s="254"/>
      <c r="J572" s="254"/>
      <c r="K572" s="254"/>
      <c r="L572" s="254"/>
      <c r="M572" s="254"/>
      <c r="N572" s="254"/>
      <c r="O572" s="254"/>
      <c r="P572" s="254"/>
      <c r="Q572" s="254"/>
      <c r="R572" s="254"/>
      <c r="S572" s="254"/>
      <c r="T572" s="254"/>
      <c r="U572" s="217"/>
      <c r="V572" s="217"/>
      <c r="W572" s="217"/>
      <c r="X572" s="217"/>
      <c r="Y572" s="217"/>
      <c r="Z572" s="217"/>
    </row>
    <row r="573" ht="15.75" hidden="1" customHeight="1">
      <c r="A573" s="344"/>
      <c r="B573" s="253"/>
      <c r="C573" s="253"/>
      <c r="D573" s="345"/>
      <c r="E573" s="253"/>
      <c r="F573" s="254"/>
      <c r="G573" s="254"/>
      <c r="H573" s="254"/>
      <c r="I573" s="254"/>
      <c r="J573" s="254"/>
      <c r="K573" s="254"/>
      <c r="L573" s="254"/>
      <c r="M573" s="254"/>
      <c r="N573" s="254"/>
      <c r="O573" s="254"/>
      <c r="P573" s="254"/>
      <c r="Q573" s="254"/>
      <c r="R573" s="254"/>
      <c r="S573" s="254"/>
      <c r="T573" s="254"/>
      <c r="U573" s="217"/>
      <c r="V573" s="217"/>
      <c r="W573" s="217"/>
      <c r="X573" s="217"/>
      <c r="Y573" s="217"/>
      <c r="Z573" s="217"/>
    </row>
    <row r="574" ht="15.75" hidden="1" customHeight="1">
      <c r="A574" s="344"/>
      <c r="B574" s="253"/>
      <c r="C574" s="253"/>
      <c r="D574" s="345"/>
      <c r="E574" s="253"/>
      <c r="F574" s="254"/>
      <c r="G574" s="254"/>
      <c r="H574" s="254"/>
      <c r="I574" s="254"/>
      <c r="J574" s="254"/>
      <c r="K574" s="254"/>
      <c r="L574" s="254"/>
      <c r="M574" s="254"/>
      <c r="N574" s="254"/>
      <c r="O574" s="254"/>
      <c r="P574" s="254"/>
      <c r="Q574" s="254"/>
      <c r="R574" s="254"/>
      <c r="S574" s="254"/>
      <c r="T574" s="254"/>
      <c r="U574" s="217"/>
      <c r="V574" s="217"/>
      <c r="W574" s="217"/>
      <c r="X574" s="217"/>
      <c r="Y574" s="217"/>
      <c r="Z574" s="217"/>
    </row>
    <row r="575" ht="15.75" hidden="1" customHeight="1">
      <c r="A575" s="344"/>
      <c r="B575" s="253"/>
      <c r="C575" s="253"/>
      <c r="D575" s="345"/>
      <c r="E575" s="253"/>
      <c r="F575" s="254"/>
      <c r="G575" s="254"/>
      <c r="H575" s="254"/>
      <c r="I575" s="254"/>
      <c r="J575" s="254"/>
      <c r="K575" s="254"/>
      <c r="L575" s="254"/>
      <c r="M575" s="254"/>
      <c r="N575" s="254"/>
      <c r="O575" s="254"/>
      <c r="P575" s="254"/>
      <c r="Q575" s="254"/>
      <c r="R575" s="254"/>
      <c r="S575" s="254"/>
      <c r="T575" s="254"/>
      <c r="U575" s="217"/>
      <c r="V575" s="217"/>
      <c r="W575" s="217"/>
      <c r="X575" s="217"/>
      <c r="Y575" s="217"/>
      <c r="Z575" s="217"/>
    </row>
    <row r="576" ht="15.75" hidden="1" customHeight="1">
      <c r="A576" s="344"/>
      <c r="B576" s="253"/>
      <c r="C576" s="253"/>
      <c r="D576" s="345"/>
      <c r="E576" s="253"/>
      <c r="F576" s="254"/>
      <c r="G576" s="254"/>
      <c r="H576" s="254"/>
      <c r="I576" s="254"/>
      <c r="J576" s="254"/>
      <c r="K576" s="254"/>
      <c r="L576" s="254"/>
      <c r="M576" s="254"/>
      <c r="N576" s="254"/>
      <c r="O576" s="254"/>
      <c r="P576" s="254"/>
      <c r="Q576" s="254"/>
      <c r="R576" s="254"/>
      <c r="S576" s="254"/>
      <c r="T576" s="254"/>
      <c r="U576" s="217"/>
      <c r="V576" s="217"/>
      <c r="W576" s="217"/>
      <c r="X576" s="217"/>
      <c r="Y576" s="217"/>
      <c r="Z576" s="217"/>
    </row>
    <row r="577" ht="15.75" hidden="1" customHeight="1">
      <c r="A577" s="344"/>
      <c r="B577" s="253"/>
      <c r="C577" s="253"/>
      <c r="D577" s="345"/>
      <c r="E577" s="253"/>
      <c r="F577" s="254"/>
      <c r="G577" s="254"/>
      <c r="H577" s="254"/>
      <c r="I577" s="254"/>
      <c r="J577" s="254"/>
      <c r="K577" s="254"/>
      <c r="L577" s="254"/>
      <c r="M577" s="254"/>
      <c r="N577" s="254"/>
      <c r="O577" s="254"/>
      <c r="P577" s="254"/>
      <c r="Q577" s="254"/>
      <c r="R577" s="254"/>
      <c r="S577" s="254"/>
      <c r="T577" s="254"/>
      <c r="U577" s="217"/>
      <c r="V577" s="217"/>
      <c r="W577" s="217"/>
      <c r="X577" s="217"/>
      <c r="Y577" s="217"/>
      <c r="Z577" s="217"/>
    </row>
    <row r="578" ht="15.75" hidden="1" customHeight="1">
      <c r="A578" s="344"/>
      <c r="B578" s="253"/>
      <c r="C578" s="253"/>
      <c r="D578" s="345"/>
      <c r="E578" s="253"/>
      <c r="F578" s="254"/>
      <c r="G578" s="254"/>
      <c r="H578" s="254"/>
      <c r="I578" s="254"/>
      <c r="J578" s="254"/>
      <c r="K578" s="254"/>
      <c r="L578" s="254"/>
      <c r="M578" s="254"/>
      <c r="N578" s="254"/>
      <c r="O578" s="254"/>
      <c r="P578" s="254"/>
      <c r="Q578" s="254"/>
      <c r="R578" s="254"/>
      <c r="S578" s="254"/>
      <c r="T578" s="254"/>
      <c r="U578" s="217"/>
      <c r="V578" s="217"/>
      <c r="W578" s="217"/>
      <c r="X578" s="217"/>
      <c r="Y578" s="217"/>
      <c r="Z578" s="217"/>
    </row>
    <row r="579" ht="15.75" hidden="1" customHeight="1">
      <c r="A579" s="344"/>
      <c r="B579" s="253"/>
      <c r="C579" s="253"/>
      <c r="D579" s="345"/>
      <c r="E579" s="253"/>
      <c r="F579" s="254"/>
      <c r="G579" s="254"/>
      <c r="H579" s="254"/>
      <c r="I579" s="254"/>
      <c r="J579" s="254"/>
      <c r="K579" s="254"/>
      <c r="L579" s="254"/>
      <c r="M579" s="254"/>
      <c r="N579" s="254"/>
      <c r="O579" s="254"/>
      <c r="P579" s="254"/>
      <c r="Q579" s="254"/>
      <c r="R579" s="254"/>
      <c r="S579" s="254"/>
      <c r="T579" s="254"/>
      <c r="U579" s="217"/>
      <c r="V579" s="217"/>
      <c r="W579" s="217"/>
      <c r="X579" s="217"/>
      <c r="Y579" s="217"/>
      <c r="Z579" s="217"/>
    </row>
    <row r="580" ht="15.75" hidden="1" customHeight="1">
      <c r="A580" s="344"/>
      <c r="B580" s="253"/>
      <c r="C580" s="253"/>
      <c r="D580" s="345"/>
      <c r="E580" s="253"/>
      <c r="F580" s="254"/>
      <c r="G580" s="254"/>
      <c r="H580" s="254"/>
      <c r="I580" s="254"/>
      <c r="J580" s="254"/>
      <c r="K580" s="254"/>
      <c r="L580" s="254"/>
      <c r="M580" s="254"/>
      <c r="N580" s="254"/>
      <c r="O580" s="254"/>
      <c r="P580" s="254"/>
      <c r="Q580" s="254"/>
      <c r="R580" s="254"/>
      <c r="S580" s="254"/>
      <c r="T580" s="254"/>
      <c r="U580" s="217"/>
      <c r="V580" s="217"/>
      <c r="W580" s="217"/>
      <c r="X580" s="217"/>
      <c r="Y580" s="217"/>
      <c r="Z580" s="217"/>
    </row>
    <row r="581" ht="15.75" hidden="1" customHeight="1">
      <c r="A581" s="344"/>
      <c r="B581" s="253"/>
      <c r="C581" s="253"/>
      <c r="D581" s="345"/>
      <c r="E581" s="253"/>
      <c r="F581" s="254"/>
      <c r="G581" s="254"/>
      <c r="H581" s="254"/>
      <c r="I581" s="254"/>
      <c r="J581" s="254"/>
      <c r="K581" s="254"/>
      <c r="L581" s="254"/>
      <c r="M581" s="254"/>
      <c r="N581" s="254"/>
      <c r="O581" s="254"/>
      <c r="P581" s="254"/>
      <c r="Q581" s="254"/>
      <c r="R581" s="254"/>
      <c r="S581" s="254"/>
      <c r="T581" s="254"/>
      <c r="U581" s="217"/>
      <c r="V581" s="217"/>
      <c r="W581" s="217"/>
      <c r="X581" s="217"/>
      <c r="Y581" s="217"/>
      <c r="Z581" s="217"/>
    </row>
    <row r="582" ht="15.75" hidden="1" customHeight="1">
      <c r="A582" s="344"/>
      <c r="B582" s="253"/>
      <c r="C582" s="253"/>
      <c r="D582" s="345"/>
      <c r="E582" s="253"/>
      <c r="F582" s="254"/>
      <c r="G582" s="254"/>
      <c r="H582" s="254"/>
      <c r="I582" s="254"/>
      <c r="J582" s="254"/>
      <c r="K582" s="254"/>
      <c r="L582" s="254"/>
      <c r="M582" s="254"/>
      <c r="N582" s="254"/>
      <c r="O582" s="254"/>
      <c r="P582" s="254"/>
      <c r="Q582" s="254"/>
      <c r="R582" s="254"/>
      <c r="S582" s="254"/>
      <c r="T582" s="254"/>
      <c r="U582" s="217"/>
      <c r="V582" s="217"/>
      <c r="W582" s="217"/>
      <c r="X582" s="217"/>
      <c r="Y582" s="217"/>
      <c r="Z582" s="217"/>
    </row>
    <row r="583" ht="15.75" hidden="1" customHeight="1">
      <c r="A583" s="344"/>
      <c r="B583" s="253"/>
      <c r="C583" s="253"/>
      <c r="D583" s="345"/>
      <c r="E583" s="253"/>
      <c r="F583" s="254"/>
      <c r="G583" s="254"/>
      <c r="H583" s="254"/>
      <c r="I583" s="254"/>
      <c r="J583" s="254"/>
      <c r="K583" s="254"/>
      <c r="L583" s="254"/>
      <c r="M583" s="254"/>
      <c r="N583" s="254"/>
      <c r="O583" s="254"/>
      <c r="P583" s="254"/>
      <c r="Q583" s="254"/>
      <c r="R583" s="254"/>
      <c r="S583" s="254"/>
      <c r="T583" s="254"/>
      <c r="U583" s="217"/>
      <c r="V583" s="217"/>
      <c r="W583" s="217"/>
      <c r="X583" s="217"/>
      <c r="Y583" s="217"/>
      <c r="Z583" s="217"/>
    </row>
    <row r="584" ht="15.75" hidden="1" customHeight="1">
      <c r="A584" s="344"/>
      <c r="B584" s="253"/>
      <c r="C584" s="253"/>
      <c r="D584" s="345"/>
      <c r="E584" s="253"/>
      <c r="F584" s="254"/>
      <c r="G584" s="254"/>
      <c r="H584" s="254"/>
      <c r="I584" s="254"/>
      <c r="J584" s="254"/>
      <c r="K584" s="254"/>
      <c r="L584" s="254"/>
      <c r="M584" s="254"/>
      <c r="N584" s="254"/>
      <c r="O584" s="254"/>
      <c r="P584" s="254"/>
      <c r="Q584" s="254"/>
      <c r="R584" s="254"/>
      <c r="S584" s="254"/>
      <c r="T584" s="254"/>
      <c r="U584" s="217"/>
      <c r="V584" s="217"/>
      <c r="W584" s="217"/>
      <c r="X584" s="217"/>
      <c r="Y584" s="217"/>
      <c r="Z584" s="217"/>
    </row>
    <row r="585" ht="15.75" hidden="1" customHeight="1">
      <c r="A585" s="344"/>
      <c r="B585" s="253"/>
      <c r="C585" s="253"/>
      <c r="D585" s="345"/>
      <c r="E585" s="253"/>
      <c r="F585" s="254"/>
      <c r="G585" s="254"/>
      <c r="H585" s="254"/>
      <c r="I585" s="254"/>
      <c r="J585" s="254"/>
      <c r="K585" s="254"/>
      <c r="L585" s="254"/>
      <c r="M585" s="254"/>
      <c r="N585" s="254"/>
      <c r="O585" s="254"/>
      <c r="P585" s="254"/>
      <c r="Q585" s="254"/>
      <c r="R585" s="254"/>
      <c r="S585" s="254"/>
      <c r="T585" s="254"/>
      <c r="U585" s="217"/>
      <c r="V585" s="217"/>
      <c r="W585" s="217"/>
      <c r="X585" s="217"/>
      <c r="Y585" s="217"/>
      <c r="Z585" s="217"/>
    </row>
    <row r="586" ht="15.75" hidden="1" customHeight="1">
      <c r="A586" s="344"/>
      <c r="B586" s="253"/>
      <c r="C586" s="253"/>
      <c r="D586" s="345"/>
      <c r="E586" s="253"/>
      <c r="F586" s="254"/>
      <c r="G586" s="254"/>
      <c r="H586" s="254"/>
      <c r="I586" s="254"/>
      <c r="J586" s="254"/>
      <c r="K586" s="254"/>
      <c r="L586" s="254"/>
      <c r="M586" s="254"/>
      <c r="N586" s="254"/>
      <c r="O586" s="254"/>
      <c r="P586" s="254"/>
      <c r="Q586" s="254"/>
      <c r="R586" s="254"/>
      <c r="S586" s="254"/>
      <c r="T586" s="254"/>
      <c r="U586" s="217"/>
      <c r="V586" s="217"/>
      <c r="W586" s="217"/>
      <c r="X586" s="217"/>
      <c r="Y586" s="217"/>
      <c r="Z586" s="217"/>
    </row>
    <row r="587" ht="15.75" hidden="1" customHeight="1">
      <c r="A587" s="344"/>
      <c r="B587" s="253"/>
      <c r="C587" s="253"/>
      <c r="D587" s="345"/>
      <c r="E587" s="253"/>
      <c r="F587" s="254"/>
      <c r="G587" s="254"/>
      <c r="H587" s="254"/>
      <c r="I587" s="254"/>
      <c r="J587" s="254"/>
      <c r="K587" s="254"/>
      <c r="L587" s="254"/>
      <c r="M587" s="254"/>
      <c r="N587" s="254"/>
      <c r="O587" s="254"/>
      <c r="P587" s="254"/>
      <c r="Q587" s="254"/>
      <c r="R587" s="254"/>
      <c r="S587" s="254"/>
      <c r="T587" s="254"/>
      <c r="U587" s="217"/>
      <c r="V587" s="217"/>
      <c r="W587" s="217"/>
      <c r="X587" s="217"/>
      <c r="Y587" s="217"/>
      <c r="Z587" s="217"/>
    </row>
    <row r="588" ht="15.75" hidden="1" customHeight="1">
      <c r="A588" s="344"/>
      <c r="B588" s="253"/>
      <c r="C588" s="253"/>
      <c r="D588" s="345"/>
      <c r="E588" s="253"/>
      <c r="F588" s="254"/>
      <c r="G588" s="254"/>
      <c r="H588" s="254"/>
      <c r="I588" s="254"/>
      <c r="J588" s="254"/>
      <c r="K588" s="254"/>
      <c r="L588" s="254"/>
      <c r="M588" s="254"/>
      <c r="N588" s="254"/>
      <c r="O588" s="254"/>
      <c r="P588" s="254"/>
      <c r="Q588" s="254"/>
      <c r="R588" s="254"/>
      <c r="S588" s="254"/>
      <c r="T588" s="254"/>
      <c r="U588" s="217"/>
      <c r="V588" s="217"/>
      <c r="W588" s="217"/>
      <c r="X588" s="217"/>
      <c r="Y588" s="217"/>
      <c r="Z588" s="217"/>
    </row>
    <row r="589" ht="15.75" hidden="1" customHeight="1">
      <c r="A589" s="344"/>
      <c r="B589" s="253"/>
      <c r="C589" s="253"/>
      <c r="D589" s="345"/>
      <c r="E589" s="253"/>
      <c r="F589" s="254"/>
      <c r="G589" s="254"/>
      <c r="H589" s="254"/>
      <c r="I589" s="254"/>
      <c r="J589" s="254"/>
      <c r="K589" s="254"/>
      <c r="L589" s="254"/>
      <c r="M589" s="254"/>
      <c r="N589" s="254"/>
      <c r="O589" s="254"/>
      <c r="P589" s="254"/>
      <c r="Q589" s="254"/>
      <c r="R589" s="254"/>
      <c r="S589" s="254"/>
      <c r="T589" s="254"/>
      <c r="U589" s="217"/>
      <c r="V589" s="217"/>
      <c r="W589" s="217"/>
      <c r="X589" s="217"/>
      <c r="Y589" s="217"/>
      <c r="Z589" s="217"/>
    </row>
    <row r="590" ht="15.75" hidden="1" customHeight="1">
      <c r="A590" s="344"/>
      <c r="B590" s="253"/>
      <c r="C590" s="253"/>
      <c r="D590" s="345"/>
      <c r="E590" s="253"/>
      <c r="F590" s="254"/>
      <c r="G590" s="254"/>
      <c r="H590" s="254"/>
      <c r="I590" s="254"/>
      <c r="J590" s="254"/>
      <c r="K590" s="254"/>
      <c r="L590" s="254"/>
      <c r="M590" s="254"/>
      <c r="N590" s="254"/>
      <c r="O590" s="254"/>
      <c r="P590" s="254"/>
      <c r="Q590" s="254"/>
      <c r="R590" s="254"/>
      <c r="S590" s="254"/>
      <c r="T590" s="254"/>
      <c r="U590" s="217"/>
      <c r="V590" s="217"/>
      <c r="W590" s="217"/>
      <c r="X590" s="217"/>
      <c r="Y590" s="217"/>
      <c r="Z590" s="217"/>
    </row>
    <row r="591" ht="15.75" hidden="1" customHeight="1">
      <c r="A591" s="344"/>
      <c r="B591" s="253"/>
      <c r="C591" s="253"/>
      <c r="D591" s="345"/>
      <c r="E591" s="253"/>
      <c r="F591" s="254"/>
      <c r="G591" s="254"/>
      <c r="H591" s="254"/>
      <c r="I591" s="254"/>
      <c r="J591" s="254"/>
      <c r="K591" s="254"/>
      <c r="L591" s="254"/>
      <c r="M591" s="254"/>
      <c r="N591" s="254"/>
      <c r="O591" s="254"/>
      <c r="P591" s="254"/>
      <c r="Q591" s="254"/>
      <c r="R591" s="254"/>
      <c r="S591" s="254"/>
      <c r="T591" s="254"/>
      <c r="U591" s="217"/>
      <c r="V591" s="217"/>
      <c r="W591" s="217"/>
      <c r="X591" s="217"/>
      <c r="Y591" s="217"/>
      <c r="Z591" s="217"/>
    </row>
    <row r="592" ht="15.75" hidden="1" customHeight="1">
      <c r="A592" s="344"/>
      <c r="B592" s="253"/>
      <c r="C592" s="253"/>
      <c r="D592" s="345"/>
      <c r="E592" s="253"/>
      <c r="F592" s="254"/>
      <c r="G592" s="254"/>
      <c r="H592" s="254"/>
      <c r="I592" s="254"/>
      <c r="J592" s="254"/>
      <c r="K592" s="254"/>
      <c r="L592" s="254"/>
      <c r="M592" s="254"/>
      <c r="N592" s="254"/>
      <c r="O592" s="254"/>
      <c r="P592" s="254"/>
      <c r="Q592" s="254"/>
      <c r="R592" s="254"/>
      <c r="S592" s="254"/>
      <c r="T592" s="254"/>
      <c r="U592" s="217"/>
      <c r="V592" s="217"/>
      <c r="W592" s="217"/>
      <c r="X592" s="217"/>
      <c r="Y592" s="217"/>
      <c r="Z592" s="217"/>
    </row>
    <row r="593" ht="15.75" hidden="1" customHeight="1">
      <c r="A593" s="344"/>
      <c r="B593" s="253"/>
      <c r="C593" s="253"/>
      <c r="D593" s="345"/>
      <c r="E593" s="253"/>
      <c r="F593" s="254"/>
      <c r="G593" s="254"/>
      <c r="H593" s="254"/>
      <c r="I593" s="254"/>
      <c r="J593" s="254"/>
      <c r="K593" s="254"/>
      <c r="L593" s="254"/>
      <c r="M593" s="254"/>
      <c r="N593" s="254"/>
      <c r="O593" s="254"/>
      <c r="P593" s="254"/>
      <c r="Q593" s="254"/>
      <c r="R593" s="254"/>
      <c r="S593" s="254"/>
      <c r="T593" s="254"/>
      <c r="U593" s="217"/>
      <c r="V593" s="217"/>
      <c r="W593" s="217"/>
      <c r="X593" s="217"/>
      <c r="Y593" s="217"/>
      <c r="Z593" s="217"/>
    </row>
    <row r="594" ht="15.75" hidden="1" customHeight="1">
      <c r="A594" s="344"/>
      <c r="B594" s="253"/>
      <c r="C594" s="253"/>
      <c r="D594" s="345"/>
      <c r="E594" s="253"/>
      <c r="F594" s="254"/>
      <c r="G594" s="254"/>
      <c r="H594" s="254"/>
      <c r="I594" s="254"/>
      <c r="J594" s="254"/>
      <c r="K594" s="254"/>
      <c r="L594" s="254"/>
      <c r="M594" s="254"/>
      <c r="N594" s="254"/>
      <c r="O594" s="254"/>
      <c r="P594" s="254"/>
      <c r="Q594" s="254"/>
      <c r="R594" s="254"/>
      <c r="S594" s="254"/>
      <c r="T594" s="254"/>
      <c r="U594" s="217"/>
      <c r="V594" s="217"/>
      <c r="W594" s="217"/>
      <c r="X594" s="217"/>
      <c r="Y594" s="217"/>
      <c r="Z594" s="217"/>
    </row>
    <row r="595" ht="15.75" hidden="1" customHeight="1">
      <c r="A595" s="344"/>
      <c r="B595" s="253"/>
      <c r="C595" s="253"/>
      <c r="D595" s="345"/>
      <c r="E595" s="253"/>
      <c r="F595" s="254"/>
      <c r="G595" s="254"/>
      <c r="H595" s="254"/>
      <c r="I595" s="254"/>
      <c r="J595" s="254"/>
      <c r="K595" s="254"/>
      <c r="L595" s="254"/>
      <c r="M595" s="254"/>
      <c r="N595" s="254"/>
      <c r="O595" s="254"/>
      <c r="P595" s="254"/>
      <c r="Q595" s="254"/>
      <c r="R595" s="254"/>
      <c r="S595" s="254"/>
      <c r="T595" s="254"/>
      <c r="U595" s="217"/>
      <c r="V595" s="217"/>
      <c r="W595" s="217"/>
      <c r="X595" s="217"/>
      <c r="Y595" s="217"/>
      <c r="Z595" s="217"/>
    </row>
    <row r="596" ht="15.75" hidden="1" customHeight="1">
      <c r="A596" s="344"/>
      <c r="B596" s="253"/>
      <c r="C596" s="253"/>
      <c r="D596" s="345"/>
      <c r="E596" s="253"/>
      <c r="F596" s="254"/>
      <c r="G596" s="254"/>
      <c r="H596" s="254"/>
      <c r="I596" s="254"/>
      <c r="J596" s="254"/>
      <c r="K596" s="254"/>
      <c r="L596" s="254"/>
      <c r="M596" s="254"/>
      <c r="N596" s="254"/>
      <c r="O596" s="254"/>
      <c r="P596" s="254"/>
      <c r="Q596" s="254"/>
      <c r="R596" s="254"/>
      <c r="S596" s="254"/>
      <c r="T596" s="254"/>
      <c r="U596" s="217"/>
      <c r="V596" s="217"/>
      <c r="W596" s="217"/>
      <c r="X596" s="217"/>
      <c r="Y596" s="217"/>
      <c r="Z596" s="217"/>
    </row>
    <row r="597" ht="15.75" hidden="1" customHeight="1">
      <c r="A597" s="344"/>
      <c r="B597" s="253"/>
      <c r="C597" s="253"/>
      <c r="D597" s="345"/>
      <c r="E597" s="253"/>
      <c r="F597" s="254"/>
      <c r="G597" s="254"/>
      <c r="H597" s="254"/>
      <c r="I597" s="254"/>
      <c r="J597" s="254"/>
      <c r="K597" s="254"/>
      <c r="L597" s="254"/>
      <c r="M597" s="254"/>
      <c r="N597" s="254"/>
      <c r="O597" s="254"/>
      <c r="P597" s="254"/>
      <c r="Q597" s="254"/>
      <c r="R597" s="254"/>
      <c r="S597" s="254"/>
      <c r="T597" s="254"/>
      <c r="U597" s="217"/>
      <c r="V597" s="217"/>
      <c r="W597" s="217"/>
      <c r="X597" s="217"/>
      <c r="Y597" s="217"/>
      <c r="Z597" s="217"/>
    </row>
    <row r="598" ht="15.75" hidden="1" customHeight="1">
      <c r="A598" s="344"/>
      <c r="B598" s="253"/>
      <c r="C598" s="253"/>
      <c r="D598" s="345"/>
      <c r="E598" s="253"/>
      <c r="F598" s="254"/>
      <c r="G598" s="254"/>
      <c r="H598" s="254"/>
      <c r="I598" s="254"/>
      <c r="J598" s="254"/>
      <c r="K598" s="254"/>
      <c r="L598" s="254"/>
      <c r="M598" s="254"/>
      <c r="N598" s="254"/>
      <c r="O598" s="254"/>
      <c r="P598" s="254"/>
      <c r="Q598" s="254"/>
      <c r="R598" s="254"/>
      <c r="S598" s="254"/>
      <c r="T598" s="254"/>
      <c r="U598" s="217"/>
      <c r="V598" s="217"/>
      <c r="W598" s="217"/>
      <c r="X598" s="217"/>
      <c r="Y598" s="217"/>
      <c r="Z598" s="217"/>
    </row>
    <row r="599" ht="15.75" hidden="1" customHeight="1">
      <c r="A599" s="344"/>
      <c r="B599" s="253"/>
      <c r="C599" s="253"/>
      <c r="D599" s="345"/>
      <c r="E599" s="253"/>
      <c r="F599" s="254"/>
      <c r="G599" s="254"/>
      <c r="H599" s="254"/>
      <c r="I599" s="254"/>
      <c r="J599" s="254"/>
      <c r="K599" s="254"/>
      <c r="L599" s="254"/>
      <c r="M599" s="254"/>
      <c r="N599" s="254"/>
      <c r="O599" s="254"/>
      <c r="P599" s="254"/>
      <c r="Q599" s="254"/>
      <c r="R599" s="254"/>
      <c r="S599" s="254"/>
      <c r="T599" s="254"/>
      <c r="U599" s="217"/>
      <c r="V599" s="217"/>
      <c r="W599" s="217"/>
      <c r="X599" s="217"/>
      <c r="Y599" s="217"/>
      <c r="Z599" s="217"/>
    </row>
    <row r="600" ht="15.75" hidden="1" customHeight="1">
      <c r="A600" s="344"/>
      <c r="B600" s="253"/>
      <c r="C600" s="253"/>
      <c r="D600" s="345"/>
      <c r="E600" s="253"/>
      <c r="F600" s="254"/>
      <c r="G600" s="254"/>
      <c r="H600" s="254"/>
      <c r="I600" s="254"/>
      <c r="J600" s="254"/>
      <c r="K600" s="254"/>
      <c r="L600" s="254"/>
      <c r="M600" s="254"/>
      <c r="N600" s="254"/>
      <c r="O600" s="254"/>
      <c r="P600" s="254"/>
      <c r="Q600" s="254"/>
      <c r="R600" s="254"/>
      <c r="S600" s="254"/>
      <c r="T600" s="254"/>
      <c r="U600" s="217"/>
      <c r="V600" s="217"/>
      <c r="W600" s="217"/>
      <c r="X600" s="217"/>
      <c r="Y600" s="217"/>
      <c r="Z600" s="217"/>
    </row>
    <row r="601" ht="15.75" hidden="1" customHeight="1">
      <c r="A601" s="344"/>
      <c r="B601" s="253"/>
      <c r="C601" s="253"/>
      <c r="D601" s="345"/>
      <c r="E601" s="253"/>
      <c r="F601" s="254"/>
      <c r="G601" s="254"/>
      <c r="H601" s="254"/>
      <c r="I601" s="254"/>
      <c r="J601" s="254"/>
      <c r="K601" s="254"/>
      <c r="L601" s="254"/>
      <c r="M601" s="254"/>
      <c r="N601" s="254"/>
      <c r="O601" s="254"/>
      <c r="P601" s="254"/>
      <c r="Q601" s="254"/>
      <c r="R601" s="254"/>
      <c r="S601" s="254"/>
      <c r="T601" s="254"/>
      <c r="U601" s="217"/>
      <c r="V601" s="217"/>
      <c r="W601" s="217"/>
      <c r="X601" s="217"/>
      <c r="Y601" s="217"/>
      <c r="Z601" s="217"/>
    </row>
    <row r="602" ht="15.75" hidden="1" customHeight="1">
      <c r="A602" s="344"/>
      <c r="B602" s="253"/>
      <c r="C602" s="253"/>
      <c r="D602" s="345"/>
      <c r="E602" s="253"/>
      <c r="F602" s="254"/>
      <c r="G602" s="254"/>
      <c r="H602" s="254"/>
      <c r="I602" s="254"/>
      <c r="J602" s="254"/>
      <c r="K602" s="254"/>
      <c r="L602" s="254"/>
      <c r="M602" s="254"/>
      <c r="N602" s="254"/>
      <c r="O602" s="254"/>
      <c r="P602" s="254"/>
      <c r="Q602" s="254"/>
      <c r="R602" s="254"/>
      <c r="S602" s="254"/>
      <c r="T602" s="254"/>
      <c r="U602" s="217"/>
      <c r="V602" s="217"/>
      <c r="W602" s="217"/>
      <c r="X602" s="217"/>
      <c r="Y602" s="217"/>
      <c r="Z602" s="217"/>
    </row>
    <row r="603" ht="15.75" hidden="1" customHeight="1">
      <c r="A603" s="344"/>
      <c r="B603" s="253"/>
      <c r="C603" s="253"/>
      <c r="D603" s="345"/>
      <c r="E603" s="253"/>
      <c r="F603" s="254"/>
      <c r="G603" s="254"/>
      <c r="H603" s="254"/>
      <c r="I603" s="254"/>
      <c r="J603" s="254"/>
      <c r="K603" s="254"/>
      <c r="L603" s="254"/>
      <c r="M603" s="254"/>
      <c r="N603" s="254"/>
      <c r="O603" s="254"/>
      <c r="P603" s="254"/>
      <c r="Q603" s="254"/>
      <c r="R603" s="254"/>
      <c r="S603" s="254"/>
      <c r="T603" s="254"/>
      <c r="U603" s="217"/>
      <c r="V603" s="217"/>
      <c r="W603" s="217"/>
      <c r="X603" s="217"/>
      <c r="Y603" s="217"/>
      <c r="Z603" s="217"/>
    </row>
    <row r="604" ht="15.75" hidden="1" customHeight="1">
      <c r="A604" s="344"/>
      <c r="B604" s="253"/>
      <c r="C604" s="253"/>
      <c r="D604" s="345"/>
      <c r="E604" s="253"/>
      <c r="F604" s="254"/>
      <c r="G604" s="254"/>
      <c r="H604" s="254"/>
      <c r="I604" s="254"/>
      <c r="J604" s="254"/>
      <c r="K604" s="254"/>
      <c r="L604" s="254"/>
      <c r="M604" s="254"/>
      <c r="N604" s="254"/>
      <c r="O604" s="254"/>
      <c r="P604" s="254"/>
      <c r="Q604" s="254"/>
      <c r="R604" s="254"/>
      <c r="S604" s="254"/>
      <c r="T604" s="254"/>
      <c r="U604" s="217"/>
      <c r="V604" s="217"/>
      <c r="W604" s="217"/>
      <c r="X604" s="217"/>
      <c r="Y604" s="217"/>
      <c r="Z604" s="217"/>
    </row>
    <row r="605" ht="15.75" hidden="1" customHeight="1">
      <c r="A605" s="344"/>
      <c r="B605" s="253"/>
      <c r="C605" s="253"/>
      <c r="D605" s="345"/>
      <c r="E605" s="253"/>
      <c r="F605" s="254"/>
      <c r="G605" s="254"/>
      <c r="H605" s="254"/>
      <c r="I605" s="254"/>
      <c r="J605" s="254"/>
      <c r="K605" s="254"/>
      <c r="L605" s="254"/>
      <c r="M605" s="254"/>
      <c r="N605" s="254"/>
      <c r="O605" s="254"/>
      <c r="P605" s="254"/>
      <c r="Q605" s="254"/>
      <c r="R605" s="254"/>
      <c r="S605" s="254"/>
      <c r="T605" s="254"/>
      <c r="U605" s="217"/>
      <c r="V605" s="217"/>
      <c r="W605" s="217"/>
      <c r="X605" s="217"/>
      <c r="Y605" s="217"/>
      <c r="Z605" s="217"/>
    </row>
    <row r="606" ht="15.75" hidden="1" customHeight="1">
      <c r="A606" s="344"/>
      <c r="B606" s="253"/>
      <c r="C606" s="253"/>
      <c r="D606" s="345"/>
      <c r="E606" s="253"/>
      <c r="F606" s="254"/>
      <c r="G606" s="254"/>
      <c r="H606" s="254"/>
      <c r="I606" s="254"/>
      <c r="J606" s="254"/>
      <c r="K606" s="254"/>
      <c r="L606" s="254"/>
      <c r="M606" s="254"/>
      <c r="N606" s="254"/>
      <c r="O606" s="254"/>
      <c r="P606" s="254"/>
      <c r="Q606" s="254"/>
      <c r="R606" s="254"/>
      <c r="S606" s="254"/>
      <c r="T606" s="254"/>
      <c r="U606" s="217"/>
      <c r="V606" s="217"/>
      <c r="W606" s="217"/>
      <c r="X606" s="217"/>
      <c r="Y606" s="217"/>
      <c r="Z606" s="217"/>
    </row>
    <row r="607" ht="15.75" hidden="1" customHeight="1">
      <c r="A607" s="344"/>
      <c r="B607" s="253"/>
      <c r="C607" s="253"/>
      <c r="D607" s="345"/>
      <c r="E607" s="253"/>
      <c r="F607" s="254"/>
      <c r="G607" s="254"/>
      <c r="H607" s="254"/>
      <c r="I607" s="254"/>
      <c r="J607" s="254"/>
      <c r="K607" s="254"/>
      <c r="L607" s="254"/>
      <c r="M607" s="254"/>
      <c r="N607" s="254"/>
      <c r="O607" s="254"/>
      <c r="P607" s="254"/>
      <c r="Q607" s="254"/>
      <c r="R607" s="254"/>
      <c r="S607" s="254"/>
      <c r="T607" s="254"/>
      <c r="U607" s="217"/>
      <c r="V607" s="217"/>
      <c r="W607" s="217"/>
      <c r="X607" s="217"/>
      <c r="Y607" s="217"/>
      <c r="Z607" s="217"/>
    </row>
    <row r="608" ht="15.75" hidden="1" customHeight="1">
      <c r="A608" s="344"/>
      <c r="B608" s="253"/>
      <c r="C608" s="253"/>
      <c r="D608" s="345"/>
      <c r="E608" s="253"/>
      <c r="F608" s="254"/>
      <c r="G608" s="254"/>
      <c r="H608" s="254"/>
      <c r="I608" s="254"/>
      <c r="J608" s="254"/>
      <c r="K608" s="254"/>
      <c r="L608" s="254"/>
      <c r="M608" s="254"/>
      <c r="N608" s="254"/>
      <c r="O608" s="254"/>
      <c r="P608" s="254"/>
      <c r="Q608" s="254"/>
      <c r="R608" s="254"/>
      <c r="S608" s="254"/>
      <c r="T608" s="254"/>
      <c r="U608" s="217"/>
      <c r="V608" s="217"/>
      <c r="W608" s="217"/>
      <c r="X608" s="217"/>
      <c r="Y608" s="217"/>
      <c r="Z608" s="217"/>
    </row>
    <row r="609" ht="15.75" hidden="1" customHeight="1">
      <c r="A609" s="344"/>
      <c r="B609" s="253"/>
      <c r="C609" s="253"/>
      <c r="D609" s="345"/>
      <c r="E609" s="253"/>
      <c r="F609" s="254"/>
      <c r="G609" s="254"/>
      <c r="H609" s="254"/>
      <c r="I609" s="254"/>
      <c r="J609" s="254"/>
      <c r="K609" s="254"/>
      <c r="L609" s="254"/>
      <c r="M609" s="254"/>
      <c r="N609" s="254"/>
      <c r="O609" s="254"/>
      <c r="P609" s="254"/>
      <c r="Q609" s="254"/>
      <c r="R609" s="254"/>
      <c r="S609" s="254"/>
      <c r="T609" s="254"/>
      <c r="U609" s="217"/>
      <c r="V609" s="217"/>
      <c r="W609" s="217"/>
      <c r="X609" s="217"/>
      <c r="Y609" s="217"/>
      <c r="Z609" s="217"/>
    </row>
    <row r="610" ht="15.75" hidden="1" customHeight="1">
      <c r="A610" s="344"/>
      <c r="B610" s="253"/>
      <c r="C610" s="253"/>
      <c r="D610" s="345"/>
      <c r="E610" s="253"/>
      <c r="F610" s="254"/>
      <c r="G610" s="254"/>
      <c r="H610" s="254"/>
      <c r="I610" s="254"/>
      <c r="J610" s="254"/>
      <c r="K610" s="254"/>
      <c r="L610" s="254"/>
      <c r="M610" s="254"/>
      <c r="N610" s="254"/>
      <c r="O610" s="254"/>
      <c r="P610" s="254"/>
      <c r="Q610" s="254"/>
      <c r="R610" s="254"/>
      <c r="S610" s="254"/>
      <c r="T610" s="254"/>
      <c r="U610" s="217"/>
      <c r="V610" s="217"/>
      <c r="W610" s="217"/>
      <c r="X610" s="217"/>
      <c r="Y610" s="217"/>
      <c r="Z610" s="217"/>
    </row>
    <row r="611" ht="15.75" hidden="1" customHeight="1">
      <c r="A611" s="344"/>
      <c r="B611" s="253"/>
      <c r="C611" s="253"/>
      <c r="D611" s="345"/>
      <c r="E611" s="253"/>
      <c r="F611" s="254"/>
      <c r="G611" s="254"/>
      <c r="H611" s="254"/>
      <c r="I611" s="254"/>
      <c r="J611" s="254"/>
      <c r="K611" s="254"/>
      <c r="L611" s="254"/>
      <c r="M611" s="254"/>
      <c r="N611" s="254"/>
      <c r="O611" s="254"/>
      <c r="P611" s="254"/>
      <c r="Q611" s="254"/>
      <c r="R611" s="254"/>
      <c r="S611" s="254"/>
      <c r="T611" s="254"/>
      <c r="U611" s="217"/>
      <c r="V611" s="217"/>
      <c r="W611" s="217"/>
      <c r="X611" s="217"/>
      <c r="Y611" s="217"/>
      <c r="Z611" s="217"/>
    </row>
    <row r="612" ht="15.75" hidden="1" customHeight="1">
      <c r="A612" s="344"/>
      <c r="B612" s="253"/>
      <c r="C612" s="253"/>
      <c r="D612" s="345"/>
      <c r="E612" s="253"/>
      <c r="F612" s="254"/>
      <c r="G612" s="254"/>
      <c r="H612" s="254"/>
      <c r="I612" s="254"/>
      <c r="J612" s="254"/>
      <c r="K612" s="254"/>
      <c r="L612" s="254"/>
      <c r="M612" s="254"/>
      <c r="N612" s="254"/>
      <c r="O612" s="254"/>
      <c r="P612" s="254"/>
      <c r="Q612" s="254"/>
      <c r="R612" s="254"/>
      <c r="S612" s="254"/>
      <c r="T612" s="254"/>
      <c r="U612" s="217"/>
      <c r="V612" s="217"/>
      <c r="W612" s="217"/>
      <c r="X612" s="217"/>
      <c r="Y612" s="217"/>
      <c r="Z612" s="217"/>
    </row>
    <row r="613" ht="15.75" hidden="1" customHeight="1">
      <c r="A613" s="344"/>
      <c r="B613" s="253"/>
      <c r="C613" s="253"/>
      <c r="D613" s="345"/>
      <c r="E613" s="253"/>
      <c r="F613" s="254"/>
      <c r="G613" s="254"/>
      <c r="H613" s="254"/>
      <c r="I613" s="254"/>
      <c r="J613" s="254"/>
      <c r="K613" s="254"/>
      <c r="L613" s="254"/>
      <c r="M613" s="254"/>
      <c r="N613" s="254"/>
      <c r="O613" s="254"/>
      <c r="P613" s="254"/>
      <c r="Q613" s="254"/>
      <c r="R613" s="254"/>
      <c r="S613" s="254"/>
      <c r="T613" s="254"/>
      <c r="U613" s="217"/>
      <c r="V613" s="217"/>
      <c r="W613" s="217"/>
      <c r="X613" s="217"/>
      <c r="Y613" s="217"/>
      <c r="Z613" s="217"/>
    </row>
    <row r="614" ht="15.75" hidden="1" customHeight="1">
      <c r="A614" s="344"/>
      <c r="B614" s="253"/>
      <c r="C614" s="253"/>
      <c r="D614" s="345"/>
      <c r="E614" s="253"/>
      <c r="F614" s="254"/>
      <c r="G614" s="254"/>
      <c r="H614" s="254"/>
      <c r="I614" s="254"/>
      <c r="J614" s="254"/>
      <c r="K614" s="254"/>
      <c r="L614" s="254"/>
      <c r="M614" s="254"/>
      <c r="N614" s="254"/>
      <c r="O614" s="254"/>
      <c r="P614" s="254"/>
      <c r="Q614" s="254"/>
      <c r="R614" s="254"/>
      <c r="S614" s="254"/>
      <c r="T614" s="254"/>
      <c r="U614" s="217"/>
      <c r="V614" s="217"/>
      <c r="W614" s="217"/>
      <c r="X614" s="217"/>
      <c r="Y614" s="217"/>
      <c r="Z614" s="217"/>
    </row>
    <row r="615" ht="15.75" hidden="1" customHeight="1">
      <c r="A615" s="344"/>
      <c r="B615" s="253"/>
      <c r="C615" s="253"/>
      <c r="D615" s="345"/>
      <c r="E615" s="253"/>
      <c r="F615" s="254"/>
      <c r="G615" s="254"/>
      <c r="H615" s="254"/>
      <c r="I615" s="254"/>
      <c r="J615" s="254"/>
      <c r="K615" s="254"/>
      <c r="L615" s="254"/>
      <c r="M615" s="254"/>
      <c r="N615" s="254"/>
      <c r="O615" s="254"/>
      <c r="P615" s="254"/>
      <c r="Q615" s="254"/>
      <c r="R615" s="254"/>
      <c r="S615" s="254"/>
      <c r="T615" s="254"/>
      <c r="U615" s="217"/>
      <c r="V615" s="217"/>
      <c r="W615" s="217"/>
      <c r="X615" s="217"/>
      <c r="Y615" s="217"/>
      <c r="Z615" s="217"/>
    </row>
    <row r="616" ht="15.75" hidden="1" customHeight="1">
      <c r="A616" s="344"/>
      <c r="B616" s="253"/>
      <c r="C616" s="253"/>
      <c r="D616" s="345"/>
      <c r="E616" s="253"/>
      <c r="F616" s="254"/>
      <c r="G616" s="254"/>
      <c r="H616" s="254"/>
      <c r="I616" s="254"/>
      <c r="J616" s="254"/>
      <c r="K616" s="254"/>
      <c r="L616" s="254"/>
      <c r="M616" s="254"/>
      <c r="N616" s="254"/>
      <c r="O616" s="254"/>
      <c r="P616" s="254"/>
      <c r="Q616" s="254"/>
      <c r="R616" s="254"/>
      <c r="S616" s="254"/>
      <c r="T616" s="254"/>
      <c r="U616" s="217"/>
      <c r="V616" s="217"/>
      <c r="W616" s="217"/>
      <c r="X616" s="217"/>
      <c r="Y616" s="217"/>
      <c r="Z616" s="217"/>
    </row>
    <row r="617" ht="15.75" hidden="1" customHeight="1">
      <c r="A617" s="344"/>
      <c r="B617" s="253"/>
      <c r="C617" s="253"/>
      <c r="D617" s="345"/>
      <c r="E617" s="253"/>
      <c r="F617" s="254"/>
      <c r="G617" s="254"/>
      <c r="H617" s="254"/>
      <c r="I617" s="254"/>
      <c r="J617" s="254"/>
      <c r="K617" s="254"/>
      <c r="L617" s="254"/>
      <c r="M617" s="254"/>
      <c r="N617" s="254"/>
      <c r="O617" s="254"/>
      <c r="P617" s="254"/>
      <c r="Q617" s="254"/>
      <c r="R617" s="254"/>
      <c r="S617" s="254"/>
      <c r="T617" s="254"/>
      <c r="U617" s="217"/>
      <c r="V617" s="217"/>
      <c r="W617" s="217"/>
      <c r="X617" s="217"/>
      <c r="Y617" s="217"/>
      <c r="Z617" s="217"/>
    </row>
    <row r="618" ht="15.75" hidden="1" customHeight="1">
      <c r="A618" s="344"/>
      <c r="B618" s="253"/>
      <c r="C618" s="253"/>
      <c r="D618" s="345"/>
      <c r="E618" s="253"/>
      <c r="F618" s="254"/>
      <c r="G618" s="254"/>
      <c r="H618" s="254"/>
      <c r="I618" s="254"/>
      <c r="J618" s="254"/>
      <c r="K618" s="254"/>
      <c r="L618" s="254"/>
      <c r="M618" s="254"/>
      <c r="N618" s="254"/>
      <c r="O618" s="254"/>
      <c r="P618" s="254"/>
      <c r="Q618" s="254"/>
      <c r="R618" s="254"/>
      <c r="S618" s="254"/>
      <c r="T618" s="254"/>
      <c r="U618" s="217"/>
      <c r="V618" s="217"/>
      <c r="W618" s="217"/>
      <c r="X618" s="217"/>
      <c r="Y618" s="217"/>
      <c r="Z618" s="217"/>
    </row>
    <row r="619" ht="15.75" hidden="1" customHeight="1">
      <c r="A619" s="344"/>
      <c r="B619" s="253"/>
      <c r="C619" s="253"/>
      <c r="D619" s="345"/>
      <c r="E619" s="253"/>
      <c r="F619" s="254"/>
      <c r="G619" s="254"/>
      <c r="H619" s="254"/>
      <c r="I619" s="254"/>
      <c r="J619" s="254"/>
      <c r="K619" s="254"/>
      <c r="L619" s="254"/>
      <c r="M619" s="254"/>
      <c r="N619" s="254"/>
      <c r="O619" s="254"/>
      <c r="P619" s="254"/>
      <c r="Q619" s="254"/>
      <c r="R619" s="254"/>
      <c r="S619" s="254"/>
      <c r="T619" s="254"/>
      <c r="U619" s="217"/>
      <c r="V619" s="217"/>
      <c r="W619" s="217"/>
      <c r="X619" s="217"/>
      <c r="Y619" s="217"/>
      <c r="Z619" s="217"/>
    </row>
    <row r="620" ht="15.75" hidden="1" customHeight="1">
      <c r="A620" s="344"/>
      <c r="B620" s="253"/>
      <c r="C620" s="253"/>
      <c r="D620" s="345"/>
      <c r="E620" s="253"/>
      <c r="F620" s="254"/>
      <c r="G620" s="254"/>
      <c r="H620" s="254"/>
      <c r="I620" s="254"/>
      <c r="J620" s="254"/>
      <c r="K620" s="254"/>
      <c r="L620" s="254"/>
      <c r="M620" s="254"/>
      <c r="N620" s="254"/>
      <c r="O620" s="254"/>
      <c r="P620" s="254"/>
      <c r="Q620" s="254"/>
      <c r="R620" s="254"/>
      <c r="S620" s="254"/>
      <c r="T620" s="254"/>
      <c r="U620" s="217"/>
      <c r="V620" s="217"/>
      <c r="W620" s="217"/>
      <c r="X620" s="217"/>
      <c r="Y620" s="217"/>
      <c r="Z620" s="217"/>
    </row>
    <row r="621" ht="15.75" hidden="1" customHeight="1">
      <c r="A621" s="344"/>
      <c r="B621" s="253"/>
      <c r="C621" s="253"/>
      <c r="D621" s="345"/>
      <c r="E621" s="253"/>
      <c r="F621" s="254"/>
      <c r="G621" s="254"/>
      <c r="H621" s="254"/>
      <c r="I621" s="254"/>
      <c r="J621" s="254"/>
      <c r="K621" s="254"/>
      <c r="L621" s="254"/>
      <c r="M621" s="254"/>
      <c r="N621" s="254"/>
      <c r="O621" s="254"/>
      <c r="P621" s="254"/>
      <c r="Q621" s="254"/>
      <c r="R621" s="254"/>
      <c r="S621" s="254"/>
      <c r="T621" s="254"/>
      <c r="U621" s="217"/>
      <c r="V621" s="217"/>
      <c r="W621" s="217"/>
      <c r="X621" s="217"/>
      <c r="Y621" s="217"/>
      <c r="Z621" s="217"/>
    </row>
    <row r="622" ht="15.75" hidden="1" customHeight="1">
      <c r="A622" s="344"/>
      <c r="B622" s="253"/>
      <c r="C622" s="253"/>
      <c r="D622" s="345"/>
      <c r="E622" s="253"/>
      <c r="F622" s="254"/>
      <c r="G622" s="254"/>
      <c r="H622" s="254"/>
      <c r="I622" s="254"/>
      <c r="J622" s="254"/>
      <c r="K622" s="254"/>
      <c r="L622" s="254"/>
      <c r="M622" s="254"/>
      <c r="N622" s="254"/>
      <c r="O622" s="254"/>
      <c r="P622" s="254"/>
      <c r="Q622" s="254"/>
      <c r="R622" s="254"/>
      <c r="S622" s="254"/>
      <c r="T622" s="254"/>
      <c r="U622" s="217"/>
      <c r="V622" s="217"/>
      <c r="W622" s="217"/>
      <c r="X622" s="217"/>
      <c r="Y622" s="217"/>
      <c r="Z622" s="217"/>
    </row>
    <row r="623" ht="15.75" hidden="1" customHeight="1">
      <c r="A623" s="344"/>
      <c r="B623" s="253"/>
      <c r="C623" s="253"/>
      <c r="D623" s="345"/>
      <c r="E623" s="253"/>
      <c r="F623" s="254"/>
      <c r="G623" s="254"/>
      <c r="H623" s="254"/>
      <c r="I623" s="254"/>
      <c r="J623" s="254"/>
      <c r="K623" s="254"/>
      <c r="L623" s="254"/>
      <c r="M623" s="254"/>
      <c r="N623" s="254"/>
      <c r="O623" s="254"/>
      <c r="P623" s="254"/>
      <c r="Q623" s="254"/>
      <c r="R623" s="254"/>
      <c r="S623" s="254"/>
      <c r="T623" s="254"/>
      <c r="U623" s="217"/>
      <c r="V623" s="217"/>
      <c r="W623" s="217"/>
      <c r="X623" s="217"/>
      <c r="Y623" s="217"/>
      <c r="Z623" s="217"/>
    </row>
    <row r="624" ht="15.75" hidden="1" customHeight="1">
      <c r="A624" s="344"/>
      <c r="B624" s="253"/>
      <c r="C624" s="253"/>
      <c r="D624" s="345"/>
      <c r="E624" s="253"/>
      <c r="F624" s="254"/>
      <c r="G624" s="254"/>
      <c r="H624" s="254"/>
      <c r="I624" s="254"/>
      <c r="J624" s="254"/>
      <c r="K624" s="254"/>
      <c r="L624" s="254"/>
      <c r="M624" s="254"/>
      <c r="N624" s="254"/>
      <c r="O624" s="254"/>
      <c r="P624" s="254"/>
      <c r="Q624" s="254"/>
      <c r="R624" s="254"/>
      <c r="S624" s="254"/>
      <c r="T624" s="254"/>
      <c r="U624" s="217"/>
      <c r="V624" s="217"/>
      <c r="W624" s="217"/>
      <c r="X624" s="217"/>
      <c r="Y624" s="217"/>
      <c r="Z624" s="217"/>
    </row>
    <row r="625" ht="15.75" hidden="1" customHeight="1">
      <c r="A625" s="344"/>
      <c r="B625" s="253"/>
      <c r="C625" s="253"/>
      <c r="D625" s="345"/>
      <c r="E625" s="253"/>
      <c r="F625" s="254"/>
      <c r="G625" s="254"/>
      <c r="H625" s="254"/>
      <c r="I625" s="254"/>
      <c r="J625" s="254"/>
      <c r="K625" s="254"/>
      <c r="L625" s="254"/>
      <c r="M625" s="254"/>
      <c r="N625" s="254"/>
      <c r="O625" s="254"/>
      <c r="P625" s="254"/>
      <c r="Q625" s="254"/>
      <c r="R625" s="254"/>
      <c r="S625" s="254"/>
      <c r="T625" s="254"/>
      <c r="U625" s="217"/>
      <c r="V625" s="217"/>
      <c r="W625" s="217"/>
      <c r="X625" s="217"/>
      <c r="Y625" s="217"/>
      <c r="Z625" s="217"/>
    </row>
    <row r="626" ht="15.75" hidden="1" customHeight="1">
      <c r="A626" s="344"/>
      <c r="B626" s="253"/>
      <c r="C626" s="253"/>
      <c r="D626" s="345"/>
      <c r="E626" s="253"/>
      <c r="F626" s="254"/>
      <c r="G626" s="254"/>
      <c r="H626" s="254"/>
      <c r="I626" s="254"/>
      <c r="J626" s="254"/>
      <c r="K626" s="254"/>
      <c r="L626" s="254"/>
      <c r="M626" s="254"/>
      <c r="N626" s="254"/>
      <c r="O626" s="254"/>
      <c r="P626" s="254"/>
      <c r="Q626" s="254"/>
      <c r="R626" s="254"/>
      <c r="S626" s="254"/>
      <c r="T626" s="254"/>
      <c r="U626" s="217"/>
      <c r="V626" s="217"/>
      <c r="W626" s="217"/>
      <c r="X626" s="217"/>
      <c r="Y626" s="217"/>
      <c r="Z626" s="217"/>
    </row>
    <row r="627" ht="15.75" hidden="1" customHeight="1">
      <c r="A627" s="344"/>
      <c r="B627" s="253"/>
      <c r="C627" s="253"/>
      <c r="D627" s="345"/>
      <c r="E627" s="253"/>
      <c r="F627" s="254"/>
      <c r="G627" s="254"/>
      <c r="H627" s="254"/>
      <c r="I627" s="254"/>
      <c r="J627" s="254"/>
      <c r="K627" s="254"/>
      <c r="L627" s="254"/>
      <c r="M627" s="254"/>
      <c r="N627" s="254"/>
      <c r="O627" s="254"/>
      <c r="P627" s="254"/>
      <c r="Q627" s="254"/>
      <c r="R627" s="254"/>
      <c r="S627" s="254"/>
      <c r="T627" s="254"/>
      <c r="U627" s="217"/>
      <c r="V627" s="217"/>
      <c r="W627" s="217"/>
      <c r="X627" s="217"/>
      <c r="Y627" s="217"/>
      <c r="Z627" s="217"/>
    </row>
    <row r="628" ht="15.75" hidden="1" customHeight="1">
      <c r="A628" s="344"/>
      <c r="B628" s="253"/>
      <c r="C628" s="253"/>
      <c r="D628" s="345"/>
      <c r="E628" s="253"/>
      <c r="F628" s="254"/>
      <c r="G628" s="254"/>
      <c r="H628" s="254"/>
      <c r="I628" s="254"/>
      <c r="J628" s="254"/>
      <c r="K628" s="254"/>
      <c r="L628" s="254"/>
      <c r="M628" s="254"/>
      <c r="N628" s="254"/>
      <c r="O628" s="254"/>
      <c r="P628" s="254"/>
      <c r="Q628" s="254"/>
      <c r="R628" s="254"/>
      <c r="S628" s="254"/>
      <c r="T628" s="254"/>
      <c r="U628" s="217"/>
      <c r="V628" s="217"/>
      <c r="W628" s="217"/>
      <c r="X628" s="217"/>
      <c r="Y628" s="217"/>
      <c r="Z628" s="217"/>
    </row>
    <row r="629" ht="15.75" hidden="1" customHeight="1">
      <c r="A629" s="344"/>
      <c r="B629" s="253"/>
      <c r="C629" s="253"/>
      <c r="D629" s="345"/>
      <c r="E629" s="253"/>
      <c r="F629" s="254"/>
      <c r="G629" s="254"/>
      <c r="H629" s="254"/>
      <c r="I629" s="254"/>
      <c r="J629" s="254"/>
      <c r="K629" s="254"/>
      <c r="L629" s="254"/>
      <c r="M629" s="254"/>
      <c r="N629" s="254"/>
      <c r="O629" s="254"/>
      <c r="P629" s="254"/>
      <c r="Q629" s="254"/>
      <c r="R629" s="254"/>
      <c r="S629" s="254"/>
      <c r="T629" s="254"/>
      <c r="U629" s="217"/>
      <c r="V629" s="217"/>
      <c r="W629" s="217"/>
      <c r="X629" s="217"/>
      <c r="Y629" s="217"/>
      <c r="Z629" s="217"/>
    </row>
    <row r="630" ht="15.75" hidden="1" customHeight="1">
      <c r="A630" s="344"/>
      <c r="B630" s="253"/>
      <c r="C630" s="253"/>
      <c r="D630" s="345"/>
      <c r="E630" s="253"/>
      <c r="F630" s="254"/>
      <c r="G630" s="254"/>
      <c r="H630" s="254"/>
      <c r="I630" s="254"/>
      <c r="J630" s="254"/>
      <c r="K630" s="254"/>
      <c r="L630" s="254"/>
      <c r="M630" s="254"/>
      <c r="N630" s="254"/>
      <c r="O630" s="254"/>
      <c r="P630" s="254"/>
      <c r="Q630" s="254"/>
      <c r="R630" s="254"/>
      <c r="S630" s="254"/>
      <c r="T630" s="254"/>
      <c r="U630" s="217"/>
      <c r="V630" s="217"/>
      <c r="W630" s="217"/>
      <c r="X630" s="217"/>
      <c r="Y630" s="217"/>
      <c r="Z630" s="217"/>
    </row>
    <row r="631" ht="15.75" hidden="1" customHeight="1">
      <c r="A631" s="344"/>
      <c r="B631" s="253"/>
      <c r="C631" s="253"/>
      <c r="D631" s="345"/>
      <c r="E631" s="253"/>
      <c r="F631" s="254"/>
      <c r="G631" s="254"/>
      <c r="H631" s="254"/>
      <c r="I631" s="254"/>
      <c r="J631" s="254"/>
      <c r="K631" s="254"/>
      <c r="L631" s="254"/>
      <c r="M631" s="254"/>
      <c r="N631" s="254"/>
      <c r="O631" s="254"/>
      <c r="P631" s="254"/>
      <c r="Q631" s="254"/>
      <c r="R631" s="254"/>
      <c r="S631" s="254"/>
      <c r="T631" s="254"/>
      <c r="U631" s="217"/>
      <c r="V631" s="217"/>
      <c r="W631" s="217"/>
      <c r="X631" s="217"/>
      <c r="Y631" s="217"/>
      <c r="Z631" s="217"/>
    </row>
    <row r="632" ht="15.75" hidden="1" customHeight="1">
      <c r="A632" s="344"/>
      <c r="B632" s="253"/>
      <c r="C632" s="253"/>
      <c r="D632" s="345"/>
      <c r="E632" s="253"/>
      <c r="F632" s="254"/>
      <c r="G632" s="254"/>
      <c r="H632" s="254"/>
      <c r="I632" s="254"/>
      <c r="J632" s="254"/>
      <c r="K632" s="254"/>
      <c r="L632" s="254"/>
      <c r="M632" s="254"/>
      <c r="N632" s="254"/>
      <c r="O632" s="254"/>
      <c r="P632" s="254"/>
      <c r="Q632" s="254"/>
      <c r="R632" s="254"/>
      <c r="S632" s="254"/>
      <c r="T632" s="254"/>
      <c r="U632" s="217"/>
      <c r="V632" s="217"/>
      <c r="W632" s="217"/>
      <c r="X632" s="217"/>
      <c r="Y632" s="217"/>
      <c r="Z632" s="217"/>
    </row>
    <row r="633" ht="15.75" hidden="1" customHeight="1">
      <c r="A633" s="344"/>
      <c r="B633" s="253"/>
      <c r="C633" s="253"/>
      <c r="D633" s="345"/>
      <c r="E633" s="253"/>
      <c r="F633" s="254"/>
      <c r="G633" s="254"/>
      <c r="H633" s="254"/>
      <c r="I633" s="254"/>
      <c r="J633" s="254"/>
      <c r="K633" s="254"/>
      <c r="L633" s="254"/>
      <c r="M633" s="254"/>
      <c r="N633" s="254"/>
      <c r="O633" s="254"/>
      <c r="P633" s="254"/>
      <c r="Q633" s="254"/>
      <c r="R633" s="254"/>
      <c r="S633" s="254"/>
      <c r="T633" s="254"/>
      <c r="U633" s="217"/>
      <c r="V633" s="217"/>
      <c r="W633" s="217"/>
      <c r="X633" s="217"/>
      <c r="Y633" s="217"/>
      <c r="Z633" s="217"/>
    </row>
    <row r="634" ht="15.75" hidden="1" customHeight="1">
      <c r="A634" s="344"/>
      <c r="B634" s="253"/>
      <c r="C634" s="253"/>
      <c r="D634" s="345"/>
      <c r="E634" s="253"/>
      <c r="F634" s="254"/>
      <c r="G634" s="254"/>
      <c r="H634" s="254"/>
      <c r="I634" s="254"/>
      <c r="J634" s="254"/>
      <c r="K634" s="254"/>
      <c r="L634" s="254"/>
      <c r="M634" s="254"/>
      <c r="N634" s="254"/>
      <c r="O634" s="254"/>
      <c r="P634" s="254"/>
      <c r="Q634" s="254"/>
      <c r="R634" s="254"/>
      <c r="S634" s="254"/>
      <c r="T634" s="254"/>
      <c r="U634" s="217"/>
      <c r="V634" s="217"/>
      <c r="W634" s="217"/>
      <c r="X634" s="217"/>
      <c r="Y634" s="217"/>
      <c r="Z634" s="217"/>
    </row>
    <row r="635" ht="15.75" hidden="1" customHeight="1">
      <c r="A635" s="344"/>
      <c r="B635" s="253"/>
      <c r="C635" s="253"/>
      <c r="D635" s="345"/>
      <c r="E635" s="253"/>
      <c r="F635" s="254"/>
      <c r="G635" s="254"/>
      <c r="H635" s="254"/>
      <c r="I635" s="254"/>
      <c r="J635" s="254"/>
      <c r="K635" s="254"/>
      <c r="L635" s="254"/>
      <c r="M635" s="254"/>
      <c r="N635" s="254"/>
      <c r="O635" s="254"/>
      <c r="P635" s="254"/>
      <c r="Q635" s="254"/>
      <c r="R635" s="254"/>
      <c r="S635" s="254"/>
      <c r="T635" s="254"/>
      <c r="U635" s="217"/>
      <c r="V635" s="217"/>
      <c r="W635" s="217"/>
      <c r="X635" s="217"/>
      <c r="Y635" s="217"/>
      <c r="Z635" s="217"/>
    </row>
    <row r="636" ht="15.75" hidden="1" customHeight="1">
      <c r="A636" s="344"/>
      <c r="B636" s="253"/>
      <c r="C636" s="253"/>
      <c r="D636" s="345"/>
      <c r="E636" s="253"/>
      <c r="F636" s="254"/>
      <c r="G636" s="254"/>
      <c r="H636" s="254"/>
      <c r="I636" s="254"/>
      <c r="J636" s="254"/>
      <c r="K636" s="254"/>
      <c r="L636" s="254"/>
      <c r="M636" s="254"/>
      <c r="N636" s="254"/>
      <c r="O636" s="254"/>
      <c r="P636" s="254"/>
      <c r="Q636" s="254"/>
      <c r="R636" s="254"/>
      <c r="S636" s="254"/>
      <c r="T636" s="254"/>
      <c r="U636" s="217"/>
      <c r="V636" s="217"/>
      <c r="W636" s="217"/>
      <c r="X636" s="217"/>
      <c r="Y636" s="217"/>
      <c r="Z636" s="217"/>
    </row>
    <row r="637" ht="15.75" hidden="1" customHeight="1">
      <c r="A637" s="344"/>
      <c r="B637" s="253"/>
      <c r="C637" s="253"/>
      <c r="D637" s="345"/>
      <c r="E637" s="253"/>
      <c r="F637" s="254"/>
      <c r="G637" s="254"/>
      <c r="H637" s="254"/>
      <c r="I637" s="254"/>
      <c r="J637" s="254"/>
      <c r="K637" s="254"/>
      <c r="L637" s="254"/>
      <c r="M637" s="254"/>
      <c r="N637" s="254"/>
      <c r="O637" s="254"/>
      <c r="P637" s="254"/>
      <c r="Q637" s="254"/>
      <c r="R637" s="254"/>
      <c r="S637" s="254"/>
      <c r="T637" s="254"/>
      <c r="U637" s="217"/>
      <c r="V637" s="217"/>
      <c r="W637" s="217"/>
      <c r="X637" s="217"/>
      <c r="Y637" s="217"/>
      <c r="Z637" s="217"/>
    </row>
    <row r="638" ht="15.75" hidden="1" customHeight="1">
      <c r="A638" s="344"/>
      <c r="B638" s="253"/>
      <c r="C638" s="253"/>
      <c r="D638" s="345"/>
      <c r="E638" s="253"/>
      <c r="F638" s="254"/>
      <c r="G638" s="254"/>
      <c r="H638" s="254"/>
      <c r="I638" s="254"/>
      <c r="J638" s="254"/>
      <c r="K638" s="254"/>
      <c r="L638" s="254"/>
      <c r="M638" s="254"/>
      <c r="N638" s="254"/>
      <c r="O638" s="254"/>
      <c r="P638" s="254"/>
      <c r="Q638" s="254"/>
      <c r="R638" s="254"/>
      <c r="S638" s="254"/>
      <c r="T638" s="254"/>
      <c r="U638" s="217"/>
      <c r="V638" s="217"/>
      <c r="W638" s="217"/>
      <c r="X638" s="217"/>
      <c r="Y638" s="217"/>
      <c r="Z638" s="217"/>
    </row>
    <row r="639" ht="15.75" hidden="1" customHeight="1">
      <c r="A639" s="344"/>
      <c r="B639" s="253"/>
      <c r="C639" s="253"/>
      <c r="D639" s="345"/>
      <c r="E639" s="253"/>
      <c r="F639" s="254"/>
      <c r="G639" s="254"/>
      <c r="H639" s="254"/>
      <c r="I639" s="254"/>
      <c r="J639" s="254"/>
      <c r="K639" s="254"/>
      <c r="L639" s="254"/>
      <c r="M639" s="254"/>
      <c r="N639" s="254"/>
      <c r="O639" s="254"/>
      <c r="P639" s="254"/>
      <c r="Q639" s="254"/>
      <c r="R639" s="254"/>
      <c r="S639" s="254"/>
      <c r="T639" s="254"/>
      <c r="U639" s="217"/>
      <c r="V639" s="217"/>
      <c r="W639" s="217"/>
      <c r="X639" s="217"/>
      <c r="Y639" s="217"/>
      <c r="Z639" s="217"/>
    </row>
    <row r="640" ht="15.75" hidden="1" customHeight="1">
      <c r="A640" s="344"/>
      <c r="B640" s="253"/>
      <c r="C640" s="253"/>
      <c r="D640" s="345"/>
      <c r="E640" s="253"/>
      <c r="F640" s="254"/>
      <c r="G640" s="254"/>
      <c r="H640" s="254"/>
      <c r="I640" s="254"/>
      <c r="J640" s="254"/>
      <c r="K640" s="254"/>
      <c r="L640" s="254"/>
      <c r="M640" s="254"/>
      <c r="N640" s="254"/>
      <c r="O640" s="254"/>
      <c r="P640" s="254"/>
      <c r="Q640" s="254"/>
      <c r="R640" s="254"/>
      <c r="S640" s="254"/>
      <c r="T640" s="254"/>
      <c r="U640" s="217"/>
      <c r="V640" s="217"/>
      <c r="W640" s="217"/>
      <c r="X640" s="217"/>
      <c r="Y640" s="217"/>
      <c r="Z640" s="217"/>
    </row>
    <row r="641" ht="15.75" hidden="1" customHeight="1">
      <c r="A641" s="344"/>
      <c r="B641" s="253"/>
      <c r="C641" s="253"/>
      <c r="D641" s="345"/>
      <c r="E641" s="253"/>
      <c r="F641" s="254"/>
      <c r="G641" s="254"/>
      <c r="H641" s="254"/>
      <c r="I641" s="254"/>
      <c r="J641" s="254"/>
      <c r="K641" s="254"/>
      <c r="L641" s="254"/>
      <c r="M641" s="254"/>
      <c r="N641" s="254"/>
      <c r="O641" s="254"/>
      <c r="P641" s="254"/>
      <c r="Q641" s="254"/>
      <c r="R641" s="254"/>
      <c r="S641" s="254"/>
      <c r="T641" s="254"/>
      <c r="U641" s="217"/>
      <c r="V641" s="217"/>
      <c r="W641" s="217"/>
      <c r="X641" s="217"/>
      <c r="Y641" s="217"/>
      <c r="Z641" s="217"/>
    </row>
    <row r="642" ht="15.75" hidden="1" customHeight="1">
      <c r="A642" s="344"/>
      <c r="B642" s="253"/>
      <c r="C642" s="253"/>
      <c r="D642" s="345"/>
      <c r="E642" s="253"/>
      <c r="F642" s="254"/>
      <c r="G642" s="254"/>
      <c r="H642" s="254"/>
      <c r="I642" s="254"/>
      <c r="J642" s="254"/>
      <c r="K642" s="254"/>
      <c r="L642" s="254"/>
      <c r="M642" s="254"/>
      <c r="N642" s="254"/>
      <c r="O642" s="254"/>
      <c r="P642" s="254"/>
      <c r="Q642" s="254"/>
      <c r="R642" s="254"/>
      <c r="S642" s="254"/>
      <c r="T642" s="254"/>
      <c r="U642" s="217"/>
      <c r="V642" s="217"/>
      <c r="W642" s="217"/>
      <c r="X642" s="217"/>
      <c r="Y642" s="217"/>
      <c r="Z642" s="217"/>
    </row>
    <row r="643" ht="15.75" hidden="1" customHeight="1">
      <c r="A643" s="344"/>
      <c r="B643" s="253"/>
      <c r="C643" s="253"/>
      <c r="D643" s="345"/>
      <c r="E643" s="253"/>
      <c r="F643" s="254"/>
      <c r="G643" s="254"/>
      <c r="H643" s="254"/>
      <c r="I643" s="254"/>
      <c r="J643" s="254"/>
      <c r="K643" s="254"/>
      <c r="L643" s="254"/>
      <c r="M643" s="254"/>
      <c r="N643" s="254"/>
      <c r="O643" s="254"/>
      <c r="P643" s="254"/>
      <c r="Q643" s="254"/>
      <c r="R643" s="254"/>
      <c r="S643" s="254"/>
      <c r="T643" s="254"/>
      <c r="U643" s="217"/>
      <c r="V643" s="217"/>
      <c r="W643" s="217"/>
      <c r="X643" s="217"/>
      <c r="Y643" s="217"/>
      <c r="Z643" s="217"/>
    </row>
    <row r="644" ht="15.75" hidden="1" customHeight="1">
      <c r="A644" s="344"/>
      <c r="B644" s="253"/>
      <c r="C644" s="253"/>
      <c r="D644" s="345"/>
      <c r="E644" s="253"/>
      <c r="F644" s="254"/>
      <c r="G644" s="254"/>
      <c r="H644" s="254"/>
      <c r="I644" s="254"/>
      <c r="J644" s="254"/>
      <c r="K644" s="254"/>
      <c r="L644" s="254"/>
      <c r="M644" s="254"/>
      <c r="N644" s="254"/>
      <c r="O644" s="254"/>
      <c r="P644" s="254"/>
      <c r="Q644" s="254"/>
      <c r="R644" s="254"/>
      <c r="S644" s="254"/>
      <c r="T644" s="254"/>
      <c r="U644" s="217"/>
      <c r="V644" s="217"/>
      <c r="W644" s="217"/>
      <c r="X644" s="217"/>
      <c r="Y644" s="217"/>
      <c r="Z644" s="217"/>
    </row>
    <row r="645" ht="15.75" hidden="1" customHeight="1">
      <c r="A645" s="344"/>
      <c r="B645" s="253"/>
      <c r="C645" s="253"/>
      <c r="D645" s="345"/>
      <c r="E645" s="253"/>
      <c r="F645" s="254"/>
      <c r="G645" s="254"/>
      <c r="H645" s="254"/>
      <c r="I645" s="254"/>
      <c r="J645" s="254"/>
      <c r="K645" s="254"/>
      <c r="L645" s="254"/>
      <c r="M645" s="254"/>
      <c r="N645" s="254"/>
      <c r="O645" s="254"/>
      <c r="P645" s="254"/>
      <c r="Q645" s="254"/>
      <c r="R645" s="254"/>
      <c r="S645" s="254"/>
      <c r="T645" s="254"/>
      <c r="U645" s="217"/>
      <c r="V645" s="217"/>
      <c r="W645" s="217"/>
      <c r="X645" s="217"/>
      <c r="Y645" s="217"/>
      <c r="Z645" s="217"/>
    </row>
    <row r="646" ht="15.75" hidden="1" customHeight="1">
      <c r="A646" s="344"/>
      <c r="B646" s="253"/>
      <c r="C646" s="253"/>
      <c r="D646" s="345"/>
      <c r="E646" s="253"/>
      <c r="F646" s="254"/>
      <c r="G646" s="254"/>
      <c r="H646" s="254"/>
      <c r="I646" s="254"/>
      <c r="J646" s="254"/>
      <c r="K646" s="254"/>
      <c r="L646" s="254"/>
      <c r="M646" s="254"/>
      <c r="N646" s="254"/>
      <c r="O646" s="254"/>
      <c r="P646" s="254"/>
      <c r="Q646" s="254"/>
      <c r="R646" s="254"/>
      <c r="S646" s="254"/>
      <c r="T646" s="254"/>
      <c r="U646" s="217"/>
      <c r="V646" s="217"/>
      <c r="W646" s="217"/>
      <c r="X646" s="217"/>
      <c r="Y646" s="217"/>
      <c r="Z646" s="217"/>
    </row>
    <row r="647" ht="15.75" hidden="1" customHeight="1">
      <c r="A647" s="344"/>
      <c r="B647" s="253"/>
      <c r="C647" s="253"/>
      <c r="D647" s="345"/>
      <c r="E647" s="253"/>
      <c r="F647" s="254"/>
      <c r="G647" s="254"/>
      <c r="H647" s="254"/>
      <c r="I647" s="254"/>
      <c r="J647" s="254"/>
      <c r="K647" s="254"/>
      <c r="L647" s="254"/>
      <c r="M647" s="254"/>
      <c r="N647" s="254"/>
      <c r="O647" s="254"/>
      <c r="P647" s="254"/>
      <c r="Q647" s="254"/>
      <c r="R647" s="254"/>
      <c r="S647" s="254"/>
      <c r="T647" s="254"/>
      <c r="U647" s="217"/>
      <c r="V647" s="217"/>
      <c r="W647" s="217"/>
      <c r="X647" s="217"/>
      <c r="Y647" s="217"/>
      <c r="Z647" s="217"/>
    </row>
    <row r="648" ht="15.75" hidden="1" customHeight="1">
      <c r="A648" s="344"/>
      <c r="B648" s="253"/>
      <c r="C648" s="253"/>
      <c r="D648" s="345"/>
      <c r="E648" s="253"/>
      <c r="F648" s="254"/>
      <c r="G648" s="254"/>
      <c r="H648" s="254"/>
      <c r="I648" s="254"/>
      <c r="J648" s="254"/>
      <c r="K648" s="254"/>
      <c r="L648" s="254"/>
      <c r="M648" s="254"/>
      <c r="N648" s="254"/>
      <c r="O648" s="254"/>
      <c r="P648" s="254"/>
      <c r="Q648" s="254"/>
      <c r="R648" s="254"/>
      <c r="S648" s="254"/>
      <c r="T648" s="254"/>
      <c r="U648" s="217"/>
      <c r="V648" s="217"/>
      <c r="W648" s="217"/>
      <c r="X648" s="217"/>
      <c r="Y648" s="217"/>
      <c r="Z648" s="217"/>
    </row>
    <row r="649" ht="15.75" hidden="1" customHeight="1">
      <c r="A649" s="344"/>
      <c r="B649" s="253"/>
      <c r="C649" s="253"/>
      <c r="D649" s="345"/>
      <c r="E649" s="253"/>
      <c r="F649" s="254"/>
      <c r="G649" s="254"/>
      <c r="H649" s="254"/>
      <c r="I649" s="254"/>
      <c r="J649" s="254"/>
      <c r="K649" s="254"/>
      <c r="L649" s="254"/>
      <c r="M649" s="254"/>
      <c r="N649" s="254"/>
      <c r="O649" s="254"/>
      <c r="P649" s="254"/>
      <c r="Q649" s="254"/>
      <c r="R649" s="254"/>
      <c r="S649" s="254"/>
      <c r="T649" s="254"/>
      <c r="U649" s="217"/>
      <c r="V649" s="217"/>
      <c r="W649" s="217"/>
      <c r="X649" s="217"/>
      <c r="Y649" s="217"/>
      <c r="Z649" s="217"/>
    </row>
    <row r="650" ht="15.75" hidden="1" customHeight="1">
      <c r="A650" s="344"/>
      <c r="B650" s="253"/>
      <c r="C650" s="253"/>
      <c r="D650" s="345"/>
      <c r="E650" s="253"/>
      <c r="F650" s="254"/>
      <c r="G650" s="254"/>
      <c r="H650" s="254"/>
      <c r="I650" s="254"/>
      <c r="J650" s="254"/>
      <c r="K650" s="254"/>
      <c r="L650" s="254"/>
      <c r="M650" s="254"/>
      <c r="N650" s="254"/>
      <c r="O650" s="254"/>
      <c r="P650" s="254"/>
      <c r="Q650" s="254"/>
      <c r="R650" s="254"/>
      <c r="S650" s="254"/>
      <c r="T650" s="254"/>
      <c r="U650" s="217"/>
      <c r="V650" s="217"/>
      <c r="W650" s="217"/>
      <c r="X650" s="217"/>
      <c r="Y650" s="217"/>
      <c r="Z650" s="217"/>
    </row>
    <row r="651" ht="15.75" hidden="1" customHeight="1">
      <c r="A651" s="344"/>
      <c r="B651" s="253"/>
      <c r="C651" s="253"/>
      <c r="D651" s="345"/>
      <c r="E651" s="253"/>
      <c r="F651" s="254"/>
      <c r="G651" s="254"/>
      <c r="H651" s="254"/>
      <c r="I651" s="254"/>
      <c r="J651" s="254"/>
      <c r="K651" s="254"/>
      <c r="L651" s="254"/>
      <c r="M651" s="254"/>
      <c r="N651" s="254"/>
      <c r="O651" s="254"/>
      <c r="P651" s="254"/>
      <c r="Q651" s="254"/>
      <c r="R651" s="254"/>
      <c r="S651" s="254"/>
      <c r="T651" s="254"/>
      <c r="U651" s="217"/>
      <c r="V651" s="217"/>
      <c r="W651" s="217"/>
      <c r="X651" s="217"/>
      <c r="Y651" s="217"/>
      <c r="Z651" s="217"/>
    </row>
    <row r="652" ht="15.75" hidden="1" customHeight="1">
      <c r="A652" s="344"/>
      <c r="B652" s="253"/>
      <c r="C652" s="253"/>
      <c r="D652" s="345"/>
      <c r="E652" s="253"/>
      <c r="F652" s="254"/>
      <c r="G652" s="254"/>
      <c r="H652" s="254"/>
      <c r="I652" s="254"/>
      <c r="J652" s="254"/>
      <c r="K652" s="254"/>
      <c r="L652" s="254"/>
      <c r="M652" s="254"/>
      <c r="N652" s="254"/>
      <c r="O652" s="254"/>
      <c r="P652" s="254"/>
      <c r="Q652" s="254"/>
      <c r="R652" s="254"/>
      <c r="S652" s="254"/>
      <c r="T652" s="254"/>
      <c r="U652" s="217"/>
      <c r="V652" s="217"/>
      <c r="W652" s="217"/>
      <c r="X652" s="217"/>
      <c r="Y652" s="217"/>
      <c r="Z652" s="217"/>
    </row>
    <row r="653" ht="15.75" hidden="1" customHeight="1">
      <c r="A653" s="344"/>
      <c r="B653" s="253"/>
      <c r="C653" s="253"/>
      <c r="D653" s="345"/>
      <c r="E653" s="253"/>
      <c r="F653" s="254"/>
      <c r="G653" s="254"/>
      <c r="H653" s="254"/>
      <c r="I653" s="254"/>
      <c r="J653" s="254"/>
      <c r="K653" s="254"/>
      <c r="L653" s="254"/>
      <c r="M653" s="254"/>
      <c r="N653" s="254"/>
      <c r="O653" s="254"/>
      <c r="P653" s="254"/>
      <c r="Q653" s="254"/>
      <c r="R653" s="254"/>
      <c r="S653" s="254"/>
      <c r="T653" s="254"/>
      <c r="U653" s="217"/>
      <c r="V653" s="217"/>
      <c r="W653" s="217"/>
      <c r="X653" s="217"/>
      <c r="Y653" s="217"/>
      <c r="Z653" s="217"/>
    </row>
    <row r="654" ht="15.75" hidden="1" customHeight="1">
      <c r="A654" s="344"/>
      <c r="B654" s="253"/>
      <c r="C654" s="253"/>
      <c r="D654" s="345"/>
      <c r="E654" s="253"/>
      <c r="F654" s="254"/>
      <c r="G654" s="254"/>
      <c r="H654" s="254"/>
      <c r="I654" s="254"/>
      <c r="J654" s="254"/>
      <c r="K654" s="254"/>
      <c r="L654" s="254"/>
      <c r="M654" s="254"/>
      <c r="N654" s="254"/>
      <c r="O654" s="254"/>
      <c r="P654" s="254"/>
      <c r="Q654" s="254"/>
      <c r="R654" s="254"/>
      <c r="S654" s="254"/>
      <c r="T654" s="254"/>
      <c r="U654" s="217"/>
      <c r="V654" s="217"/>
      <c r="W654" s="217"/>
      <c r="X654" s="217"/>
      <c r="Y654" s="217"/>
      <c r="Z654" s="217"/>
    </row>
    <row r="655" ht="15.75" hidden="1" customHeight="1">
      <c r="A655" s="344"/>
      <c r="B655" s="253"/>
      <c r="C655" s="253"/>
      <c r="D655" s="345"/>
      <c r="E655" s="253"/>
      <c r="F655" s="254"/>
      <c r="G655" s="254"/>
      <c r="H655" s="254"/>
      <c r="I655" s="254"/>
      <c r="J655" s="254"/>
      <c r="K655" s="254"/>
      <c r="L655" s="254"/>
      <c r="M655" s="254"/>
      <c r="N655" s="254"/>
      <c r="O655" s="254"/>
      <c r="P655" s="254"/>
      <c r="Q655" s="254"/>
      <c r="R655" s="254"/>
      <c r="S655" s="254"/>
      <c r="T655" s="254"/>
      <c r="U655" s="217"/>
      <c r="V655" s="217"/>
      <c r="W655" s="217"/>
      <c r="X655" s="217"/>
      <c r="Y655" s="217"/>
      <c r="Z655" s="217"/>
    </row>
    <row r="656" ht="15.75" hidden="1" customHeight="1">
      <c r="A656" s="344"/>
      <c r="B656" s="253"/>
      <c r="C656" s="253"/>
      <c r="D656" s="345"/>
      <c r="E656" s="253"/>
      <c r="F656" s="254"/>
      <c r="G656" s="254"/>
      <c r="H656" s="254"/>
      <c r="I656" s="254"/>
      <c r="J656" s="254"/>
      <c r="K656" s="254"/>
      <c r="L656" s="254"/>
      <c r="M656" s="254"/>
      <c r="N656" s="254"/>
      <c r="O656" s="254"/>
      <c r="P656" s="254"/>
      <c r="Q656" s="254"/>
      <c r="R656" s="254"/>
      <c r="S656" s="254"/>
      <c r="T656" s="254"/>
      <c r="U656" s="217"/>
      <c r="V656" s="217"/>
      <c r="W656" s="217"/>
      <c r="X656" s="217"/>
      <c r="Y656" s="217"/>
      <c r="Z656" s="217"/>
    </row>
    <row r="657" ht="15.75" hidden="1" customHeight="1">
      <c r="A657" s="344"/>
      <c r="B657" s="253"/>
      <c r="C657" s="253"/>
      <c r="D657" s="345"/>
      <c r="E657" s="253"/>
      <c r="F657" s="254"/>
      <c r="G657" s="254"/>
      <c r="H657" s="254"/>
      <c r="I657" s="254"/>
      <c r="J657" s="254"/>
      <c r="K657" s="254"/>
      <c r="L657" s="254"/>
      <c r="M657" s="254"/>
      <c r="N657" s="254"/>
      <c r="O657" s="254"/>
      <c r="P657" s="254"/>
      <c r="Q657" s="254"/>
      <c r="R657" s="254"/>
      <c r="S657" s="254"/>
      <c r="T657" s="254"/>
      <c r="U657" s="217"/>
      <c r="V657" s="217"/>
      <c r="W657" s="217"/>
      <c r="X657" s="217"/>
      <c r="Y657" s="217"/>
      <c r="Z657" s="217"/>
    </row>
    <row r="658" ht="15.75" hidden="1" customHeight="1">
      <c r="A658" s="344"/>
      <c r="B658" s="253"/>
      <c r="C658" s="253"/>
      <c r="D658" s="345"/>
      <c r="E658" s="253"/>
      <c r="F658" s="254"/>
      <c r="G658" s="254"/>
      <c r="H658" s="254"/>
      <c r="I658" s="254"/>
      <c r="J658" s="254"/>
      <c r="K658" s="254"/>
      <c r="L658" s="254"/>
      <c r="M658" s="254"/>
      <c r="N658" s="254"/>
      <c r="O658" s="254"/>
      <c r="P658" s="254"/>
      <c r="Q658" s="254"/>
      <c r="R658" s="254"/>
      <c r="S658" s="254"/>
      <c r="T658" s="254"/>
      <c r="U658" s="217"/>
      <c r="V658" s="217"/>
      <c r="W658" s="217"/>
      <c r="X658" s="217"/>
      <c r="Y658" s="217"/>
      <c r="Z658" s="217"/>
    </row>
    <row r="659" ht="15.75" hidden="1" customHeight="1">
      <c r="A659" s="344"/>
      <c r="B659" s="253"/>
      <c r="C659" s="253"/>
      <c r="D659" s="345"/>
      <c r="E659" s="253"/>
      <c r="F659" s="254"/>
      <c r="G659" s="254"/>
      <c r="H659" s="254"/>
      <c r="I659" s="254"/>
      <c r="J659" s="254"/>
      <c r="K659" s="254"/>
      <c r="L659" s="254"/>
      <c r="M659" s="254"/>
      <c r="N659" s="254"/>
      <c r="O659" s="254"/>
      <c r="P659" s="254"/>
      <c r="Q659" s="254"/>
      <c r="R659" s="254"/>
      <c r="S659" s="254"/>
      <c r="T659" s="254"/>
      <c r="U659" s="217"/>
      <c r="V659" s="217"/>
      <c r="W659" s="217"/>
      <c r="X659" s="217"/>
      <c r="Y659" s="217"/>
      <c r="Z659" s="217"/>
    </row>
    <row r="660" ht="15.75" hidden="1" customHeight="1">
      <c r="A660" s="344"/>
      <c r="B660" s="253"/>
      <c r="C660" s="253"/>
      <c r="D660" s="345"/>
      <c r="E660" s="253"/>
      <c r="F660" s="254"/>
      <c r="G660" s="254"/>
      <c r="H660" s="254"/>
      <c r="I660" s="254"/>
      <c r="J660" s="254"/>
      <c r="K660" s="254"/>
      <c r="L660" s="254"/>
      <c r="M660" s="254"/>
      <c r="N660" s="254"/>
      <c r="O660" s="254"/>
      <c r="P660" s="254"/>
      <c r="Q660" s="254"/>
      <c r="R660" s="254"/>
      <c r="S660" s="254"/>
      <c r="T660" s="254"/>
      <c r="U660" s="217"/>
      <c r="V660" s="217"/>
      <c r="W660" s="217"/>
      <c r="X660" s="217"/>
      <c r="Y660" s="217"/>
      <c r="Z660" s="217"/>
    </row>
    <row r="661" ht="15.75" hidden="1" customHeight="1">
      <c r="A661" s="344"/>
      <c r="B661" s="253"/>
      <c r="C661" s="253"/>
      <c r="D661" s="345"/>
      <c r="E661" s="253"/>
      <c r="F661" s="254"/>
      <c r="G661" s="254"/>
      <c r="H661" s="254"/>
      <c r="I661" s="254"/>
      <c r="J661" s="254"/>
      <c r="K661" s="254"/>
      <c r="L661" s="254"/>
      <c r="M661" s="254"/>
      <c r="N661" s="254"/>
      <c r="O661" s="254"/>
      <c r="P661" s="254"/>
      <c r="Q661" s="254"/>
      <c r="R661" s="254"/>
      <c r="S661" s="254"/>
      <c r="T661" s="254"/>
      <c r="U661" s="217"/>
      <c r="V661" s="217"/>
      <c r="W661" s="217"/>
      <c r="X661" s="217"/>
      <c r="Y661" s="217"/>
      <c r="Z661" s="217"/>
    </row>
    <row r="662" ht="15.75" hidden="1" customHeight="1">
      <c r="A662" s="344"/>
      <c r="B662" s="253"/>
      <c r="C662" s="253"/>
      <c r="D662" s="345"/>
      <c r="E662" s="253"/>
      <c r="F662" s="254"/>
      <c r="G662" s="254"/>
      <c r="H662" s="254"/>
      <c r="I662" s="254"/>
      <c r="J662" s="254"/>
      <c r="K662" s="254"/>
      <c r="L662" s="254"/>
      <c r="M662" s="254"/>
      <c r="N662" s="254"/>
      <c r="O662" s="254"/>
      <c r="P662" s="254"/>
      <c r="Q662" s="254"/>
      <c r="R662" s="254"/>
      <c r="S662" s="254"/>
      <c r="T662" s="254"/>
      <c r="U662" s="217"/>
      <c r="V662" s="217"/>
      <c r="W662" s="217"/>
      <c r="X662" s="217"/>
      <c r="Y662" s="217"/>
      <c r="Z662" s="217"/>
    </row>
    <row r="663" ht="15.75" hidden="1" customHeight="1">
      <c r="A663" s="344"/>
      <c r="B663" s="253"/>
      <c r="C663" s="253"/>
      <c r="D663" s="345"/>
      <c r="E663" s="253"/>
      <c r="F663" s="254"/>
      <c r="G663" s="254"/>
      <c r="H663" s="254"/>
      <c r="I663" s="254"/>
      <c r="J663" s="254"/>
      <c r="K663" s="254"/>
      <c r="L663" s="254"/>
      <c r="M663" s="254"/>
      <c r="N663" s="254"/>
      <c r="O663" s="254"/>
      <c r="P663" s="254"/>
      <c r="Q663" s="254"/>
      <c r="R663" s="254"/>
      <c r="S663" s="254"/>
      <c r="T663" s="254"/>
      <c r="U663" s="217"/>
      <c r="V663" s="217"/>
      <c r="W663" s="217"/>
      <c r="X663" s="217"/>
      <c r="Y663" s="217"/>
      <c r="Z663" s="217"/>
    </row>
    <row r="664" ht="15.75" hidden="1" customHeight="1">
      <c r="A664" s="344"/>
      <c r="B664" s="253"/>
      <c r="C664" s="253"/>
      <c r="D664" s="345"/>
      <c r="E664" s="253"/>
      <c r="F664" s="254"/>
      <c r="G664" s="254"/>
      <c r="H664" s="254"/>
      <c r="I664" s="254"/>
      <c r="J664" s="254"/>
      <c r="K664" s="254"/>
      <c r="L664" s="254"/>
      <c r="M664" s="254"/>
      <c r="N664" s="254"/>
      <c r="O664" s="254"/>
      <c r="P664" s="254"/>
      <c r="Q664" s="254"/>
      <c r="R664" s="254"/>
      <c r="S664" s="254"/>
      <c r="T664" s="254"/>
      <c r="U664" s="217"/>
      <c r="V664" s="217"/>
      <c r="W664" s="217"/>
      <c r="X664" s="217"/>
      <c r="Y664" s="217"/>
      <c r="Z664" s="217"/>
    </row>
    <row r="665" ht="15.75" hidden="1" customHeight="1">
      <c r="A665" s="344"/>
      <c r="B665" s="253"/>
      <c r="C665" s="253"/>
      <c r="D665" s="345"/>
      <c r="E665" s="253"/>
      <c r="F665" s="254"/>
      <c r="G665" s="254"/>
      <c r="H665" s="254"/>
      <c r="I665" s="254"/>
      <c r="J665" s="254"/>
      <c r="K665" s="254"/>
      <c r="L665" s="254"/>
      <c r="M665" s="254"/>
      <c r="N665" s="254"/>
      <c r="O665" s="254"/>
      <c r="P665" s="254"/>
      <c r="Q665" s="254"/>
      <c r="R665" s="254"/>
      <c r="S665" s="254"/>
      <c r="T665" s="254"/>
      <c r="U665" s="217"/>
      <c r="V665" s="217"/>
      <c r="W665" s="217"/>
      <c r="X665" s="217"/>
      <c r="Y665" s="217"/>
      <c r="Z665" s="217"/>
    </row>
    <row r="666" ht="15.75" hidden="1" customHeight="1">
      <c r="A666" s="344"/>
      <c r="B666" s="253"/>
      <c r="C666" s="253"/>
      <c r="D666" s="345"/>
      <c r="E666" s="253"/>
      <c r="F666" s="254"/>
      <c r="G666" s="254"/>
      <c r="H666" s="254"/>
      <c r="I666" s="254"/>
      <c r="J666" s="254"/>
      <c r="K666" s="254"/>
      <c r="L666" s="254"/>
      <c r="M666" s="254"/>
      <c r="N666" s="254"/>
      <c r="O666" s="254"/>
      <c r="P666" s="254"/>
      <c r="Q666" s="254"/>
      <c r="R666" s="254"/>
      <c r="S666" s="254"/>
      <c r="T666" s="254"/>
      <c r="U666" s="217"/>
      <c r="V666" s="217"/>
      <c r="W666" s="217"/>
      <c r="X666" s="217"/>
      <c r="Y666" s="217"/>
      <c r="Z666" s="217"/>
    </row>
    <row r="667" ht="15.75" hidden="1" customHeight="1">
      <c r="A667" s="344"/>
      <c r="B667" s="253"/>
      <c r="C667" s="253"/>
      <c r="D667" s="345"/>
      <c r="E667" s="253"/>
      <c r="F667" s="254"/>
      <c r="G667" s="254"/>
      <c r="H667" s="254"/>
      <c r="I667" s="254"/>
      <c r="J667" s="254"/>
      <c r="K667" s="254"/>
      <c r="L667" s="254"/>
      <c r="M667" s="254"/>
      <c r="N667" s="254"/>
      <c r="O667" s="254"/>
      <c r="P667" s="254"/>
      <c r="Q667" s="254"/>
      <c r="R667" s="254"/>
      <c r="S667" s="254"/>
      <c r="T667" s="254"/>
      <c r="U667" s="217"/>
      <c r="V667" s="217"/>
      <c r="W667" s="217"/>
      <c r="X667" s="217"/>
      <c r="Y667" s="217"/>
      <c r="Z667" s="217"/>
    </row>
    <row r="668" ht="15.75" hidden="1" customHeight="1">
      <c r="A668" s="344"/>
      <c r="B668" s="253"/>
      <c r="C668" s="253"/>
      <c r="D668" s="345"/>
      <c r="E668" s="253"/>
      <c r="F668" s="254"/>
      <c r="G668" s="254"/>
      <c r="H668" s="254"/>
      <c r="I668" s="254"/>
      <c r="J668" s="254"/>
      <c r="K668" s="254"/>
      <c r="L668" s="254"/>
      <c r="M668" s="254"/>
      <c r="N668" s="254"/>
      <c r="O668" s="254"/>
      <c r="P668" s="254"/>
      <c r="Q668" s="254"/>
      <c r="R668" s="254"/>
      <c r="S668" s="254"/>
      <c r="T668" s="254"/>
      <c r="U668" s="217"/>
      <c r="V668" s="217"/>
      <c r="W668" s="217"/>
      <c r="X668" s="217"/>
      <c r="Y668" s="217"/>
      <c r="Z668" s="217"/>
    </row>
    <row r="669" ht="15.75" hidden="1" customHeight="1">
      <c r="A669" s="344"/>
      <c r="B669" s="253"/>
      <c r="C669" s="253"/>
      <c r="D669" s="345"/>
      <c r="E669" s="253"/>
      <c r="F669" s="254"/>
      <c r="G669" s="254"/>
      <c r="H669" s="254"/>
      <c r="I669" s="254"/>
      <c r="J669" s="254"/>
      <c r="K669" s="254"/>
      <c r="L669" s="254"/>
      <c r="M669" s="254"/>
      <c r="N669" s="254"/>
      <c r="O669" s="254"/>
      <c r="P669" s="254"/>
      <c r="Q669" s="254"/>
      <c r="R669" s="254"/>
      <c r="S669" s="254"/>
      <c r="T669" s="254"/>
      <c r="U669" s="217"/>
      <c r="V669" s="217"/>
      <c r="W669" s="217"/>
      <c r="X669" s="217"/>
      <c r="Y669" s="217"/>
      <c r="Z669" s="217"/>
    </row>
    <row r="670" ht="15.75" hidden="1" customHeight="1">
      <c r="A670" s="344"/>
      <c r="B670" s="253"/>
      <c r="C670" s="253"/>
      <c r="D670" s="345"/>
      <c r="E670" s="253"/>
      <c r="F670" s="254"/>
      <c r="G670" s="254"/>
      <c r="H670" s="254"/>
      <c r="I670" s="254"/>
      <c r="J670" s="254"/>
      <c r="K670" s="254"/>
      <c r="L670" s="254"/>
      <c r="M670" s="254"/>
      <c r="N670" s="254"/>
      <c r="O670" s="254"/>
      <c r="P670" s="254"/>
      <c r="Q670" s="254"/>
      <c r="R670" s="254"/>
      <c r="S670" s="254"/>
      <c r="T670" s="254"/>
      <c r="U670" s="217"/>
      <c r="V670" s="217"/>
      <c r="W670" s="217"/>
      <c r="X670" s="217"/>
      <c r="Y670" s="217"/>
      <c r="Z670" s="217"/>
    </row>
    <row r="671" ht="15.75" hidden="1" customHeight="1">
      <c r="A671" s="344"/>
      <c r="B671" s="253"/>
      <c r="C671" s="253"/>
      <c r="D671" s="345"/>
      <c r="E671" s="253"/>
      <c r="F671" s="254"/>
      <c r="G671" s="254"/>
      <c r="H671" s="254"/>
      <c r="I671" s="254"/>
      <c r="J671" s="254"/>
      <c r="K671" s="254"/>
      <c r="L671" s="254"/>
      <c r="M671" s="254"/>
      <c r="N671" s="254"/>
      <c r="O671" s="254"/>
      <c r="P671" s="254"/>
      <c r="Q671" s="254"/>
      <c r="R671" s="254"/>
      <c r="S671" s="254"/>
      <c r="T671" s="254"/>
      <c r="U671" s="217"/>
      <c r="V671" s="217"/>
      <c r="W671" s="217"/>
      <c r="X671" s="217"/>
      <c r="Y671" s="217"/>
      <c r="Z671" s="217"/>
    </row>
    <row r="672" ht="15.75" hidden="1" customHeight="1">
      <c r="A672" s="344"/>
      <c r="B672" s="253"/>
      <c r="C672" s="253"/>
      <c r="D672" s="345"/>
      <c r="E672" s="253"/>
      <c r="F672" s="254"/>
      <c r="G672" s="254"/>
      <c r="H672" s="254"/>
      <c r="I672" s="254"/>
      <c r="J672" s="254"/>
      <c r="K672" s="254"/>
      <c r="L672" s="254"/>
      <c r="M672" s="254"/>
      <c r="N672" s="254"/>
      <c r="O672" s="254"/>
      <c r="P672" s="254"/>
      <c r="Q672" s="254"/>
      <c r="R672" s="254"/>
      <c r="S672" s="254"/>
      <c r="T672" s="254"/>
      <c r="U672" s="217"/>
      <c r="V672" s="217"/>
      <c r="W672" s="217"/>
      <c r="X672" s="217"/>
      <c r="Y672" s="217"/>
      <c r="Z672" s="217"/>
    </row>
    <row r="673" ht="15.75" hidden="1" customHeight="1">
      <c r="A673" s="344"/>
      <c r="B673" s="253"/>
      <c r="C673" s="253"/>
      <c r="D673" s="345"/>
      <c r="E673" s="253"/>
      <c r="F673" s="254"/>
      <c r="G673" s="254"/>
      <c r="H673" s="254"/>
      <c r="I673" s="254"/>
      <c r="J673" s="254"/>
      <c r="K673" s="254"/>
      <c r="L673" s="254"/>
      <c r="M673" s="254"/>
      <c r="N673" s="254"/>
      <c r="O673" s="254"/>
      <c r="P673" s="254"/>
      <c r="Q673" s="254"/>
      <c r="R673" s="254"/>
      <c r="S673" s="254"/>
      <c r="T673" s="254"/>
      <c r="U673" s="217"/>
      <c r="V673" s="217"/>
      <c r="W673" s="217"/>
      <c r="X673" s="217"/>
      <c r="Y673" s="217"/>
      <c r="Z673" s="217"/>
    </row>
    <row r="674" ht="15.75" hidden="1" customHeight="1">
      <c r="A674" s="344"/>
      <c r="B674" s="253"/>
      <c r="C674" s="253"/>
      <c r="D674" s="345"/>
      <c r="E674" s="253"/>
      <c r="F674" s="254"/>
      <c r="G674" s="254"/>
      <c r="H674" s="254"/>
      <c r="I674" s="254"/>
      <c r="J674" s="254"/>
      <c r="K674" s="254"/>
      <c r="L674" s="254"/>
      <c r="M674" s="254"/>
      <c r="N674" s="254"/>
      <c r="O674" s="254"/>
      <c r="P674" s="254"/>
      <c r="Q674" s="254"/>
      <c r="R674" s="254"/>
      <c r="S674" s="254"/>
      <c r="T674" s="254"/>
      <c r="U674" s="217"/>
      <c r="V674" s="217"/>
      <c r="W674" s="217"/>
      <c r="X674" s="217"/>
      <c r="Y674" s="217"/>
      <c r="Z674" s="217"/>
    </row>
    <row r="675" ht="15.75" hidden="1" customHeight="1">
      <c r="A675" s="344"/>
      <c r="B675" s="253"/>
      <c r="C675" s="253"/>
      <c r="D675" s="345"/>
      <c r="E675" s="253"/>
      <c r="F675" s="254"/>
      <c r="G675" s="254"/>
      <c r="H675" s="254"/>
      <c r="I675" s="254"/>
      <c r="J675" s="254"/>
      <c r="K675" s="254"/>
      <c r="L675" s="254"/>
      <c r="M675" s="254"/>
      <c r="N675" s="254"/>
      <c r="O675" s="254"/>
      <c r="P675" s="254"/>
      <c r="Q675" s="254"/>
      <c r="R675" s="254"/>
      <c r="S675" s="254"/>
      <c r="T675" s="254"/>
      <c r="U675" s="217"/>
      <c r="V675" s="217"/>
      <c r="W675" s="217"/>
      <c r="X675" s="217"/>
      <c r="Y675" s="217"/>
      <c r="Z675" s="217"/>
    </row>
    <row r="676" ht="15.75" hidden="1" customHeight="1">
      <c r="A676" s="344"/>
      <c r="B676" s="253"/>
      <c r="C676" s="253"/>
      <c r="D676" s="345"/>
      <c r="E676" s="253"/>
      <c r="F676" s="254"/>
      <c r="G676" s="254"/>
      <c r="H676" s="254"/>
      <c r="I676" s="254"/>
      <c r="J676" s="254"/>
      <c r="K676" s="254"/>
      <c r="L676" s="254"/>
      <c r="M676" s="254"/>
      <c r="N676" s="254"/>
      <c r="O676" s="254"/>
      <c r="P676" s="254"/>
      <c r="Q676" s="254"/>
      <c r="R676" s="254"/>
      <c r="S676" s="254"/>
      <c r="T676" s="254"/>
      <c r="U676" s="217"/>
      <c r="V676" s="217"/>
      <c r="W676" s="217"/>
      <c r="X676" s="217"/>
      <c r="Y676" s="217"/>
      <c r="Z676" s="217"/>
    </row>
    <row r="677" ht="15.75" hidden="1" customHeight="1">
      <c r="A677" s="344"/>
      <c r="B677" s="253"/>
      <c r="C677" s="253"/>
      <c r="D677" s="345"/>
      <c r="E677" s="253"/>
      <c r="F677" s="254"/>
      <c r="G677" s="254"/>
      <c r="H677" s="254"/>
      <c r="I677" s="254"/>
      <c r="J677" s="254"/>
      <c r="K677" s="254"/>
      <c r="L677" s="254"/>
      <c r="M677" s="254"/>
      <c r="N677" s="254"/>
      <c r="O677" s="254"/>
      <c r="P677" s="254"/>
      <c r="Q677" s="254"/>
      <c r="R677" s="254"/>
      <c r="S677" s="254"/>
      <c r="T677" s="254"/>
      <c r="U677" s="217"/>
      <c r="V677" s="217"/>
      <c r="W677" s="217"/>
      <c r="X677" s="217"/>
      <c r="Y677" s="217"/>
      <c r="Z677" s="217"/>
    </row>
    <row r="678" ht="15.75" hidden="1" customHeight="1">
      <c r="A678" s="344"/>
      <c r="B678" s="253"/>
      <c r="C678" s="253"/>
      <c r="D678" s="345"/>
      <c r="E678" s="253"/>
      <c r="F678" s="254"/>
      <c r="G678" s="254"/>
      <c r="H678" s="254"/>
      <c r="I678" s="254"/>
      <c r="J678" s="254"/>
      <c r="K678" s="254"/>
      <c r="L678" s="254"/>
      <c r="M678" s="254"/>
      <c r="N678" s="254"/>
      <c r="O678" s="254"/>
      <c r="P678" s="254"/>
      <c r="Q678" s="254"/>
      <c r="R678" s="254"/>
      <c r="S678" s="254"/>
      <c r="T678" s="254"/>
      <c r="U678" s="217"/>
      <c r="V678" s="217"/>
      <c r="W678" s="217"/>
      <c r="X678" s="217"/>
      <c r="Y678" s="217"/>
      <c r="Z678" s="217"/>
    </row>
    <row r="679" ht="15.75" hidden="1" customHeight="1">
      <c r="A679" s="344"/>
      <c r="B679" s="253"/>
      <c r="C679" s="253"/>
      <c r="D679" s="345"/>
      <c r="E679" s="253"/>
      <c r="F679" s="254"/>
      <c r="G679" s="254"/>
      <c r="H679" s="254"/>
      <c r="I679" s="254"/>
      <c r="J679" s="254"/>
      <c r="K679" s="254"/>
      <c r="L679" s="254"/>
      <c r="M679" s="254"/>
      <c r="N679" s="254"/>
      <c r="O679" s="254"/>
      <c r="P679" s="254"/>
      <c r="Q679" s="254"/>
      <c r="R679" s="254"/>
      <c r="S679" s="254"/>
      <c r="T679" s="254"/>
      <c r="U679" s="217"/>
      <c r="V679" s="217"/>
      <c r="W679" s="217"/>
      <c r="X679" s="217"/>
      <c r="Y679" s="217"/>
      <c r="Z679" s="217"/>
    </row>
    <row r="680" ht="15.75" hidden="1" customHeight="1">
      <c r="A680" s="344"/>
      <c r="B680" s="253"/>
      <c r="C680" s="253"/>
      <c r="D680" s="345"/>
      <c r="E680" s="253"/>
      <c r="F680" s="254"/>
      <c r="G680" s="254"/>
      <c r="H680" s="254"/>
      <c r="I680" s="254"/>
      <c r="J680" s="254"/>
      <c r="K680" s="254"/>
      <c r="L680" s="254"/>
      <c r="M680" s="254"/>
      <c r="N680" s="254"/>
      <c r="O680" s="254"/>
      <c r="P680" s="254"/>
      <c r="Q680" s="254"/>
      <c r="R680" s="254"/>
      <c r="S680" s="254"/>
      <c r="T680" s="254"/>
      <c r="U680" s="217"/>
      <c r="V680" s="217"/>
      <c r="W680" s="217"/>
      <c r="X680" s="217"/>
      <c r="Y680" s="217"/>
      <c r="Z680" s="217"/>
    </row>
    <row r="681" ht="15.75" hidden="1" customHeight="1">
      <c r="A681" s="344"/>
      <c r="B681" s="253"/>
      <c r="C681" s="253"/>
      <c r="D681" s="345"/>
      <c r="E681" s="253"/>
      <c r="F681" s="254"/>
      <c r="G681" s="254"/>
      <c r="H681" s="254"/>
      <c r="I681" s="254"/>
      <c r="J681" s="254"/>
      <c r="K681" s="254"/>
      <c r="L681" s="254"/>
      <c r="M681" s="254"/>
      <c r="N681" s="254"/>
      <c r="O681" s="254"/>
      <c r="P681" s="254"/>
      <c r="Q681" s="254"/>
      <c r="R681" s="254"/>
      <c r="S681" s="254"/>
      <c r="T681" s="254"/>
      <c r="U681" s="217"/>
      <c r="V681" s="217"/>
      <c r="W681" s="217"/>
      <c r="X681" s="217"/>
      <c r="Y681" s="217"/>
      <c r="Z681" s="217"/>
    </row>
    <row r="682" ht="15.75" hidden="1" customHeight="1">
      <c r="A682" s="344"/>
      <c r="B682" s="253"/>
      <c r="C682" s="253"/>
      <c r="D682" s="345"/>
      <c r="E682" s="253"/>
      <c r="F682" s="254"/>
      <c r="G682" s="254"/>
      <c r="H682" s="254"/>
      <c r="I682" s="254"/>
      <c r="J682" s="254"/>
      <c r="K682" s="254"/>
      <c r="L682" s="254"/>
      <c r="M682" s="254"/>
      <c r="N682" s="254"/>
      <c r="O682" s="254"/>
      <c r="P682" s="254"/>
      <c r="Q682" s="254"/>
      <c r="R682" s="254"/>
      <c r="S682" s="254"/>
      <c r="T682" s="254"/>
      <c r="U682" s="217"/>
      <c r="V682" s="217"/>
      <c r="W682" s="217"/>
      <c r="X682" s="217"/>
      <c r="Y682" s="217"/>
      <c r="Z682" s="217"/>
    </row>
    <row r="683" ht="15.75" hidden="1" customHeight="1">
      <c r="A683" s="344"/>
      <c r="B683" s="253"/>
      <c r="C683" s="253"/>
      <c r="D683" s="345"/>
      <c r="E683" s="253"/>
      <c r="F683" s="254"/>
      <c r="G683" s="254"/>
      <c r="H683" s="254"/>
      <c r="I683" s="254"/>
      <c r="J683" s="254"/>
      <c r="K683" s="254"/>
      <c r="L683" s="254"/>
      <c r="M683" s="254"/>
      <c r="N683" s="254"/>
      <c r="O683" s="254"/>
      <c r="P683" s="254"/>
      <c r="Q683" s="254"/>
      <c r="R683" s="254"/>
      <c r="S683" s="254"/>
      <c r="T683" s="254"/>
      <c r="U683" s="217"/>
      <c r="V683" s="217"/>
      <c r="W683" s="217"/>
      <c r="X683" s="217"/>
      <c r="Y683" s="217"/>
      <c r="Z683" s="217"/>
    </row>
    <row r="684" ht="15.75" hidden="1" customHeight="1">
      <c r="A684" s="344"/>
      <c r="B684" s="253"/>
      <c r="C684" s="253"/>
      <c r="D684" s="345"/>
      <c r="E684" s="253"/>
      <c r="F684" s="254"/>
      <c r="G684" s="254"/>
      <c r="H684" s="254"/>
      <c r="I684" s="254"/>
      <c r="J684" s="254"/>
      <c r="K684" s="254"/>
      <c r="L684" s="254"/>
      <c r="M684" s="254"/>
      <c r="N684" s="254"/>
      <c r="O684" s="254"/>
      <c r="P684" s="254"/>
      <c r="Q684" s="254"/>
      <c r="R684" s="254"/>
      <c r="S684" s="254"/>
      <c r="T684" s="254"/>
      <c r="U684" s="217"/>
      <c r="V684" s="217"/>
      <c r="W684" s="217"/>
      <c r="X684" s="217"/>
      <c r="Y684" s="217"/>
      <c r="Z684" s="217"/>
    </row>
    <row r="685" ht="15.75" hidden="1" customHeight="1">
      <c r="A685" s="344"/>
      <c r="B685" s="253"/>
      <c r="C685" s="253"/>
      <c r="D685" s="345"/>
      <c r="E685" s="253"/>
      <c r="F685" s="254"/>
      <c r="G685" s="254"/>
      <c r="H685" s="254"/>
      <c r="I685" s="254"/>
      <c r="J685" s="254"/>
      <c r="K685" s="254"/>
      <c r="L685" s="254"/>
      <c r="M685" s="254"/>
      <c r="N685" s="254"/>
      <c r="O685" s="254"/>
      <c r="P685" s="254"/>
      <c r="Q685" s="254"/>
      <c r="R685" s="254"/>
      <c r="S685" s="254"/>
      <c r="T685" s="254"/>
      <c r="U685" s="217"/>
      <c r="V685" s="217"/>
      <c r="W685" s="217"/>
      <c r="X685" s="217"/>
      <c r="Y685" s="217"/>
      <c r="Z685" s="217"/>
    </row>
    <row r="686" ht="15.75" hidden="1" customHeight="1">
      <c r="A686" s="344"/>
      <c r="B686" s="253"/>
      <c r="C686" s="253"/>
      <c r="D686" s="345"/>
      <c r="E686" s="253"/>
      <c r="F686" s="254"/>
      <c r="G686" s="254"/>
      <c r="H686" s="254"/>
      <c r="I686" s="254"/>
      <c r="J686" s="254"/>
      <c r="K686" s="254"/>
      <c r="L686" s="254"/>
      <c r="M686" s="254"/>
      <c r="N686" s="254"/>
      <c r="O686" s="254"/>
      <c r="P686" s="254"/>
      <c r="Q686" s="254"/>
      <c r="R686" s="254"/>
      <c r="S686" s="254"/>
      <c r="T686" s="254"/>
      <c r="U686" s="217"/>
      <c r="V686" s="217"/>
      <c r="W686" s="217"/>
      <c r="X686" s="217"/>
      <c r="Y686" s="217"/>
      <c r="Z686" s="217"/>
    </row>
    <row r="687" ht="15.75" hidden="1" customHeight="1">
      <c r="A687" s="344"/>
      <c r="B687" s="253"/>
      <c r="C687" s="253"/>
      <c r="D687" s="345"/>
      <c r="E687" s="253"/>
      <c r="F687" s="254"/>
      <c r="G687" s="254"/>
      <c r="H687" s="254"/>
      <c r="I687" s="254"/>
      <c r="J687" s="254"/>
      <c r="K687" s="254"/>
      <c r="L687" s="254"/>
      <c r="M687" s="254"/>
      <c r="N687" s="254"/>
      <c r="O687" s="254"/>
      <c r="P687" s="254"/>
      <c r="Q687" s="254"/>
      <c r="R687" s="254"/>
      <c r="S687" s="254"/>
      <c r="T687" s="254"/>
      <c r="U687" s="217"/>
      <c r="V687" s="217"/>
      <c r="W687" s="217"/>
      <c r="X687" s="217"/>
      <c r="Y687" s="217"/>
      <c r="Z687" s="217"/>
    </row>
    <row r="688" ht="15.75" hidden="1" customHeight="1">
      <c r="A688" s="344"/>
      <c r="B688" s="253"/>
      <c r="C688" s="253"/>
      <c r="D688" s="345"/>
      <c r="E688" s="253"/>
      <c r="F688" s="254"/>
      <c r="G688" s="254"/>
      <c r="H688" s="254"/>
      <c r="I688" s="254"/>
      <c r="J688" s="254"/>
      <c r="K688" s="254"/>
      <c r="L688" s="254"/>
      <c r="M688" s="254"/>
      <c r="N688" s="254"/>
      <c r="O688" s="254"/>
      <c r="P688" s="254"/>
      <c r="Q688" s="254"/>
      <c r="R688" s="254"/>
      <c r="S688" s="254"/>
      <c r="T688" s="254"/>
      <c r="U688" s="217"/>
      <c r="V688" s="217"/>
      <c r="W688" s="217"/>
      <c r="X688" s="217"/>
      <c r="Y688" s="217"/>
      <c r="Z688" s="217"/>
    </row>
    <row r="689" ht="15.75" hidden="1" customHeight="1">
      <c r="A689" s="344"/>
      <c r="B689" s="253"/>
      <c r="C689" s="253"/>
      <c r="D689" s="345"/>
      <c r="E689" s="253"/>
      <c r="F689" s="254"/>
      <c r="G689" s="254"/>
      <c r="H689" s="254"/>
      <c r="I689" s="254"/>
      <c r="J689" s="254"/>
      <c r="K689" s="254"/>
      <c r="L689" s="254"/>
      <c r="M689" s="254"/>
      <c r="N689" s="254"/>
      <c r="O689" s="254"/>
      <c r="P689" s="254"/>
      <c r="Q689" s="254"/>
      <c r="R689" s="254"/>
      <c r="S689" s="254"/>
      <c r="T689" s="254"/>
      <c r="U689" s="217"/>
      <c r="V689" s="217"/>
      <c r="W689" s="217"/>
      <c r="X689" s="217"/>
      <c r="Y689" s="217"/>
      <c r="Z689" s="217"/>
    </row>
    <row r="690" ht="15.75" hidden="1" customHeight="1">
      <c r="A690" s="344"/>
      <c r="B690" s="253"/>
      <c r="C690" s="253"/>
      <c r="D690" s="345"/>
      <c r="E690" s="253"/>
      <c r="F690" s="254"/>
      <c r="G690" s="254"/>
      <c r="H690" s="254"/>
      <c r="I690" s="254"/>
      <c r="J690" s="254"/>
      <c r="K690" s="254"/>
      <c r="L690" s="254"/>
      <c r="M690" s="254"/>
      <c r="N690" s="254"/>
      <c r="O690" s="254"/>
      <c r="P690" s="254"/>
      <c r="Q690" s="254"/>
      <c r="R690" s="254"/>
      <c r="S690" s="254"/>
      <c r="T690" s="254"/>
      <c r="U690" s="217"/>
      <c r="V690" s="217"/>
      <c r="W690" s="217"/>
      <c r="X690" s="217"/>
      <c r="Y690" s="217"/>
      <c r="Z690" s="217"/>
    </row>
    <row r="691" ht="15.75" hidden="1" customHeight="1">
      <c r="A691" s="344"/>
      <c r="B691" s="253"/>
      <c r="C691" s="253"/>
      <c r="D691" s="345"/>
      <c r="E691" s="253"/>
      <c r="F691" s="254"/>
      <c r="G691" s="254"/>
      <c r="H691" s="254"/>
      <c r="I691" s="254"/>
      <c r="J691" s="254"/>
      <c r="K691" s="254"/>
      <c r="L691" s="254"/>
      <c r="M691" s="254"/>
      <c r="N691" s="254"/>
      <c r="O691" s="254"/>
      <c r="P691" s="254"/>
      <c r="Q691" s="254"/>
      <c r="R691" s="254"/>
      <c r="S691" s="254"/>
      <c r="T691" s="254"/>
      <c r="U691" s="217"/>
      <c r="V691" s="217"/>
      <c r="W691" s="217"/>
      <c r="X691" s="217"/>
      <c r="Y691" s="217"/>
      <c r="Z691" s="217"/>
    </row>
    <row r="692" ht="15.75" hidden="1" customHeight="1">
      <c r="A692" s="344"/>
      <c r="B692" s="253"/>
      <c r="C692" s="253"/>
      <c r="D692" s="345"/>
      <c r="E692" s="253"/>
      <c r="F692" s="254"/>
      <c r="G692" s="254"/>
      <c r="H692" s="254"/>
      <c r="I692" s="254"/>
      <c r="J692" s="254"/>
      <c r="K692" s="254"/>
      <c r="L692" s="254"/>
      <c r="M692" s="254"/>
      <c r="N692" s="254"/>
      <c r="O692" s="254"/>
      <c r="P692" s="254"/>
      <c r="Q692" s="254"/>
      <c r="R692" s="254"/>
      <c r="S692" s="254"/>
      <c r="T692" s="254"/>
      <c r="U692" s="217"/>
      <c r="V692" s="217"/>
      <c r="W692" s="217"/>
      <c r="X692" s="217"/>
      <c r="Y692" s="217"/>
      <c r="Z692" s="217"/>
    </row>
    <row r="693" ht="15.75" hidden="1" customHeight="1">
      <c r="A693" s="344"/>
      <c r="B693" s="253"/>
      <c r="C693" s="253"/>
      <c r="D693" s="345"/>
      <c r="E693" s="253"/>
      <c r="F693" s="254"/>
      <c r="G693" s="254"/>
      <c r="H693" s="254"/>
      <c r="I693" s="254"/>
      <c r="J693" s="254"/>
      <c r="K693" s="254"/>
      <c r="L693" s="254"/>
      <c r="M693" s="254"/>
      <c r="N693" s="254"/>
      <c r="O693" s="254"/>
      <c r="P693" s="254"/>
      <c r="Q693" s="254"/>
      <c r="R693" s="254"/>
      <c r="S693" s="254"/>
      <c r="T693" s="254"/>
      <c r="U693" s="217"/>
      <c r="V693" s="217"/>
      <c r="W693" s="217"/>
      <c r="X693" s="217"/>
      <c r="Y693" s="217"/>
      <c r="Z693" s="217"/>
    </row>
    <row r="694" ht="15.75" hidden="1" customHeight="1">
      <c r="A694" s="344"/>
      <c r="B694" s="253"/>
      <c r="C694" s="253"/>
      <c r="D694" s="345"/>
      <c r="E694" s="253"/>
      <c r="F694" s="254"/>
      <c r="G694" s="254"/>
      <c r="H694" s="254"/>
      <c r="I694" s="254"/>
      <c r="J694" s="254"/>
      <c r="K694" s="254"/>
      <c r="L694" s="254"/>
      <c r="M694" s="254"/>
      <c r="N694" s="254"/>
      <c r="O694" s="254"/>
      <c r="P694" s="254"/>
      <c r="Q694" s="254"/>
      <c r="R694" s="254"/>
      <c r="S694" s="254"/>
      <c r="T694" s="254"/>
      <c r="U694" s="217"/>
      <c r="V694" s="217"/>
      <c r="W694" s="217"/>
      <c r="X694" s="217"/>
      <c r="Y694" s="217"/>
      <c r="Z694" s="217"/>
    </row>
    <row r="695" ht="15.75" hidden="1" customHeight="1">
      <c r="A695" s="344"/>
      <c r="B695" s="253"/>
      <c r="C695" s="253"/>
      <c r="D695" s="345"/>
      <c r="E695" s="253"/>
      <c r="F695" s="254"/>
      <c r="G695" s="254"/>
      <c r="H695" s="254"/>
      <c r="I695" s="254"/>
      <c r="J695" s="254"/>
      <c r="K695" s="254"/>
      <c r="L695" s="254"/>
      <c r="M695" s="254"/>
      <c r="N695" s="254"/>
      <c r="O695" s="254"/>
      <c r="P695" s="254"/>
      <c r="Q695" s="254"/>
      <c r="R695" s="254"/>
      <c r="S695" s="254"/>
      <c r="T695" s="254"/>
      <c r="U695" s="217"/>
      <c r="V695" s="217"/>
      <c r="W695" s="217"/>
      <c r="X695" s="217"/>
      <c r="Y695" s="217"/>
      <c r="Z695" s="217"/>
    </row>
    <row r="696" ht="15.75" hidden="1" customHeight="1">
      <c r="A696" s="344"/>
      <c r="B696" s="253"/>
      <c r="C696" s="253"/>
      <c r="D696" s="345"/>
      <c r="E696" s="253"/>
      <c r="F696" s="254"/>
      <c r="G696" s="254"/>
      <c r="H696" s="254"/>
      <c r="I696" s="254"/>
      <c r="J696" s="254"/>
      <c r="K696" s="254"/>
      <c r="L696" s="254"/>
      <c r="M696" s="254"/>
      <c r="N696" s="254"/>
      <c r="O696" s="254"/>
      <c r="P696" s="254"/>
      <c r="Q696" s="254"/>
      <c r="R696" s="254"/>
      <c r="S696" s="254"/>
      <c r="T696" s="254"/>
      <c r="U696" s="217"/>
      <c r="V696" s="217"/>
      <c r="W696" s="217"/>
      <c r="X696" s="217"/>
      <c r="Y696" s="217"/>
      <c r="Z696" s="217"/>
    </row>
    <row r="697" ht="15.75" hidden="1" customHeight="1">
      <c r="A697" s="344"/>
      <c r="B697" s="253"/>
      <c r="C697" s="253"/>
      <c r="D697" s="345"/>
      <c r="E697" s="253"/>
      <c r="F697" s="254"/>
      <c r="G697" s="254"/>
      <c r="H697" s="254"/>
      <c r="I697" s="254"/>
      <c r="J697" s="254"/>
      <c r="K697" s="254"/>
      <c r="L697" s="254"/>
      <c r="M697" s="254"/>
      <c r="N697" s="254"/>
      <c r="O697" s="254"/>
      <c r="P697" s="254"/>
      <c r="Q697" s="254"/>
      <c r="R697" s="254"/>
      <c r="S697" s="254"/>
      <c r="T697" s="254"/>
      <c r="U697" s="217"/>
      <c r="V697" s="217"/>
      <c r="W697" s="217"/>
      <c r="X697" s="217"/>
      <c r="Y697" s="217"/>
      <c r="Z697" s="217"/>
    </row>
    <row r="698" ht="15.75" hidden="1" customHeight="1">
      <c r="A698" s="344"/>
      <c r="B698" s="253"/>
      <c r="C698" s="253"/>
      <c r="D698" s="345"/>
      <c r="E698" s="253"/>
      <c r="F698" s="254"/>
      <c r="G698" s="254"/>
      <c r="H698" s="254"/>
      <c r="I698" s="254"/>
      <c r="J698" s="254"/>
      <c r="K698" s="254"/>
      <c r="L698" s="254"/>
      <c r="M698" s="254"/>
      <c r="N698" s="254"/>
      <c r="O698" s="254"/>
      <c r="P698" s="254"/>
      <c r="Q698" s="254"/>
      <c r="R698" s="254"/>
      <c r="S698" s="254"/>
      <c r="T698" s="254"/>
      <c r="U698" s="217"/>
      <c r="V698" s="217"/>
      <c r="W698" s="217"/>
      <c r="X698" s="217"/>
      <c r="Y698" s="217"/>
      <c r="Z698" s="217"/>
    </row>
    <row r="699" ht="15.75" hidden="1" customHeight="1">
      <c r="A699" s="344"/>
      <c r="B699" s="253"/>
      <c r="C699" s="253"/>
      <c r="D699" s="345"/>
      <c r="E699" s="253"/>
      <c r="F699" s="254"/>
      <c r="G699" s="254"/>
      <c r="H699" s="254"/>
      <c r="I699" s="254"/>
      <c r="J699" s="254"/>
      <c r="K699" s="254"/>
      <c r="L699" s="254"/>
      <c r="M699" s="254"/>
      <c r="N699" s="254"/>
      <c r="O699" s="254"/>
      <c r="P699" s="254"/>
      <c r="Q699" s="254"/>
      <c r="R699" s="254"/>
      <c r="S699" s="254"/>
      <c r="T699" s="254"/>
      <c r="U699" s="217"/>
      <c r="V699" s="217"/>
      <c r="W699" s="217"/>
      <c r="X699" s="217"/>
      <c r="Y699" s="217"/>
      <c r="Z699" s="217"/>
    </row>
    <row r="700" ht="15.75" hidden="1" customHeight="1">
      <c r="A700" s="344"/>
      <c r="B700" s="253"/>
      <c r="C700" s="253"/>
      <c r="D700" s="345"/>
      <c r="E700" s="253"/>
      <c r="F700" s="254"/>
      <c r="G700" s="254"/>
      <c r="H700" s="254"/>
      <c r="I700" s="254"/>
      <c r="J700" s="254"/>
      <c r="K700" s="254"/>
      <c r="L700" s="254"/>
      <c r="M700" s="254"/>
      <c r="N700" s="254"/>
      <c r="O700" s="254"/>
      <c r="P700" s="254"/>
      <c r="Q700" s="254"/>
      <c r="R700" s="254"/>
      <c r="S700" s="254"/>
      <c r="T700" s="254"/>
      <c r="U700" s="217"/>
      <c r="V700" s="217"/>
      <c r="W700" s="217"/>
      <c r="X700" s="217"/>
      <c r="Y700" s="217"/>
      <c r="Z700" s="217"/>
    </row>
    <row r="701" ht="15.75" hidden="1" customHeight="1">
      <c r="A701" s="344"/>
      <c r="B701" s="253"/>
      <c r="C701" s="253"/>
      <c r="D701" s="345"/>
      <c r="E701" s="253"/>
      <c r="F701" s="254"/>
      <c r="G701" s="254"/>
      <c r="H701" s="254"/>
      <c r="I701" s="254"/>
      <c r="J701" s="254"/>
      <c r="K701" s="254"/>
      <c r="L701" s="254"/>
      <c r="M701" s="254"/>
      <c r="N701" s="254"/>
      <c r="O701" s="254"/>
      <c r="P701" s="254"/>
      <c r="Q701" s="254"/>
      <c r="R701" s="254"/>
      <c r="S701" s="254"/>
      <c r="T701" s="254"/>
      <c r="U701" s="217"/>
      <c r="V701" s="217"/>
      <c r="W701" s="217"/>
      <c r="X701" s="217"/>
      <c r="Y701" s="217"/>
      <c r="Z701" s="217"/>
    </row>
    <row r="702" ht="15.75" hidden="1" customHeight="1">
      <c r="A702" s="344"/>
      <c r="B702" s="253"/>
      <c r="C702" s="253"/>
      <c r="D702" s="345"/>
      <c r="E702" s="253"/>
      <c r="F702" s="254"/>
      <c r="G702" s="254"/>
      <c r="H702" s="254"/>
      <c r="I702" s="254"/>
      <c r="J702" s="254"/>
      <c r="K702" s="254"/>
      <c r="L702" s="254"/>
      <c r="M702" s="254"/>
      <c r="N702" s="254"/>
      <c r="O702" s="254"/>
      <c r="P702" s="254"/>
      <c r="Q702" s="254"/>
      <c r="R702" s="254"/>
      <c r="S702" s="254"/>
      <c r="T702" s="254"/>
      <c r="U702" s="217"/>
      <c r="V702" s="217"/>
      <c r="W702" s="217"/>
      <c r="X702" s="217"/>
      <c r="Y702" s="217"/>
      <c r="Z702" s="217"/>
    </row>
    <row r="703" ht="15.75" hidden="1" customHeight="1">
      <c r="A703" s="344"/>
      <c r="B703" s="253"/>
      <c r="C703" s="253"/>
      <c r="D703" s="345"/>
      <c r="E703" s="253"/>
      <c r="F703" s="254"/>
      <c r="G703" s="254"/>
      <c r="H703" s="254"/>
      <c r="I703" s="254"/>
      <c r="J703" s="254"/>
      <c r="K703" s="254"/>
      <c r="L703" s="254"/>
      <c r="M703" s="254"/>
      <c r="N703" s="254"/>
      <c r="O703" s="254"/>
      <c r="P703" s="254"/>
      <c r="Q703" s="254"/>
      <c r="R703" s="254"/>
      <c r="S703" s="254"/>
      <c r="T703" s="254"/>
      <c r="U703" s="217"/>
      <c r="V703" s="217"/>
      <c r="W703" s="217"/>
      <c r="X703" s="217"/>
      <c r="Y703" s="217"/>
      <c r="Z703" s="217"/>
    </row>
    <row r="704" ht="15.75" hidden="1" customHeight="1">
      <c r="A704" s="344"/>
      <c r="B704" s="253"/>
      <c r="C704" s="253"/>
      <c r="D704" s="345"/>
      <c r="E704" s="253"/>
      <c r="F704" s="254"/>
      <c r="G704" s="254"/>
      <c r="H704" s="254"/>
      <c r="I704" s="254"/>
      <c r="J704" s="254"/>
      <c r="K704" s="254"/>
      <c r="L704" s="254"/>
      <c r="M704" s="254"/>
      <c r="N704" s="254"/>
      <c r="O704" s="254"/>
      <c r="P704" s="254"/>
      <c r="Q704" s="254"/>
      <c r="R704" s="254"/>
      <c r="S704" s="254"/>
      <c r="T704" s="254"/>
      <c r="U704" s="217"/>
      <c r="V704" s="217"/>
      <c r="W704" s="217"/>
      <c r="X704" s="217"/>
      <c r="Y704" s="217"/>
      <c r="Z704" s="217"/>
    </row>
    <row r="705" ht="15.75" hidden="1" customHeight="1">
      <c r="A705" s="344"/>
      <c r="B705" s="253"/>
      <c r="C705" s="253"/>
      <c r="D705" s="345"/>
      <c r="E705" s="253"/>
      <c r="F705" s="254"/>
      <c r="G705" s="254"/>
      <c r="H705" s="254"/>
      <c r="I705" s="254"/>
      <c r="J705" s="254"/>
      <c r="K705" s="254"/>
      <c r="L705" s="254"/>
      <c r="M705" s="254"/>
      <c r="N705" s="254"/>
      <c r="O705" s="254"/>
      <c r="P705" s="254"/>
      <c r="Q705" s="254"/>
      <c r="R705" s="254"/>
      <c r="S705" s="254"/>
      <c r="T705" s="254"/>
      <c r="U705" s="217"/>
      <c r="V705" s="217"/>
      <c r="W705" s="217"/>
      <c r="X705" s="217"/>
      <c r="Y705" s="217"/>
      <c r="Z705" s="217"/>
    </row>
    <row r="706" ht="15.75" hidden="1" customHeight="1">
      <c r="A706" s="344"/>
      <c r="B706" s="253"/>
      <c r="C706" s="253"/>
      <c r="D706" s="345"/>
      <c r="E706" s="253"/>
      <c r="F706" s="254"/>
      <c r="G706" s="254"/>
      <c r="H706" s="254"/>
      <c r="I706" s="254"/>
      <c r="J706" s="254"/>
      <c r="K706" s="254"/>
      <c r="L706" s="254"/>
      <c r="M706" s="254"/>
      <c r="N706" s="254"/>
      <c r="O706" s="254"/>
      <c r="P706" s="254"/>
      <c r="Q706" s="254"/>
      <c r="R706" s="254"/>
      <c r="S706" s="254"/>
      <c r="T706" s="254"/>
      <c r="U706" s="217"/>
      <c r="V706" s="217"/>
      <c r="W706" s="217"/>
      <c r="X706" s="217"/>
      <c r="Y706" s="217"/>
      <c r="Z706" s="217"/>
    </row>
    <row r="707" ht="15.75" hidden="1" customHeight="1">
      <c r="A707" s="344"/>
      <c r="B707" s="253"/>
      <c r="C707" s="253"/>
      <c r="D707" s="345"/>
      <c r="E707" s="253"/>
      <c r="F707" s="254"/>
      <c r="G707" s="254"/>
      <c r="H707" s="254"/>
      <c r="I707" s="254"/>
      <c r="J707" s="254"/>
      <c r="K707" s="254"/>
      <c r="L707" s="254"/>
      <c r="M707" s="254"/>
      <c r="N707" s="254"/>
      <c r="O707" s="254"/>
      <c r="P707" s="254"/>
      <c r="Q707" s="254"/>
      <c r="R707" s="254"/>
      <c r="S707" s="254"/>
      <c r="T707" s="254"/>
      <c r="U707" s="217"/>
      <c r="V707" s="217"/>
      <c r="W707" s="217"/>
      <c r="X707" s="217"/>
      <c r="Y707" s="217"/>
      <c r="Z707" s="217"/>
    </row>
    <row r="708" ht="15.75" hidden="1" customHeight="1">
      <c r="A708" s="344"/>
      <c r="B708" s="253"/>
      <c r="C708" s="253"/>
      <c r="D708" s="345"/>
      <c r="E708" s="253"/>
      <c r="F708" s="254"/>
      <c r="G708" s="254"/>
      <c r="H708" s="254"/>
      <c r="I708" s="254"/>
      <c r="J708" s="254"/>
      <c r="K708" s="254"/>
      <c r="L708" s="254"/>
      <c r="M708" s="254"/>
      <c r="N708" s="254"/>
      <c r="O708" s="254"/>
      <c r="P708" s="254"/>
      <c r="Q708" s="254"/>
      <c r="R708" s="254"/>
      <c r="S708" s="254"/>
      <c r="T708" s="254"/>
      <c r="U708" s="217"/>
      <c r="V708" s="217"/>
      <c r="W708" s="217"/>
      <c r="X708" s="217"/>
      <c r="Y708" s="217"/>
      <c r="Z708" s="217"/>
    </row>
    <row r="709" ht="15.75" hidden="1" customHeight="1">
      <c r="A709" s="344"/>
      <c r="B709" s="253"/>
      <c r="C709" s="253"/>
      <c r="D709" s="345"/>
      <c r="E709" s="253"/>
      <c r="F709" s="254"/>
      <c r="G709" s="254"/>
      <c r="H709" s="254"/>
      <c r="I709" s="254"/>
      <c r="J709" s="254"/>
      <c r="K709" s="254"/>
      <c r="L709" s="254"/>
      <c r="M709" s="254"/>
      <c r="N709" s="254"/>
      <c r="O709" s="254"/>
      <c r="P709" s="254"/>
      <c r="Q709" s="254"/>
      <c r="R709" s="254"/>
      <c r="S709" s="254"/>
      <c r="T709" s="254"/>
      <c r="U709" s="217"/>
      <c r="V709" s="217"/>
      <c r="W709" s="217"/>
      <c r="X709" s="217"/>
      <c r="Y709" s="217"/>
      <c r="Z709" s="217"/>
    </row>
    <row r="710" ht="15.75" hidden="1" customHeight="1">
      <c r="A710" s="344"/>
      <c r="B710" s="253"/>
      <c r="C710" s="253"/>
      <c r="D710" s="345"/>
      <c r="E710" s="253"/>
      <c r="F710" s="254"/>
      <c r="G710" s="254"/>
      <c r="H710" s="254"/>
      <c r="I710" s="254"/>
      <c r="J710" s="254"/>
      <c r="K710" s="254"/>
      <c r="L710" s="254"/>
      <c r="M710" s="254"/>
      <c r="N710" s="254"/>
      <c r="O710" s="254"/>
      <c r="P710" s="254"/>
      <c r="Q710" s="254"/>
      <c r="R710" s="254"/>
      <c r="S710" s="254"/>
      <c r="T710" s="254"/>
      <c r="U710" s="217"/>
      <c r="V710" s="217"/>
      <c r="W710" s="217"/>
      <c r="X710" s="217"/>
      <c r="Y710" s="217"/>
      <c r="Z710" s="217"/>
    </row>
    <row r="711" ht="15.75" hidden="1" customHeight="1">
      <c r="A711" s="344"/>
      <c r="B711" s="253"/>
      <c r="C711" s="253"/>
      <c r="D711" s="345"/>
      <c r="E711" s="253"/>
      <c r="F711" s="254"/>
      <c r="G711" s="254"/>
      <c r="H711" s="254"/>
      <c r="I711" s="254"/>
      <c r="J711" s="254"/>
      <c r="K711" s="254"/>
      <c r="L711" s="254"/>
      <c r="M711" s="254"/>
      <c r="N711" s="254"/>
      <c r="O711" s="254"/>
      <c r="P711" s="254"/>
      <c r="Q711" s="254"/>
      <c r="R711" s="254"/>
      <c r="S711" s="254"/>
      <c r="T711" s="254"/>
      <c r="U711" s="217"/>
      <c r="V711" s="217"/>
      <c r="W711" s="217"/>
      <c r="X711" s="217"/>
      <c r="Y711" s="217"/>
      <c r="Z711" s="217"/>
    </row>
    <row r="712" ht="15.75" hidden="1" customHeight="1">
      <c r="A712" s="344"/>
      <c r="B712" s="253"/>
      <c r="C712" s="253"/>
      <c r="D712" s="345"/>
      <c r="E712" s="253"/>
      <c r="F712" s="254"/>
      <c r="G712" s="254"/>
      <c r="H712" s="254"/>
      <c r="I712" s="254"/>
      <c r="J712" s="254"/>
      <c r="K712" s="254"/>
      <c r="L712" s="254"/>
      <c r="M712" s="254"/>
      <c r="N712" s="254"/>
      <c r="O712" s="254"/>
      <c r="P712" s="254"/>
      <c r="Q712" s="254"/>
      <c r="R712" s="254"/>
      <c r="S712" s="254"/>
      <c r="T712" s="254"/>
      <c r="U712" s="217"/>
      <c r="V712" s="217"/>
      <c r="W712" s="217"/>
      <c r="X712" s="217"/>
      <c r="Y712" s="217"/>
      <c r="Z712" s="217"/>
    </row>
    <row r="713" ht="15.75" hidden="1" customHeight="1">
      <c r="A713" s="344"/>
      <c r="B713" s="253"/>
      <c r="C713" s="253"/>
      <c r="D713" s="345"/>
      <c r="E713" s="253"/>
      <c r="F713" s="254"/>
      <c r="G713" s="254"/>
      <c r="H713" s="254"/>
      <c r="I713" s="254"/>
      <c r="J713" s="254"/>
      <c r="K713" s="254"/>
      <c r="L713" s="254"/>
      <c r="M713" s="254"/>
      <c r="N713" s="254"/>
      <c r="O713" s="254"/>
      <c r="P713" s="254"/>
      <c r="Q713" s="254"/>
      <c r="R713" s="254"/>
      <c r="S713" s="254"/>
      <c r="T713" s="254"/>
      <c r="U713" s="217"/>
      <c r="V713" s="217"/>
      <c r="W713" s="217"/>
      <c r="X713" s="217"/>
      <c r="Y713" s="217"/>
      <c r="Z713" s="217"/>
    </row>
    <row r="714" ht="15.75" hidden="1" customHeight="1">
      <c r="A714" s="344"/>
      <c r="B714" s="253"/>
      <c r="C714" s="253"/>
      <c r="D714" s="345"/>
      <c r="E714" s="253"/>
      <c r="F714" s="254"/>
      <c r="G714" s="254"/>
      <c r="H714" s="254"/>
      <c r="I714" s="254"/>
      <c r="J714" s="254"/>
      <c r="K714" s="254"/>
      <c r="L714" s="254"/>
      <c r="M714" s="254"/>
      <c r="N714" s="254"/>
      <c r="O714" s="254"/>
      <c r="P714" s="254"/>
      <c r="Q714" s="254"/>
      <c r="R714" s="254"/>
      <c r="S714" s="254"/>
      <c r="T714" s="254"/>
      <c r="U714" s="217"/>
      <c r="V714" s="217"/>
      <c r="W714" s="217"/>
      <c r="X714" s="217"/>
      <c r="Y714" s="217"/>
      <c r="Z714" s="217"/>
    </row>
    <row r="715" ht="15.75" hidden="1" customHeight="1">
      <c r="A715" s="344"/>
      <c r="B715" s="253"/>
      <c r="C715" s="253"/>
      <c r="D715" s="345"/>
      <c r="E715" s="253"/>
      <c r="F715" s="254"/>
      <c r="G715" s="254"/>
      <c r="H715" s="254"/>
      <c r="I715" s="254"/>
      <c r="J715" s="254"/>
      <c r="K715" s="254"/>
      <c r="L715" s="254"/>
      <c r="M715" s="254"/>
      <c r="N715" s="254"/>
      <c r="O715" s="254"/>
      <c r="P715" s="254"/>
      <c r="Q715" s="254"/>
      <c r="R715" s="254"/>
      <c r="S715" s="254"/>
      <c r="T715" s="254"/>
      <c r="U715" s="217"/>
      <c r="V715" s="217"/>
      <c r="W715" s="217"/>
      <c r="X715" s="217"/>
      <c r="Y715" s="217"/>
      <c r="Z715" s="217"/>
    </row>
    <row r="716" ht="15.75" hidden="1" customHeight="1">
      <c r="A716" s="344"/>
      <c r="B716" s="253"/>
      <c r="C716" s="253"/>
      <c r="D716" s="345"/>
      <c r="E716" s="253"/>
      <c r="F716" s="254"/>
      <c r="G716" s="254"/>
      <c r="H716" s="254"/>
      <c r="I716" s="254"/>
      <c r="J716" s="254"/>
      <c r="K716" s="254"/>
      <c r="L716" s="254"/>
      <c r="M716" s="254"/>
      <c r="N716" s="254"/>
      <c r="O716" s="254"/>
      <c r="P716" s="254"/>
      <c r="Q716" s="254"/>
      <c r="R716" s="254"/>
      <c r="S716" s="254"/>
      <c r="T716" s="254"/>
      <c r="U716" s="217"/>
      <c r="V716" s="217"/>
      <c r="W716" s="217"/>
      <c r="X716" s="217"/>
      <c r="Y716" s="217"/>
      <c r="Z716" s="217"/>
    </row>
    <row r="717" ht="15.75" hidden="1" customHeight="1">
      <c r="A717" s="344"/>
      <c r="B717" s="253"/>
      <c r="C717" s="253"/>
      <c r="D717" s="345"/>
      <c r="E717" s="253"/>
      <c r="F717" s="254"/>
      <c r="G717" s="254"/>
      <c r="H717" s="254"/>
      <c r="I717" s="254"/>
      <c r="J717" s="254"/>
      <c r="K717" s="254"/>
      <c r="L717" s="254"/>
      <c r="M717" s="254"/>
      <c r="N717" s="254"/>
      <c r="O717" s="254"/>
      <c r="P717" s="254"/>
      <c r="Q717" s="254"/>
      <c r="R717" s="254"/>
      <c r="S717" s="254"/>
      <c r="T717" s="254"/>
      <c r="U717" s="217"/>
      <c r="V717" s="217"/>
      <c r="W717" s="217"/>
      <c r="X717" s="217"/>
      <c r="Y717" s="217"/>
      <c r="Z717" s="217"/>
    </row>
    <row r="718" ht="15.75" hidden="1" customHeight="1">
      <c r="A718" s="344"/>
      <c r="B718" s="253"/>
      <c r="C718" s="253"/>
      <c r="D718" s="345"/>
      <c r="E718" s="253"/>
      <c r="F718" s="254"/>
      <c r="G718" s="254"/>
      <c r="H718" s="254"/>
      <c r="I718" s="254"/>
      <c r="J718" s="254"/>
      <c r="K718" s="254"/>
      <c r="L718" s="254"/>
      <c r="M718" s="254"/>
      <c r="N718" s="254"/>
      <c r="O718" s="254"/>
      <c r="P718" s="254"/>
      <c r="Q718" s="254"/>
      <c r="R718" s="254"/>
      <c r="S718" s="254"/>
      <c r="T718" s="254"/>
      <c r="U718" s="217"/>
      <c r="V718" s="217"/>
      <c r="W718" s="217"/>
      <c r="X718" s="217"/>
      <c r="Y718" s="217"/>
      <c r="Z718" s="217"/>
    </row>
    <row r="719" ht="15.75" hidden="1" customHeight="1">
      <c r="A719" s="344"/>
      <c r="B719" s="253"/>
      <c r="C719" s="253"/>
      <c r="D719" s="345"/>
      <c r="E719" s="253"/>
      <c r="F719" s="254"/>
      <c r="G719" s="254"/>
      <c r="H719" s="254"/>
      <c r="I719" s="254"/>
      <c r="J719" s="254"/>
      <c r="K719" s="254"/>
      <c r="L719" s="254"/>
      <c r="M719" s="254"/>
      <c r="N719" s="254"/>
      <c r="O719" s="254"/>
      <c r="P719" s="254"/>
      <c r="Q719" s="254"/>
      <c r="R719" s="254"/>
      <c r="S719" s="254"/>
      <c r="T719" s="254"/>
      <c r="U719" s="217"/>
      <c r="V719" s="217"/>
      <c r="W719" s="217"/>
      <c r="X719" s="217"/>
      <c r="Y719" s="217"/>
      <c r="Z719" s="217"/>
    </row>
    <row r="720" ht="15.75" hidden="1" customHeight="1">
      <c r="A720" s="344"/>
      <c r="B720" s="253"/>
      <c r="C720" s="253"/>
      <c r="D720" s="345"/>
      <c r="E720" s="253"/>
      <c r="F720" s="254"/>
      <c r="G720" s="254"/>
      <c r="H720" s="254"/>
      <c r="I720" s="254"/>
      <c r="J720" s="254"/>
      <c r="K720" s="254"/>
      <c r="L720" s="254"/>
      <c r="M720" s="254"/>
      <c r="N720" s="254"/>
      <c r="O720" s="254"/>
      <c r="P720" s="254"/>
      <c r="Q720" s="254"/>
      <c r="R720" s="254"/>
      <c r="S720" s="254"/>
      <c r="T720" s="254"/>
      <c r="U720" s="217"/>
      <c r="V720" s="217"/>
      <c r="W720" s="217"/>
      <c r="X720" s="217"/>
      <c r="Y720" s="217"/>
      <c r="Z720" s="217"/>
    </row>
    <row r="721" ht="15.75" hidden="1" customHeight="1">
      <c r="A721" s="344"/>
      <c r="B721" s="253"/>
      <c r="C721" s="253"/>
      <c r="D721" s="345"/>
      <c r="E721" s="253"/>
      <c r="F721" s="254"/>
      <c r="G721" s="254"/>
      <c r="H721" s="254"/>
      <c r="I721" s="254"/>
      <c r="J721" s="254"/>
      <c r="K721" s="254"/>
      <c r="L721" s="254"/>
      <c r="M721" s="254"/>
      <c r="N721" s="254"/>
      <c r="O721" s="254"/>
      <c r="P721" s="254"/>
      <c r="Q721" s="254"/>
      <c r="R721" s="254"/>
      <c r="S721" s="254"/>
      <c r="T721" s="254"/>
      <c r="U721" s="217"/>
      <c r="V721" s="217"/>
      <c r="W721" s="217"/>
      <c r="X721" s="217"/>
      <c r="Y721" s="217"/>
      <c r="Z721" s="217"/>
    </row>
    <row r="722" ht="15.75" hidden="1" customHeight="1">
      <c r="A722" s="344"/>
      <c r="B722" s="253"/>
      <c r="C722" s="253"/>
      <c r="D722" s="345"/>
      <c r="E722" s="253"/>
      <c r="F722" s="254"/>
      <c r="G722" s="254"/>
      <c r="H722" s="254"/>
      <c r="I722" s="254"/>
      <c r="J722" s="254"/>
      <c r="K722" s="254"/>
      <c r="L722" s="254"/>
      <c r="M722" s="254"/>
      <c r="N722" s="254"/>
      <c r="O722" s="254"/>
      <c r="P722" s="254"/>
      <c r="Q722" s="254"/>
      <c r="R722" s="254"/>
      <c r="S722" s="254"/>
      <c r="T722" s="254"/>
      <c r="U722" s="217"/>
      <c r="V722" s="217"/>
      <c r="W722" s="217"/>
      <c r="X722" s="217"/>
      <c r="Y722" s="217"/>
      <c r="Z722" s="217"/>
    </row>
    <row r="723" ht="15.75" hidden="1" customHeight="1">
      <c r="A723" s="344"/>
      <c r="B723" s="253"/>
      <c r="C723" s="253"/>
      <c r="D723" s="345"/>
      <c r="E723" s="253"/>
      <c r="F723" s="254"/>
      <c r="G723" s="254"/>
      <c r="H723" s="254"/>
      <c r="I723" s="254"/>
      <c r="J723" s="254"/>
      <c r="K723" s="254"/>
      <c r="L723" s="254"/>
      <c r="M723" s="254"/>
      <c r="N723" s="254"/>
      <c r="O723" s="254"/>
      <c r="P723" s="254"/>
      <c r="Q723" s="254"/>
      <c r="R723" s="254"/>
      <c r="S723" s="254"/>
      <c r="T723" s="254"/>
      <c r="U723" s="217"/>
      <c r="V723" s="217"/>
      <c r="W723" s="217"/>
      <c r="X723" s="217"/>
      <c r="Y723" s="217"/>
      <c r="Z723" s="217"/>
    </row>
    <row r="724" ht="15.75" hidden="1" customHeight="1">
      <c r="A724" s="344"/>
      <c r="B724" s="253"/>
      <c r="C724" s="253"/>
      <c r="D724" s="345"/>
      <c r="E724" s="253"/>
      <c r="F724" s="254"/>
      <c r="G724" s="254"/>
      <c r="H724" s="254"/>
      <c r="I724" s="254"/>
      <c r="J724" s="254"/>
      <c r="K724" s="254"/>
      <c r="L724" s="254"/>
      <c r="M724" s="254"/>
      <c r="N724" s="254"/>
      <c r="O724" s="254"/>
      <c r="P724" s="254"/>
      <c r="Q724" s="254"/>
      <c r="R724" s="254"/>
      <c r="S724" s="254"/>
      <c r="T724" s="254"/>
      <c r="U724" s="217"/>
      <c r="V724" s="217"/>
      <c r="W724" s="217"/>
      <c r="X724" s="217"/>
      <c r="Y724" s="217"/>
      <c r="Z724" s="217"/>
    </row>
    <row r="725" ht="15.75" hidden="1" customHeight="1">
      <c r="A725" s="344"/>
      <c r="B725" s="253"/>
      <c r="C725" s="253"/>
      <c r="D725" s="345"/>
      <c r="E725" s="253"/>
      <c r="F725" s="254"/>
      <c r="G725" s="254"/>
      <c r="H725" s="254"/>
      <c r="I725" s="254"/>
      <c r="J725" s="254"/>
      <c r="K725" s="254"/>
      <c r="L725" s="254"/>
      <c r="M725" s="254"/>
      <c r="N725" s="254"/>
      <c r="O725" s="254"/>
      <c r="P725" s="254"/>
      <c r="Q725" s="254"/>
      <c r="R725" s="254"/>
      <c r="S725" s="254"/>
      <c r="T725" s="254"/>
      <c r="U725" s="217"/>
      <c r="V725" s="217"/>
      <c r="W725" s="217"/>
      <c r="X725" s="217"/>
      <c r="Y725" s="217"/>
      <c r="Z725" s="217"/>
    </row>
    <row r="726" ht="15.75" hidden="1" customHeight="1">
      <c r="A726" s="344"/>
      <c r="B726" s="253"/>
      <c r="C726" s="253"/>
      <c r="D726" s="345"/>
      <c r="E726" s="253"/>
      <c r="F726" s="254"/>
      <c r="G726" s="254"/>
      <c r="H726" s="254"/>
      <c r="I726" s="254"/>
      <c r="J726" s="254"/>
      <c r="K726" s="254"/>
      <c r="L726" s="254"/>
      <c r="M726" s="254"/>
      <c r="N726" s="254"/>
      <c r="O726" s="254"/>
      <c r="P726" s="254"/>
      <c r="Q726" s="254"/>
      <c r="R726" s="254"/>
      <c r="S726" s="254"/>
      <c r="T726" s="254"/>
      <c r="U726" s="217"/>
      <c r="V726" s="217"/>
      <c r="W726" s="217"/>
      <c r="X726" s="217"/>
      <c r="Y726" s="217"/>
      <c r="Z726" s="217"/>
    </row>
    <row r="727" ht="15.75" hidden="1" customHeight="1">
      <c r="A727" s="344"/>
      <c r="B727" s="253"/>
      <c r="C727" s="253"/>
      <c r="D727" s="345"/>
      <c r="E727" s="253"/>
      <c r="F727" s="254"/>
      <c r="G727" s="254"/>
      <c r="H727" s="254"/>
      <c r="I727" s="254"/>
      <c r="J727" s="254"/>
      <c r="K727" s="254"/>
      <c r="L727" s="254"/>
      <c r="M727" s="254"/>
      <c r="N727" s="254"/>
      <c r="O727" s="254"/>
      <c r="P727" s="254"/>
      <c r="Q727" s="254"/>
      <c r="R727" s="254"/>
      <c r="S727" s="254"/>
      <c r="T727" s="254"/>
      <c r="U727" s="217"/>
      <c r="V727" s="217"/>
      <c r="W727" s="217"/>
      <c r="X727" s="217"/>
      <c r="Y727" s="217"/>
      <c r="Z727" s="217"/>
    </row>
    <row r="728" ht="15.75" hidden="1" customHeight="1">
      <c r="A728" s="344"/>
      <c r="B728" s="253"/>
      <c r="C728" s="253"/>
      <c r="D728" s="345"/>
      <c r="E728" s="253"/>
      <c r="F728" s="254"/>
      <c r="G728" s="254"/>
      <c r="H728" s="254"/>
      <c r="I728" s="254"/>
      <c r="J728" s="254"/>
      <c r="K728" s="254"/>
      <c r="L728" s="254"/>
      <c r="M728" s="254"/>
      <c r="N728" s="254"/>
      <c r="O728" s="254"/>
      <c r="P728" s="254"/>
      <c r="Q728" s="254"/>
      <c r="R728" s="254"/>
      <c r="S728" s="254"/>
      <c r="T728" s="254"/>
      <c r="U728" s="217"/>
      <c r="V728" s="217"/>
      <c r="W728" s="217"/>
      <c r="X728" s="217"/>
      <c r="Y728" s="217"/>
      <c r="Z728" s="217"/>
    </row>
    <row r="729" ht="15.75" hidden="1" customHeight="1">
      <c r="A729" s="344"/>
      <c r="B729" s="253"/>
      <c r="C729" s="253"/>
      <c r="D729" s="345"/>
      <c r="E729" s="253"/>
      <c r="F729" s="254"/>
      <c r="G729" s="254"/>
      <c r="H729" s="254"/>
      <c r="I729" s="254"/>
      <c r="J729" s="254"/>
      <c r="K729" s="254"/>
      <c r="L729" s="254"/>
      <c r="M729" s="254"/>
      <c r="N729" s="254"/>
      <c r="O729" s="254"/>
      <c r="P729" s="254"/>
      <c r="Q729" s="254"/>
      <c r="R729" s="254"/>
      <c r="S729" s="254"/>
      <c r="T729" s="254"/>
      <c r="U729" s="217"/>
      <c r="V729" s="217"/>
      <c r="W729" s="217"/>
      <c r="X729" s="217"/>
      <c r="Y729" s="217"/>
      <c r="Z729" s="217"/>
    </row>
    <row r="730" ht="15.75" hidden="1" customHeight="1">
      <c r="A730" s="344"/>
      <c r="B730" s="253"/>
      <c r="C730" s="253"/>
      <c r="D730" s="345"/>
      <c r="E730" s="253"/>
      <c r="F730" s="254"/>
      <c r="G730" s="254"/>
      <c r="H730" s="254"/>
      <c r="I730" s="254"/>
      <c r="J730" s="254"/>
      <c r="K730" s="254"/>
      <c r="L730" s="254"/>
      <c r="M730" s="254"/>
      <c r="N730" s="254"/>
      <c r="O730" s="254"/>
      <c r="P730" s="254"/>
      <c r="Q730" s="254"/>
      <c r="R730" s="254"/>
      <c r="S730" s="254"/>
      <c r="T730" s="254"/>
      <c r="U730" s="217"/>
      <c r="V730" s="217"/>
      <c r="W730" s="217"/>
      <c r="X730" s="217"/>
      <c r="Y730" s="217"/>
      <c r="Z730" s="217"/>
    </row>
    <row r="731" ht="15.75" hidden="1" customHeight="1">
      <c r="A731" s="344"/>
      <c r="B731" s="253"/>
      <c r="C731" s="253"/>
      <c r="D731" s="345"/>
      <c r="E731" s="253"/>
      <c r="F731" s="254"/>
      <c r="G731" s="254"/>
      <c r="H731" s="254"/>
      <c r="I731" s="254"/>
      <c r="J731" s="254"/>
      <c r="K731" s="254"/>
      <c r="L731" s="254"/>
      <c r="M731" s="254"/>
      <c r="N731" s="254"/>
      <c r="O731" s="254"/>
      <c r="P731" s="254"/>
      <c r="Q731" s="254"/>
      <c r="R731" s="254"/>
      <c r="S731" s="254"/>
      <c r="T731" s="254"/>
      <c r="U731" s="217"/>
      <c r="V731" s="217"/>
      <c r="W731" s="217"/>
      <c r="X731" s="217"/>
      <c r="Y731" s="217"/>
      <c r="Z731" s="217"/>
    </row>
    <row r="732" ht="15.75" hidden="1" customHeight="1">
      <c r="A732" s="344"/>
      <c r="B732" s="253"/>
      <c r="C732" s="253"/>
      <c r="D732" s="345"/>
      <c r="E732" s="253"/>
      <c r="F732" s="254"/>
      <c r="G732" s="254"/>
      <c r="H732" s="254"/>
      <c r="I732" s="254"/>
      <c r="J732" s="254"/>
      <c r="K732" s="254"/>
      <c r="L732" s="254"/>
      <c r="M732" s="254"/>
      <c r="N732" s="254"/>
      <c r="O732" s="254"/>
      <c r="P732" s="254"/>
      <c r="Q732" s="254"/>
      <c r="R732" s="254"/>
      <c r="S732" s="254"/>
      <c r="T732" s="254"/>
      <c r="U732" s="217"/>
      <c r="V732" s="217"/>
      <c r="W732" s="217"/>
      <c r="X732" s="217"/>
      <c r="Y732" s="217"/>
      <c r="Z732" s="217"/>
    </row>
    <row r="733" ht="15.75" hidden="1" customHeight="1">
      <c r="A733" s="344"/>
      <c r="B733" s="253"/>
      <c r="C733" s="253"/>
      <c r="D733" s="345"/>
      <c r="E733" s="253"/>
      <c r="F733" s="254"/>
      <c r="G733" s="254"/>
      <c r="H733" s="254"/>
      <c r="I733" s="254"/>
      <c r="J733" s="254"/>
      <c r="K733" s="254"/>
      <c r="L733" s="254"/>
      <c r="M733" s="254"/>
      <c r="N733" s="254"/>
      <c r="O733" s="254"/>
      <c r="P733" s="254"/>
      <c r="Q733" s="254"/>
      <c r="R733" s="254"/>
      <c r="S733" s="254"/>
      <c r="T733" s="254"/>
      <c r="U733" s="217"/>
      <c r="V733" s="217"/>
      <c r="W733" s="217"/>
      <c r="X733" s="217"/>
      <c r="Y733" s="217"/>
      <c r="Z733" s="217"/>
    </row>
    <row r="734" ht="15.75" hidden="1" customHeight="1">
      <c r="A734" s="344"/>
      <c r="B734" s="253"/>
      <c r="C734" s="253"/>
      <c r="D734" s="345"/>
      <c r="E734" s="253"/>
      <c r="F734" s="254"/>
      <c r="G734" s="254"/>
      <c r="H734" s="254"/>
      <c r="I734" s="254"/>
      <c r="J734" s="254"/>
      <c r="K734" s="254"/>
      <c r="L734" s="254"/>
      <c r="M734" s="254"/>
      <c r="N734" s="254"/>
      <c r="O734" s="254"/>
      <c r="P734" s="254"/>
      <c r="Q734" s="254"/>
      <c r="R734" s="254"/>
      <c r="S734" s="254"/>
      <c r="T734" s="254"/>
      <c r="U734" s="217"/>
      <c r="V734" s="217"/>
      <c r="W734" s="217"/>
      <c r="X734" s="217"/>
      <c r="Y734" s="217"/>
      <c r="Z734" s="217"/>
    </row>
    <row r="735" ht="15.75" hidden="1" customHeight="1">
      <c r="A735" s="344"/>
      <c r="B735" s="253"/>
      <c r="C735" s="253"/>
      <c r="D735" s="345"/>
      <c r="E735" s="253"/>
      <c r="F735" s="254"/>
      <c r="G735" s="254"/>
      <c r="H735" s="254"/>
      <c r="I735" s="254"/>
      <c r="J735" s="254"/>
      <c r="K735" s="254"/>
      <c r="L735" s="254"/>
      <c r="M735" s="254"/>
      <c r="N735" s="254"/>
      <c r="O735" s="254"/>
      <c r="P735" s="254"/>
      <c r="Q735" s="254"/>
      <c r="R735" s="254"/>
      <c r="S735" s="254"/>
      <c r="T735" s="254"/>
      <c r="U735" s="217"/>
      <c r="V735" s="217"/>
      <c r="W735" s="217"/>
      <c r="X735" s="217"/>
      <c r="Y735" s="217"/>
      <c r="Z735" s="217"/>
    </row>
    <row r="736" ht="15.75" hidden="1" customHeight="1">
      <c r="A736" s="344"/>
      <c r="B736" s="253"/>
      <c r="C736" s="253"/>
      <c r="D736" s="345"/>
      <c r="E736" s="253"/>
      <c r="F736" s="254"/>
      <c r="G736" s="254"/>
      <c r="H736" s="254"/>
      <c r="I736" s="254"/>
      <c r="J736" s="254"/>
      <c r="K736" s="254"/>
      <c r="L736" s="254"/>
      <c r="M736" s="254"/>
      <c r="N736" s="254"/>
      <c r="O736" s="254"/>
      <c r="P736" s="254"/>
      <c r="Q736" s="254"/>
      <c r="R736" s="254"/>
      <c r="S736" s="254"/>
      <c r="T736" s="254"/>
      <c r="U736" s="217"/>
      <c r="V736" s="217"/>
      <c r="W736" s="217"/>
      <c r="X736" s="217"/>
      <c r="Y736" s="217"/>
      <c r="Z736" s="217"/>
    </row>
    <row r="737" ht="15.75" hidden="1" customHeight="1">
      <c r="A737" s="344"/>
      <c r="B737" s="253"/>
      <c r="C737" s="253"/>
      <c r="D737" s="345"/>
      <c r="E737" s="253"/>
      <c r="F737" s="254"/>
      <c r="G737" s="254"/>
      <c r="H737" s="254"/>
      <c r="I737" s="254"/>
      <c r="J737" s="254"/>
      <c r="K737" s="254"/>
      <c r="L737" s="254"/>
      <c r="M737" s="254"/>
      <c r="N737" s="254"/>
      <c r="O737" s="254"/>
      <c r="P737" s="254"/>
      <c r="Q737" s="254"/>
      <c r="R737" s="254"/>
      <c r="S737" s="254"/>
      <c r="T737" s="254"/>
      <c r="U737" s="217"/>
      <c r="V737" s="217"/>
      <c r="W737" s="217"/>
      <c r="X737" s="217"/>
      <c r="Y737" s="217"/>
      <c r="Z737" s="217"/>
    </row>
    <row r="738" ht="15.75" hidden="1" customHeight="1">
      <c r="A738" s="344"/>
      <c r="B738" s="253"/>
      <c r="C738" s="253"/>
      <c r="D738" s="345"/>
      <c r="E738" s="253"/>
      <c r="F738" s="254"/>
      <c r="G738" s="254"/>
      <c r="H738" s="254"/>
      <c r="I738" s="254"/>
      <c r="J738" s="254"/>
      <c r="K738" s="254"/>
      <c r="L738" s="254"/>
      <c r="M738" s="254"/>
      <c r="N738" s="254"/>
      <c r="O738" s="254"/>
      <c r="P738" s="254"/>
      <c r="Q738" s="254"/>
      <c r="R738" s="254"/>
      <c r="S738" s="254"/>
      <c r="T738" s="254"/>
      <c r="U738" s="217"/>
      <c r="V738" s="217"/>
      <c r="W738" s="217"/>
      <c r="X738" s="217"/>
      <c r="Y738" s="217"/>
      <c r="Z738" s="217"/>
    </row>
    <row r="739" ht="15.75" hidden="1" customHeight="1">
      <c r="A739" s="344"/>
      <c r="B739" s="253"/>
      <c r="C739" s="253"/>
      <c r="D739" s="345"/>
      <c r="E739" s="253"/>
      <c r="F739" s="254"/>
      <c r="G739" s="254"/>
      <c r="H739" s="254"/>
      <c r="I739" s="254"/>
      <c r="J739" s="254"/>
      <c r="K739" s="254"/>
      <c r="L739" s="254"/>
      <c r="M739" s="254"/>
      <c r="N739" s="254"/>
      <c r="O739" s="254"/>
      <c r="P739" s="254"/>
      <c r="Q739" s="254"/>
      <c r="R739" s="254"/>
      <c r="S739" s="254"/>
      <c r="T739" s="254"/>
      <c r="U739" s="217"/>
      <c r="V739" s="217"/>
      <c r="W739" s="217"/>
      <c r="X739" s="217"/>
      <c r="Y739" s="217"/>
      <c r="Z739" s="217"/>
    </row>
    <row r="740" ht="15.75" hidden="1" customHeight="1">
      <c r="A740" s="344"/>
      <c r="B740" s="253"/>
      <c r="C740" s="253"/>
      <c r="D740" s="345"/>
      <c r="E740" s="253"/>
      <c r="F740" s="254"/>
      <c r="G740" s="254"/>
      <c r="H740" s="254"/>
      <c r="I740" s="254"/>
      <c r="J740" s="254"/>
      <c r="K740" s="254"/>
      <c r="L740" s="254"/>
      <c r="M740" s="254"/>
      <c r="N740" s="254"/>
      <c r="O740" s="254"/>
      <c r="P740" s="254"/>
      <c r="Q740" s="254"/>
      <c r="R740" s="254"/>
      <c r="S740" s="254"/>
      <c r="T740" s="254"/>
      <c r="U740" s="217"/>
      <c r="V740" s="217"/>
      <c r="W740" s="217"/>
      <c r="X740" s="217"/>
      <c r="Y740" s="217"/>
      <c r="Z740" s="217"/>
    </row>
    <row r="741" ht="15.75" hidden="1" customHeight="1">
      <c r="A741" s="344"/>
      <c r="B741" s="253"/>
      <c r="C741" s="253"/>
      <c r="D741" s="345"/>
      <c r="E741" s="253"/>
      <c r="F741" s="254"/>
      <c r="G741" s="254"/>
      <c r="H741" s="254"/>
      <c r="I741" s="254"/>
      <c r="J741" s="254"/>
      <c r="K741" s="254"/>
      <c r="L741" s="254"/>
      <c r="M741" s="254"/>
      <c r="N741" s="254"/>
      <c r="O741" s="254"/>
      <c r="P741" s="254"/>
      <c r="Q741" s="254"/>
      <c r="R741" s="254"/>
      <c r="S741" s="254"/>
      <c r="T741" s="254"/>
      <c r="U741" s="217"/>
      <c r="V741" s="217"/>
      <c r="W741" s="217"/>
      <c r="X741" s="217"/>
      <c r="Y741" s="217"/>
      <c r="Z741" s="217"/>
    </row>
    <row r="742" ht="15.75" hidden="1" customHeight="1">
      <c r="A742" s="344"/>
      <c r="B742" s="253"/>
      <c r="C742" s="253"/>
      <c r="D742" s="345"/>
      <c r="E742" s="253"/>
      <c r="F742" s="254"/>
      <c r="G742" s="254"/>
      <c r="H742" s="254"/>
      <c r="I742" s="254"/>
      <c r="J742" s="254"/>
      <c r="K742" s="254"/>
      <c r="L742" s="254"/>
      <c r="M742" s="254"/>
      <c r="N742" s="254"/>
      <c r="O742" s="254"/>
      <c r="P742" s="254"/>
      <c r="Q742" s="254"/>
      <c r="R742" s="254"/>
      <c r="S742" s="254"/>
      <c r="T742" s="254"/>
      <c r="U742" s="217"/>
      <c r="V742" s="217"/>
      <c r="W742" s="217"/>
      <c r="X742" s="217"/>
      <c r="Y742" s="217"/>
      <c r="Z742" s="217"/>
    </row>
    <row r="743" ht="15.75" hidden="1" customHeight="1">
      <c r="A743" s="344"/>
      <c r="B743" s="253"/>
      <c r="C743" s="253"/>
      <c r="D743" s="345"/>
      <c r="E743" s="253"/>
      <c r="F743" s="254"/>
      <c r="G743" s="254"/>
      <c r="H743" s="254"/>
      <c r="I743" s="254"/>
      <c r="J743" s="254"/>
      <c r="K743" s="254"/>
      <c r="L743" s="254"/>
      <c r="M743" s="254"/>
      <c r="N743" s="254"/>
      <c r="O743" s="254"/>
      <c r="P743" s="254"/>
      <c r="Q743" s="254"/>
      <c r="R743" s="254"/>
      <c r="S743" s="254"/>
      <c r="T743" s="254"/>
      <c r="U743" s="217"/>
      <c r="V743" s="217"/>
      <c r="W743" s="217"/>
      <c r="X743" s="217"/>
      <c r="Y743" s="217"/>
      <c r="Z743" s="217"/>
    </row>
    <row r="744" ht="15.75" hidden="1" customHeight="1">
      <c r="A744" s="344"/>
      <c r="B744" s="253"/>
      <c r="C744" s="253"/>
      <c r="D744" s="345"/>
      <c r="E744" s="253"/>
      <c r="F744" s="254"/>
      <c r="G744" s="254"/>
      <c r="H744" s="254"/>
      <c r="I744" s="254"/>
      <c r="J744" s="254"/>
      <c r="K744" s="254"/>
      <c r="L744" s="254"/>
      <c r="M744" s="254"/>
      <c r="N744" s="254"/>
      <c r="O744" s="254"/>
      <c r="P744" s="254"/>
      <c r="Q744" s="254"/>
      <c r="R744" s="254"/>
      <c r="S744" s="254"/>
      <c r="T744" s="254"/>
      <c r="U744" s="217"/>
      <c r="V744" s="217"/>
      <c r="W744" s="217"/>
      <c r="X744" s="217"/>
      <c r="Y744" s="217"/>
      <c r="Z744" s="217"/>
    </row>
    <row r="745" ht="15.75" hidden="1" customHeight="1">
      <c r="A745" s="344"/>
      <c r="B745" s="253"/>
      <c r="C745" s="253"/>
      <c r="D745" s="345"/>
      <c r="E745" s="253"/>
      <c r="F745" s="254"/>
      <c r="G745" s="254"/>
      <c r="H745" s="254"/>
      <c r="I745" s="254"/>
      <c r="J745" s="254"/>
      <c r="K745" s="254"/>
      <c r="L745" s="254"/>
      <c r="M745" s="254"/>
      <c r="N745" s="254"/>
      <c r="O745" s="254"/>
      <c r="P745" s="254"/>
      <c r="Q745" s="254"/>
      <c r="R745" s="254"/>
      <c r="S745" s="254"/>
      <c r="T745" s="254"/>
      <c r="U745" s="217"/>
      <c r="V745" s="217"/>
      <c r="W745" s="217"/>
      <c r="X745" s="217"/>
      <c r="Y745" s="217"/>
      <c r="Z745" s="217"/>
    </row>
    <row r="746" ht="15.75" hidden="1" customHeight="1">
      <c r="A746" s="344"/>
      <c r="B746" s="253"/>
      <c r="C746" s="253"/>
      <c r="D746" s="345"/>
      <c r="E746" s="253"/>
      <c r="F746" s="254"/>
      <c r="G746" s="254"/>
      <c r="H746" s="254"/>
      <c r="I746" s="254"/>
      <c r="J746" s="254"/>
      <c r="K746" s="254"/>
      <c r="L746" s="254"/>
      <c r="M746" s="254"/>
      <c r="N746" s="254"/>
      <c r="O746" s="254"/>
      <c r="P746" s="254"/>
      <c r="Q746" s="254"/>
      <c r="R746" s="254"/>
      <c r="S746" s="254"/>
      <c r="T746" s="254"/>
      <c r="U746" s="217"/>
      <c r="V746" s="217"/>
      <c r="W746" s="217"/>
      <c r="X746" s="217"/>
      <c r="Y746" s="217"/>
      <c r="Z746" s="217"/>
    </row>
    <row r="747" ht="15.75" hidden="1" customHeight="1">
      <c r="A747" s="344"/>
      <c r="B747" s="253"/>
      <c r="C747" s="253"/>
      <c r="D747" s="345"/>
      <c r="E747" s="253"/>
      <c r="F747" s="254"/>
      <c r="G747" s="254"/>
      <c r="H747" s="254"/>
      <c r="I747" s="254"/>
      <c r="J747" s="254"/>
      <c r="K747" s="254"/>
      <c r="L747" s="254"/>
      <c r="M747" s="254"/>
      <c r="N747" s="254"/>
      <c r="O747" s="254"/>
      <c r="P747" s="254"/>
      <c r="Q747" s="254"/>
      <c r="R747" s="254"/>
      <c r="S747" s="254"/>
      <c r="T747" s="254"/>
      <c r="U747" s="217"/>
      <c r="V747" s="217"/>
      <c r="W747" s="217"/>
      <c r="X747" s="217"/>
      <c r="Y747" s="217"/>
      <c r="Z747" s="217"/>
    </row>
    <row r="748" ht="15.75" hidden="1" customHeight="1">
      <c r="A748" s="344"/>
      <c r="B748" s="253"/>
      <c r="C748" s="253"/>
      <c r="D748" s="345"/>
      <c r="E748" s="253"/>
      <c r="F748" s="254"/>
      <c r="G748" s="254"/>
      <c r="H748" s="254"/>
      <c r="I748" s="254"/>
      <c r="J748" s="254"/>
      <c r="K748" s="254"/>
      <c r="L748" s="254"/>
      <c r="M748" s="254"/>
      <c r="N748" s="254"/>
      <c r="O748" s="254"/>
      <c r="P748" s="254"/>
      <c r="Q748" s="254"/>
      <c r="R748" s="254"/>
      <c r="S748" s="254"/>
      <c r="T748" s="254"/>
      <c r="U748" s="217"/>
      <c r="V748" s="217"/>
      <c r="W748" s="217"/>
      <c r="X748" s="217"/>
      <c r="Y748" s="217"/>
      <c r="Z748" s="217"/>
    </row>
    <row r="749" ht="15.75" hidden="1" customHeight="1">
      <c r="A749" s="344"/>
      <c r="B749" s="253"/>
      <c r="C749" s="253"/>
      <c r="D749" s="345"/>
      <c r="E749" s="253"/>
      <c r="F749" s="254"/>
      <c r="G749" s="254"/>
      <c r="H749" s="254"/>
      <c r="I749" s="254"/>
      <c r="J749" s="254"/>
      <c r="K749" s="254"/>
      <c r="L749" s="254"/>
      <c r="M749" s="254"/>
      <c r="N749" s="254"/>
      <c r="O749" s="254"/>
      <c r="P749" s="254"/>
      <c r="Q749" s="254"/>
      <c r="R749" s="254"/>
      <c r="S749" s="254"/>
      <c r="T749" s="254"/>
      <c r="U749" s="217"/>
      <c r="V749" s="217"/>
      <c r="W749" s="217"/>
      <c r="X749" s="217"/>
      <c r="Y749" s="217"/>
      <c r="Z749" s="217"/>
    </row>
    <row r="750" ht="15.75" hidden="1" customHeight="1">
      <c r="A750" s="344"/>
      <c r="B750" s="253"/>
      <c r="C750" s="253"/>
      <c r="D750" s="345"/>
      <c r="E750" s="253"/>
      <c r="F750" s="254"/>
      <c r="G750" s="254"/>
      <c r="H750" s="254"/>
      <c r="I750" s="254"/>
      <c r="J750" s="254"/>
      <c r="K750" s="254"/>
      <c r="L750" s="254"/>
      <c r="M750" s="254"/>
      <c r="N750" s="254"/>
      <c r="O750" s="254"/>
      <c r="P750" s="254"/>
      <c r="Q750" s="254"/>
      <c r="R750" s="254"/>
      <c r="S750" s="254"/>
      <c r="T750" s="254"/>
      <c r="U750" s="217"/>
      <c r="V750" s="217"/>
      <c r="W750" s="217"/>
      <c r="X750" s="217"/>
      <c r="Y750" s="217"/>
      <c r="Z750" s="217"/>
    </row>
    <row r="751" ht="15.75" hidden="1" customHeight="1">
      <c r="A751" s="344"/>
      <c r="B751" s="253"/>
      <c r="C751" s="253"/>
      <c r="D751" s="345"/>
      <c r="E751" s="253"/>
      <c r="F751" s="254"/>
      <c r="G751" s="254"/>
      <c r="H751" s="254"/>
      <c r="I751" s="254"/>
      <c r="J751" s="254"/>
      <c r="K751" s="254"/>
      <c r="L751" s="254"/>
      <c r="M751" s="254"/>
      <c r="N751" s="254"/>
      <c r="O751" s="254"/>
      <c r="P751" s="254"/>
      <c r="Q751" s="254"/>
      <c r="R751" s="254"/>
      <c r="S751" s="254"/>
      <c r="T751" s="254"/>
      <c r="U751" s="217"/>
      <c r="V751" s="217"/>
      <c r="W751" s="217"/>
      <c r="X751" s="217"/>
      <c r="Y751" s="217"/>
      <c r="Z751" s="217"/>
    </row>
    <row r="752" ht="15.75" hidden="1" customHeight="1">
      <c r="A752" s="344"/>
      <c r="B752" s="253"/>
      <c r="C752" s="253"/>
      <c r="D752" s="345"/>
      <c r="E752" s="253"/>
      <c r="F752" s="254"/>
      <c r="G752" s="254"/>
      <c r="H752" s="254"/>
      <c r="I752" s="254"/>
      <c r="J752" s="254"/>
      <c r="K752" s="254"/>
      <c r="L752" s="254"/>
      <c r="M752" s="254"/>
      <c r="N752" s="254"/>
      <c r="O752" s="254"/>
      <c r="P752" s="254"/>
      <c r="Q752" s="254"/>
      <c r="R752" s="254"/>
      <c r="S752" s="254"/>
      <c r="T752" s="254"/>
      <c r="U752" s="217"/>
      <c r="V752" s="217"/>
      <c r="W752" s="217"/>
      <c r="X752" s="217"/>
      <c r="Y752" s="217"/>
      <c r="Z752" s="217"/>
    </row>
    <row r="753" ht="15.75" hidden="1" customHeight="1">
      <c r="A753" s="344"/>
      <c r="B753" s="253"/>
      <c r="C753" s="253"/>
      <c r="D753" s="345"/>
      <c r="E753" s="253"/>
      <c r="F753" s="254"/>
      <c r="G753" s="254"/>
      <c r="H753" s="254"/>
      <c r="I753" s="254"/>
      <c r="J753" s="254"/>
      <c r="K753" s="254"/>
      <c r="L753" s="254"/>
      <c r="M753" s="254"/>
      <c r="N753" s="254"/>
      <c r="O753" s="254"/>
      <c r="P753" s="254"/>
      <c r="Q753" s="254"/>
      <c r="R753" s="254"/>
      <c r="S753" s="254"/>
      <c r="T753" s="254"/>
      <c r="U753" s="217"/>
      <c r="V753" s="217"/>
      <c r="W753" s="217"/>
      <c r="X753" s="217"/>
      <c r="Y753" s="217"/>
      <c r="Z753" s="217"/>
    </row>
    <row r="754" ht="15.75" hidden="1" customHeight="1">
      <c r="A754" s="344"/>
      <c r="B754" s="253"/>
      <c r="C754" s="253"/>
      <c r="D754" s="345"/>
      <c r="E754" s="253"/>
      <c r="F754" s="254"/>
      <c r="G754" s="254"/>
      <c r="H754" s="254"/>
      <c r="I754" s="254"/>
      <c r="J754" s="254"/>
      <c r="K754" s="254"/>
      <c r="L754" s="254"/>
      <c r="M754" s="254"/>
      <c r="N754" s="254"/>
      <c r="O754" s="254"/>
      <c r="P754" s="254"/>
      <c r="Q754" s="254"/>
      <c r="R754" s="254"/>
      <c r="S754" s="254"/>
      <c r="T754" s="254"/>
      <c r="U754" s="217"/>
      <c r="V754" s="217"/>
      <c r="W754" s="217"/>
      <c r="X754" s="217"/>
      <c r="Y754" s="217"/>
      <c r="Z754" s="217"/>
    </row>
    <row r="755" ht="15.75" hidden="1" customHeight="1">
      <c r="A755" s="344"/>
      <c r="B755" s="253"/>
      <c r="C755" s="253"/>
      <c r="D755" s="345"/>
      <c r="E755" s="253"/>
      <c r="F755" s="254"/>
      <c r="G755" s="254"/>
      <c r="H755" s="254"/>
      <c r="I755" s="254"/>
      <c r="J755" s="254"/>
      <c r="K755" s="254"/>
      <c r="L755" s="254"/>
      <c r="M755" s="254"/>
      <c r="N755" s="254"/>
      <c r="O755" s="254"/>
      <c r="P755" s="254"/>
      <c r="Q755" s="254"/>
      <c r="R755" s="254"/>
      <c r="S755" s="254"/>
      <c r="T755" s="254"/>
      <c r="U755" s="217"/>
      <c r="V755" s="217"/>
      <c r="W755" s="217"/>
      <c r="X755" s="217"/>
      <c r="Y755" s="217"/>
      <c r="Z755" s="217"/>
    </row>
    <row r="756" ht="15.75" hidden="1" customHeight="1">
      <c r="A756" s="344"/>
      <c r="B756" s="253"/>
      <c r="C756" s="253"/>
      <c r="D756" s="345"/>
      <c r="E756" s="253"/>
      <c r="F756" s="254"/>
      <c r="G756" s="254"/>
      <c r="H756" s="254"/>
      <c r="I756" s="254"/>
      <c r="J756" s="254"/>
      <c r="K756" s="254"/>
      <c r="L756" s="254"/>
      <c r="M756" s="254"/>
      <c r="N756" s="254"/>
      <c r="O756" s="254"/>
      <c r="P756" s="254"/>
      <c r="Q756" s="254"/>
      <c r="R756" s="254"/>
      <c r="S756" s="254"/>
      <c r="T756" s="254"/>
      <c r="U756" s="217"/>
      <c r="V756" s="217"/>
      <c r="W756" s="217"/>
      <c r="X756" s="217"/>
      <c r="Y756" s="217"/>
      <c r="Z756" s="217"/>
    </row>
    <row r="757" ht="15.75" hidden="1" customHeight="1">
      <c r="A757" s="344"/>
      <c r="B757" s="253"/>
      <c r="C757" s="253"/>
      <c r="D757" s="345"/>
      <c r="E757" s="253"/>
      <c r="F757" s="254"/>
      <c r="G757" s="254"/>
      <c r="H757" s="254"/>
      <c r="I757" s="254"/>
      <c r="J757" s="254"/>
      <c r="K757" s="254"/>
      <c r="L757" s="254"/>
      <c r="M757" s="254"/>
      <c r="N757" s="254"/>
      <c r="O757" s="254"/>
      <c r="P757" s="254"/>
      <c r="Q757" s="254"/>
      <c r="R757" s="254"/>
      <c r="S757" s="254"/>
      <c r="T757" s="254"/>
      <c r="U757" s="217"/>
      <c r="V757" s="217"/>
      <c r="W757" s="217"/>
      <c r="X757" s="217"/>
      <c r="Y757" s="217"/>
      <c r="Z757" s="217"/>
    </row>
    <row r="758" ht="15.75" hidden="1" customHeight="1">
      <c r="A758" s="344"/>
      <c r="B758" s="253"/>
      <c r="C758" s="253"/>
      <c r="D758" s="345"/>
      <c r="E758" s="253"/>
      <c r="F758" s="254"/>
      <c r="G758" s="254"/>
      <c r="H758" s="254"/>
      <c r="I758" s="254"/>
      <c r="J758" s="254"/>
      <c r="K758" s="254"/>
      <c r="L758" s="254"/>
      <c r="M758" s="254"/>
      <c r="N758" s="254"/>
      <c r="O758" s="254"/>
      <c r="P758" s="254"/>
      <c r="Q758" s="254"/>
      <c r="R758" s="254"/>
      <c r="S758" s="254"/>
      <c r="T758" s="254"/>
      <c r="U758" s="217"/>
      <c r="V758" s="217"/>
      <c r="W758" s="217"/>
      <c r="X758" s="217"/>
      <c r="Y758" s="217"/>
      <c r="Z758" s="217"/>
    </row>
    <row r="759" ht="15.75" hidden="1" customHeight="1">
      <c r="A759" s="344"/>
      <c r="B759" s="253"/>
      <c r="C759" s="253"/>
      <c r="D759" s="345"/>
      <c r="E759" s="253"/>
      <c r="F759" s="254"/>
      <c r="G759" s="254"/>
      <c r="H759" s="254"/>
      <c r="I759" s="254"/>
      <c r="J759" s="254"/>
      <c r="K759" s="254"/>
      <c r="L759" s="254"/>
      <c r="M759" s="254"/>
      <c r="N759" s="254"/>
      <c r="O759" s="254"/>
      <c r="P759" s="254"/>
      <c r="Q759" s="254"/>
      <c r="R759" s="254"/>
      <c r="S759" s="254"/>
      <c r="T759" s="254"/>
      <c r="U759" s="217"/>
      <c r="V759" s="217"/>
      <c r="W759" s="217"/>
      <c r="X759" s="217"/>
      <c r="Y759" s="217"/>
      <c r="Z759" s="217"/>
    </row>
    <row r="760" ht="15.75" hidden="1" customHeight="1">
      <c r="A760" s="344"/>
      <c r="B760" s="253"/>
      <c r="C760" s="253"/>
      <c r="D760" s="345"/>
      <c r="E760" s="253"/>
      <c r="F760" s="254"/>
      <c r="G760" s="254"/>
      <c r="H760" s="254"/>
      <c r="I760" s="254"/>
      <c r="J760" s="254"/>
      <c r="K760" s="254"/>
      <c r="L760" s="254"/>
      <c r="M760" s="254"/>
      <c r="N760" s="254"/>
      <c r="O760" s="254"/>
      <c r="P760" s="254"/>
      <c r="Q760" s="254"/>
      <c r="R760" s="254"/>
      <c r="S760" s="254"/>
      <c r="T760" s="254"/>
      <c r="U760" s="217"/>
      <c r="V760" s="217"/>
      <c r="W760" s="217"/>
      <c r="X760" s="217"/>
      <c r="Y760" s="217"/>
      <c r="Z760" s="217"/>
    </row>
    <row r="761" ht="15.75" hidden="1" customHeight="1">
      <c r="A761" s="344"/>
      <c r="B761" s="253"/>
      <c r="C761" s="253"/>
      <c r="D761" s="345"/>
      <c r="E761" s="253"/>
      <c r="F761" s="254"/>
      <c r="G761" s="254"/>
      <c r="H761" s="254"/>
      <c r="I761" s="254"/>
      <c r="J761" s="254"/>
      <c r="K761" s="254"/>
      <c r="L761" s="254"/>
      <c r="M761" s="254"/>
      <c r="N761" s="254"/>
      <c r="O761" s="254"/>
      <c r="P761" s="254"/>
      <c r="Q761" s="254"/>
      <c r="R761" s="254"/>
      <c r="S761" s="254"/>
      <c r="T761" s="254"/>
      <c r="U761" s="217"/>
      <c r="V761" s="217"/>
      <c r="W761" s="217"/>
      <c r="X761" s="217"/>
      <c r="Y761" s="217"/>
      <c r="Z761" s="217"/>
    </row>
    <row r="762" ht="15.75" hidden="1" customHeight="1">
      <c r="A762" s="344"/>
      <c r="B762" s="253"/>
      <c r="C762" s="253"/>
      <c r="D762" s="345"/>
      <c r="E762" s="253"/>
      <c r="F762" s="254"/>
      <c r="G762" s="254"/>
      <c r="H762" s="254"/>
      <c r="I762" s="254"/>
      <c r="J762" s="254"/>
      <c r="K762" s="254"/>
      <c r="L762" s="254"/>
      <c r="M762" s="254"/>
      <c r="N762" s="254"/>
      <c r="O762" s="254"/>
      <c r="P762" s="254"/>
      <c r="Q762" s="254"/>
      <c r="R762" s="254"/>
      <c r="S762" s="254"/>
      <c r="T762" s="254"/>
      <c r="U762" s="217"/>
      <c r="V762" s="217"/>
      <c r="W762" s="217"/>
      <c r="X762" s="217"/>
      <c r="Y762" s="217"/>
      <c r="Z762" s="217"/>
    </row>
    <row r="763" ht="15.75" hidden="1" customHeight="1">
      <c r="A763" s="344"/>
      <c r="B763" s="253"/>
      <c r="C763" s="253"/>
      <c r="D763" s="345"/>
      <c r="E763" s="253"/>
      <c r="F763" s="254"/>
      <c r="G763" s="254"/>
      <c r="H763" s="254"/>
      <c r="I763" s="254"/>
      <c r="J763" s="254"/>
      <c r="K763" s="254"/>
      <c r="L763" s="254"/>
      <c r="M763" s="254"/>
      <c r="N763" s="254"/>
      <c r="O763" s="254"/>
      <c r="P763" s="254"/>
      <c r="Q763" s="254"/>
      <c r="R763" s="254"/>
      <c r="S763" s="254"/>
      <c r="T763" s="254"/>
      <c r="U763" s="217"/>
      <c r="V763" s="217"/>
      <c r="W763" s="217"/>
      <c r="X763" s="217"/>
      <c r="Y763" s="217"/>
      <c r="Z763" s="217"/>
    </row>
    <row r="764" ht="15.75" hidden="1" customHeight="1">
      <c r="A764" s="344"/>
      <c r="B764" s="253"/>
      <c r="C764" s="253"/>
      <c r="D764" s="345"/>
      <c r="E764" s="253"/>
      <c r="F764" s="254"/>
      <c r="G764" s="254"/>
      <c r="H764" s="254"/>
      <c r="I764" s="254"/>
      <c r="J764" s="254"/>
      <c r="K764" s="254"/>
      <c r="L764" s="254"/>
      <c r="M764" s="254"/>
      <c r="N764" s="254"/>
      <c r="O764" s="254"/>
      <c r="P764" s="254"/>
      <c r="Q764" s="254"/>
      <c r="R764" s="254"/>
      <c r="S764" s="254"/>
      <c r="T764" s="254"/>
      <c r="U764" s="217"/>
      <c r="V764" s="217"/>
      <c r="W764" s="217"/>
      <c r="X764" s="217"/>
      <c r="Y764" s="217"/>
      <c r="Z764" s="217"/>
    </row>
    <row r="765" ht="15.75" hidden="1" customHeight="1"/>
    <row r="766" ht="15.75" hidden="1" customHeight="1"/>
    <row r="767" ht="15.75" hidden="1" customHeight="1"/>
    <row r="768" ht="15.75" hidden="1" customHeight="1"/>
    <row r="769" ht="22.5" hidden="1" customHeight="1"/>
    <row r="770" ht="22.5" hidden="1" customHeight="1"/>
    <row r="771" ht="22.5" hidden="1" customHeight="1"/>
    <row r="772" ht="22.5" hidden="1" customHeight="1"/>
    <row r="773" ht="22.5" hidden="1" customHeight="1"/>
    <row r="774" ht="22.5" hidden="1" customHeight="1"/>
    <row r="775" ht="22.5" hidden="1" customHeight="1"/>
    <row r="776" ht="22.5" hidden="1" customHeight="1"/>
    <row r="777" ht="22.5" hidden="1" customHeight="1"/>
    <row r="778" ht="22.5" hidden="1" customHeight="1"/>
    <row r="779" ht="22.5" hidden="1" customHeight="1"/>
    <row r="780" ht="22.5" hidden="1" customHeight="1"/>
    <row r="781" ht="22.5" hidden="1" customHeight="1"/>
    <row r="782" ht="22.5" hidden="1" customHeight="1"/>
    <row r="783" ht="22.5" hidden="1" customHeight="1"/>
    <row r="784" ht="22.5" hidden="1" customHeight="1"/>
    <row r="785" ht="22.5" hidden="1" customHeight="1"/>
    <row r="786" ht="22.5" hidden="1" customHeight="1"/>
    <row r="787" ht="22.5" hidden="1" customHeight="1"/>
    <row r="788" ht="22.5" hidden="1" customHeight="1"/>
    <row r="789" ht="22.5" hidden="1" customHeight="1"/>
    <row r="790" ht="22.5" hidden="1" customHeight="1"/>
    <row r="791" ht="22.5" hidden="1" customHeight="1"/>
    <row r="792" ht="22.5" hidden="1" customHeight="1"/>
    <row r="793" ht="22.5" hidden="1" customHeight="1"/>
    <row r="794" ht="22.5" hidden="1" customHeight="1"/>
    <row r="795" ht="22.5" hidden="1" customHeight="1"/>
    <row r="796" ht="22.5" hidden="1" customHeight="1"/>
    <row r="797" ht="22.5" hidden="1" customHeight="1"/>
    <row r="798" ht="22.5" hidden="1" customHeight="1"/>
    <row r="799" ht="22.5" hidden="1" customHeight="1"/>
    <row r="800" ht="22.5" hidden="1" customHeight="1"/>
    <row r="801" ht="22.5" hidden="1" customHeight="1"/>
    <row r="802" ht="22.5" hidden="1" customHeight="1"/>
    <row r="803" ht="22.5" hidden="1" customHeight="1"/>
    <row r="804" ht="22.5" hidden="1" customHeight="1"/>
    <row r="805" ht="22.5" hidden="1" customHeight="1"/>
    <row r="806" ht="22.5" hidden="1" customHeight="1"/>
    <row r="807" ht="22.5" hidden="1" customHeight="1"/>
    <row r="808" ht="22.5" hidden="1" customHeight="1"/>
    <row r="809" ht="22.5" hidden="1" customHeight="1"/>
    <row r="810" ht="22.5" hidden="1" customHeight="1"/>
    <row r="811" ht="22.5" hidden="1" customHeight="1"/>
    <row r="812" ht="22.5" hidden="1" customHeight="1"/>
    <row r="813" ht="22.5" hidden="1" customHeight="1"/>
    <row r="814" ht="22.5" hidden="1" customHeight="1"/>
    <row r="815" ht="22.5" hidden="1" customHeight="1"/>
    <row r="816" ht="22.5" hidden="1" customHeight="1"/>
    <row r="817" ht="22.5" hidden="1" customHeight="1"/>
    <row r="818" ht="22.5" hidden="1" customHeight="1"/>
    <row r="819" ht="22.5" hidden="1" customHeight="1"/>
    <row r="820" ht="22.5" hidden="1" customHeight="1"/>
    <row r="821" ht="22.5" hidden="1" customHeight="1"/>
    <row r="822" ht="22.5" hidden="1" customHeight="1"/>
    <row r="823" ht="22.5" hidden="1" customHeight="1"/>
    <row r="824" ht="22.5" hidden="1" customHeight="1"/>
    <row r="825" ht="22.5" hidden="1" customHeight="1"/>
    <row r="826" ht="22.5" hidden="1" customHeight="1"/>
    <row r="827" ht="22.5" hidden="1" customHeight="1"/>
    <row r="828" ht="22.5" hidden="1" customHeight="1"/>
    <row r="829" ht="22.5" hidden="1" customHeight="1"/>
    <row r="830" ht="22.5" hidden="1" customHeight="1"/>
    <row r="831" ht="22.5" hidden="1" customHeight="1"/>
    <row r="832" ht="22.5" hidden="1" customHeight="1"/>
    <row r="833" ht="22.5" hidden="1" customHeight="1"/>
    <row r="834" ht="22.5" hidden="1" customHeight="1"/>
    <row r="835" ht="22.5" hidden="1" customHeight="1"/>
    <row r="836" ht="22.5" hidden="1" customHeight="1"/>
    <row r="837" ht="22.5" hidden="1" customHeight="1"/>
    <row r="838" ht="22.5" hidden="1" customHeight="1"/>
    <row r="839" ht="22.5" hidden="1" customHeight="1"/>
    <row r="840" ht="22.5" hidden="1" customHeight="1"/>
    <row r="841" ht="22.5" hidden="1" customHeight="1"/>
    <row r="842" ht="22.5" hidden="1" customHeight="1"/>
    <row r="843" ht="22.5" hidden="1" customHeight="1"/>
    <row r="844" ht="22.5" hidden="1" customHeight="1"/>
    <row r="845" ht="22.5" hidden="1" customHeight="1"/>
    <row r="846" ht="22.5" hidden="1" customHeight="1"/>
    <row r="847" ht="22.5" hidden="1" customHeight="1"/>
    <row r="848" ht="22.5" hidden="1" customHeight="1"/>
    <row r="849" ht="22.5" hidden="1" customHeight="1"/>
    <row r="850" ht="22.5" hidden="1" customHeight="1"/>
    <row r="851" ht="22.5" hidden="1" customHeight="1"/>
    <row r="852" ht="22.5" hidden="1" customHeight="1"/>
    <row r="853" ht="22.5" hidden="1" customHeight="1"/>
    <row r="854" ht="22.5" hidden="1" customHeight="1"/>
    <row r="855" ht="22.5" hidden="1" customHeight="1"/>
    <row r="856" ht="22.5" hidden="1" customHeight="1"/>
    <row r="857" ht="22.5" hidden="1" customHeight="1"/>
    <row r="858" ht="22.5" hidden="1" customHeight="1"/>
    <row r="859" ht="22.5" hidden="1" customHeight="1"/>
    <row r="860" ht="22.5" hidden="1" customHeight="1"/>
    <row r="861" ht="22.5" hidden="1" customHeight="1"/>
    <row r="862" ht="22.5" hidden="1" customHeight="1"/>
    <row r="863" ht="22.5" hidden="1" customHeight="1"/>
    <row r="864" ht="22.5" hidden="1" customHeight="1"/>
    <row r="865" ht="22.5" hidden="1" customHeight="1"/>
    <row r="866" ht="22.5" hidden="1" customHeight="1"/>
    <row r="867" ht="22.5" hidden="1" customHeight="1"/>
    <row r="868" ht="22.5" hidden="1" customHeight="1"/>
    <row r="869" ht="22.5" hidden="1" customHeight="1"/>
    <row r="870" ht="22.5" hidden="1" customHeight="1"/>
    <row r="871" ht="22.5" hidden="1" customHeight="1"/>
    <row r="872" ht="22.5" hidden="1" customHeight="1"/>
    <row r="873" ht="22.5" hidden="1" customHeight="1"/>
    <row r="874" ht="22.5" hidden="1" customHeight="1"/>
    <row r="875" ht="22.5" hidden="1" customHeight="1"/>
    <row r="876" ht="22.5" hidden="1" customHeight="1"/>
    <row r="877" ht="22.5" hidden="1" customHeight="1"/>
    <row r="878" ht="22.5" hidden="1" customHeight="1"/>
    <row r="879" ht="22.5" hidden="1" customHeight="1"/>
    <row r="880" ht="22.5" hidden="1" customHeight="1"/>
    <row r="881" ht="22.5" hidden="1" customHeight="1"/>
    <row r="882" ht="22.5" hidden="1" customHeight="1"/>
    <row r="883" ht="22.5" hidden="1" customHeight="1"/>
    <row r="884" ht="22.5" hidden="1" customHeight="1"/>
    <row r="885" ht="22.5" hidden="1" customHeight="1"/>
    <row r="886" ht="22.5" hidden="1" customHeight="1"/>
    <row r="887" ht="22.5" hidden="1" customHeight="1"/>
    <row r="888" ht="22.5" hidden="1" customHeight="1"/>
    <row r="889" ht="22.5" hidden="1" customHeight="1"/>
    <row r="890" ht="22.5" hidden="1" customHeight="1"/>
    <row r="891" ht="22.5" hidden="1" customHeight="1"/>
    <row r="892" ht="22.5" hidden="1" customHeight="1"/>
    <row r="893" ht="22.5" hidden="1" customHeight="1"/>
    <row r="894" ht="22.5" hidden="1" customHeight="1"/>
    <row r="895" ht="22.5" hidden="1" customHeight="1"/>
    <row r="896" ht="22.5" hidden="1" customHeight="1"/>
    <row r="897" ht="22.5" hidden="1" customHeight="1"/>
    <row r="898" ht="22.5" hidden="1" customHeight="1"/>
    <row r="899" ht="22.5" hidden="1" customHeight="1"/>
    <row r="900" ht="22.5" hidden="1" customHeight="1"/>
    <row r="901" ht="22.5" hidden="1" customHeight="1"/>
    <row r="902" ht="22.5" hidden="1" customHeight="1"/>
    <row r="903" ht="22.5" hidden="1" customHeight="1"/>
    <row r="904" ht="22.5" hidden="1" customHeight="1"/>
    <row r="905" ht="22.5" hidden="1" customHeight="1"/>
    <row r="906" ht="22.5" hidden="1" customHeight="1"/>
    <row r="907" ht="22.5" hidden="1" customHeight="1"/>
    <row r="908" ht="22.5" hidden="1" customHeight="1"/>
    <row r="909" ht="22.5" hidden="1" customHeight="1"/>
    <row r="910" ht="22.5" hidden="1" customHeight="1"/>
    <row r="911" ht="22.5" hidden="1" customHeight="1"/>
    <row r="912" ht="22.5" hidden="1" customHeight="1"/>
    <row r="913" ht="22.5" hidden="1" customHeight="1"/>
    <row r="914" ht="22.5" hidden="1" customHeight="1"/>
    <row r="915" ht="22.5" hidden="1" customHeight="1"/>
    <row r="916" ht="22.5" hidden="1" customHeight="1"/>
    <row r="917" ht="22.5" hidden="1" customHeight="1"/>
    <row r="918" ht="22.5" hidden="1" customHeight="1"/>
    <row r="919" ht="22.5" hidden="1" customHeight="1"/>
    <row r="920" ht="22.5" hidden="1" customHeight="1"/>
    <row r="921" ht="22.5" hidden="1" customHeight="1"/>
    <row r="922" ht="22.5" hidden="1" customHeight="1"/>
    <row r="923" ht="22.5" hidden="1" customHeight="1"/>
    <row r="924" ht="22.5" hidden="1" customHeight="1"/>
    <row r="925" ht="22.5" hidden="1" customHeight="1"/>
    <row r="926" ht="22.5" hidden="1" customHeight="1"/>
    <row r="927" ht="22.5" hidden="1" customHeight="1"/>
    <row r="928" ht="22.5" hidden="1" customHeight="1"/>
    <row r="929" ht="22.5" hidden="1" customHeight="1"/>
    <row r="930" ht="22.5" hidden="1" customHeight="1"/>
    <row r="931" ht="22.5" hidden="1" customHeight="1"/>
    <row r="932" ht="22.5" hidden="1" customHeight="1"/>
    <row r="933" ht="22.5" hidden="1" customHeight="1"/>
    <row r="934" ht="22.5" hidden="1" customHeight="1"/>
    <row r="935" ht="22.5" hidden="1" customHeight="1"/>
    <row r="936" ht="22.5" hidden="1" customHeight="1"/>
    <row r="937" ht="22.5" hidden="1" customHeight="1"/>
    <row r="938" ht="22.5" hidden="1" customHeight="1"/>
    <row r="939" ht="22.5" hidden="1" customHeight="1"/>
    <row r="940" ht="22.5" hidden="1" customHeight="1"/>
    <row r="941" ht="22.5" hidden="1" customHeight="1"/>
    <row r="942" ht="22.5" hidden="1" customHeight="1"/>
    <row r="943" ht="22.5" hidden="1" customHeight="1"/>
    <row r="944" ht="22.5" hidden="1" customHeight="1"/>
    <row r="945" ht="22.5" hidden="1" customHeight="1"/>
    <row r="946" ht="22.5" hidden="1" customHeight="1"/>
    <row r="947" ht="22.5" hidden="1" customHeight="1"/>
    <row r="948" ht="22.5" hidden="1" customHeight="1"/>
    <row r="949" ht="22.5" hidden="1" customHeight="1"/>
    <row r="950" ht="22.5" hidden="1" customHeight="1"/>
    <row r="951" ht="22.5" hidden="1" customHeight="1"/>
    <row r="952" ht="22.5" hidden="1" customHeight="1"/>
    <row r="953" ht="22.5" hidden="1" customHeight="1"/>
    <row r="954" ht="22.5" hidden="1" customHeight="1"/>
    <row r="955" ht="22.5" hidden="1" customHeight="1"/>
    <row r="956" ht="22.5" hidden="1" customHeight="1"/>
    <row r="957" ht="22.5" hidden="1" customHeight="1"/>
    <row r="958" ht="22.5" hidden="1" customHeight="1"/>
    <row r="959" ht="22.5" hidden="1" customHeight="1"/>
    <row r="960" ht="22.5" hidden="1" customHeight="1"/>
    <row r="961" ht="22.5" hidden="1" customHeight="1"/>
    <row r="962" ht="22.5" hidden="1" customHeight="1"/>
    <row r="963" ht="22.5" hidden="1" customHeight="1"/>
    <row r="964" ht="22.5" hidden="1" customHeight="1"/>
    <row r="965" ht="22.5" hidden="1" customHeight="1"/>
    <row r="966" ht="22.5" hidden="1" customHeight="1"/>
    <row r="967" ht="22.5" hidden="1" customHeight="1"/>
    <row r="968" ht="22.5" hidden="1" customHeight="1"/>
    <row r="969" ht="22.5" hidden="1" customHeight="1"/>
    <row r="970" ht="22.5" hidden="1" customHeight="1"/>
    <row r="971" ht="22.5" hidden="1" customHeight="1"/>
    <row r="972" ht="22.5" hidden="1" customHeight="1"/>
    <row r="973" ht="22.5" hidden="1" customHeight="1"/>
    <row r="974" ht="22.5" hidden="1" customHeight="1"/>
    <row r="975" ht="22.5" hidden="1" customHeight="1"/>
    <row r="976" ht="22.5" hidden="1" customHeight="1"/>
    <row r="977" ht="22.5" hidden="1" customHeight="1"/>
    <row r="978" ht="22.5" hidden="1" customHeight="1"/>
    <row r="979" ht="22.5" hidden="1" customHeight="1"/>
    <row r="980" ht="22.5" hidden="1" customHeight="1"/>
    <row r="981" ht="22.5" hidden="1" customHeight="1"/>
    <row r="982" ht="22.5" hidden="1" customHeight="1"/>
    <row r="983" ht="22.5" hidden="1" customHeight="1"/>
    <row r="984" ht="22.5" hidden="1" customHeight="1"/>
    <row r="985" ht="22.5" hidden="1" customHeight="1"/>
    <row r="986" ht="22.5" hidden="1" customHeight="1"/>
    <row r="987" ht="22.5" hidden="1" customHeight="1"/>
    <row r="988" ht="22.5" hidden="1" customHeight="1"/>
    <row r="989" ht="22.5" hidden="1" customHeight="1"/>
    <row r="990" ht="22.5" hidden="1" customHeight="1"/>
    <row r="991" ht="22.5" hidden="1" customHeight="1"/>
    <row r="992" ht="22.5" hidden="1" customHeight="1"/>
    <row r="993" ht="22.5" hidden="1" customHeight="1"/>
    <row r="994" ht="22.5" hidden="1" customHeight="1"/>
    <row r="995" ht="22.5" hidden="1" customHeight="1"/>
    <row r="996" ht="22.5" hidden="1" customHeight="1"/>
    <row r="997" ht="22.5" hidden="1" customHeight="1"/>
    <row r="998" ht="22.5" hidden="1" customHeight="1"/>
    <row r="999" ht="22.5" hidden="1" customHeight="1"/>
    <row r="1000" ht="22.5" hidden="1" customHeight="1"/>
  </sheetData>
  <printOptions horizontalCentered="1"/>
  <pageMargins bottom="0.75" footer="0.0" header="0.0" left="0.7" right="0.7" top="0.75"/>
  <pageSetup paperSize="5" orientation="portrait"/>
  <rowBreaks count="11" manualBreakCount="11">
    <brk id="517" man="1"/>
    <brk id="470" man="1"/>
    <brk id="423" man="1"/>
    <brk id="376" man="1"/>
    <brk id="329" man="1"/>
    <brk id="282" man="1"/>
    <brk id="235" man="1"/>
    <brk id="188" man="1"/>
    <brk id="141" man="1"/>
    <brk id="94" man="1"/>
    <brk id="47" man="1"/>
  </rowBreaks>
  <drawing r:id="rId1"/>
  <tableParts count="1">
    <tablePart r:id="rId3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8.5"/>
  </cols>
  <sheetData>
    <row r="1">
      <c r="A1" s="369" t="s">
        <v>9858</v>
      </c>
      <c r="B1" s="369"/>
      <c r="C1" s="369"/>
      <c r="D1" s="369"/>
      <c r="E1" s="370" t="s">
        <v>9</v>
      </c>
      <c r="F1" s="370" t="s">
        <v>5246</v>
      </c>
      <c r="G1" s="370"/>
      <c r="H1" s="369"/>
    </row>
    <row r="2" hidden="1">
      <c r="A2" s="151"/>
      <c r="B2" s="151"/>
      <c r="C2" s="151"/>
      <c r="D2" s="151"/>
      <c r="E2" s="151"/>
      <c r="F2" s="151"/>
      <c r="G2" s="151"/>
      <c r="H2" s="151"/>
    </row>
    <row r="3" hidden="1">
      <c r="A3" s="371" t="s">
        <v>9859</v>
      </c>
      <c r="B3" s="371"/>
      <c r="C3" s="371"/>
      <c r="D3" s="371"/>
      <c r="E3" s="371"/>
      <c r="F3" s="371"/>
      <c r="G3" s="371"/>
      <c r="H3" s="371"/>
    </row>
    <row r="4" hidden="1">
      <c r="A4" s="371" t="s">
        <v>9860</v>
      </c>
      <c r="B4" s="371"/>
      <c r="C4" s="371"/>
      <c r="D4" s="371"/>
      <c r="E4" s="371"/>
      <c r="F4" s="371"/>
      <c r="G4" s="371"/>
      <c r="H4" s="371"/>
    </row>
    <row r="5" hidden="1">
      <c r="A5" s="372"/>
      <c r="B5" s="372"/>
      <c r="C5" s="372"/>
      <c r="D5" s="372"/>
      <c r="E5" s="372"/>
      <c r="F5" s="372"/>
      <c r="G5" s="372"/>
      <c r="H5" s="372"/>
    </row>
    <row r="6" hidden="1">
      <c r="A6" s="372"/>
      <c r="B6" s="372"/>
      <c r="C6" s="372"/>
      <c r="D6" s="372"/>
      <c r="E6" s="372"/>
      <c r="F6" s="372"/>
      <c r="G6" s="372"/>
      <c r="H6" s="372"/>
    </row>
    <row r="7" hidden="1">
      <c r="A7" s="373" t="s">
        <v>9366</v>
      </c>
      <c r="B7" s="373"/>
      <c r="C7" s="373"/>
      <c r="D7" s="373"/>
      <c r="E7" s="373"/>
      <c r="F7" s="373"/>
      <c r="G7" s="373"/>
      <c r="H7" s="373"/>
    </row>
    <row r="8" hidden="1">
      <c r="A8" s="374" t="s">
        <v>9800</v>
      </c>
      <c r="B8" s="374"/>
      <c r="C8" s="374"/>
      <c r="D8" s="374"/>
      <c r="E8" s="374"/>
      <c r="F8" s="374"/>
      <c r="G8" s="374"/>
      <c r="H8" s="374"/>
    </row>
    <row r="9" hidden="1">
      <c r="A9" s="111" t="s">
        <v>8748</v>
      </c>
      <c r="B9" s="111"/>
      <c r="C9" s="111" t="s">
        <v>9</v>
      </c>
      <c r="D9" s="111" t="s">
        <v>5246</v>
      </c>
      <c r="E9" s="111"/>
      <c r="F9" s="111"/>
      <c r="G9" s="111"/>
      <c r="H9" s="111" t="s">
        <v>8680</v>
      </c>
    </row>
    <row r="10" hidden="1">
      <c r="A10" s="119"/>
      <c r="B10" s="119"/>
      <c r="C10" s="119"/>
      <c r="D10" s="119"/>
      <c r="E10" s="119"/>
      <c r="F10" s="119"/>
      <c r="G10" s="119"/>
      <c r="H10" s="119"/>
    </row>
    <row r="11">
      <c r="A11" s="375">
        <v>1.0</v>
      </c>
      <c r="B11" s="376">
        <v>1.0</v>
      </c>
      <c r="C11" s="377">
        <v>8.2590495E7</v>
      </c>
      <c r="D11" s="377">
        <v>2.42510008E8</v>
      </c>
      <c r="E11" s="377" t="str">
        <f t="shared" ref="E11:E15" si="1">"00"&amp;C11</f>
        <v>0082590495</v>
      </c>
      <c r="F11" s="378">
        <v>2.42510008E8</v>
      </c>
      <c r="G11" s="378" t="str">
        <f t="shared" ref="G11:G46" si="2">E11&amp;" / "&amp;F11</f>
        <v>0082590495 / 242510008</v>
      </c>
      <c r="H11" s="377" t="s">
        <v>2994</v>
      </c>
    </row>
    <row r="12">
      <c r="A12" s="375">
        <v>2.0</v>
      </c>
      <c r="B12" s="376">
        <v>2.0</v>
      </c>
      <c r="C12" s="377">
        <v>9.7313548E7</v>
      </c>
      <c r="D12" s="377">
        <v>2.42510011E8</v>
      </c>
      <c r="E12" s="377" t="str">
        <f t="shared" si="1"/>
        <v>0097313548</v>
      </c>
      <c r="F12" s="378">
        <v>2.42510011E8</v>
      </c>
      <c r="G12" s="378" t="str">
        <f t="shared" si="2"/>
        <v>0097313548 / 242510011</v>
      </c>
      <c r="H12" s="377" t="s">
        <v>3001</v>
      </c>
    </row>
    <row r="13">
      <c r="A13" s="375">
        <v>3.0</v>
      </c>
      <c r="B13" s="376">
        <v>3.0</v>
      </c>
      <c r="C13" s="377">
        <v>9.4510551E7</v>
      </c>
      <c r="D13" s="377">
        <v>2.42510025E8</v>
      </c>
      <c r="E13" s="377" t="str">
        <f t="shared" si="1"/>
        <v>0094510551</v>
      </c>
      <c r="F13" s="378">
        <v>2.42510025E8</v>
      </c>
      <c r="G13" s="378" t="str">
        <f t="shared" si="2"/>
        <v>0094510551 / 242510025</v>
      </c>
      <c r="H13" s="377" t="s">
        <v>3006</v>
      </c>
    </row>
    <row r="14">
      <c r="A14" s="375">
        <v>4.0</v>
      </c>
      <c r="B14" s="376">
        <v>4.0</v>
      </c>
      <c r="C14" s="377">
        <v>8.7298416E7</v>
      </c>
      <c r="D14" s="377">
        <v>2.42510031E8</v>
      </c>
      <c r="E14" s="377" t="str">
        <f t="shared" si="1"/>
        <v>0087298416</v>
      </c>
      <c r="F14" s="378">
        <v>2.42510031E8</v>
      </c>
      <c r="G14" s="378" t="str">
        <f t="shared" si="2"/>
        <v>0087298416 / 242510031</v>
      </c>
      <c r="H14" s="377" t="s">
        <v>3011</v>
      </c>
    </row>
    <row r="15">
      <c r="A15" s="375">
        <v>5.0</v>
      </c>
      <c r="B15" s="376">
        <v>5.0</v>
      </c>
      <c r="C15" s="377">
        <v>9.5546511E7</v>
      </c>
      <c r="D15" s="377">
        <v>2.42510069E8</v>
      </c>
      <c r="E15" s="377" t="str">
        <f t="shared" si="1"/>
        <v>0095546511</v>
      </c>
      <c r="F15" s="378">
        <v>2.42510069E8</v>
      </c>
      <c r="G15" s="378" t="str">
        <f t="shared" si="2"/>
        <v>0095546511 / 242510069</v>
      </c>
      <c r="H15" s="377" t="s">
        <v>3016</v>
      </c>
    </row>
    <row r="16">
      <c r="A16" s="375">
        <v>6.0</v>
      </c>
      <c r="B16" s="376">
        <v>6.0</v>
      </c>
      <c r="C16" s="377">
        <v>3.086190678E9</v>
      </c>
      <c r="D16" s="377">
        <v>2.42510079E8</v>
      </c>
      <c r="E16" s="379">
        <v>3.086190678E9</v>
      </c>
      <c r="F16" s="378">
        <v>2.42510079E8</v>
      </c>
      <c r="G16" s="378" t="str">
        <f t="shared" si="2"/>
        <v>3086190678 / 242510079</v>
      </c>
      <c r="H16" s="377" t="s">
        <v>3021</v>
      </c>
    </row>
    <row r="17">
      <c r="A17" s="375">
        <v>7.0</v>
      </c>
      <c r="B17" s="376">
        <v>7.0</v>
      </c>
      <c r="C17" s="377">
        <v>1.0716337E8</v>
      </c>
      <c r="D17" s="377">
        <v>2.42510095E8</v>
      </c>
      <c r="E17" s="377" t="str">
        <f>"0"&amp;C17</f>
        <v>0107163370</v>
      </c>
      <c r="F17" s="378">
        <v>2.42510095E8</v>
      </c>
      <c r="G17" s="378" t="str">
        <f t="shared" si="2"/>
        <v>0107163370 / 242510095</v>
      </c>
      <c r="H17" s="377" t="s">
        <v>3027</v>
      </c>
    </row>
    <row r="18">
      <c r="A18" s="375">
        <v>8.0</v>
      </c>
      <c r="B18" s="376">
        <v>8.0</v>
      </c>
      <c r="C18" s="377">
        <v>3.092678408E9</v>
      </c>
      <c r="D18" s="377">
        <v>2.42510108E8</v>
      </c>
      <c r="E18" s="379">
        <v>3.092678408E9</v>
      </c>
      <c r="F18" s="378">
        <v>2.42510108E8</v>
      </c>
      <c r="G18" s="378" t="str">
        <f t="shared" si="2"/>
        <v>3092678408 / 242510108</v>
      </c>
      <c r="H18" s="377" t="s">
        <v>3032</v>
      </c>
    </row>
    <row r="19">
      <c r="A19" s="375">
        <v>9.0</v>
      </c>
      <c r="B19" s="376">
        <v>9.0</v>
      </c>
      <c r="C19" s="377">
        <v>9.550411E7</v>
      </c>
      <c r="D19" s="377">
        <v>2.42510111E8</v>
      </c>
      <c r="E19" s="377" t="str">
        <f>"00"&amp;C19</f>
        <v>0095504110</v>
      </c>
      <c r="F19" s="378">
        <v>2.42510111E8</v>
      </c>
      <c r="G19" s="378" t="str">
        <f t="shared" si="2"/>
        <v>0095504110 / 242510111</v>
      </c>
      <c r="H19" s="377" t="s">
        <v>3037</v>
      </c>
    </row>
    <row r="20">
      <c r="A20" s="375">
        <v>10.0</v>
      </c>
      <c r="B20" s="376">
        <v>10.0</v>
      </c>
      <c r="C20" s="377">
        <v>3.081717964E9</v>
      </c>
      <c r="D20" s="377">
        <v>2.42510114E8</v>
      </c>
      <c r="E20" s="379">
        <v>3.081717964E9</v>
      </c>
      <c r="F20" s="378">
        <v>2.42510114E8</v>
      </c>
      <c r="G20" s="378" t="str">
        <f t="shared" si="2"/>
        <v>3081717964 / 242510114</v>
      </c>
      <c r="H20" s="377" t="s">
        <v>3042</v>
      </c>
    </row>
    <row r="21">
      <c r="A21" s="375">
        <v>11.0</v>
      </c>
      <c r="B21" s="376">
        <v>11.0</v>
      </c>
      <c r="C21" s="377">
        <v>8.3076557E7</v>
      </c>
      <c r="D21" s="377">
        <v>2.42510116E8</v>
      </c>
      <c r="E21" s="377" t="str">
        <f t="shared" ref="E21:E22" si="3">"00"&amp;C21</f>
        <v>0083076557</v>
      </c>
      <c r="F21" s="378">
        <v>2.42510116E8</v>
      </c>
      <c r="G21" s="378" t="str">
        <f t="shared" si="2"/>
        <v>0083076557 / 242510116</v>
      </c>
      <c r="H21" s="377" t="s">
        <v>3047</v>
      </c>
    </row>
    <row r="22">
      <c r="A22" s="375">
        <v>12.0</v>
      </c>
      <c r="B22" s="376">
        <v>12.0</v>
      </c>
      <c r="C22" s="377">
        <v>9.3137843E7</v>
      </c>
      <c r="D22" s="377">
        <v>2.42510126E8</v>
      </c>
      <c r="E22" s="377" t="str">
        <f t="shared" si="3"/>
        <v>0093137843</v>
      </c>
      <c r="F22" s="378">
        <v>2.42510126E8</v>
      </c>
      <c r="G22" s="378" t="str">
        <f t="shared" si="2"/>
        <v>0093137843 / 242510126</v>
      </c>
      <c r="H22" s="377" t="s">
        <v>3052</v>
      </c>
    </row>
    <row r="23">
      <c r="A23" s="375">
        <v>13.0</v>
      </c>
      <c r="B23" s="376">
        <v>13.0</v>
      </c>
      <c r="C23" s="377">
        <v>3.09082869E9</v>
      </c>
      <c r="D23" s="377">
        <v>2.42510159E8</v>
      </c>
      <c r="E23" s="379">
        <v>3.09082869E9</v>
      </c>
      <c r="F23" s="378">
        <v>2.42510159E8</v>
      </c>
      <c r="G23" s="378" t="str">
        <f t="shared" si="2"/>
        <v>3090828690 / 242510159</v>
      </c>
      <c r="H23" s="377" t="s">
        <v>3057</v>
      </c>
    </row>
    <row r="24">
      <c r="A24" s="375">
        <v>14.0</v>
      </c>
      <c r="B24" s="376">
        <v>14.0</v>
      </c>
      <c r="C24" s="377">
        <v>8.8101729E7</v>
      </c>
      <c r="D24" s="377">
        <v>2.42510173E8</v>
      </c>
      <c r="E24" s="377" t="str">
        <f t="shared" ref="E24:E31" si="4">"00"&amp;C24</f>
        <v>0088101729</v>
      </c>
      <c r="F24" s="378">
        <v>2.42510173E8</v>
      </c>
      <c r="G24" s="378" t="str">
        <f t="shared" si="2"/>
        <v>0088101729 / 242510173</v>
      </c>
      <c r="H24" s="377" t="s">
        <v>3063</v>
      </c>
    </row>
    <row r="25">
      <c r="A25" s="375">
        <v>15.0</v>
      </c>
      <c r="B25" s="376">
        <v>15.0</v>
      </c>
      <c r="C25" s="377">
        <v>9.9940887E7</v>
      </c>
      <c r="D25" s="377">
        <v>2.42510183E8</v>
      </c>
      <c r="E25" s="377" t="str">
        <f t="shared" si="4"/>
        <v>0099940887</v>
      </c>
      <c r="F25" s="378">
        <v>2.42510183E8</v>
      </c>
      <c r="G25" s="378" t="str">
        <f t="shared" si="2"/>
        <v>0099940887 / 242510183</v>
      </c>
      <c r="H25" s="377" t="s">
        <v>3068</v>
      </c>
    </row>
    <row r="26">
      <c r="A26" s="375">
        <v>16.0</v>
      </c>
      <c r="B26" s="376">
        <v>16.0</v>
      </c>
      <c r="C26" s="377">
        <v>9.6213576E7</v>
      </c>
      <c r="D26" s="377">
        <v>2.42510188E8</v>
      </c>
      <c r="E26" s="377" t="str">
        <f t="shared" si="4"/>
        <v>0096213576</v>
      </c>
      <c r="F26" s="378">
        <v>2.42510188E8</v>
      </c>
      <c r="G26" s="378" t="str">
        <f t="shared" si="2"/>
        <v>0096213576 / 242510188</v>
      </c>
      <c r="H26" s="377" t="s">
        <v>3073</v>
      </c>
    </row>
    <row r="27">
      <c r="A27" s="375">
        <v>17.0</v>
      </c>
      <c r="B27" s="376">
        <v>17.0</v>
      </c>
      <c r="C27" s="377">
        <v>9.1012038E7</v>
      </c>
      <c r="D27" s="377">
        <v>2.42510189E8</v>
      </c>
      <c r="E27" s="377" t="str">
        <f t="shared" si="4"/>
        <v>0091012038</v>
      </c>
      <c r="F27" s="378">
        <v>2.42510189E8</v>
      </c>
      <c r="G27" s="378" t="str">
        <f t="shared" si="2"/>
        <v>0091012038 / 242510189</v>
      </c>
      <c r="H27" s="377" t="s">
        <v>3078</v>
      </c>
    </row>
    <row r="28">
      <c r="A28" s="375">
        <v>18.0</v>
      </c>
      <c r="B28" s="376">
        <v>18.0</v>
      </c>
      <c r="C28" s="377">
        <v>9.7202517E7</v>
      </c>
      <c r="D28" s="377">
        <v>2.42510201E8</v>
      </c>
      <c r="E28" s="377" t="str">
        <f t="shared" si="4"/>
        <v>0097202517</v>
      </c>
      <c r="F28" s="378">
        <v>2.42510201E8</v>
      </c>
      <c r="G28" s="378" t="str">
        <f t="shared" si="2"/>
        <v>0097202517 / 242510201</v>
      </c>
      <c r="H28" s="380" t="s">
        <v>3083</v>
      </c>
    </row>
    <row r="29">
      <c r="A29" s="375">
        <v>19.0</v>
      </c>
      <c r="B29" s="376">
        <v>19.0</v>
      </c>
      <c r="C29" s="377">
        <v>9.8256549E7</v>
      </c>
      <c r="D29" s="377">
        <v>2.42510206E8</v>
      </c>
      <c r="E29" s="377" t="str">
        <f t="shared" si="4"/>
        <v>0098256549</v>
      </c>
      <c r="F29" s="378">
        <v>2.42510206E8</v>
      </c>
      <c r="G29" s="378" t="str">
        <f t="shared" si="2"/>
        <v>0098256549 / 242510206</v>
      </c>
      <c r="H29" s="377" t="s">
        <v>3088</v>
      </c>
    </row>
    <row r="30">
      <c r="A30" s="375">
        <v>20.0</v>
      </c>
      <c r="B30" s="376">
        <v>20.0</v>
      </c>
      <c r="C30" s="377">
        <v>9.3623036E7</v>
      </c>
      <c r="D30" s="377">
        <v>2.42510208E8</v>
      </c>
      <c r="E30" s="377" t="str">
        <f t="shared" si="4"/>
        <v>0093623036</v>
      </c>
      <c r="F30" s="378">
        <v>2.42510208E8</v>
      </c>
      <c r="G30" s="378" t="str">
        <f t="shared" si="2"/>
        <v>0093623036 / 242510208</v>
      </c>
      <c r="H30" s="377" t="s">
        <v>3094</v>
      </c>
    </row>
    <row r="31">
      <c r="A31" s="375">
        <v>21.0</v>
      </c>
      <c r="B31" s="376">
        <v>21.0</v>
      </c>
      <c r="C31" s="377">
        <v>8.3667654E7</v>
      </c>
      <c r="D31" s="377">
        <v>2.42510209E8</v>
      </c>
      <c r="E31" s="377" t="str">
        <f t="shared" si="4"/>
        <v>0083667654</v>
      </c>
      <c r="F31" s="378">
        <v>2.42510209E8</v>
      </c>
      <c r="G31" s="378" t="str">
        <f t="shared" si="2"/>
        <v>0083667654 / 242510209</v>
      </c>
      <c r="H31" s="377" t="s">
        <v>3099</v>
      </c>
    </row>
    <row r="32">
      <c r="A32" s="375">
        <v>22.0</v>
      </c>
      <c r="B32" s="376">
        <v>22.0</v>
      </c>
      <c r="C32" s="377">
        <v>3.083447726E9</v>
      </c>
      <c r="D32" s="377">
        <v>2.42510257E8</v>
      </c>
      <c r="E32" s="379">
        <v>3.083447726E9</v>
      </c>
      <c r="F32" s="378">
        <v>2.42510257E8</v>
      </c>
      <c r="G32" s="378" t="str">
        <f t="shared" si="2"/>
        <v>3083447726 / 242510257</v>
      </c>
      <c r="H32" s="377" t="s">
        <v>3104</v>
      </c>
    </row>
    <row r="33">
      <c r="A33" s="375">
        <v>23.0</v>
      </c>
      <c r="B33" s="376">
        <v>23.0</v>
      </c>
      <c r="C33" s="377">
        <v>9.8849381E7</v>
      </c>
      <c r="D33" s="377">
        <v>2.42510281E8</v>
      </c>
      <c r="E33" s="377" t="str">
        <f t="shared" ref="E33:E37" si="5">"00"&amp;C33</f>
        <v>0098849381</v>
      </c>
      <c r="F33" s="378">
        <v>2.42510281E8</v>
      </c>
      <c r="G33" s="378" t="str">
        <f t="shared" si="2"/>
        <v>0098849381 / 242510281</v>
      </c>
      <c r="H33" s="377" t="s">
        <v>3109</v>
      </c>
    </row>
    <row r="34">
      <c r="A34" s="375">
        <v>24.0</v>
      </c>
      <c r="B34" s="376">
        <v>24.0</v>
      </c>
      <c r="C34" s="377">
        <v>9.7736512E7</v>
      </c>
      <c r="D34" s="377">
        <v>2.42510291E8</v>
      </c>
      <c r="E34" s="377" t="str">
        <f t="shared" si="5"/>
        <v>0097736512</v>
      </c>
      <c r="F34" s="378">
        <v>2.42510291E8</v>
      </c>
      <c r="G34" s="378" t="str">
        <f t="shared" si="2"/>
        <v>0097736512 / 242510291</v>
      </c>
      <c r="H34" s="377" t="s">
        <v>3114</v>
      </c>
    </row>
    <row r="35">
      <c r="A35" s="375">
        <v>25.0</v>
      </c>
      <c r="B35" s="376">
        <v>25.0</v>
      </c>
      <c r="C35" s="377">
        <v>8.3833819E7</v>
      </c>
      <c r="D35" s="377">
        <v>2.42510323E8</v>
      </c>
      <c r="E35" s="377" t="str">
        <f t="shared" si="5"/>
        <v>0083833819</v>
      </c>
      <c r="F35" s="378">
        <v>2.42510323E8</v>
      </c>
      <c r="G35" s="378" t="str">
        <f t="shared" si="2"/>
        <v>0083833819 / 242510323</v>
      </c>
      <c r="H35" s="377" t="s">
        <v>3119</v>
      </c>
    </row>
    <row r="36">
      <c r="A36" s="375">
        <v>26.0</v>
      </c>
      <c r="B36" s="376">
        <v>26.0</v>
      </c>
      <c r="C36" s="377">
        <v>9.4989387E7</v>
      </c>
      <c r="D36" s="377">
        <v>2.42510325E8</v>
      </c>
      <c r="E36" s="377" t="str">
        <f t="shared" si="5"/>
        <v>0094989387</v>
      </c>
      <c r="F36" s="378">
        <v>2.42510325E8</v>
      </c>
      <c r="G36" s="378" t="str">
        <f t="shared" si="2"/>
        <v>0094989387 / 242510325</v>
      </c>
      <c r="H36" s="377" t="s">
        <v>3125</v>
      </c>
    </row>
    <row r="37">
      <c r="A37" s="375">
        <v>27.0</v>
      </c>
      <c r="B37" s="376">
        <v>27.0</v>
      </c>
      <c r="C37" s="377">
        <v>9.1033788E7</v>
      </c>
      <c r="D37" s="377">
        <v>2.42510336E8</v>
      </c>
      <c r="E37" s="377" t="str">
        <f t="shared" si="5"/>
        <v>0091033788</v>
      </c>
      <c r="F37" s="378">
        <v>2.42510336E8</v>
      </c>
      <c r="G37" s="378" t="str">
        <f t="shared" si="2"/>
        <v>0091033788 / 242510336</v>
      </c>
      <c r="H37" s="377" t="s">
        <v>3130</v>
      </c>
    </row>
    <row r="38">
      <c r="A38" s="375">
        <v>28.0</v>
      </c>
      <c r="B38" s="376">
        <v>28.0</v>
      </c>
      <c r="C38" s="377">
        <v>3.098805753E9</v>
      </c>
      <c r="D38" s="377">
        <v>2.42510342E8</v>
      </c>
      <c r="E38" s="379">
        <v>3.098805753E9</v>
      </c>
      <c r="F38" s="378">
        <v>2.42510342E8</v>
      </c>
      <c r="G38" s="378" t="str">
        <f t="shared" si="2"/>
        <v>3098805753 / 242510342</v>
      </c>
      <c r="H38" s="377" t="s">
        <v>3135</v>
      </c>
    </row>
    <row r="39">
      <c r="A39" s="375">
        <v>29.0</v>
      </c>
      <c r="B39" s="376">
        <v>29.0</v>
      </c>
      <c r="C39" s="377">
        <v>9.282758E7</v>
      </c>
      <c r="D39" s="377">
        <v>2.42510388E8</v>
      </c>
      <c r="E39" s="377" t="str">
        <f t="shared" ref="E39:E46" si="6">"00"&amp;C39</f>
        <v>0092827580</v>
      </c>
      <c r="F39" s="378">
        <v>2.42510388E8</v>
      </c>
      <c r="G39" s="378" t="str">
        <f t="shared" si="2"/>
        <v>0092827580 / 242510388</v>
      </c>
      <c r="H39" s="377" t="s">
        <v>3140</v>
      </c>
    </row>
    <row r="40">
      <c r="A40" s="375">
        <v>30.0</v>
      </c>
      <c r="B40" s="376">
        <v>30.0</v>
      </c>
      <c r="C40" s="377">
        <v>8.4290235E7</v>
      </c>
      <c r="D40" s="377">
        <v>2.42510406E8</v>
      </c>
      <c r="E40" s="377" t="str">
        <f t="shared" si="6"/>
        <v>0084290235</v>
      </c>
      <c r="F40" s="378">
        <v>2.42510406E8</v>
      </c>
      <c r="G40" s="378" t="str">
        <f t="shared" si="2"/>
        <v>0084290235 / 242510406</v>
      </c>
      <c r="H40" s="377" t="s">
        <v>3145</v>
      </c>
    </row>
    <row r="41">
      <c r="A41" s="375">
        <v>31.0</v>
      </c>
      <c r="B41" s="376">
        <v>31.0</v>
      </c>
      <c r="C41" s="377">
        <v>8.4290235E7</v>
      </c>
      <c r="D41" s="377">
        <v>2.42510406E8</v>
      </c>
      <c r="E41" s="377" t="str">
        <f t="shared" si="6"/>
        <v>0084290235</v>
      </c>
      <c r="F41" s="378">
        <v>2.42510406E8</v>
      </c>
      <c r="G41" s="378" t="str">
        <f t="shared" si="2"/>
        <v>0084290235 / 242510406</v>
      </c>
      <c r="H41" s="377" t="s">
        <v>3150</v>
      </c>
    </row>
    <row r="42">
      <c r="A42" s="375">
        <v>32.0</v>
      </c>
      <c r="B42" s="376">
        <v>32.0</v>
      </c>
      <c r="C42" s="377">
        <v>9.3286737E7</v>
      </c>
      <c r="D42" s="377">
        <v>2.42510414E8</v>
      </c>
      <c r="E42" s="377" t="str">
        <f t="shared" si="6"/>
        <v>0093286737</v>
      </c>
      <c r="F42" s="378">
        <v>2.42510414E8</v>
      </c>
      <c r="G42" s="378" t="str">
        <f t="shared" si="2"/>
        <v>0093286737 / 242510414</v>
      </c>
      <c r="H42" s="377" t="s">
        <v>3156</v>
      </c>
    </row>
    <row r="43">
      <c r="A43" s="375">
        <v>33.0</v>
      </c>
      <c r="B43" s="376">
        <v>33.0</v>
      </c>
      <c r="C43" s="377">
        <v>9.1061057E7</v>
      </c>
      <c r="D43" s="377">
        <v>2.42510416E8</v>
      </c>
      <c r="E43" s="377" t="str">
        <f t="shared" si="6"/>
        <v>0091061057</v>
      </c>
      <c r="F43" s="378">
        <v>2.42510416E8</v>
      </c>
      <c r="G43" s="378" t="str">
        <f t="shared" si="2"/>
        <v>0091061057 / 242510416</v>
      </c>
      <c r="H43" s="377" t="s">
        <v>3161</v>
      </c>
    </row>
    <row r="44">
      <c r="A44" s="375">
        <v>34.0</v>
      </c>
      <c r="B44" s="376">
        <v>34.0</v>
      </c>
      <c r="C44" s="377">
        <v>9.5163025E7</v>
      </c>
      <c r="D44" s="377">
        <v>2.42510426E8</v>
      </c>
      <c r="E44" s="377" t="str">
        <f t="shared" si="6"/>
        <v>0095163025</v>
      </c>
      <c r="F44" s="378">
        <v>2.42510426E8</v>
      </c>
      <c r="G44" s="378" t="str">
        <f t="shared" si="2"/>
        <v>0095163025 / 242510426</v>
      </c>
      <c r="H44" s="377" t="s">
        <v>3166</v>
      </c>
    </row>
    <row r="45">
      <c r="A45" s="375">
        <v>35.0</v>
      </c>
      <c r="B45" s="376">
        <v>35.0</v>
      </c>
      <c r="C45" s="377">
        <v>8.274747E7</v>
      </c>
      <c r="D45" s="377">
        <v>2.4251043E8</v>
      </c>
      <c r="E45" s="377" t="str">
        <f t="shared" si="6"/>
        <v>0082747470</v>
      </c>
      <c r="F45" s="378">
        <v>2.4251043E8</v>
      </c>
      <c r="G45" s="378" t="str">
        <f t="shared" si="2"/>
        <v>0082747470 / 242510430</v>
      </c>
      <c r="H45" s="377" t="s">
        <v>3172</v>
      </c>
    </row>
    <row r="46">
      <c r="A46" s="375">
        <v>36.0</v>
      </c>
      <c r="B46" s="376">
        <v>36.0</v>
      </c>
      <c r="C46" s="377">
        <v>8.5011294E7</v>
      </c>
      <c r="D46" s="377">
        <v>2.42510432E8</v>
      </c>
      <c r="E46" s="377" t="str">
        <f t="shared" si="6"/>
        <v>0085011294</v>
      </c>
      <c r="F46" s="378">
        <v>2.42510432E8</v>
      </c>
      <c r="G46" s="378" t="str">
        <f t="shared" si="2"/>
        <v>0085011294 / 242510432</v>
      </c>
      <c r="H46" s="377" t="s">
        <v>3177</v>
      </c>
    </row>
    <row r="47" hidden="1">
      <c r="A47" s="151"/>
      <c r="B47" s="151"/>
      <c r="C47" s="151"/>
      <c r="D47" s="151"/>
      <c r="E47" s="151"/>
      <c r="F47" s="151"/>
      <c r="G47" s="151"/>
      <c r="H47" s="151"/>
    </row>
    <row r="48" hidden="1">
      <c r="A48" s="373" t="s">
        <v>9369</v>
      </c>
      <c r="B48" s="373"/>
      <c r="C48" s="373"/>
      <c r="D48" s="373"/>
      <c r="E48" s="373"/>
      <c r="F48" s="373"/>
      <c r="G48" s="373"/>
      <c r="H48" s="373"/>
    </row>
    <row r="49" hidden="1">
      <c r="A49" s="374" t="s">
        <v>9839</v>
      </c>
      <c r="B49" s="374"/>
      <c r="C49" s="374"/>
      <c r="D49" s="374"/>
      <c r="E49" s="374"/>
      <c r="F49" s="374"/>
      <c r="G49" s="374"/>
      <c r="H49" s="374"/>
    </row>
    <row r="50" hidden="1">
      <c r="A50" s="111" t="s">
        <v>8748</v>
      </c>
      <c r="B50" s="111"/>
      <c r="C50" s="111" t="s">
        <v>9</v>
      </c>
      <c r="D50" s="111" t="s">
        <v>5246</v>
      </c>
      <c r="E50" s="111"/>
      <c r="F50" s="111"/>
      <c r="G50" s="111"/>
      <c r="H50" s="111" t="s">
        <v>8680</v>
      </c>
    </row>
    <row r="51" hidden="1">
      <c r="A51" s="119"/>
      <c r="B51" s="119"/>
      <c r="C51" s="119"/>
      <c r="D51" s="119"/>
      <c r="E51" s="119"/>
      <c r="F51" s="119"/>
      <c r="G51" s="119"/>
      <c r="H51" s="119"/>
    </row>
    <row r="52">
      <c r="A52" s="375">
        <v>1.0</v>
      </c>
      <c r="B52" s="376">
        <v>37.0</v>
      </c>
      <c r="C52" s="377">
        <v>9.2385645E7</v>
      </c>
      <c r="D52" s="377">
        <v>2.42510005E8</v>
      </c>
      <c r="E52" s="377" t="str">
        <f t="shared" ref="E52:E70" si="7">"00"&amp;C52</f>
        <v>0092385645</v>
      </c>
      <c r="F52" s="378">
        <v>2.42510005E8</v>
      </c>
      <c r="G52" s="378" t="str">
        <f t="shared" ref="G52:G87" si="8">E52&amp;" / "&amp;F52</f>
        <v>0092385645 / 242510005</v>
      </c>
      <c r="H52" s="377" t="s">
        <v>3182</v>
      </c>
    </row>
    <row r="53">
      <c r="A53" s="375">
        <v>2.0</v>
      </c>
      <c r="B53" s="376">
        <v>38.0</v>
      </c>
      <c r="C53" s="377">
        <v>8.3638898E7</v>
      </c>
      <c r="D53" s="377">
        <v>2.42510007E8</v>
      </c>
      <c r="E53" s="377" t="str">
        <f t="shared" si="7"/>
        <v>0083638898</v>
      </c>
      <c r="F53" s="378">
        <v>2.42510007E8</v>
      </c>
      <c r="G53" s="378" t="str">
        <f t="shared" si="8"/>
        <v>0083638898 / 242510007</v>
      </c>
      <c r="H53" s="377" t="s">
        <v>3188</v>
      </c>
    </row>
    <row r="54">
      <c r="A54" s="375">
        <v>3.0</v>
      </c>
      <c r="B54" s="376">
        <v>39.0</v>
      </c>
      <c r="C54" s="377">
        <v>8.3581318E7</v>
      </c>
      <c r="D54" s="377">
        <v>2.42510018E8</v>
      </c>
      <c r="E54" s="377" t="str">
        <f t="shared" si="7"/>
        <v>0083581318</v>
      </c>
      <c r="F54" s="378">
        <v>2.42510018E8</v>
      </c>
      <c r="G54" s="378" t="str">
        <f t="shared" si="8"/>
        <v>0083581318 / 242510018</v>
      </c>
      <c r="H54" s="377" t="s">
        <v>3193</v>
      </c>
    </row>
    <row r="55">
      <c r="A55" s="375">
        <v>4.0</v>
      </c>
      <c r="B55" s="376">
        <v>40.0</v>
      </c>
      <c r="C55" s="377">
        <v>8.6733881E7</v>
      </c>
      <c r="D55" s="377">
        <v>2.42510028E8</v>
      </c>
      <c r="E55" s="377" t="str">
        <f t="shared" si="7"/>
        <v>0086733881</v>
      </c>
      <c r="F55" s="378">
        <v>2.42510028E8</v>
      </c>
      <c r="G55" s="378" t="str">
        <f t="shared" si="8"/>
        <v>0086733881 / 242510028</v>
      </c>
      <c r="H55" s="377" t="s">
        <v>3199</v>
      </c>
    </row>
    <row r="56">
      <c r="A56" s="375">
        <v>5.0</v>
      </c>
      <c r="B56" s="376">
        <v>41.0</v>
      </c>
      <c r="C56" s="377">
        <v>9.8621054E7</v>
      </c>
      <c r="D56" s="377">
        <v>2.42510037E8</v>
      </c>
      <c r="E56" s="377" t="str">
        <f t="shared" si="7"/>
        <v>0098621054</v>
      </c>
      <c r="F56" s="378">
        <v>2.42510037E8</v>
      </c>
      <c r="G56" s="378" t="str">
        <f t="shared" si="8"/>
        <v>0098621054 / 242510037</v>
      </c>
      <c r="H56" s="377" t="s">
        <v>3204</v>
      </c>
    </row>
    <row r="57">
      <c r="A57" s="375">
        <v>6.0</v>
      </c>
      <c r="B57" s="376">
        <v>42.0</v>
      </c>
      <c r="C57" s="377">
        <v>9.2707821E7</v>
      </c>
      <c r="D57" s="377">
        <v>2.42510046E8</v>
      </c>
      <c r="E57" s="377" t="str">
        <f t="shared" si="7"/>
        <v>0092707821</v>
      </c>
      <c r="F57" s="378">
        <v>2.42510046E8</v>
      </c>
      <c r="G57" s="378" t="str">
        <f t="shared" si="8"/>
        <v>0092707821 / 242510046</v>
      </c>
      <c r="H57" s="377" t="s">
        <v>3209</v>
      </c>
    </row>
    <row r="58">
      <c r="A58" s="375">
        <v>7.0</v>
      </c>
      <c r="B58" s="376">
        <v>43.0</v>
      </c>
      <c r="C58" s="377">
        <v>8.3016159E7</v>
      </c>
      <c r="D58" s="377">
        <v>2.42510052E8</v>
      </c>
      <c r="E58" s="377" t="str">
        <f t="shared" si="7"/>
        <v>0083016159</v>
      </c>
      <c r="F58" s="378">
        <v>2.42510052E8</v>
      </c>
      <c r="G58" s="378" t="str">
        <f t="shared" si="8"/>
        <v>0083016159 / 242510052</v>
      </c>
      <c r="H58" s="377" t="s">
        <v>3213</v>
      </c>
    </row>
    <row r="59">
      <c r="A59" s="375">
        <v>8.0</v>
      </c>
      <c r="B59" s="376">
        <v>44.0</v>
      </c>
      <c r="C59" s="377">
        <v>8.3641645E7</v>
      </c>
      <c r="D59" s="377">
        <v>2.42510064E8</v>
      </c>
      <c r="E59" s="377" t="str">
        <f t="shared" si="7"/>
        <v>0083641645</v>
      </c>
      <c r="F59" s="378">
        <v>2.42510064E8</v>
      </c>
      <c r="G59" s="378" t="str">
        <f t="shared" si="8"/>
        <v>0083641645 / 242510064</v>
      </c>
      <c r="H59" s="377" t="s">
        <v>3218</v>
      </c>
    </row>
    <row r="60">
      <c r="A60" s="375">
        <v>9.0</v>
      </c>
      <c r="B60" s="376">
        <v>45.0</v>
      </c>
      <c r="C60" s="377">
        <v>9.3262366E7</v>
      </c>
      <c r="D60" s="377">
        <v>2.42510104E8</v>
      </c>
      <c r="E60" s="377" t="str">
        <f t="shared" si="7"/>
        <v>0093262366</v>
      </c>
      <c r="F60" s="378">
        <v>2.42510104E8</v>
      </c>
      <c r="G60" s="378" t="str">
        <f t="shared" si="8"/>
        <v>0093262366 / 242510104</v>
      </c>
      <c r="H60" s="377" t="s">
        <v>3223</v>
      </c>
    </row>
    <row r="61">
      <c r="A61" s="375">
        <v>10.0</v>
      </c>
      <c r="B61" s="376">
        <v>46.0</v>
      </c>
      <c r="C61" s="377">
        <v>9.6851574E7</v>
      </c>
      <c r="D61" s="377">
        <v>2.42510117E8</v>
      </c>
      <c r="E61" s="377" t="str">
        <f t="shared" si="7"/>
        <v>0096851574</v>
      </c>
      <c r="F61" s="378">
        <v>2.42510117E8</v>
      </c>
      <c r="G61" s="378" t="str">
        <f t="shared" si="8"/>
        <v>0096851574 / 242510117</v>
      </c>
      <c r="H61" s="377" t="s">
        <v>3229</v>
      </c>
    </row>
    <row r="62">
      <c r="A62" s="375">
        <v>11.0</v>
      </c>
      <c r="B62" s="376">
        <v>47.0</v>
      </c>
      <c r="C62" s="377">
        <v>9.2622229E7</v>
      </c>
      <c r="D62" s="377">
        <v>2.42510129E8</v>
      </c>
      <c r="E62" s="377" t="str">
        <f t="shared" si="7"/>
        <v>0092622229</v>
      </c>
      <c r="F62" s="378">
        <v>2.42510129E8</v>
      </c>
      <c r="G62" s="378" t="str">
        <f t="shared" si="8"/>
        <v>0092622229 / 242510129</v>
      </c>
      <c r="H62" s="377" t="s">
        <v>3234</v>
      </c>
    </row>
    <row r="63">
      <c r="A63" s="375">
        <v>12.0</v>
      </c>
      <c r="B63" s="376">
        <v>48.0</v>
      </c>
      <c r="C63" s="377">
        <v>8.1916428E7</v>
      </c>
      <c r="D63" s="377">
        <v>2.42510141E8</v>
      </c>
      <c r="E63" s="377" t="str">
        <f t="shared" si="7"/>
        <v>0081916428</v>
      </c>
      <c r="F63" s="378">
        <v>2.42510141E8</v>
      </c>
      <c r="G63" s="378" t="str">
        <f t="shared" si="8"/>
        <v>0081916428 / 242510141</v>
      </c>
      <c r="H63" s="377" t="s">
        <v>3239</v>
      </c>
    </row>
    <row r="64">
      <c r="A64" s="375">
        <v>13.0</v>
      </c>
      <c r="B64" s="376">
        <v>49.0</v>
      </c>
      <c r="C64" s="377">
        <v>9.5691756E7</v>
      </c>
      <c r="D64" s="377">
        <v>2.42510144E8</v>
      </c>
      <c r="E64" s="377" t="str">
        <f t="shared" si="7"/>
        <v>0095691756</v>
      </c>
      <c r="F64" s="378">
        <v>2.42510144E8</v>
      </c>
      <c r="G64" s="378" t="str">
        <f t="shared" si="8"/>
        <v>0095691756 / 242510144</v>
      </c>
      <c r="H64" s="381" t="s">
        <v>3244</v>
      </c>
    </row>
    <row r="65">
      <c r="A65" s="375">
        <v>14.0</v>
      </c>
      <c r="B65" s="376">
        <v>50.0</v>
      </c>
      <c r="C65" s="377">
        <v>8.2539116E7</v>
      </c>
      <c r="D65" s="377">
        <v>2.42510153E8</v>
      </c>
      <c r="E65" s="377" t="str">
        <f t="shared" si="7"/>
        <v>0082539116</v>
      </c>
      <c r="F65" s="378">
        <v>2.42510153E8</v>
      </c>
      <c r="G65" s="378" t="str">
        <f t="shared" si="8"/>
        <v>0082539116 / 242510153</v>
      </c>
      <c r="H65" s="377" t="s">
        <v>3249</v>
      </c>
    </row>
    <row r="66">
      <c r="A66" s="375">
        <v>15.0</v>
      </c>
      <c r="B66" s="376">
        <v>51.0</v>
      </c>
      <c r="C66" s="377">
        <v>9.9310873E7</v>
      </c>
      <c r="D66" s="377">
        <v>2.4251016E8</v>
      </c>
      <c r="E66" s="377" t="str">
        <f t="shared" si="7"/>
        <v>0099310873</v>
      </c>
      <c r="F66" s="378">
        <v>2.4251016E8</v>
      </c>
      <c r="G66" s="378" t="str">
        <f t="shared" si="8"/>
        <v>0099310873 / 242510160</v>
      </c>
      <c r="H66" s="377" t="s">
        <v>3255</v>
      </c>
    </row>
    <row r="67">
      <c r="A67" s="375">
        <v>16.0</v>
      </c>
      <c r="B67" s="376">
        <v>52.0</v>
      </c>
      <c r="C67" s="377">
        <v>9.9954531E7</v>
      </c>
      <c r="D67" s="377">
        <v>2.42510162E8</v>
      </c>
      <c r="E67" s="377" t="str">
        <f t="shared" si="7"/>
        <v>0099954531</v>
      </c>
      <c r="F67" s="378">
        <v>2.42510162E8</v>
      </c>
      <c r="G67" s="378" t="str">
        <f t="shared" si="8"/>
        <v>0099954531 / 242510162</v>
      </c>
      <c r="H67" s="377" t="s">
        <v>3260</v>
      </c>
    </row>
    <row r="68">
      <c r="A68" s="375">
        <v>17.0</v>
      </c>
      <c r="B68" s="376">
        <v>53.0</v>
      </c>
      <c r="C68" s="377">
        <v>9.4260903E7</v>
      </c>
      <c r="D68" s="377">
        <v>2.42510227E8</v>
      </c>
      <c r="E68" s="377" t="str">
        <f t="shared" si="7"/>
        <v>0094260903</v>
      </c>
      <c r="F68" s="378">
        <v>2.42510227E8</v>
      </c>
      <c r="G68" s="378" t="str">
        <f t="shared" si="8"/>
        <v>0094260903 / 242510227</v>
      </c>
      <c r="H68" s="377" t="s">
        <v>3265</v>
      </c>
    </row>
    <row r="69">
      <c r="A69" s="375">
        <v>18.0</v>
      </c>
      <c r="B69" s="376">
        <v>54.0</v>
      </c>
      <c r="C69" s="377">
        <v>8.9204896E7</v>
      </c>
      <c r="D69" s="377">
        <v>2.42510238E8</v>
      </c>
      <c r="E69" s="377" t="str">
        <f t="shared" si="7"/>
        <v>0089204896</v>
      </c>
      <c r="F69" s="378">
        <v>2.42510238E8</v>
      </c>
      <c r="G69" s="378" t="str">
        <f t="shared" si="8"/>
        <v>0089204896 / 242510238</v>
      </c>
      <c r="H69" s="377" t="s">
        <v>3270</v>
      </c>
    </row>
    <row r="70">
      <c r="A70" s="375">
        <v>19.0</v>
      </c>
      <c r="B70" s="376">
        <v>55.0</v>
      </c>
      <c r="C70" s="377">
        <v>9.144739E7</v>
      </c>
      <c r="D70" s="377">
        <v>2.42510261E8</v>
      </c>
      <c r="E70" s="377" t="str">
        <f t="shared" si="7"/>
        <v>0091447390</v>
      </c>
      <c r="F70" s="378">
        <v>2.42510261E8</v>
      </c>
      <c r="G70" s="378" t="str">
        <f t="shared" si="8"/>
        <v>0091447390 / 242510261</v>
      </c>
      <c r="H70" s="377" t="s">
        <v>3275</v>
      </c>
    </row>
    <row r="71">
      <c r="A71" s="375">
        <v>20.0</v>
      </c>
      <c r="B71" s="376">
        <v>56.0</v>
      </c>
      <c r="C71" s="377">
        <v>3.092211203E9</v>
      </c>
      <c r="D71" s="377">
        <v>2.42510274E8</v>
      </c>
      <c r="E71" s="379">
        <v>3.092211203E9</v>
      </c>
      <c r="F71" s="378">
        <v>2.42510274E8</v>
      </c>
      <c r="G71" s="378" t="str">
        <f t="shared" si="8"/>
        <v>3092211203 / 242510274</v>
      </c>
      <c r="H71" s="377" t="s">
        <v>3280</v>
      </c>
    </row>
    <row r="72">
      <c r="A72" s="375">
        <v>21.0</v>
      </c>
      <c r="B72" s="376">
        <v>57.0</v>
      </c>
      <c r="C72" s="377">
        <v>9.56578E7</v>
      </c>
      <c r="D72" s="377">
        <v>2.42510283E8</v>
      </c>
      <c r="E72" s="377" t="str">
        <f t="shared" ref="E72:E74" si="9">"00"&amp;C72</f>
        <v>0095657800</v>
      </c>
      <c r="F72" s="378">
        <v>2.42510283E8</v>
      </c>
      <c r="G72" s="378" t="str">
        <f t="shared" si="8"/>
        <v>0095657800 / 242510283</v>
      </c>
      <c r="H72" s="377" t="s">
        <v>3286</v>
      </c>
    </row>
    <row r="73">
      <c r="A73" s="375">
        <v>22.0</v>
      </c>
      <c r="B73" s="376">
        <v>58.0</v>
      </c>
      <c r="C73" s="382">
        <v>8.2650076E7</v>
      </c>
      <c r="D73" s="377">
        <v>2.42510304E8</v>
      </c>
      <c r="E73" s="377" t="str">
        <f t="shared" si="9"/>
        <v>0082650076</v>
      </c>
      <c r="F73" s="378">
        <v>2.42510304E8</v>
      </c>
      <c r="G73" s="378" t="str">
        <f t="shared" si="8"/>
        <v>0082650076 / 242510304</v>
      </c>
      <c r="H73" s="381" t="s">
        <v>3291</v>
      </c>
    </row>
    <row r="74">
      <c r="A74" s="375">
        <v>23.0</v>
      </c>
      <c r="B74" s="376">
        <v>59.0</v>
      </c>
      <c r="C74" s="382">
        <v>9.5420383E7</v>
      </c>
      <c r="D74" s="377">
        <v>2.42510306E8</v>
      </c>
      <c r="E74" s="377" t="str">
        <f t="shared" si="9"/>
        <v>0095420383</v>
      </c>
      <c r="F74" s="378">
        <v>2.42510306E8</v>
      </c>
      <c r="G74" s="378" t="str">
        <f t="shared" si="8"/>
        <v>0095420383 / 242510306</v>
      </c>
      <c r="H74" s="377" t="s">
        <v>3296</v>
      </c>
    </row>
    <row r="75">
      <c r="A75" s="375">
        <v>24.0</v>
      </c>
      <c r="B75" s="376">
        <v>60.0</v>
      </c>
      <c r="C75" s="377">
        <v>3.097669813E9</v>
      </c>
      <c r="D75" s="377">
        <v>2.42510308E8</v>
      </c>
      <c r="E75" s="379">
        <v>3.097669813E9</v>
      </c>
      <c r="F75" s="378">
        <v>2.42510308E8</v>
      </c>
      <c r="G75" s="378" t="str">
        <f t="shared" si="8"/>
        <v>3097669813 / 242510308</v>
      </c>
      <c r="H75" s="377" t="s">
        <v>3301</v>
      </c>
    </row>
    <row r="76">
      <c r="A76" s="375">
        <v>25.0</v>
      </c>
      <c r="B76" s="376">
        <v>61.0</v>
      </c>
      <c r="C76" s="377">
        <v>8.6704012E7</v>
      </c>
      <c r="D76" s="377">
        <v>2.4251031E8</v>
      </c>
      <c r="E76" s="377" t="str">
        <f t="shared" ref="E76:E87" si="10">"00"&amp;C76</f>
        <v>0086704012</v>
      </c>
      <c r="F76" s="378">
        <v>2.4251031E8</v>
      </c>
      <c r="G76" s="378" t="str">
        <f t="shared" si="8"/>
        <v>0086704012 / 242510310</v>
      </c>
      <c r="H76" s="377" t="s">
        <v>3306</v>
      </c>
    </row>
    <row r="77">
      <c r="A77" s="375">
        <v>26.0</v>
      </c>
      <c r="B77" s="376">
        <v>62.0</v>
      </c>
      <c r="C77" s="377">
        <v>9.5788052E7</v>
      </c>
      <c r="D77" s="377">
        <v>2.42510329E8</v>
      </c>
      <c r="E77" s="377" t="str">
        <f t="shared" si="10"/>
        <v>0095788052</v>
      </c>
      <c r="F77" s="378">
        <v>2.42510329E8</v>
      </c>
      <c r="G77" s="378" t="str">
        <f t="shared" si="8"/>
        <v>0095788052 / 242510329</v>
      </c>
      <c r="H77" s="377" t="s">
        <v>3311</v>
      </c>
    </row>
    <row r="78">
      <c r="A78" s="375">
        <v>27.0</v>
      </c>
      <c r="B78" s="376">
        <v>63.0</v>
      </c>
      <c r="C78" s="377">
        <v>9.4946777E7</v>
      </c>
      <c r="D78" s="377">
        <v>2.42510338E8</v>
      </c>
      <c r="E78" s="377" t="str">
        <f t="shared" si="10"/>
        <v>0094946777</v>
      </c>
      <c r="F78" s="378">
        <v>2.42510338E8</v>
      </c>
      <c r="G78" s="378" t="str">
        <f t="shared" si="8"/>
        <v>0094946777 / 242510338</v>
      </c>
      <c r="H78" s="377" t="s">
        <v>3316</v>
      </c>
    </row>
    <row r="79">
      <c r="A79" s="375">
        <v>28.0</v>
      </c>
      <c r="B79" s="376">
        <v>64.0</v>
      </c>
      <c r="C79" s="377">
        <v>9.783087E7</v>
      </c>
      <c r="D79" s="377">
        <v>2.42510354E8</v>
      </c>
      <c r="E79" s="377" t="str">
        <f t="shared" si="10"/>
        <v>0097830870</v>
      </c>
      <c r="F79" s="378">
        <v>2.42510354E8</v>
      </c>
      <c r="G79" s="378" t="str">
        <f t="shared" si="8"/>
        <v>0097830870 / 242510354</v>
      </c>
      <c r="H79" s="377" t="s">
        <v>3321</v>
      </c>
    </row>
    <row r="80">
      <c r="A80" s="375">
        <v>29.0</v>
      </c>
      <c r="B80" s="376">
        <v>65.0</v>
      </c>
      <c r="C80" s="377">
        <v>9.2343794E7</v>
      </c>
      <c r="D80" s="377">
        <v>2.42510355E8</v>
      </c>
      <c r="E80" s="377" t="str">
        <f t="shared" si="10"/>
        <v>0092343794</v>
      </c>
      <c r="F80" s="378">
        <v>2.42510355E8</v>
      </c>
      <c r="G80" s="378" t="str">
        <f t="shared" si="8"/>
        <v>0092343794 / 242510355</v>
      </c>
      <c r="H80" s="377" t="s">
        <v>3326</v>
      </c>
    </row>
    <row r="81">
      <c r="A81" s="375">
        <v>30.0</v>
      </c>
      <c r="B81" s="376">
        <v>66.0</v>
      </c>
      <c r="C81" s="377">
        <v>9.5556013E7</v>
      </c>
      <c r="D81" s="377">
        <v>2.42510366E8</v>
      </c>
      <c r="E81" s="377" t="str">
        <f t="shared" si="10"/>
        <v>0095556013</v>
      </c>
      <c r="F81" s="378">
        <v>2.42510366E8</v>
      </c>
      <c r="G81" s="378" t="str">
        <f t="shared" si="8"/>
        <v>0095556013 / 242510366</v>
      </c>
      <c r="H81" s="377" t="s">
        <v>3332</v>
      </c>
    </row>
    <row r="82">
      <c r="A82" s="375">
        <v>31.0</v>
      </c>
      <c r="B82" s="376">
        <v>67.0</v>
      </c>
      <c r="C82" s="377">
        <v>9.4079262E7</v>
      </c>
      <c r="D82" s="377">
        <v>2.42510374E8</v>
      </c>
      <c r="E82" s="377" t="str">
        <f t="shared" si="10"/>
        <v>0094079262</v>
      </c>
      <c r="F82" s="378">
        <v>2.42510374E8</v>
      </c>
      <c r="G82" s="378" t="str">
        <f t="shared" si="8"/>
        <v>0094079262 / 242510374</v>
      </c>
      <c r="H82" s="377" t="s">
        <v>3337</v>
      </c>
    </row>
    <row r="83">
      <c r="A83" s="375">
        <v>32.0</v>
      </c>
      <c r="B83" s="376">
        <v>68.0</v>
      </c>
      <c r="C83" s="377">
        <v>7.2787144E7</v>
      </c>
      <c r="D83" s="377">
        <v>2.42510377E8</v>
      </c>
      <c r="E83" s="377" t="str">
        <f t="shared" si="10"/>
        <v>0072787144</v>
      </c>
      <c r="F83" s="378">
        <v>2.42510377E8</v>
      </c>
      <c r="G83" s="378" t="str">
        <f t="shared" si="8"/>
        <v>0072787144 / 242510377</v>
      </c>
      <c r="H83" s="377" t="s">
        <v>3342</v>
      </c>
    </row>
    <row r="84">
      <c r="A84" s="375">
        <v>33.0</v>
      </c>
      <c r="B84" s="376">
        <v>69.0</v>
      </c>
      <c r="C84" s="377">
        <v>9.6304229E7</v>
      </c>
      <c r="D84" s="377">
        <v>2.42510387E8</v>
      </c>
      <c r="E84" s="377" t="str">
        <f t="shared" si="10"/>
        <v>0096304229</v>
      </c>
      <c r="F84" s="378">
        <v>2.42510387E8</v>
      </c>
      <c r="G84" s="378" t="str">
        <f t="shared" si="8"/>
        <v>0096304229 / 242510387</v>
      </c>
      <c r="H84" s="377" t="s">
        <v>3347</v>
      </c>
    </row>
    <row r="85">
      <c r="A85" s="375">
        <v>34.0</v>
      </c>
      <c r="B85" s="376">
        <v>70.0</v>
      </c>
      <c r="C85" s="377">
        <v>9.3907013E7</v>
      </c>
      <c r="D85" s="377">
        <v>2.4251039E8</v>
      </c>
      <c r="E85" s="377" t="str">
        <f t="shared" si="10"/>
        <v>0093907013</v>
      </c>
      <c r="F85" s="378">
        <v>2.4251039E8</v>
      </c>
      <c r="G85" s="378" t="str">
        <f t="shared" si="8"/>
        <v>0093907013 / 242510390</v>
      </c>
      <c r="H85" s="377" t="s">
        <v>3352</v>
      </c>
    </row>
    <row r="86">
      <c r="A86" s="375">
        <v>35.0</v>
      </c>
      <c r="B86" s="376">
        <v>71.0</v>
      </c>
      <c r="C86" s="377">
        <v>8.4548048E7</v>
      </c>
      <c r="D86" s="377">
        <v>2.42510404E8</v>
      </c>
      <c r="E86" s="377" t="str">
        <f t="shared" si="10"/>
        <v>0084548048</v>
      </c>
      <c r="F86" s="378">
        <v>2.42510404E8</v>
      </c>
      <c r="G86" s="378" t="str">
        <f t="shared" si="8"/>
        <v>0084548048 / 242510404</v>
      </c>
      <c r="H86" s="377" t="s">
        <v>3357</v>
      </c>
    </row>
    <row r="87">
      <c r="A87" s="375">
        <v>36.0</v>
      </c>
      <c r="B87" s="376">
        <v>72.0</v>
      </c>
      <c r="C87" s="377">
        <v>9.4935892E7</v>
      </c>
      <c r="D87" s="377">
        <v>2.42510412E8</v>
      </c>
      <c r="E87" s="377" t="str">
        <f t="shared" si="10"/>
        <v>0094935892</v>
      </c>
      <c r="F87" s="378">
        <v>2.42510412E8</v>
      </c>
      <c r="G87" s="378" t="str">
        <f t="shared" si="8"/>
        <v>0094935892 / 242510412</v>
      </c>
      <c r="H87" s="377" t="s">
        <v>3363</v>
      </c>
    </row>
    <row r="88" hidden="1">
      <c r="A88" s="151"/>
      <c r="B88" s="151"/>
      <c r="C88" s="151"/>
      <c r="D88" s="151"/>
      <c r="E88" s="151"/>
      <c r="F88" s="151"/>
      <c r="G88" s="151"/>
      <c r="H88" s="151"/>
    </row>
    <row r="89" hidden="1">
      <c r="A89" s="373" t="s">
        <v>9372</v>
      </c>
      <c r="B89" s="373"/>
      <c r="C89" s="373"/>
      <c r="D89" s="373"/>
      <c r="E89" s="373"/>
      <c r="F89" s="373"/>
      <c r="G89" s="373"/>
      <c r="H89" s="373"/>
    </row>
    <row r="90" hidden="1">
      <c r="A90" s="374" t="s">
        <v>9841</v>
      </c>
      <c r="B90" s="374"/>
      <c r="C90" s="374"/>
      <c r="D90" s="374"/>
      <c r="E90" s="374"/>
      <c r="F90" s="374"/>
      <c r="G90" s="374"/>
      <c r="H90" s="374"/>
    </row>
    <row r="91" hidden="1">
      <c r="A91" s="111" t="s">
        <v>8748</v>
      </c>
      <c r="B91" s="111"/>
      <c r="C91" s="111" t="s">
        <v>9</v>
      </c>
      <c r="D91" s="111" t="s">
        <v>5246</v>
      </c>
      <c r="E91" s="111"/>
      <c r="F91" s="111"/>
      <c r="G91" s="111"/>
      <c r="H91" s="111" t="s">
        <v>8680</v>
      </c>
    </row>
    <row r="92" hidden="1">
      <c r="A92" s="119"/>
      <c r="B92" s="119"/>
      <c r="C92" s="119"/>
      <c r="D92" s="119"/>
      <c r="E92" s="119"/>
      <c r="F92" s="119"/>
      <c r="G92" s="119"/>
      <c r="H92" s="119"/>
    </row>
    <row r="93">
      <c r="A93" s="375">
        <v>1.0</v>
      </c>
      <c r="B93" s="376">
        <v>73.0</v>
      </c>
      <c r="C93" s="377">
        <v>8.5027044E7</v>
      </c>
      <c r="D93" s="377">
        <v>2.4251001E8</v>
      </c>
      <c r="E93" s="377" t="str">
        <f t="shared" ref="E93:E105" si="11">"00"&amp;C93</f>
        <v>0085027044</v>
      </c>
      <c r="F93" s="378">
        <v>2.4251001E8</v>
      </c>
      <c r="G93" s="378" t="str">
        <f t="shared" ref="G93:G128" si="12">E93&amp;" / "&amp;F93</f>
        <v>0085027044 / 242510010</v>
      </c>
      <c r="H93" s="377" t="s">
        <v>3368</v>
      </c>
    </row>
    <row r="94">
      <c r="A94" s="375">
        <v>2.0</v>
      </c>
      <c r="B94" s="376">
        <v>74.0</v>
      </c>
      <c r="C94" s="377">
        <v>8.1265372E7</v>
      </c>
      <c r="D94" s="377">
        <v>2.42510027E8</v>
      </c>
      <c r="E94" s="377" t="str">
        <f t="shared" si="11"/>
        <v>0081265372</v>
      </c>
      <c r="F94" s="378">
        <v>2.42510027E8</v>
      </c>
      <c r="G94" s="378" t="str">
        <f t="shared" si="12"/>
        <v>0081265372 / 242510027</v>
      </c>
      <c r="H94" s="377" t="s">
        <v>3374</v>
      </c>
    </row>
    <row r="95">
      <c r="A95" s="375">
        <v>3.0</v>
      </c>
      <c r="B95" s="376">
        <v>75.0</v>
      </c>
      <c r="C95" s="377">
        <v>9.2697249E7</v>
      </c>
      <c r="D95" s="377">
        <v>2.42510041E8</v>
      </c>
      <c r="E95" s="377" t="str">
        <f t="shared" si="11"/>
        <v>0092697249</v>
      </c>
      <c r="F95" s="378">
        <v>2.42510041E8</v>
      </c>
      <c r="G95" s="378" t="str">
        <f t="shared" si="12"/>
        <v>0092697249 / 242510041</v>
      </c>
      <c r="H95" s="377" t="s">
        <v>3379</v>
      </c>
    </row>
    <row r="96">
      <c r="A96" s="375">
        <v>4.0</v>
      </c>
      <c r="B96" s="376">
        <v>76.0</v>
      </c>
      <c r="C96" s="377">
        <v>8.5437129E7</v>
      </c>
      <c r="D96" s="377">
        <v>2.4251007E8</v>
      </c>
      <c r="E96" s="377" t="str">
        <f t="shared" si="11"/>
        <v>0085437129</v>
      </c>
      <c r="F96" s="378">
        <v>2.4251007E8</v>
      </c>
      <c r="G96" s="378" t="str">
        <f t="shared" si="12"/>
        <v>0085437129 / 242510070</v>
      </c>
      <c r="H96" s="377" t="s">
        <v>3384</v>
      </c>
    </row>
    <row r="97">
      <c r="A97" s="375">
        <v>5.0</v>
      </c>
      <c r="B97" s="376">
        <v>77.0</v>
      </c>
      <c r="C97" s="377">
        <v>9.8656322E7</v>
      </c>
      <c r="D97" s="377">
        <v>2.42510113E8</v>
      </c>
      <c r="E97" s="377" t="str">
        <f t="shared" si="11"/>
        <v>0098656322</v>
      </c>
      <c r="F97" s="378">
        <v>2.42510113E8</v>
      </c>
      <c r="G97" s="378" t="str">
        <f t="shared" si="12"/>
        <v>0098656322 / 242510113</v>
      </c>
      <c r="H97" s="377" t="s">
        <v>3389</v>
      </c>
    </row>
    <row r="98">
      <c r="A98" s="375">
        <v>6.0</v>
      </c>
      <c r="B98" s="376">
        <v>78.0</v>
      </c>
      <c r="C98" s="377">
        <v>9.6763243E7</v>
      </c>
      <c r="D98" s="377">
        <v>2.4251012E8</v>
      </c>
      <c r="E98" s="377" t="str">
        <f t="shared" si="11"/>
        <v>0096763243</v>
      </c>
      <c r="F98" s="378">
        <v>2.4251012E8</v>
      </c>
      <c r="G98" s="378" t="str">
        <f t="shared" si="12"/>
        <v>0096763243 / 242510120</v>
      </c>
      <c r="H98" s="377" t="s">
        <v>3395</v>
      </c>
    </row>
    <row r="99">
      <c r="A99" s="375">
        <v>7.0</v>
      </c>
      <c r="B99" s="376">
        <v>79.0</v>
      </c>
      <c r="C99" s="377">
        <v>9.8951883E7</v>
      </c>
      <c r="D99" s="377">
        <v>2.42510136E8</v>
      </c>
      <c r="E99" s="377" t="str">
        <f t="shared" si="11"/>
        <v>0098951883</v>
      </c>
      <c r="F99" s="378">
        <v>2.42510136E8</v>
      </c>
      <c r="G99" s="378" t="str">
        <f t="shared" si="12"/>
        <v>0098951883 / 242510136</v>
      </c>
      <c r="H99" s="377" t="s">
        <v>3400</v>
      </c>
    </row>
    <row r="100">
      <c r="A100" s="375">
        <v>8.0</v>
      </c>
      <c r="B100" s="376">
        <v>80.0</v>
      </c>
      <c r="C100" s="377">
        <v>9.4722345E7</v>
      </c>
      <c r="D100" s="377">
        <v>2.4251018E8</v>
      </c>
      <c r="E100" s="377" t="str">
        <f t="shared" si="11"/>
        <v>0094722345</v>
      </c>
      <c r="F100" s="378">
        <v>2.4251018E8</v>
      </c>
      <c r="G100" s="378" t="str">
        <f t="shared" si="12"/>
        <v>0094722345 / 242510180</v>
      </c>
      <c r="H100" s="377" t="s">
        <v>3405</v>
      </c>
    </row>
    <row r="101">
      <c r="A101" s="375">
        <v>9.0</v>
      </c>
      <c r="B101" s="376">
        <v>81.0</v>
      </c>
      <c r="C101" s="377">
        <v>9.7193046E7</v>
      </c>
      <c r="D101" s="377">
        <v>2.42510184E8</v>
      </c>
      <c r="E101" s="377" t="str">
        <f t="shared" si="11"/>
        <v>0097193046</v>
      </c>
      <c r="F101" s="378">
        <v>2.42510184E8</v>
      </c>
      <c r="G101" s="378" t="str">
        <f t="shared" si="12"/>
        <v>0097193046 / 242510184</v>
      </c>
      <c r="H101" s="377" t="s">
        <v>3410</v>
      </c>
    </row>
    <row r="102">
      <c r="A102" s="375">
        <v>10.0</v>
      </c>
      <c r="B102" s="376">
        <v>82.0</v>
      </c>
      <c r="C102" s="377">
        <v>9.350538E7</v>
      </c>
      <c r="D102" s="377">
        <v>2.42510187E8</v>
      </c>
      <c r="E102" s="377" t="str">
        <f t="shared" si="11"/>
        <v>0093505380</v>
      </c>
      <c r="F102" s="378">
        <v>2.42510187E8</v>
      </c>
      <c r="G102" s="378" t="str">
        <f t="shared" si="12"/>
        <v>0093505380 / 242510187</v>
      </c>
      <c r="H102" s="377" t="s">
        <v>3415</v>
      </c>
    </row>
    <row r="103">
      <c r="A103" s="375">
        <v>11.0</v>
      </c>
      <c r="B103" s="376">
        <v>83.0</v>
      </c>
      <c r="C103" s="377">
        <v>8.4361496E7</v>
      </c>
      <c r="D103" s="377">
        <v>2.42510193E8</v>
      </c>
      <c r="E103" s="377" t="str">
        <f t="shared" si="11"/>
        <v>0084361496</v>
      </c>
      <c r="F103" s="378">
        <v>2.42510193E8</v>
      </c>
      <c r="G103" s="378" t="str">
        <f t="shared" si="12"/>
        <v>0084361496 / 242510193</v>
      </c>
      <c r="H103" s="377" t="s">
        <v>3421</v>
      </c>
    </row>
    <row r="104">
      <c r="A104" s="375">
        <v>12.0</v>
      </c>
      <c r="B104" s="376">
        <v>84.0</v>
      </c>
      <c r="C104" s="377">
        <v>9.3778675E7</v>
      </c>
      <c r="D104" s="377">
        <v>2.42510197E8</v>
      </c>
      <c r="E104" s="377" t="str">
        <f t="shared" si="11"/>
        <v>0093778675</v>
      </c>
      <c r="F104" s="378">
        <v>2.42510197E8</v>
      </c>
      <c r="G104" s="378" t="str">
        <f t="shared" si="12"/>
        <v>0093778675 / 242510197</v>
      </c>
      <c r="H104" s="377" t="s">
        <v>3426</v>
      </c>
    </row>
    <row r="105">
      <c r="A105" s="375">
        <v>13.0</v>
      </c>
      <c r="B105" s="376">
        <v>85.0</v>
      </c>
      <c r="C105" s="377">
        <v>9.4698679E7</v>
      </c>
      <c r="D105" s="377">
        <v>2.42510213E8</v>
      </c>
      <c r="E105" s="377" t="str">
        <f t="shared" si="11"/>
        <v>0094698679</v>
      </c>
      <c r="F105" s="378">
        <v>2.42510213E8</v>
      </c>
      <c r="G105" s="378" t="str">
        <f t="shared" si="12"/>
        <v>0094698679 / 242510213</v>
      </c>
      <c r="H105" s="377" t="s">
        <v>3431</v>
      </c>
    </row>
    <row r="106">
      <c r="A106" s="375">
        <v>14.0</v>
      </c>
      <c r="B106" s="376">
        <v>86.0</v>
      </c>
      <c r="C106" s="377">
        <v>3.095285309E9</v>
      </c>
      <c r="D106" s="377">
        <v>2.42510216E8</v>
      </c>
      <c r="E106" s="379">
        <v>3.095285309E9</v>
      </c>
      <c r="F106" s="378">
        <v>2.42510216E8</v>
      </c>
      <c r="G106" s="378" t="str">
        <f t="shared" si="12"/>
        <v>3095285309 / 242510216</v>
      </c>
      <c r="H106" s="377" t="s">
        <v>3436</v>
      </c>
    </row>
    <row r="107">
      <c r="A107" s="375">
        <v>15.0</v>
      </c>
      <c r="B107" s="376">
        <v>87.0</v>
      </c>
      <c r="C107" s="377">
        <v>8.1476668E7</v>
      </c>
      <c r="D107" s="377">
        <v>2.42510222E8</v>
      </c>
      <c r="E107" s="377" t="str">
        <f t="shared" ref="E107:E108" si="13">"00"&amp;C107</f>
        <v>0081476668</v>
      </c>
      <c r="F107" s="378">
        <v>2.42510222E8</v>
      </c>
      <c r="G107" s="378" t="str">
        <f t="shared" si="12"/>
        <v>0081476668 / 242510222</v>
      </c>
      <c r="H107" s="377" t="s">
        <v>3441</v>
      </c>
    </row>
    <row r="108">
      <c r="A108" s="375">
        <v>16.0</v>
      </c>
      <c r="B108" s="376">
        <v>88.0</v>
      </c>
      <c r="C108" s="377">
        <v>9.8908539E7</v>
      </c>
      <c r="D108" s="377">
        <v>2.4251023E8</v>
      </c>
      <c r="E108" s="377" t="str">
        <f t="shared" si="13"/>
        <v>0098908539</v>
      </c>
      <c r="F108" s="378">
        <v>2.4251023E8</v>
      </c>
      <c r="G108" s="378" t="str">
        <f t="shared" si="12"/>
        <v>0098908539 / 242510230</v>
      </c>
      <c r="H108" s="377" t="s">
        <v>3447</v>
      </c>
    </row>
    <row r="109">
      <c r="A109" s="375">
        <v>17.0</v>
      </c>
      <c r="B109" s="376">
        <v>89.0</v>
      </c>
      <c r="C109" s="383">
        <v>3.095174589E9</v>
      </c>
      <c r="D109" s="383">
        <v>2.42510231E8</v>
      </c>
      <c r="E109" s="384">
        <v>3.095174589E9</v>
      </c>
      <c r="F109" s="385">
        <v>2.42510231E8</v>
      </c>
      <c r="G109" s="378" t="str">
        <f t="shared" si="12"/>
        <v>3095174589 / 242510231</v>
      </c>
      <c r="H109" s="383" t="s">
        <v>3452</v>
      </c>
    </row>
    <row r="110">
      <c r="A110" s="375">
        <v>18.0</v>
      </c>
      <c r="B110" s="376">
        <v>90.0</v>
      </c>
      <c r="C110" s="377">
        <v>9.9030651E7</v>
      </c>
      <c r="D110" s="377">
        <v>2.42510232E8</v>
      </c>
      <c r="E110" s="377" t="str">
        <f t="shared" ref="E110:E114" si="14">"00"&amp;C110</f>
        <v>0099030651</v>
      </c>
      <c r="F110" s="378">
        <v>2.42510232E8</v>
      </c>
      <c r="G110" s="378" t="str">
        <f t="shared" si="12"/>
        <v>0099030651 / 242510232</v>
      </c>
      <c r="H110" s="377" t="s">
        <v>3457</v>
      </c>
    </row>
    <row r="111">
      <c r="A111" s="375">
        <v>19.0</v>
      </c>
      <c r="B111" s="376">
        <v>91.0</v>
      </c>
      <c r="C111" s="377">
        <v>9.8437864E7</v>
      </c>
      <c r="D111" s="377">
        <v>2.42510233E8</v>
      </c>
      <c r="E111" s="377" t="str">
        <f t="shared" si="14"/>
        <v>0098437864</v>
      </c>
      <c r="F111" s="378">
        <v>2.42510233E8</v>
      </c>
      <c r="G111" s="378" t="str">
        <f t="shared" si="12"/>
        <v>0098437864 / 242510233</v>
      </c>
      <c r="H111" s="377" t="s">
        <v>3462</v>
      </c>
    </row>
    <row r="112">
      <c r="A112" s="375">
        <v>20.0</v>
      </c>
      <c r="B112" s="376">
        <v>92.0</v>
      </c>
      <c r="C112" s="377">
        <v>8.8976294E7</v>
      </c>
      <c r="D112" s="377">
        <v>2.42510244E8</v>
      </c>
      <c r="E112" s="377" t="str">
        <f t="shared" si="14"/>
        <v>0088976294</v>
      </c>
      <c r="F112" s="378">
        <v>2.42510244E8</v>
      </c>
      <c r="G112" s="378" t="str">
        <f t="shared" si="12"/>
        <v>0088976294 / 242510244</v>
      </c>
      <c r="H112" s="377" t="s">
        <v>3468</v>
      </c>
    </row>
    <row r="113">
      <c r="A113" s="375">
        <v>21.0</v>
      </c>
      <c r="B113" s="376">
        <v>93.0</v>
      </c>
      <c r="C113" s="377">
        <v>9.4412664E7</v>
      </c>
      <c r="D113" s="377">
        <v>2.42510278E8</v>
      </c>
      <c r="E113" s="377" t="str">
        <f t="shared" si="14"/>
        <v>0094412664</v>
      </c>
      <c r="F113" s="378">
        <v>2.42510278E8</v>
      </c>
      <c r="G113" s="378" t="str">
        <f t="shared" si="12"/>
        <v>0094412664 / 242510278</v>
      </c>
      <c r="H113" s="377" t="s">
        <v>3473</v>
      </c>
    </row>
    <row r="114">
      <c r="A114" s="375">
        <v>22.0</v>
      </c>
      <c r="B114" s="376">
        <v>94.0</v>
      </c>
      <c r="C114" s="377">
        <v>9.1524851E7</v>
      </c>
      <c r="D114" s="377">
        <v>2.42510286E8</v>
      </c>
      <c r="E114" s="377" t="str">
        <f t="shared" si="14"/>
        <v>0091524851</v>
      </c>
      <c r="F114" s="378">
        <v>2.42510286E8</v>
      </c>
      <c r="G114" s="378" t="str">
        <f t="shared" si="12"/>
        <v>0091524851 / 242510286</v>
      </c>
      <c r="H114" s="377" t="s">
        <v>3478</v>
      </c>
    </row>
    <row r="115">
      <c r="A115" s="375">
        <v>23.0</v>
      </c>
      <c r="B115" s="376">
        <v>95.0</v>
      </c>
      <c r="C115" s="377">
        <v>3.099271994E9</v>
      </c>
      <c r="D115" s="377">
        <v>2.42510297E8</v>
      </c>
      <c r="E115" s="379">
        <v>3.099271994E9</v>
      </c>
      <c r="F115" s="378">
        <v>2.42510297E8</v>
      </c>
      <c r="G115" s="378" t="str">
        <f t="shared" si="12"/>
        <v>3099271994 / 242510297</v>
      </c>
      <c r="H115" s="377" t="s">
        <v>3483</v>
      </c>
    </row>
    <row r="116">
      <c r="A116" s="375">
        <v>24.0</v>
      </c>
      <c r="B116" s="376">
        <v>96.0</v>
      </c>
      <c r="C116" s="377">
        <v>8.3974334E7</v>
      </c>
      <c r="D116" s="377">
        <v>2.42510298E8</v>
      </c>
      <c r="E116" s="377" t="str">
        <f t="shared" ref="E116:E128" si="15">"00"&amp;C116</f>
        <v>0083974334</v>
      </c>
      <c r="F116" s="378">
        <v>2.42510298E8</v>
      </c>
      <c r="G116" s="378" t="str">
        <f t="shared" si="12"/>
        <v>0083974334 / 242510298</v>
      </c>
      <c r="H116" s="377" t="s">
        <v>3489</v>
      </c>
    </row>
    <row r="117">
      <c r="A117" s="375">
        <v>25.0</v>
      </c>
      <c r="B117" s="376">
        <v>97.0</v>
      </c>
      <c r="C117" s="377">
        <v>8.4584228E7</v>
      </c>
      <c r="D117" s="377">
        <v>2.42510313E8</v>
      </c>
      <c r="E117" s="377" t="str">
        <f t="shared" si="15"/>
        <v>0084584228</v>
      </c>
      <c r="F117" s="378">
        <v>2.42510313E8</v>
      </c>
      <c r="G117" s="378" t="str">
        <f t="shared" si="12"/>
        <v>0084584228 / 242510313</v>
      </c>
      <c r="H117" s="377" t="s">
        <v>3494</v>
      </c>
    </row>
    <row r="118">
      <c r="A118" s="375">
        <v>26.0</v>
      </c>
      <c r="B118" s="376">
        <v>98.0</v>
      </c>
      <c r="C118" s="377">
        <v>9.3556204E7</v>
      </c>
      <c r="D118" s="377">
        <v>2.42510328E8</v>
      </c>
      <c r="E118" s="377" t="str">
        <f t="shared" si="15"/>
        <v>0093556204</v>
      </c>
      <c r="F118" s="378">
        <v>2.42510328E8</v>
      </c>
      <c r="G118" s="378" t="str">
        <f t="shared" si="12"/>
        <v>0093556204 / 242510328</v>
      </c>
      <c r="H118" s="377" t="s">
        <v>3499</v>
      </c>
    </row>
    <row r="119">
      <c r="A119" s="375">
        <v>27.0</v>
      </c>
      <c r="B119" s="376">
        <v>99.0</v>
      </c>
      <c r="C119" s="377">
        <v>9.9332666E7</v>
      </c>
      <c r="D119" s="377">
        <v>2.42510343E8</v>
      </c>
      <c r="E119" s="377" t="str">
        <f t="shared" si="15"/>
        <v>0099332666</v>
      </c>
      <c r="F119" s="378">
        <v>2.42510343E8</v>
      </c>
      <c r="G119" s="378" t="str">
        <f t="shared" si="12"/>
        <v>0099332666 / 242510343</v>
      </c>
      <c r="H119" s="377" t="s">
        <v>3504</v>
      </c>
    </row>
    <row r="120">
      <c r="A120" s="375">
        <v>28.0</v>
      </c>
      <c r="B120" s="376">
        <v>100.0</v>
      </c>
      <c r="C120" s="377">
        <v>8.7745551E7</v>
      </c>
      <c r="D120" s="377">
        <v>2.4251035E8</v>
      </c>
      <c r="E120" s="377" t="str">
        <f t="shared" si="15"/>
        <v>0087745551</v>
      </c>
      <c r="F120" s="378">
        <v>2.4251035E8</v>
      </c>
      <c r="G120" s="378" t="str">
        <f t="shared" si="12"/>
        <v>0087745551 / 242510350</v>
      </c>
      <c r="H120" s="377" t="s">
        <v>3509</v>
      </c>
    </row>
    <row r="121">
      <c r="A121" s="375">
        <v>29.0</v>
      </c>
      <c r="B121" s="376">
        <v>101.0</v>
      </c>
      <c r="C121" s="377">
        <v>8.5930059E7</v>
      </c>
      <c r="D121" s="377">
        <v>2.42510371E8</v>
      </c>
      <c r="E121" s="377" t="str">
        <f t="shared" si="15"/>
        <v>0085930059</v>
      </c>
      <c r="F121" s="378">
        <v>2.42510371E8</v>
      </c>
      <c r="G121" s="378" t="str">
        <f t="shared" si="12"/>
        <v>0085930059 / 242510371</v>
      </c>
      <c r="H121" s="377" t="s">
        <v>3515</v>
      </c>
    </row>
    <row r="122">
      <c r="A122" s="375">
        <v>30.0</v>
      </c>
      <c r="B122" s="376">
        <v>102.0</v>
      </c>
      <c r="C122" s="377">
        <v>9.6344538E7</v>
      </c>
      <c r="D122" s="377">
        <v>2.42510373E8</v>
      </c>
      <c r="E122" s="377" t="str">
        <f t="shared" si="15"/>
        <v>0096344538</v>
      </c>
      <c r="F122" s="378">
        <v>2.42510373E8</v>
      </c>
      <c r="G122" s="378" t="str">
        <f t="shared" si="12"/>
        <v>0096344538 / 242510373</v>
      </c>
      <c r="H122" s="377" t="s">
        <v>3520</v>
      </c>
    </row>
    <row r="123">
      <c r="A123" s="375">
        <v>31.0</v>
      </c>
      <c r="B123" s="376">
        <v>103.0</v>
      </c>
      <c r="C123" s="377">
        <v>9.6480588E7</v>
      </c>
      <c r="D123" s="377">
        <v>2.42510395E8</v>
      </c>
      <c r="E123" s="377" t="str">
        <f t="shared" si="15"/>
        <v>0096480588</v>
      </c>
      <c r="F123" s="378">
        <v>2.42510395E8</v>
      </c>
      <c r="G123" s="378" t="str">
        <f t="shared" si="12"/>
        <v>0096480588 / 242510395</v>
      </c>
      <c r="H123" s="377" t="s">
        <v>3525</v>
      </c>
    </row>
    <row r="124">
      <c r="A124" s="375">
        <v>32.0</v>
      </c>
      <c r="B124" s="376">
        <v>104.0</v>
      </c>
      <c r="C124" s="377">
        <v>9.4958254E7</v>
      </c>
      <c r="D124" s="377">
        <v>2.42510405E8</v>
      </c>
      <c r="E124" s="377" t="str">
        <f t="shared" si="15"/>
        <v>0094958254</v>
      </c>
      <c r="F124" s="378">
        <v>2.42510405E8</v>
      </c>
      <c r="G124" s="378" t="str">
        <f t="shared" si="12"/>
        <v>0094958254 / 242510405</v>
      </c>
      <c r="H124" s="377" t="s">
        <v>3530</v>
      </c>
    </row>
    <row r="125">
      <c r="A125" s="375">
        <v>33.0</v>
      </c>
      <c r="B125" s="376">
        <v>105.0</v>
      </c>
      <c r="C125" s="377">
        <v>8.5108715E7</v>
      </c>
      <c r="D125" s="377">
        <v>2.42510408E8</v>
      </c>
      <c r="E125" s="377" t="str">
        <f t="shared" si="15"/>
        <v>0085108715</v>
      </c>
      <c r="F125" s="378">
        <v>2.42510408E8</v>
      </c>
      <c r="G125" s="378" t="str">
        <f t="shared" si="12"/>
        <v>0085108715 / 242510408</v>
      </c>
      <c r="H125" s="377" t="s">
        <v>3535</v>
      </c>
    </row>
    <row r="126">
      <c r="A126" s="375">
        <v>34.0</v>
      </c>
      <c r="B126" s="376">
        <v>106.0</v>
      </c>
      <c r="C126" s="377">
        <v>8.9237233E7</v>
      </c>
      <c r="D126" s="377">
        <v>2.42510409E8</v>
      </c>
      <c r="E126" s="377" t="str">
        <f t="shared" si="15"/>
        <v>0089237233</v>
      </c>
      <c r="F126" s="378">
        <v>2.42510409E8</v>
      </c>
      <c r="G126" s="378" t="str">
        <f t="shared" si="12"/>
        <v>0089237233 / 242510409</v>
      </c>
      <c r="H126" s="377" t="s">
        <v>3541</v>
      </c>
    </row>
    <row r="127">
      <c r="A127" s="375">
        <v>35.0</v>
      </c>
      <c r="B127" s="376">
        <v>107.0</v>
      </c>
      <c r="C127" s="377">
        <v>9.8438052E7</v>
      </c>
      <c r="D127" s="377">
        <v>2.42510417E8</v>
      </c>
      <c r="E127" s="377" t="str">
        <f t="shared" si="15"/>
        <v>0098438052</v>
      </c>
      <c r="F127" s="378">
        <v>2.42510417E8</v>
      </c>
      <c r="G127" s="378" t="str">
        <f t="shared" si="12"/>
        <v>0098438052 / 242510417</v>
      </c>
      <c r="H127" s="377" t="s">
        <v>3546</v>
      </c>
    </row>
    <row r="128">
      <c r="A128" s="375">
        <v>36.0</v>
      </c>
      <c r="B128" s="376">
        <v>108.0</v>
      </c>
      <c r="C128" s="377">
        <v>8.2801587E7</v>
      </c>
      <c r="D128" s="377">
        <v>2.42510421E8</v>
      </c>
      <c r="E128" s="377" t="str">
        <f t="shared" si="15"/>
        <v>0082801587</v>
      </c>
      <c r="F128" s="378">
        <v>2.42510421E8</v>
      </c>
      <c r="G128" s="378" t="str">
        <f t="shared" si="12"/>
        <v>0082801587 / 242510421</v>
      </c>
      <c r="H128" s="377" t="s">
        <v>3551</v>
      </c>
    </row>
    <row r="129" hidden="1">
      <c r="A129" s="372"/>
      <c r="B129" s="372"/>
      <c r="C129" s="372"/>
      <c r="D129" s="372"/>
      <c r="E129" s="372"/>
      <c r="F129" s="372"/>
      <c r="G129" s="372"/>
      <c r="H129" s="372"/>
    </row>
    <row r="130" hidden="1">
      <c r="A130" s="373" t="s">
        <v>9378</v>
      </c>
      <c r="B130" s="373"/>
      <c r="C130" s="373"/>
      <c r="D130" s="373"/>
      <c r="E130" s="373"/>
      <c r="F130" s="373"/>
      <c r="G130" s="373"/>
      <c r="H130" s="373"/>
    </row>
    <row r="131" hidden="1">
      <c r="A131" s="374" t="s">
        <v>9842</v>
      </c>
      <c r="B131" s="374"/>
      <c r="C131" s="374"/>
      <c r="D131" s="374"/>
      <c r="E131" s="374"/>
      <c r="F131" s="374"/>
      <c r="G131" s="374"/>
      <c r="H131" s="374"/>
    </row>
    <row r="132" hidden="1">
      <c r="A132" s="111" t="s">
        <v>8748</v>
      </c>
      <c r="B132" s="111"/>
      <c r="C132" s="111" t="s">
        <v>9</v>
      </c>
      <c r="D132" s="111" t="s">
        <v>5246</v>
      </c>
      <c r="E132" s="111"/>
      <c r="F132" s="111"/>
      <c r="G132" s="111"/>
      <c r="H132" s="111" t="s">
        <v>8680</v>
      </c>
    </row>
    <row r="133" hidden="1">
      <c r="A133" s="119"/>
      <c r="B133" s="119"/>
      <c r="C133" s="119"/>
      <c r="D133" s="119"/>
      <c r="E133" s="119"/>
      <c r="F133" s="119"/>
      <c r="G133" s="119"/>
      <c r="H133" s="119"/>
    </row>
    <row r="134">
      <c r="A134" s="375">
        <v>1.0</v>
      </c>
      <c r="B134" s="376">
        <v>109.0</v>
      </c>
      <c r="C134" s="377" t="s">
        <v>3555</v>
      </c>
      <c r="D134" s="377"/>
      <c r="E134" s="377" t="str">
        <f t="shared" ref="E134:E169" si="16">TRIM(LEFT(C134, FIND("/", C134)-1))</f>
        <v>0091989218</v>
      </c>
      <c r="F134" s="379" t="str">
        <f t="shared" ref="F134:F169" si="17">TRIM(MID(C134, FIND("/", C134)+1, LEN(C134)))</f>
        <v>242510017</v>
      </c>
      <c r="G134" s="378" t="str">
        <f t="shared" ref="G134:G169" si="18">E134&amp;" / "&amp;F134</f>
        <v>0091989218 / 242510017</v>
      </c>
      <c r="H134" s="377" t="s">
        <v>3556</v>
      </c>
    </row>
    <row r="135">
      <c r="A135" s="375">
        <v>2.0</v>
      </c>
      <c r="B135" s="376">
        <v>110.0</v>
      </c>
      <c r="C135" s="377" t="s">
        <v>3561</v>
      </c>
      <c r="D135" s="377"/>
      <c r="E135" s="377" t="str">
        <f t="shared" si="16"/>
        <v>0087766031</v>
      </c>
      <c r="F135" s="379" t="str">
        <f t="shared" si="17"/>
        <v>252611568</v>
      </c>
      <c r="G135" s="378" t="str">
        <f t="shared" si="18"/>
        <v>0087766031 / 252611568</v>
      </c>
      <c r="H135" s="377" t="s">
        <v>3562</v>
      </c>
    </row>
    <row r="136">
      <c r="A136" s="375">
        <v>3.0</v>
      </c>
      <c r="B136" s="376">
        <v>111.0</v>
      </c>
      <c r="C136" s="377" t="s">
        <v>3567</v>
      </c>
      <c r="D136" s="377"/>
      <c r="E136" s="377" t="str">
        <f t="shared" si="16"/>
        <v>0098715904</v>
      </c>
      <c r="F136" s="379" t="str">
        <f t="shared" si="17"/>
        <v>242510023</v>
      </c>
      <c r="G136" s="378" t="str">
        <f t="shared" si="18"/>
        <v>0098715904 / 242510023</v>
      </c>
      <c r="H136" s="377" t="s">
        <v>3568</v>
      </c>
    </row>
    <row r="137">
      <c r="A137" s="375">
        <v>4.0</v>
      </c>
      <c r="B137" s="376">
        <v>112.0</v>
      </c>
      <c r="C137" s="377" t="s">
        <v>3572</v>
      </c>
      <c r="D137" s="377"/>
      <c r="E137" s="377" t="str">
        <f t="shared" si="16"/>
        <v>0081501338</v>
      </c>
      <c r="F137" s="379" t="str">
        <f t="shared" si="17"/>
        <v>242510042</v>
      </c>
      <c r="G137" s="378" t="str">
        <f t="shared" si="18"/>
        <v>0081501338 / 242510042</v>
      </c>
      <c r="H137" s="377" t="s">
        <v>3573</v>
      </c>
    </row>
    <row r="138">
      <c r="A138" s="375">
        <v>5.0</v>
      </c>
      <c r="B138" s="376">
        <v>113.0</v>
      </c>
      <c r="C138" s="377" t="s">
        <v>3577</v>
      </c>
      <c r="D138" s="377"/>
      <c r="E138" s="377" t="str">
        <f t="shared" si="16"/>
        <v>0085534034</v>
      </c>
      <c r="F138" s="379" t="str">
        <f t="shared" si="17"/>
        <v>242510086</v>
      </c>
      <c r="G138" s="378" t="str">
        <f t="shared" si="18"/>
        <v>0085534034 / 242510086</v>
      </c>
      <c r="H138" s="377" t="s">
        <v>3578</v>
      </c>
    </row>
    <row r="139">
      <c r="A139" s="375">
        <v>6.0</v>
      </c>
      <c r="B139" s="376">
        <v>114.0</v>
      </c>
      <c r="C139" s="377" t="s">
        <v>3582</v>
      </c>
      <c r="D139" s="377"/>
      <c r="E139" s="377" t="str">
        <f t="shared" si="16"/>
        <v>0084745418</v>
      </c>
      <c r="F139" s="379" t="str">
        <f t="shared" si="17"/>
        <v>242510091</v>
      </c>
      <c r="G139" s="378" t="str">
        <f t="shared" si="18"/>
        <v>0084745418 / 242510091</v>
      </c>
      <c r="H139" s="377" t="s">
        <v>3583</v>
      </c>
    </row>
    <row r="140">
      <c r="A140" s="375">
        <v>7.0</v>
      </c>
      <c r="B140" s="376">
        <v>115.0</v>
      </c>
      <c r="C140" s="377" t="s">
        <v>3587</v>
      </c>
      <c r="D140" s="377"/>
      <c r="E140" s="377" t="str">
        <f t="shared" si="16"/>
        <v>0095136014</v>
      </c>
      <c r="F140" s="379" t="str">
        <f t="shared" si="17"/>
        <v>242510102</v>
      </c>
      <c r="G140" s="378" t="str">
        <f t="shared" si="18"/>
        <v>0095136014 / 242510102</v>
      </c>
      <c r="H140" s="377" t="s">
        <v>3588</v>
      </c>
    </row>
    <row r="141">
      <c r="A141" s="375">
        <v>8.0</v>
      </c>
      <c r="B141" s="376">
        <v>116.0</v>
      </c>
      <c r="C141" s="377" t="s">
        <v>3593</v>
      </c>
      <c r="D141" s="377"/>
      <c r="E141" s="377" t="str">
        <f t="shared" si="16"/>
        <v>0098889247</v>
      </c>
      <c r="F141" s="379" t="str">
        <f t="shared" si="17"/>
        <v>242510133</v>
      </c>
      <c r="G141" s="378" t="str">
        <f t="shared" si="18"/>
        <v>0098889247 / 242510133</v>
      </c>
      <c r="H141" s="377" t="s">
        <v>3594</v>
      </c>
    </row>
    <row r="142">
      <c r="A142" s="375">
        <v>9.0</v>
      </c>
      <c r="B142" s="376">
        <v>117.0</v>
      </c>
      <c r="C142" s="377" t="s">
        <v>3598</v>
      </c>
      <c r="D142" s="377"/>
      <c r="E142" s="377" t="str">
        <f t="shared" si="16"/>
        <v>0094252138</v>
      </c>
      <c r="F142" s="379" t="str">
        <f t="shared" si="17"/>
        <v>242510134</v>
      </c>
      <c r="G142" s="378" t="str">
        <f t="shared" si="18"/>
        <v>0094252138 / 242510134</v>
      </c>
      <c r="H142" s="377" t="s">
        <v>3599</v>
      </c>
    </row>
    <row r="143">
      <c r="A143" s="375">
        <v>10.0</v>
      </c>
      <c r="B143" s="376">
        <v>118.0</v>
      </c>
      <c r="C143" s="377" t="s">
        <v>3604</v>
      </c>
      <c r="D143" s="377"/>
      <c r="E143" s="377" t="str">
        <f t="shared" si="16"/>
        <v>0086688060</v>
      </c>
      <c r="F143" s="379" t="str">
        <f t="shared" si="17"/>
        <v>242510135</v>
      </c>
      <c r="G143" s="378" t="str">
        <f t="shared" si="18"/>
        <v>0086688060 / 242510135</v>
      </c>
      <c r="H143" s="377" t="s">
        <v>3605</v>
      </c>
    </row>
    <row r="144">
      <c r="A144" s="375">
        <v>11.0</v>
      </c>
      <c r="B144" s="376">
        <v>119.0</v>
      </c>
      <c r="C144" s="377" t="s">
        <v>3609</v>
      </c>
      <c r="D144" s="377"/>
      <c r="E144" s="377" t="str">
        <f t="shared" si="16"/>
        <v>0092223653</v>
      </c>
      <c r="F144" s="379" t="str">
        <f t="shared" si="17"/>
        <v>242510142</v>
      </c>
      <c r="G144" s="378" t="str">
        <f t="shared" si="18"/>
        <v>0092223653 / 242510142</v>
      </c>
      <c r="H144" s="377" t="s">
        <v>3610</v>
      </c>
    </row>
    <row r="145">
      <c r="A145" s="375">
        <v>12.0</v>
      </c>
      <c r="B145" s="376">
        <v>120.0</v>
      </c>
      <c r="C145" s="377" t="s">
        <v>3614</v>
      </c>
      <c r="D145" s="377"/>
      <c r="E145" s="377" t="str">
        <f t="shared" si="16"/>
        <v>0085278931</v>
      </c>
      <c r="F145" s="379" t="str">
        <f t="shared" si="17"/>
        <v>242510165</v>
      </c>
      <c r="G145" s="378" t="str">
        <f t="shared" si="18"/>
        <v>0085278931 / 242510165</v>
      </c>
      <c r="H145" s="377" t="s">
        <v>3615</v>
      </c>
    </row>
    <row r="146">
      <c r="A146" s="375">
        <v>13.0</v>
      </c>
      <c r="B146" s="376">
        <v>121.0</v>
      </c>
      <c r="C146" s="377" t="s">
        <v>3619</v>
      </c>
      <c r="D146" s="377"/>
      <c r="E146" s="377" t="str">
        <f t="shared" si="16"/>
        <v>0084614966</v>
      </c>
      <c r="F146" s="379" t="str">
        <f t="shared" si="17"/>
        <v>242510167</v>
      </c>
      <c r="G146" s="378" t="str">
        <f t="shared" si="18"/>
        <v>0084614966 / 242510167</v>
      </c>
      <c r="H146" s="377" t="s">
        <v>3620</v>
      </c>
    </row>
    <row r="147">
      <c r="A147" s="375">
        <v>14.0</v>
      </c>
      <c r="B147" s="376">
        <v>122.0</v>
      </c>
      <c r="C147" s="377" t="s">
        <v>3624</v>
      </c>
      <c r="D147" s="377"/>
      <c r="E147" s="377" t="str">
        <f t="shared" si="16"/>
        <v>0097408336</v>
      </c>
      <c r="F147" s="379" t="str">
        <f t="shared" si="17"/>
        <v>242510169</v>
      </c>
      <c r="G147" s="378" t="str">
        <f t="shared" si="18"/>
        <v>0097408336 / 242510169</v>
      </c>
      <c r="H147" s="377" t="s">
        <v>3625</v>
      </c>
    </row>
    <row r="148">
      <c r="A148" s="375">
        <v>15.0</v>
      </c>
      <c r="B148" s="376">
        <v>123.0</v>
      </c>
      <c r="C148" s="377" t="s">
        <v>3630</v>
      </c>
      <c r="D148" s="377"/>
      <c r="E148" s="377" t="str">
        <f t="shared" si="16"/>
        <v>3094028221</v>
      </c>
      <c r="F148" s="379" t="str">
        <f t="shared" si="17"/>
        <v>242510171</v>
      </c>
      <c r="G148" s="378" t="str">
        <f t="shared" si="18"/>
        <v>3094028221 / 242510171</v>
      </c>
      <c r="H148" s="377" t="s">
        <v>3631</v>
      </c>
    </row>
    <row r="149">
      <c r="A149" s="375">
        <v>16.0</v>
      </c>
      <c r="B149" s="376">
        <v>124.0</v>
      </c>
      <c r="C149" s="377" t="s">
        <v>3635</v>
      </c>
      <c r="D149" s="377"/>
      <c r="E149" s="377" t="str">
        <f t="shared" si="16"/>
        <v>0094995394</v>
      </c>
      <c r="F149" s="379" t="str">
        <f t="shared" si="17"/>
        <v>242510176</v>
      </c>
      <c r="G149" s="378" t="str">
        <f t="shared" si="18"/>
        <v>0094995394 / 242510176</v>
      </c>
      <c r="H149" s="377" t="s">
        <v>3636</v>
      </c>
    </row>
    <row r="150">
      <c r="A150" s="375">
        <v>17.0</v>
      </c>
      <c r="B150" s="376">
        <v>125.0</v>
      </c>
      <c r="C150" s="377" t="s">
        <v>3640</v>
      </c>
      <c r="D150" s="377"/>
      <c r="E150" s="377" t="str">
        <f t="shared" si="16"/>
        <v>0081936585</v>
      </c>
      <c r="F150" s="379" t="str">
        <f t="shared" si="17"/>
        <v>242510185</v>
      </c>
      <c r="G150" s="378" t="str">
        <f t="shared" si="18"/>
        <v>0081936585 / 242510185</v>
      </c>
      <c r="H150" s="377" t="s">
        <v>3641</v>
      </c>
    </row>
    <row r="151">
      <c r="A151" s="375">
        <v>18.0</v>
      </c>
      <c r="B151" s="376">
        <v>126.0</v>
      </c>
      <c r="C151" s="377" t="s">
        <v>3645</v>
      </c>
      <c r="D151" s="377"/>
      <c r="E151" s="377" t="str">
        <f t="shared" si="16"/>
        <v>0098191015</v>
      </c>
      <c r="F151" s="379" t="str">
        <f t="shared" si="17"/>
        <v>242510191</v>
      </c>
      <c r="G151" s="378" t="str">
        <f t="shared" si="18"/>
        <v>0098191015 / 242510191</v>
      </c>
      <c r="H151" s="377" t="s">
        <v>3646</v>
      </c>
    </row>
    <row r="152">
      <c r="A152" s="375">
        <v>19.0</v>
      </c>
      <c r="B152" s="376">
        <v>127.0</v>
      </c>
      <c r="C152" s="377" t="s">
        <v>3650</v>
      </c>
      <c r="D152" s="377"/>
      <c r="E152" s="377" t="str">
        <f t="shared" si="16"/>
        <v>0094057771</v>
      </c>
      <c r="F152" s="379" t="str">
        <f t="shared" si="17"/>
        <v>242510199</v>
      </c>
      <c r="G152" s="378" t="str">
        <f t="shared" si="18"/>
        <v>0094057771 / 242510199</v>
      </c>
      <c r="H152" s="377" t="s">
        <v>3651</v>
      </c>
    </row>
    <row r="153">
      <c r="A153" s="375">
        <v>20.0</v>
      </c>
      <c r="B153" s="376">
        <v>128.0</v>
      </c>
      <c r="C153" s="377" t="s">
        <v>3656</v>
      </c>
      <c r="D153" s="377"/>
      <c r="E153" s="377" t="str">
        <f t="shared" si="16"/>
        <v>0095872117</v>
      </c>
      <c r="F153" s="379" t="str">
        <f t="shared" si="17"/>
        <v>242510207</v>
      </c>
      <c r="G153" s="378" t="str">
        <f t="shared" si="18"/>
        <v>0095872117 / 242510207</v>
      </c>
      <c r="H153" s="377" t="s">
        <v>3657</v>
      </c>
    </row>
    <row r="154">
      <c r="A154" s="375">
        <v>21.0</v>
      </c>
      <c r="B154" s="376">
        <v>129.0</v>
      </c>
      <c r="C154" s="377" t="s">
        <v>3661</v>
      </c>
      <c r="D154" s="377"/>
      <c r="E154" s="377" t="str">
        <f t="shared" si="16"/>
        <v>0098268916</v>
      </c>
      <c r="F154" s="379" t="str">
        <f t="shared" si="17"/>
        <v>242510239</v>
      </c>
      <c r="G154" s="378" t="str">
        <f t="shared" si="18"/>
        <v>0098268916 / 242510239</v>
      </c>
      <c r="H154" s="377" t="s">
        <v>3662</v>
      </c>
    </row>
    <row r="155">
      <c r="A155" s="375">
        <v>22.0</v>
      </c>
      <c r="B155" s="376">
        <v>130.0</v>
      </c>
      <c r="C155" s="377" t="s">
        <v>3666</v>
      </c>
      <c r="D155" s="377"/>
      <c r="E155" s="377" t="str">
        <f t="shared" si="16"/>
        <v>0086508497</v>
      </c>
      <c r="F155" s="379" t="str">
        <f t="shared" si="17"/>
        <v>242510241</v>
      </c>
      <c r="G155" s="378" t="str">
        <f t="shared" si="18"/>
        <v>0086508497 / 242510241</v>
      </c>
      <c r="H155" s="377" t="s">
        <v>3667</v>
      </c>
    </row>
    <row r="156">
      <c r="A156" s="375">
        <v>23.0</v>
      </c>
      <c r="B156" s="376">
        <v>131.0</v>
      </c>
      <c r="C156" s="383" t="s">
        <v>3671</v>
      </c>
      <c r="D156" s="383"/>
      <c r="E156" s="377" t="str">
        <f t="shared" si="16"/>
        <v>0091626296</v>
      </c>
      <c r="F156" s="379" t="str">
        <f t="shared" si="17"/>
        <v>242510254</v>
      </c>
      <c r="G156" s="378" t="str">
        <f t="shared" si="18"/>
        <v>0091626296 / 242510254</v>
      </c>
      <c r="H156" s="377" t="s">
        <v>3672</v>
      </c>
    </row>
    <row r="157">
      <c r="A157" s="375">
        <v>24.0</v>
      </c>
      <c r="B157" s="376">
        <v>132.0</v>
      </c>
      <c r="C157" s="377" t="s">
        <v>3676</v>
      </c>
      <c r="D157" s="377"/>
      <c r="E157" s="377" t="str">
        <f t="shared" si="16"/>
        <v>3092559431</v>
      </c>
      <c r="F157" s="379" t="str">
        <f t="shared" si="17"/>
        <v>242510282</v>
      </c>
      <c r="G157" s="378" t="str">
        <f t="shared" si="18"/>
        <v>3092559431 / 242510282</v>
      </c>
      <c r="H157" s="377" t="s">
        <v>3677</v>
      </c>
    </row>
    <row r="158">
      <c r="A158" s="375">
        <v>25.0</v>
      </c>
      <c r="B158" s="376">
        <v>133.0</v>
      </c>
      <c r="C158" s="377" t="s">
        <v>49</v>
      </c>
      <c r="D158" s="377"/>
      <c r="E158" s="377" t="str">
        <f t="shared" si="16"/>
        <v>0083634869</v>
      </c>
      <c r="F158" s="379" t="str">
        <f t="shared" si="17"/>
        <v>242510301</v>
      </c>
      <c r="G158" s="378" t="str">
        <f t="shared" si="18"/>
        <v>0083634869 / 242510301</v>
      </c>
      <c r="H158" s="377" t="s">
        <v>3681</v>
      </c>
    </row>
    <row r="159">
      <c r="A159" s="375">
        <v>26.0</v>
      </c>
      <c r="B159" s="376">
        <v>134.0</v>
      </c>
      <c r="C159" s="377" t="s">
        <v>3686</v>
      </c>
      <c r="D159" s="377"/>
      <c r="E159" s="377" t="str">
        <f t="shared" si="16"/>
        <v>0091257095</v>
      </c>
      <c r="F159" s="379" t="str">
        <f t="shared" si="17"/>
        <v>242510312</v>
      </c>
      <c r="G159" s="378" t="str">
        <f t="shared" si="18"/>
        <v>0091257095 / 242510312</v>
      </c>
      <c r="H159" s="377" t="s">
        <v>3687</v>
      </c>
    </row>
    <row r="160">
      <c r="A160" s="375">
        <v>27.0</v>
      </c>
      <c r="B160" s="376">
        <v>135.0</v>
      </c>
      <c r="C160" s="377" t="s">
        <v>3691</v>
      </c>
      <c r="D160" s="377"/>
      <c r="E160" s="377" t="str">
        <f t="shared" si="16"/>
        <v>0093570911</v>
      </c>
      <c r="F160" s="379" t="str">
        <f t="shared" si="17"/>
        <v>242510321</v>
      </c>
      <c r="G160" s="378" t="str">
        <f t="shared" si="18"/>
        <v>0093570911 / 242510321</v>
      </c>
      <c r="H160" s="377" t="s">
        <v>3692</v>
      </c>
    </row>
    <row r="161">
      <c r="A161" s="375">
        <v>28.0</v>
      </c>
      <c r="B161" s="376">
        <v>136.0</v>
      </c>
      <c r="C161" s="377" t="s">
        <v>3696</v>
      </c>
      <c r="D161" s="377"/>
      <c r="E161" s="377" t="str">
        <f t="shared" si="16"/>
        <v>0099524653</v>
      </c>
      <c r="F161" s="379" t="str">
        <f t="shared" si="17"/>
        <v>242510324</v>
      </c>
      <c r="G161" s="378" t="str">
        <f t="shared" si="18"/>
        <v>0099524653 / 242510324</v>
      </c>
      <c r="H161" s="377" t="s">
        <v>3697</v>
      </c>
    </row>
    <row r="162">
      <c r="A162" s="375">
        <v>29.0</v>
      </c>
      <c r="B162" s="376">
        <v>137.0</v>
      </c>
      <c r="C162" s="377" t="s">
        <v>3701</v>
      </c>
      <c r="D162" s="377"/>
      <c r="E162" s="377" t="str">
        <f t="shared" si="16"/>
        <v>0096689975</v>
      </c>
      <c r="F162" s="379" t="str">
        <f t="shared" si="17"/>
        <v>242510341</v>
      </c>
      <c r="G162" s="378" t="str">
        <f t="shared" si="18"/>
        <v>0096689975 / 242510341</v>
      </c>
      <c r="H162" s="377" t="s">
        <v>3702</v>
      </c>
    </row>
    <row r="163">
      <c r="A163" s="375">
        <v>30.0</v>
      </c>
      <c r="B163" s="376">
        <v>138.0</v>
      </c>
      <c r="C163" s="377" t="s">
        <v>3706</v>
      </c>
      <c r="D163" s="377"/>
      <c r="E163" s="377" t="str">
        <f t="shared" si="16"/>
        <v>0087172262</v>
      </c>
      <c r="F163" s="379" t="str">
        <f t="shared" si="17"/>
        <v>242510346</v>
      </c>
      <c r="G163" s="378" t="str">
        <f t="shared" si="18"/>
        <v>0087172262 / 242510346</v>
      </c>
      <c r="H163" s="377" t="s">
        <v>3707</v>
      </c>
    </row>
    <row r="164">
      <c r="A164" s="375">
        <v>31.0</v>
      </c>
      <c r="B164" s="376">
        <v>139.0</v>
      </c>
      <c r="C164" s="377" t="s">
        <v>3712</v>
      </c>
      <c r="D164" s="377"/>
      <c r="E164" s="377" t="str">
        <f t="shared" si="16"/>
        <v>0089992734</v>
      </c>
      <c r="F164" s="379" t="str">
        <f t="shared" si="17"/>
        <v>242510348</v>
      </c>
      <c r="G164" s="378" t="str">
        <f t="shared" si="18"/>
        <v>0089992734 / 242510348</v>
      </c>
      <c r="H164" s="377" t="s">
        <v>3713</v>
      </c>
    </row>
    <row r="165">
      <c r="A165" s="375">
        <v>32.0</v>
      </c>
      <c r="B165" s="376">
        <v>140.0</v>
      </c>
      <c r="C165" s="377" t="s">
        <v>3717</v>
      </c>
      <c r="D165" s="377"/>
      <c r="E165" s="377" t="str">
        <f t="shared" si="16"/>
        <v>0094272879</v>
      </c>
      <c r="F165" s="379" t="str">
        <f t="shared" si="17"/>
        <v>242510349</v>
      </c>
      <c r="G165" s="378" t="str">
        <f t="shared" si="18"/>
        <v>0094272879 / 242510349</v>
      </c>
      <c r="H165" s="377" t="s">
        <v>3718</v>
      </c>
    </row>
    <row r="166">
      <c r="A166" s="375">
        <v>33.0</v>
      </c>
      <c r="B166" s="376">
        <v>141.0</v>
      </c>
      <c r="C166" s="377" t="s">
        <v>3722</v>
      </c>
      <c r="D166" s="377"/>
      <c r="E166" s="377" t="str">
        <f t="shared" si="16"/>
        <v>0094686903</v>
      </c>
      <c r="F166" s="379" t="str">
        <f t="shared" si="17"/>
        <v>242510362</v>
      </c>
      <c r="G166" s="378" t="str">
        <f t="shared" si="18"/>
        <v>0094686903 / 242510362</v>
      </c>
      <c r="H166" s="377" t="s">
        <v>3723</v>
      </c>
    </row>
    <row r="167">
      <c r="A167" s="375">
        <v>34.0</v>
      </c>
      <c r="B167" s="376">
        <v>142.0</v>
      </c>
      <c r="C167" s="377" t="s">
        <v>3727</v>
      </c>
      <c r="D167" s="377"/>
      <c r="E167" s="377" t="str">
        <f t="shared" si="16"/>
        <v>0096820534</v>
      </c>
      <c r="F167" s="379" t="str">
        <f t="shared" si="17"/>
        <v>242510382</v>
      </c>
      <c r="G167" s="378" t="str">
        <f t="shared" si="18"/>
        <v>0096820534 / 242510382</v>
      </c>
      <c r="H167" s="377" t="s">
        <v>3728</v>
      </c>
    </row>
    <row r="168">
      <c r="A168" s="375">
        <v>35.0</v>
      </c>
      <c r="B168" s="376">
        <v>143.0</v>
      </c>
      <c r="C168" s="377" t="s">
        <v>3732</v>
      </c>
      <c r="D168" s="377"/>
      <c r="E168" s="377" t="str">
        <f t="shared" si="16"/>
        <v>0091356987</v>
      </c>
      <c r="F168" s="379" t="str">
        <f t="shared" si="17"/>
        <v>242510392</v>
      </c>
      <c r="G168" s="378" t="str">
        <f t="shared" si="18"/>
        <v>0091356987 / 242510392</v>
      </c>
      <c r="H168" s="377" t="s">
        <v>3733</v>
      </c>
    </row>
    <row r="169">
      <c r="A169" s="375">
        <v>36.0</v>
      </c>
      <c r="B169" s="376">
        <v>144.0</v>
      </c>
      <c r="C169" s="377" t="s">
        <v>3738</v>
      </c>
      <c r="D169" s="377"/>
      <c r="E169" s="377" t="str">
        <f t="shared" si="16"/>
        <v>0084616257</v>
      </c>
      <c r="F169" s="379" t="str">
        <f t="shared" si="17"/>
        <v>242510420</v>
      </c>
      <c r="G169" s="378" t="str">
        <f t="shared" si="18"/>
        <v>0084616257 / 242510420</v>
      </c>
      <c r="H169" s="377" t="s">
        <v>3739</v>
      </c>
    </row>
    <row r="170" hidden="1">
      <c r="A170" s="372"/>
      <c r="B170" s="372"/>
      <c r="C170" s="372"/>
      <c r="D170" s="372"/>
      <c r="E170" s="372"/>
      <c r="F170" s="372"/>
      <c r="G170" s="372"/>
      <c r="H170" s="372"/>
    </row>
    <row r="171" hidden="1">
      <c r="A171" s="373" t="s">
        <v>9843</v>
      </c>
      <c r="B171" s="373"/>
      <c r="C171" s="373"/>
      <c r="D171" s="373"/>
      <c r="E171" s="373"/>
      <c r="F171" s="373"/>
      <c r="G171" s="373"/>
      <c r="H171" s="373"/>
    </row>
    <row r="172" hidden="1">
      <c r="A172" s="374" t="s">
        <v>9844</v>
      </c>
      <c r="B172" s="374"/>
      <c r="C172" s="374"/>
      <c r="D172" s="374"/>
      <c r="E172" s="374"/>
      <c r="F172" s="374"/>
      <c r="G172" s="374"/>
      <c r="H172" s="374"/>
    </row>
    <row r="173" hidden="1">
      <c r="A173" s="111" t="s">
        <v>8748</v>
      </c>
      <c r="B173" s="111"/>
      <c r="C173" s="111" t="s">
        <v>9</v>
      </c>
      <c r="D173" s="111" t="s">
        <v>5246</v>
      </c>
      <c r="E173" s="111"/>
      <c r="F173" s="111"/>
      <c r="G173" s="111"/>
      <c r="H173" s="111" t="s">
        <v>8680</v>
      </c>
    </row>
    <row r="174" hidden="1">
      <c r="A174" s="119"/>
      <c r="B174" s="119"/>
      <c r="C174" s="119"/>
      <c r="D174" s="119"/>
      <c r="E174" s="119"/>
      <c r="F174" s="119"/>
      <c r="G174" s="119"/>
      <c r="H174" s="119"/>
    </row>
    <row r="175">
      <c r="A175" s="375">
        <v>1.0</v>
      </c>
      <c r="B175" s="376">
        <v>145.0</v>
      </c>
      <c r="C175" s="377" t="s">
        <v>3743</v>
      </c>
      <c r="D175" s="377"/>
      <c r="E175" s="377" t="str">
        <f t="shared" ref="E175:E210" si="19">TRIM(LEFT(C175, FIND("/", C175)-1))</f>
        <v>0097029152</v>
      </c>
      <c r="F175" s="379" t="str">
        <f t="shared" ref="F175:F210" si="20">TRIM(MID(C175, FIND("/", C175)+1, LEN(C175)))</f>
        <v>242510001</v>
      </c>
      <c r="G175" s="378" t="str">
        <f t="shared" ref="G175:G210" si="21">E175&amp;" / "&amp;F175</f>
        <v>0097029152 / 242510001</v>
      </c>
      <c r="H175" s="377" t="s">
        <v>3744</v>
      </c>
    </row>
    <row r="176">
      <c r="A176" s="375">
        <v>2.0</v>
      </c>
      <c r="B176" s="376">
        <v>146.0</v>
      </c>
      <c r="C176" s="377" t="s">
        <v>3750</v>
      </c>
      <c r="D176" s="377"/>
      <c r="E176" s="377" t="str">
        <f t="shared" si="19"/>
        <v>0096738562</v>
      </c>
      <c r="F176" s="379" t="str">
        <f t="shared" si="20"/>
        <v>242510014</v>
      </c>
      <c r="G176" s="378" t="str">
        <f t="shared" si="21"/>
        <v>0096738562 / 242510014</v>
      </c>
      <c r="H176" s="377" t="s">
        <v>3751</v>
      </c>
    </row>
    <row r="177">
      <c r="A177" s="375">
        <v>3.0</v>
      </c>
      <c r="B177" s="376">
        <v>147.0</v>
      </c>
      <c r="C177" s="377" t="s">
        <v>3755</v>
      </c>
      <c r="D177" s="377"/>
      <c r="E177" s="377" t="str">
        <f t="shared" si="19"/>
        <v>0099375029</v>
      </c>
      <c r="F177" s="379" t="str">
        <f t="shared" si="20"/>
        <v>242510019</v>
      </c>
      <c r="G177" s="378" t="str">
        <f t="shared" si="21"/>
        <v>0099375029 / 242510019</v>
      </c>
      <c r="H177" s="377" t="s">
        <v>3756</v>
      </c>
    </row>
    <row r="178">
      <c r="A178" s="375">
        <v>4.0</v>
      </c>
      <c r="B178" s="376">
        <v>148.0</v>
      </c>
      <c r="C178" s="377" t="s">
        <v>3760</v>
      </c>
      <c r="D178" s="377"/>
      <c r="E178" s="377" t="str">
        <f t="shared" si="19"/>
        <v>0085348468</v>
      </c>
      <c r="F178" s="379" t="str">
        <f t="shared" si="20"/>
        <v>242510024</v>
      </c>
      <c r="G178" s="378" t="str">
        <f t="shared" si="21"/>
        <v>0085348468 / 242510024</v>
      </c>
      <c r="H178" s="377" t="s">
        <v>3761</v>
      </c>
    </row>
    <row r="179">
      <c r="A179" s="375">
        <v>5.0</v>
      </c>
      <c r="B179" s="376">
        <v>149.0</v>
      </c>
      <c r="C179" s="377" t="s">
        <v>3765</v>
      </c>
      <c r="D179" s="377"/>
      <c r="E179" s="377" t="str">
        <f t="shared" si="19"/>
        <v>0095154966</v>
      </c>
      <c r="F179" s="379" t="str">
        <f t="shared" si="20"/>
        <v>242510036</v>
      </c>
      <c r="G179" s="378" t="str">
        <f t="shared" si="21"/>
        <v>0095154966 / 242510036</v>
      </c>
      <c r="H179" s="377" t="s">
        <v>3766</v>
      </c>
    </row>
    <row r="180">
      <c r="A180" s="375">
        <v>6.0</v>
      </c>
      <c r="B180" s="376">
        <v>150.0</v>
      </c>
      <c r="C180" s="377" t="s">
        <v>3770</v>
      </c>
      <c r="D180" s="377"/>
      <c r="E180" s="377" t="str">
        <f t="shared" si="19"/>
        <v>0096990480</v>
      </c>
      <c r="F180" s="379" t="str">
        <f t="shared" si="20"/>
        <v>242510044</v>
      </c>
      <c r="G180" s="378" t="str">
        <f t="shared" si="21"/>
        <v>0096990480 / 242510044</v>
      </c>
      <c r="H180" s="377" t="s">
        <v>3771</v>
      </c>
    </row>
    <row r="181">
      <c r="A181" s="375">
        <v>7.0</v>
      </c>
      <c r="B181" s="376">
        <v>151.0</v>
      </c>
      <c r="C181" s="377" t="s">
        <v>3775</v>
      </c>
      <c r="D181" s="377"/>
      <c r="E181" s="377" t="str">
        <f t="shared" si="19"/>
        <v>0081271561</v>
      </c>
      <c r="F181" s="379" t="str">
        <f t="shared" si="20"/>
        <v>242510054</v>
      </c>
      <c r="G181" s="378" t="str">
        <f t="shared" si="21"/>
        <v>0081271561 / 242510054</v>
      </c>
      <c r="H181" s="377" t="s">
        <v>3776</v>
      </c>
    </row>
    <row r="182">
      <c r="A182" s="375">
        <v>8.0</v>
      </c>
      <c r="B182" s="376">
        <v>152.0</v>
      </c>
      <c r="C182" s="377" t="s">
        <v>3781</v>
      </c>
      <c r="D182" s="377"/>
      <c r="E182" s="377" t="str">
        <f t="shared" si="19"/>
        <v>0099561898</v>
      </c>
      <c r="F182" s="379" t="str">
        <f t="shared" si="20"/>
        <v>242510071</v>
      </c>
      <c r="G182" s="378" t="str">
        <f t="shared" si="21"/>
        <v>0099561898 / 242510071</v>
      </c>
      <c r="H182" s="377" t="s">
        <v>3782</v>
      </c>
    </row>
    <row r="183">
      <c r="A183" s="375">
        <v>9.0</v>
      </c>
      <c r="B183" s="376">
        <v>153.0</v>
      </c>
      <c r="C183" s="377" t="s">
        <v>3786</v>
      </c>
      <c r="D183" s="377"/>
      <c r="E183" s="377" t="str">
        <f t="shared" si="19"/>
        <v>0091681862</v>
      </c>
      <c r="F183" s="379" t="str">
        <f t="shared" si="20"/>
        <v>242510088</v>
      </c>
      <c r="G183" s="378" t="str">
        <f t="shared" si="21"/>
        <v>0091681862 / 242510088</v>
      </c>
      <c r="H183" s="377" t="s">
        <v>3787</v>
      </c>
    </row>
    <row r="184">
      <c r="A184" s="375">
        <v>10.0</v>
      </c>
      <c r="B184" s="376">
        <v>154.0</v>
      </c>
      <c r="C184" s="377" t="s">
        <v>3791</v>
      </c>
      <c r="D184" s="377"/>
      <c r="E184" s="377" t="str">
        <f t="shared" si="19"/>
        <v>0098451979</v>
      </c>
      <c r="F184" s="379" t="str">
        <f t="shared" si="20"/>
        <v>242510161</v>
      </c>
      <c r="G184" s="378" t="str">
        <f t="shared" si="21"/>
        <v>0098451979 / 242510161</v>
      </c>
      <c r="H184" s="377" t="s">
        <v>3792</v>
      </c>
    </row>
    <row r="185">
      <c r="A185" s="375">
        <v>11.0</v>
      </c>
      <c r="B185" s="376">
        <v>155.0</v>
      </c>
      <c r="C185" s="377" t="s">
        <v>3796</v>
      </c>
      <c r="D185" s="377"/>
      <c r="E185" s="377" t="str">
        <f t="shared" si="19"/>
        <v>0084845522</v>
      </c>
      <c r="F185" s="379" t="str">
        <f t="shared" si="20"/>
        <v>242510200</v>
      </c>
      <c r="G185" s="378" t="str">
        <f t="shared" si="21"/>
        <v>0084845522 / 242510200</v>
      </c>
      <c r="H185" s="377" t="s">
        <v>3797</v>
      </c>
    </row>
    <row r="186">
      <c r="A186" s="375">
        <v>12.0</v>
      </c>
      <c r="B186" s="376">
        <v>156.0</v>
      </c>
      <c r="C186" s="377" t="s">
        <v>3801</v>
      </c>
      <c r="D186" s="377"/>
      <c r="E186" s="377" t="str">
        <f t="shared" si="19"/>
        <v>0083434779</v>
      </c>
      <c r="F186" s="379" t="str">
        <f t="shared" si="20"/>
        <v>252611571</v>
      </c>
      <c r="G186" s="378" t="str">
        <f t="shared" si="21"/>
        <v>0083434779 / 252611571</v>
      </c>
      <c r="H186" s="377" t="s">
        <v>3802</v>
      </c>
    </row>
    <row r="187">
      <c r="A187" s="375">
        <v>13.0</v>
      </c>
      <c r="B187" s="376">
        <v>157.0</v>
      </c>
      <c r="C187" s="377" t="s">
        <v>3807</v>
      </c>
      <c r="D187" s="377"/>
      <c r="E187" s="377" t="str">
        <f t="shared" si="19"/>
        <v>0094551974</v>
      </c>
      <c r="F187" s="379" t="str">
        <f t="shared" si="20"/>
        <v>242510212</v>
      </c>
      <c r="G187" s="378" t="str">
        <f t="shared" si="21"/>
        <v>0094551974 / 242510212</v>
      </c>
      <c r="H187" s="377" t="s">
        <v>3808</v>
      </c>
    </row>
    <row r="188">
      <c r="A188" s="375">
        <v>14.0</v>
      </c>
      <c r="B188" s="376">
        <v>158.0</v>
      </c>
      <c r="C188" s="377" t="s">
        <v>3812</v>
      </c>
      <c r="D188" s="377"/>
      <c r="E188" s="377" t="str">
        <f t="shared" si="19"/>
        <v>0081855086</v>
      </c>
      <c r="F188" s="379" t="str">
        <f t="shared" si="20"/>
        <v>242510220</v>
      </c>
      <c r="G188" s="378" t="str">
        <f t="shared" si="21"/>
        <v>0081855086 / 242510220</v>
      </c>
      <c r="H188" s="377" t="s">
        <v>3813</v>
      </c>
    </row>
    <row r="189">
      <c r="A189" s="375">
        <v>15.0</v>
      </c>
      <c r="B189" s="376">
        <v>159.0</v>
      </c>
      <c r="C189" s="377" t="s">
        <v>128</v>
      </c>
      <c r="D189" s="377"/>
      <c r="E189" s="377" t="str">
        <f t="shared" si="19"/>
        <v>0083951567</v>
      </c>
      <c r="F189" s="379" t="str">
        <f t="shared" si="20"/>
        <v>242510221</v>
      </c>
      <c r="G189" s="378" t="str">
        <f t="shared" si="21"/>
        <v>0083951567 / 242510221</v>
      </c>
      <c r="H189" s="377" t="s">
        <v>3817</v>
      </c>
    </row>
    <row r="190">
      <c r="A190" s="375">
        <v>16.0</v>
      </c>
      <c r="B190" s="376">
        <v>160.0</v>
      </c>
      <c r="C190" s="377" t="s">
        <v>3821</v>
      </c>
      <c r="D190" s="377"/>
      <c r="E190" s="377" t="str">
        <f t="shared" si="19"/>
        <v>0093504759</v>
      </c>
      <c r="F190" s="379" t="str">
        <f t="shared" si="20"/>
        <v>242510251</v>
      </c>
      <c r="G190" s="378" t="str">
        <f t="shared" si="21"/>
        <v>0093504759 / 242510251</v>
      </c>
      <c r="H190" s="377" t="s">
        <v>3822</v>
      </c>
    </row>
    <row r="191">
      <c r="A191" s="375">
        <v>17.0</v>
      </c>
      <c r="B191" s="376">
        <v>161.0</v>
      </c>
      <c r="C191" s="377" t="s">
        <v>3826</v>
      </c>
      <c r="D191" s="377"/>
      <c r="E191" s="377" t="str">
        <f t="shared" si="19"/>
        <v>0086270372</v>
      </c>
      <c r="F191" s="379" t="str">
        <f t="shared" si="20"/>
        <v>242510271</v>
      </c>
      <c r="G191" s="378" t="str">
        <f t="shared" si="21"/>
        <v>0086270372 / 242510271</v>
      </c>
      <c r="H191" s="377" t="s">
        <v>3827</v>
      </c>
    </row>
    <row r="192">
      <c r="A192" s="375">
        <v>18.0</v>
      </c>
      <c r="B192" s="376">
        <v>162.0</v>
      </c>
      <c r="C192" s="377" t="s">
        <v>3832</v>
      </c>
      <c r="D192" s="377"/>
      <c r="E192" s="377" t="str">
        <f t="shared" si="19"/>
        <v>0096643467</v>
      </c>
      <c r="F192" s="379" t="str">
        <f t="shared" si="20"/>
        <v>242510272</v>
      </c>
      <c r="G192" s="378" t="str">
        <f t="shared" si="21"/>
        <v>0096643467 / 242510272</v>
      </c>
      <c r="H192" s="377" t="s">
        <v>3833</v>
      </c>
    </row>
    <row r="193">
      <c r="A193" s="375">
        <v>19.0</v>
      </c>
      <c r="B193" s="376">
        <v>163.0</v>
      </c>
      <c r="C193" s="377" t="s">
        <v>3837</v>
      </c>
      <c r="D193" s="377"/>
      <c r="E193" s="377" t="str">
        <f t="shared" si="19"/>
        <v>0091089933</v>
      </c>
      <c r="F193" s="379" t="str">
        <f t="shared" si="20"/>
        <v>242510284</v>
      </c>
      <c r="G193" s="378" t="str">
        <f t="shared" si="21"/>
        <v>0091089933 / 242510284</v>
      </c>
      <c r="H193" s="377" t="s">
        <v>3838</v>
      </c>
    </row>
    <row r="194">
      <c r="A194" s="375">
        <v>20.0</v>
      </c>
      <c r="B194" s="376">
        <v>164.0</v>
      </c>
      <c r="C194" s="377" t="s">
        <v>3842</v>
      </c>
      <c r="D194" s="377"/>
      <c r="E194" s="377" t="str">
        <f t="shared" si="19"/>
        <v>0096304188</v>
      </c>
      <c r="F194" s="379" t="str">
        <f t="shared" si="20"/>
        <v>242510289</v>
      </c>
      <c r="G194" s="378" t="str">
        <f t="shared" si="21"/>
        <v>0096304188 / 242510289</v>
      </c>
      <c r="H194" s="377" t="s">
        <v>3843</v>
      </c>
    </row>
    <row r="195">
      <c r="A195" s="375">
        <v>21.0</v>
      </c>
      <c r="B195" s="376">
        <v>165.0</v>
      </c>
      <c r="C195" s="377" t="s">
        <v>3847</v>
      </c>
      <c r="D195" s="377"/>
      <c r="E195" s="377" t="str">
        <f t="shared" si="19"/>
        <v>0097295872</v>
      </c>
      <c r="F195" s="379" t="str">
        <f t="shared" si="20"/>
        <v>242510292</v>
      </c>
      <c r="G195" s="378" t="str">
        <f t="shared" si="21"/>
        <v>0097295872 / 242510292</v>
      </c>
      <c r="H195" s="377" t="s">
        <v>3848</v>
      </c>
    </row>
    <row r="196">
      <c r="A196" s="375">
        <v>22.0</v>
      </c>
      <c r="B196" s="376">
        <v>166.0</v>
      </c>
      <c r="C196" s="377" t="s">
        <v>3852</v>
      </c>
      <c r="D196" s="377"/>
      <c r="E196" s="377" t="str">
        <f t="shared" si="19"/>
        <v>0096224183</v>
      </c>
      <c r="F196" s="379" t="str">
        <f t="shared" si="20"/>
        <v>242510299</v>
      </c>
      <c r="G196" s="378" t="str">
        <f t="shared" si="21"/>
        <v>0096224183 / 242510299</v>
      </c>
      <c r="H196" s="377" t="s">
        <v>3853</v>
      </c>
    </row>
    <row r="197">
      <c r="A197" s="375">
        <v>23.0</v>
      </c>
      <c r="B197" s="376">
        <v>167.0</v>
      </c>
      <c r="C197" s="377" t="s">
        <v>3857</v>
      </c>
      <c r="D197" s="377"/>
      <c r="E197" s="377" t="str">
        <f t="shared" si="19"/>
        <v>0083048491</v>
      </c>
      <c r="F197" s="379" t="str">
        <f t="shared" si="20"/>
        <v>242510303</v>
      </c>
      <c r="G197" s="378" t="str">
        <f t="shared" si="21"/>
        <v>0083048491 / 242510303</v>
      </c>
      <c r="H197" s="377" t="s">
        <v>3858</v>
      </c>
    </row>
    <row r="198">
      <c r="A198" s="375">
        <v>24.0</v>
      </c>
      <c r="B198" s="376">
        <v>168.0</v>
      </c>
      <c r="C198" s="377" t="s">
        <v>3863</v>
      </c>
      <c r="D198" s="377"/>
      <c r="E198" s="377" t="str">
        <f t="shared" si="19"/>
        <v>0094414485</v>
      </c>
      <c r="F198" s="379" t="str">
        <f t="shared" si="20"/>
        <v>242510315</v>
      </c>
      <c r="G198" s="378" t="str">
        <f t="shared" si="21"/>
        <v>0094414485 / 242510315</v>
      </c>
      <c r="H198" s="377" t="s">
        <v>3864</v>
      </c>
    </row>
    <row r="199">
      <c r="A199" s="375">
        <v>25.0</v>
      </c>
      <c r="B199" s="376">
        <v>169.0</v>
      </c>
      <c r="C199" s="377" t="s">
        <v>3868</v>
      </c>
      <c r="D199" s="377"/>
      <c r="E199" s="377" t="str">
        <f t="shared" si="19"/>
        <v>0095501589</v>
      </c>
      <c r="F199" s="379" t="str">
        <f t="shared" si="20"/>
        <v>242510318</v>
      </c>
      <c r="G199" s="378" t="str">
        <f t="shared" si="21"/>
        <v>0095501589 / 242510318</v>
      </c>
      <c r="H199" s="377" t="s">
        <v>3869</v>
      </c>
    </row>
    <row r="200">
      <c r="A200" s="375">
        <v>26.0</v>
      </c>
      <c r="B200" s="376">
        <v>170.0</v>
      </c>
      <c r="C200" s="377" t="s">
        <v>3873</v>
      </c>
      <c r="D200" s="377"/>
      <c r="E200" s="377" t="str">
        <f t="shared" si="19"/>
        <v>0093298242</v>
      </c>
      <c r="F200" s="379" t="str">
        <f t="shared" si="20"/>
        <v>242510319</v>
      </c>
      <c r="G200" s="378" t="str">
        <f t="shared" si="21"/>
        <v>0093298242 / 242510319</v>
      </c>
      <c r="H200" s="377" t="s">
        <v>3874</v>
      </c>
    </row>
    <row r="201">
      <c r="A201" s="375">
        <v>27.0</v>
      </c>
      <c r="B201" s="376">
        <v>171.0</v>
      </c>
      <c r="C201" s="377" t="s">
        <v>3878</v>
      </c>
      <c r="D201" s="377"/>
      <c r="E201" s="377" t="str">
        <f t="shared" si="19"/>
        <v>0093266742</v>
      </c>
      <c r="F201" s="379" t="str">
        <f t="shared" si="20"/>
        <v>242510320</v>
      </c>
      <c r="G201" s="378" t="str">
        <f t="shared" si="21"/>
        <v>0093266742 / 242510320</v>
      </c>
      <c r="H201" s="377" t="s">
        <v>3879</v>
      </c>
    </row>
    <row r="202">
      <c r="A202" s="375">
        <v>28.0</v>
      </c>
      <c r="B202" s="376">
        <v>172.0</v>
      </c>
      <c r="C202" s="377" t="s">
        <v>3884</v>
      </c>
      <c r="D202" s="377"/>
      <c r="E202" s="377" t="str">
        <f t="shared" si="19"/>
        <v>0092205557</v>
      </c>
      <c r="F202" s="379" t="str">
        <f t="shared" si="20"/>
        <v>242510345</v>
      </c>
      <c r="G202" s="378" t="str">
        <f t="shared" si="21"/>
        <v>0092205557 / 242510345</v>
      </c>
      <c r="H202" s="377" t="s">
        <v>3885</v>
      </c>
    </row>
    <row r="203">
      <c r="A203" s="375">
        <v>29.0</v>
      </c>
      <c r="B203" s="376">
        <v>173.0</v>
      </c>
      <c r="C203" s="377" t="s">
        <v>3890</v>
      </c>
      <c r="D203" s="377"/>
      <c r="E203" s="377" t="str">
        <f t="shared" si="19"/>
        <v>0073027831</v>
      </c>
      <c r="F203" s="379" t="str">
        <f t="shared" si="20"/>
        <v>242510356</v>
      </c>
      <c r="G203" s="378" t="str">
        <f t="shared" si="21"/>
        <v>0073027831 / 242510356</v>
      </c>
      <c r="H203" s="377" t="s">
        <v>3891</v>
      </c>
    </row>
    <row r="204">
      <c r="A204" s="375">
        <v>30.0</v>
      </c>
      <c r="B204" s="376">
        <v>174.0</v>
      </c>
      <c r="C204" s="377" t="s">
        <v>3895</v>
      </c>
      <c r="D204" s="377"/>
      <c r="E204" s="377" t="str">
        <f t="shared" si="19"/>
        <v>0091228007</v>
      </c>
      <c r="F204" s="379" t="str">
        <f t="shared" si="20"/>
        <v>242510363</v>
      </c>
      <c r="G204" s="378" t="str">
        <f t="shared" si="21"/>
        <v>0091228007 / 242510363</v>
      </c>
      <c r="H204" s="377" t="s">
        <v>3896</v>
      </c>
    </row>
    <row r="205">
      <c r="A205" s="375">
        <v>31.0</v>
      </c>
      <c r="B205" s="376">
        <v>175.0</v>
      </c>
      <c r="C205" s="377" t="s">
        <v>3901</v>
      </c>
      <c r="D205" s="377"/>
      <c r="E205" s="377" t="str">
        <f t="shared" si="19"/>
        <v>0089954401</v>
      </c>
      <c r="F205" s="379" t="str">
        <f t="shared" si="20"/>
        <v>242510367</v>
      </c>
      <c r="G205" s="378" t="str">
        <f t="shared" si="21"/>
        <v>0089954401 / 242510367</v>
      </c>
      <c r="H205" s="377" t="s">
        <v>3902</v>
      </c>
    </row>
    <row r="206">
      <c r="A206" s="375">
        <v>32.0</v>
      </c>
      <c r="B206" s="376">
        <v>176.0</v>
      </c>
      <c r="C206" s="377" t="s">
        <v>3906</v>
      </c>
      <c r="D206" s="377"/>
      <c r="E206" s="377" t="str">
        <f t="shared" si="19"/>
        <v>0089191714</v>
      </c>
      <c r="F206" s="379" t="str">
        <f t="shared" si="20"/>
        <v>242510372</v>
      </c>
      <c r="G206" s="378" t="str">
        <f t="shared" si="21"/>
        <v>0089191714 / 242510372</v>
      </c>
      <c r="H206" s="377" t="s">
        <v>3907</v>
      </c>
    </row>
    <row r="207">
      <c r="A207" s="375">
        <v>33.0</v>
      </c>
      <c r="B207" s="376">
        <v>177.0</v>
      </c>
      <c r="C207" s="377" t="s">
        <v>3911</v>
      </c>
      <c r="D207" s="377"/>
      <c r="E207" s="377" t="str">
        <f t="shared" si="19"/>
        <v>0095117423</v>
      </c>
      <c r="F207" s="379" t="str">
        <f t="shared" si="20"/>
        <v>242510380</v>
      </c>
      <c r="G207" s="378" t="str">
        <f t="shared" si="21"/>
        <v>0095117423 / 242510380</v>
      </c>
      <c r="H207" s="377" t="s">
        <v>3912</v>
      </c>
    </row>
    <row r="208">
      <c r="A208" s="375">
        <v>34.0</v>
      </c>
      <c r="B208" s="376">
        <v>178.0</v>
      </c>
      <c r="C208" s="377" t="s">
        <v>3916</v>
      </c>
      <c r="D208" s="377"/>
      <c r="E208" s="377" t="str">
        <f t="shared" si="19"/>
        <v>0088535031</v>
      </c>
      <c r="F208" s="379" t="str">
        <f t="shared" si="20"/>
        <v>242510391</v>
      </c>
      <c r="G208" s="378" t="str">
        <f t="shared" si="21"/>
        <v>0088535031 / 242510391</v>
      </c>
      <c r="H208" s="377" t="s">
        <v>3917</v>
      </c>
    </row>
    <row r="209">
      <c r="A209" s="375">
        <v>35.0</v>
      </c>
      <c r="B209" s="376">
        <v>179.0</v>
      </c>
      <c r="C209" s="377" t="s">
        <v>3921</v>
      </c>
      <c r="D209" s="386"/>
      <c r="E209" s="377" t="str">
        <f t="shared" si="19"/>
        <v>0087500688</v>
      </c>
      <c r="F209" s="379" t="str">
        <f t="shared" si="20"/>
        <v>242510399</v>
      </c>
      <c r="G209" s="378" t="str">
        <f t="shared" si="21"/>
        <v>0087500688 / 242510399</v>
      </c>
      <c r="H209" s="377" t="s">
        <v>3922</v>
      </c>
    </row>
    <row r="210">
      <c r="A210" s="375">
        <v>36.0</v>
      </c>
      <c r="B210" s="376">
        <v>180.0</v>
      </c>
      <c r="C210" s="377" t="s">
        <v>3926</v>
      </c>
      <c r="D210" s="377"/>
      <c r="E210" s="377" t="str">
        <f t="shared" si="19"/>
        <v>0092434039</v>
      </c>
      <c r="F210" s="379" t="str">
        <f t="shared" si="20"/>
        <v>242510410</v>
      </c>
      <c r="G210" s="378" t="str">
        <f t="shared" si="21"/>
        <v>0092434039 / 242510410</v>
      </c>
      <c r="H210" s="377" t="s">
        <v>3927</v>
      </c>
    </row>
    <row r="211" hidden="1">
      <c r="A211" s="372"/>
      <c r="B211" s="372"/>
      <c r="C211" s="372"/>
      <c r="D211" s="372"/>
      <c r="E211" s="372"/>
      <c r="F211" s="372"/>
      <c r="G211" s="372"/>
      <c r="H211" s="372"/>
    </row>
    <row r="212" hidden="1">
      <c r="A212" s="373" t="s">
        <v>9479</v>
      </c>
      <c r="B212" s="373"/>
      <c r="C212" s="373"/>
      <c r="D212" s="373"/>
      <c r="E212" s="373"/>
      <c r="F212" s="373"/>
      <c r="G212" s="373"/>
      <c r="H212" s="373"/>
    </row>
    <row r="213" hidden="1">
      <c r="A213" s="374" t="s">
        <v>9845</v>
      </c>
      <c r="B213" s="374"/>
      <c r="C213" s="374"/>
      <c r="D213" s="374"/>
      <c r="E213" s="374"/>
      <c r="F213" s="374"/>
      <c r="G213" s="374"/>
      <c r="H213" s="374"/>
    </row>
    <row r="214" hidden="1">
      <c r="A214" s="111" t="s">
        <v>8748</v>
      </c>
      <c r="B214" s="111"/>
      <c r="C214" s="111" t="s">
        <v>9</v>
      </c>
      <c r="D214" s="111" t="s">
        <v>5246</v>
      </c>
      <c r="E214" s="111"/>
      <c r="F214" s="111"/>
      <c r="G214" s="111"/>
      <c r="H214" s="111" t="s">
        <v>8680</v>
      </c>
    </row>
    <row r="215" hidden="1">
      <c r="A215" s="119"/>
      <c r="B215" s="119"/>
      <c r="C215" s="119"/>
      <c r="D215" s="119"/>
      <c r="E215" s="119"/>
      <c r="F215" s="119"/>
      <c r="G215" s="119"/>
      <c r="H215" s="119"/>
    </row>
    <row r="216">
      <c r="A216" s="375">
        <v>1.0</v>
      </c>
      <c r="B216" s="376">
        <v>181.0</v>
      </c>
      <c r="C216" s="377" t="s">
        <v>3932</v>
      </c>
      <c r="D216" s="377"/>
      <c r="E216" s="377" t="str">
        <f t="shared" ref="E216:E251" si="22">TRIM(LEFT(C216, FIND("/", C216)-1))</f>
        <v>0098762657</v>
      </c>
      <c r="F216" s="379" t="str">
        <f t="shared" ref="F216:F251" si="23">TRIM(MID(C216, FIND("/", C216)+1, LEN(C216)))</f>
        <v>242510048</v>
      </c>
      <c r="G216" s="378" t="str">
        <f t="shared" ref="G216:G251" si="24">E216&amp;" / "&amp;F216</f>
        <v>0098762657 / 242510048</v>
      </c>
      <c r="H216" s="377" t="s">
        <v>3933</v>
      </c>
    </row>
    <row r="217">
      <c r="A217" s="375">
        <v>2.0</v>
      </c>
      <c r="B217" s="376">
        <v>182.0</v>
      </c>
      <c r="C217" s="377" t="s">
        <v>3938</v>
      </c>
      <c r="D217" s="377"/>
      <c r="E217" s="377" t="str">
        <f t="shared" si="22"/>
        <v>0089202112</v>
      </c>
      <c r="F217" s="379" t="str">
        <f t="shared" si="23"/>
        <v>242510055</v>
      </c>
      <c r="G217" s="378" t="str">
        <f t="shared" si="24"/>
        <v>0089202112 / 242510055</v>
      </c>
      <c r="H217" s="377" t="s">
        <v>3939</v>
      </c>
    </row>
    <row r="218">
      <c r="A218" s="375">
        <v>3.0</v>
      </c>
      <c r="B218" s="376">
        <v>183.0</v>
      </c>
      <c r="C218" s="377" t="s">
        <v>3943</v>
      </c>
      <c r="D218" s="377"/>
      <c r="E218" s="377" t="str">
        <f t="shared" si="22"/>
        <v>0088260272</v>
      </c>
      <c r="F218" s="379" t="str">
        <f t="shared" si="23"/>
        <v>242510056</v>
      </c>
      <c r="G218" s="378" t="str">
        <f t="shared" si="24"/>
        <v>0088260272 / 242510056</v>
      </c>
      <c r="H218" s="377" t="s">
        <v>3944</v>
      </c>
    </row>
    <row r="219">
      <c r="A219" s="375">
        <v>4.0</v>
      </c>
      <c r="B219" s="376">
        <v>184.0</v>
      </c>
      <c r="C219" s="377" t="s">
        <v>3948</v>
      </c>
      <c r="D219" s="377"/>
      <c r="E219" s="377" t="str">
        <f t="shared" si="22"/>
        <v>0097111779</v>
      </c>
      <c r="F219" s="379" t="str">
        <f t="shared" si="23"/>
        <v>242510058</v>
      </c>
      <c r="G219" s="378" t="str">
        <f t="shared" si="24"/>
        <v>0097111779 / 242510058</v>
      </c>
      <c r="H219" s="377" t="s">
        <v>3949</v>
      </c>
    </row>
    <row r="220">
      <c r="A220" s="375">
        <v>5.0</v>
      </c>
      <c r="B220" s="376">
        <v>185.0</v>
      </c>
      <c r="C220" s="377" t="s">
        <v>3953</v>
      </c>
      <c r="D220" s="377"/>
      <c r="E220" s="377" t="str">
        <f t="shared" si="22"/>
        <v>0093831279</v>
      </c>
      <c r="F220" s="379" t="str">
        <f t="shared" si="23"/>
        <v>242510066</v>
      </c>
      <c r="G220" s="378" t="str">
        <f t="shared" si="24"/>
        <v>0093831279 / 242510066</v>
      </c>
      <c r="H220" s="377" t="s">
        <v>3954</v>
      </c>
    </row>
    <row r="221">
      <c r="A221" s="375">
        <v>6.0</v>
      </c>
      <c r="B221" s="376">
        <v>186.0</v>
      </c>
      <c r="C221" s="377" t="s">
        <v>3959</v>
      </c>
      <c r="D221" s="377"/>
      <c r="E221" s="377" t="str">
        <f t="shared" si="22"/>
        <v>0096065165</v>
      </c>
      <c r="F221" s="379" t="str">
        <f t="shared" si="23"/>
        <v>242510072</v>
      </c>
      <c r="G221" s="378" t="str">
        <f t="shared" si="24"/>
        <v>0096065165 / 242510072</v>
      </c>
      <c r="H221" s="377" t="s">
        <v>3960</v>
      </c>
    </row>
    <row r="222">
      <c r="A222" s="375">
        <v>7.0</v>
      </c>
      <c r="B222" s="376">
        <v>187.0</v>
      </c>
      <c r="C222" s="377" t="s">
        <v>3964</v>
      </c>
      <c r="D222" s="377"/>
      <c r="E222" s="377" t="str">
        <f t="shared" si="22"/>
        <v>0099851224</v>
      </c>
      <c r="F222" s="379" t="str">
        <f t="shared" si="23"/>
        <v>242510085</v>
      </c>
      <c r="G222" s="378" t="str">
        <f t="shared" si="24"/>
        <v>0099851224 / 242510085</v>
      </c>
      <c r="H222" s="377" t="s">
        <v>3965</v>
      </c>
    </row>
    <row r="223">
      <c r="A223" s="375">
        <v>8.0</v>
      </c>
      <c r="B223" s="376">
        <v>188.0</v>
      </c>
      <c r="C223" s="377" t="s">
        <v>3969</v>
      </c>
      <c r="D223" s="377"/>
      <c r="E223" s="377" t="str">
        <f t="shared" si="22"/>
        <v>0092348709</v>
      </c>
      <c r="F223" s="379" t="str">
        <f t="shared" si="23"/>
        <v>242510096</v>
      </c>
      <c r="G223" s="378" t="str">
        <f t="shared" si="24"/>
        <v>0092348709 / 242510096</v>
      </c>
      <c r="H223" s="377" t="s">
        <v>3970</v>
      </c>
    </row>
    <row r="224">
      <c r="A224" s="375">
        <v>9.0</v>
      </c>
      <c r="B224" s="376">
        <v>189.0</v>
      </c>
      <c r="C224" s="377" t="s">
        <v>3974</v>
      </c>
      <c r="D224" s="377"/>
      <c r="E224" s="377" t="str">
        <f t="shared" si="22"/>
        <v>0099087317</v>
      </c>
      <c r="F224" s="379" t="str">
        <f t="shared" si="23"/>
        <v>242510099</v>
      </c>
      <c r="G224" s="378" t="str">
        <f t="shared" si="24"/>
        <v>0099087317 / 242510099</v>
      </c>
      <c r="H224" s="377" t="s">
        <v>3975</v>
      </c>
    </row>
    <row r="225">
      <c r="A225" s="375">
        <v>10.0</v>
      </c>
      <c r="B225" s="376">
        <v>190.0</v>
      </c>
      <c r="C225" s="377" t="s">
        <v>3979</v>
      </c>
      <c r="D225" s="377"/>
      <c r="E225" s="377" t="str">
        <f t="shared" si="22"/>
        <v>0098666843</v>
      </c>
      <c r="F225" s="379" t="str">
        <f t="shared" si="23"/>
        <v>242510101</v>
      </c>
      <c r="G225" s="378" t="str">
        <f t="shared" si="24"/>
        <v>0098666843 / 242510101</v>
      </c>
      <c r="H225" s="377" t="s">
        <v>3980</v>
      </c>
    </row>
    <row r="226">
      <c r="A226" s="375">
        <v>11.0</v>
      </c>
      <c r="B226" s="376">
        <v>191.0</v>
      </c>
      <c r="C226" s="377" t="s">
        <v>3984</v>
      </c>
      <c r="D226" s="377"/>
      <c r="E226" s="377" t="str">
        <f t="shared" si="22"/>
        <v>0087242368</v>
      </c>
      <c r="F226" s="379" t="str">
        <f t="shared" si="23"/>
        <v>242510112</v>
      </c>
      <c r="G226" s="378" t="str">
        <f t="shared" si="24"/>
        <v>0087242368 / 242510112</v>
      </c>
      <c r="H226" s="377" t="s">
        <v>3985</v>
      </c>
    </row>
    <row r="227">
      <c r="A227" s="375">
        <v>12.0</v>
      </c>
      <c r="B227" s="376">
        <v>192.0</v>
      </c>
      <c r="C227" s="377" t="s">
        <v>3990</v>
      </c>
      <c r="D227" s="377"/>
      <c r="E227" s="377" t="str">
        <f t="shared" si="22"/>
        <v>0087777223</v>
      </c>
      <c r="F227" s="379" t="str">
        <f t="shared" si="23"/>
        <v>242510130</v>
      </c>
      <c r="G227" s="378" t="str">
        <f t="shared" si="24"/>
        <v>0087777223 / 242510130</v>
      </c>
      <c r="H227" s="377" t="s">
        <v>3991</v>
      </c>
    </row>
    <row r="228">
      <c r="A228" s="375">
        <v>13.0</v>
      </c>
      <c r="B228" s="376">
        <v>193.0</v>
      </c>
      <c r="C228" s="377" t="s">
        <v>3995</v>
      </c>
      <c r="D228" s="377"/>
      <c r="E228" s="377" t="str">
        <f t="shared" si="22"/>
        <v>0096321568</v>
      </c>
      <c r="F228" s="379" t="str">
        <f t="shared" si="23"/>
        <v>242510148</v>
      </c>
      <c r="G228" s="378" t="str">
        <f t="shared" si="24"/>
        <v>0096321568 / 242510148</v>
      </c>
      <c r="H228" s="377" t="s">
        <v>3996</v>
      </c>
    </row>
    <row r="229">
      <c r="A229" s="375">
        <v>14.0</v>
      </c>
      <c r="B229" s="376">
        <v>194.0</v>
      </c>
      <c r="C229" s="377" t="s">
        <v>4000</v>
      </c>
      <c r="D229" s="377"/>
      <c r="E229" s="377" t="str">
        <f t="shared" si="22"/>
        <v>0084693493</v>
      </c>
      <c r="F229" s="379" t="str">
        <f t="shared" si="23"/>
        <v>242510158</v>
      </c>
      <c r="G229" s="378" t="str">
        <f t="shared" si="24"/>
        <v>0084693493 / 242510158</v>
      </c>
      <c r="H229" s="381" t="s">
        <v>4001</v>
      </c>
    </row>
    <row r="230">
      <c r="A230" s="375">
        <v>15.0</v>
      </c>
      <c r="B230" s="376">
        <v>195.0</v>
      </c>
      <c r="C230" s="377" t="s">
        <v>4005</v>
      </c>
      <c r="D230" s="377"/>
      <c r="E230" s="377" t="str">
        <f t="shared" si="22"/>
        <v>0088791024</v>
      </c>
      <c r="F230" s="379" t="str">
        <f t="shared" si="23"/>
        <v>242510172</v>
      </c>
      <c r="G230" s="378" t="str">
        <f t="shared" si="24"/>
        <v>0088791024 / 242510172</v>
      </c>
      <c r="H230" s="377" t="s">
        <v>4006</v>
      </c>
    </row>
    <row r="231">
      <c r="A231" s="375">
        <v>16.0</v>
      </c>
      <c r="B231" s="376">
        <v>196.0</v>
      </c>
      <c r="C231" s="377" t="s">
        <v>4010</v>
      </c>
      <c r="D231" s="377"/>
      <c r="E231" s="377" t="str">
        <f t="shared" si="22"/>
        <v>0083440916</v>
      </c>
      <c r="F231" s="379" t="str">
        <f t="shared" si="23"/>
        <v>242510182</v>
      </c>
      <c r="G231" s="378" t="str">
        <f t="shared" si="24"/>
        <v>0083440916 / 242510182</v>
      </c>
      <c r="H231" s="377" t="s">
        <v>4011</v>
      </c>
    </row>
    <row r="232">
      <c r="A232" s="375">
        <v>17.0</v>
      </c>
      <c r="B232" s="376">
        <v>197.0</v>
      </c>
      <c r="C232" s="377" t="s">
        <v>4016</v>
      </c>
      <c r="D232" s="377"/>
      <c r="E232" s="377" t="str">
        <f t="shared" si="22"/>
        <v>0097101002</v>
      </c>
      <c r="F232" s="379" t="str">
        <f t="shared" si="23"/>
        <v>242510186</v>
      </c>
      <c r="G232" s="378" t="str">
        <f t="shared" si="24"/>
        <v>0097101002 / 242510186</v>
      </c>
      <c r="H232" s="377" t="s">
        <v>4017</v>
      </c>
    </row>
    <row r="233">
      <c r="A233" s="375">
        <v>18.0</v>
      </c>
      <c r="B233" s="376">
        <v>198.0</v>
      </c>
      <c r="C233" s="377" t="s">
        <v>4021</v>
      </c>
      <c r="D233" s="377"/>
      <c r="E233" s="377" t="str">
        <f t="shared" si="22"/>
        <v>0083510857</v>
      </c>
      <c r="F233" s="379" t="str">
        <f t="shared" si="23"/>
        <v>242510205</v>
      </c>
      <c r="G233" s="378" t="str">
        <f t="shared" si="24"/>
        <v>0083510857 / 242510205</v>
      </c>
      <c r="H233" s="377" t="s">
        <v>4022</v>
      </c>
    </row>
    <row r="234">
      <c r="A234" s="375">
        <v>19.0</v>
      </c>
      <c r="B234" s="376">
        <v>199.0</v>
      </c>
      <c r="C234" s="377" t="s">
        <v>4026</v>
      </c>
      <c r="D234" s="377"/>
      <c r="E234" s="377" t="str">
        <f t="shared" si="22"/>
        <v>0099224342</v>
      </c>
      <c r="F234" s="379" t="str">
        <f t="shared" si="23"/>
        <v>242510214</v>
      </c>
      <c r="G234" s="378" t="str">
        <f t="shared" si="24"/>
        <v>0099224342 / 242510214</v>
      </c>
      <c r="H234" s="377" t="s">
        <v>4027</v>
      </c>
    </row>
    <row r="235">
      <c r="A235" s="375">
        <v>20.0</v>
      </c>
      <c r="B235" s="376">
        <v>200.0</v>
      </c>
      <c r="C235" s="377" t="s">
        <v>4031</v>
      </c>
      <c r="D235" s="377"/>
      <c r="E235" s="377" t="str">
        <f t="shared" si="22"/>
        <v>0087441371</v>
      </c>
      <c r="F235" s="379" t="str">
        <f t="shared" si="23"/>
        <v>242510226</v>
      </c>
      <c r="G235" s="378" t="str">
        <f t="shared" si="24"/>
        <v>0087441371 / 242510226</v>
      </c>
      <c r="H235" s="377" t="s">
        <v>4032</v>
      </c>
    </row>
    <row r="236">
      <c r="A236" s="375">
        <v>21.0</v>
      </c>
      <c r="B236" s="376">
        <v>201.0</v>
      </c>
      <c r="C236" s="377" t="s">
        <v>4036</v>
      </c>
      <c r="D236" s="377"/>
      <c r="E236" s="377" t="str">
        <f t="shared" si="22"/>
        <v>0092053150</v>
      </c>
      <c r="F236" s="379" t="str">
        <f t="shared" si="23"/>
        <v>242510248</v>
      </c>
      <c r="G236" s="378" t="str">
        <f t="shared" si="24"/>
        <v>0092053150 / 242510248</v>
      </c>
      <c r="H236" s="377" t="s">
        <v>4037</v>
      </c>
    </row>
    <row r="237">
      <c r="A237" s="375">
        <v>22.0</v>
      </c>
      <c r="B237" s="376">
        <v>202.0</v>
      </c>
      <c r="C237" s="377" t="s">
        <v>4042</v>
      </c>
      <c r="D237" s="377"/>
      <c r="E237" s="377" t="str">
        <f t="shared" si="22"/>
        <v>0099674979</v>
      </c>
      <c r="F237" s="379" t="str">
        <f t="shared" si="23"/>
        <v>242510268</v>
      </c>
      <c r="G237" s="378" t="str">
        <f t="shared" si="24"/>
        <v>0099674979 / 242510268</v>
      </c>
      <c r="H237" s="377" t="s">
        <v>4043</v>
      </c>
    </row>
    <row r="238">
      <c r="A238" s="375">
        <v>23.0</v>
      </c>
      <c r="B238" s="376">
        <v>203.0</v>
      </c>
      <c r="C238" s="377" t="s">
        <v>4047</v>
      </c>
      <c r="D238" s="377"/>
      <c r="E238" s="377" t="str">
        <f t="shared" si="22"/>
        <v>0094087712</v>
      </c>
      <c r="F238" s="379" t="str">
        <f t="shared" si="23"/>
        <v>242510287</v>
      </c>
      <c r="G238" s="378" t="str">
        <f t="shared" si="24"/>
        <v>0094087712 / 242510287</v>
      </c>
      <c r="H238" s="377" t="s">
        <v>4048</v>
      </c>
    </row>
    <row r="239">
      <c r="A239" s="375">
        <v>24.0</v>
      </c>
      <c r="B239" s="376">
        <v>204.0</v>
      </c>
      <c r="C239" s="377" t="s">
        <v>4052</v>
      </c>
      <c r="D239" s="377"/>
      <c r="E239" s="377" t="str">
        <f t="shared" si="22"/>
        <v>0096704827</v>
      </c>
      <c r="F239" s="379" t="str">
        <f t="shared" si="23"/>
        <v>242510295</v>
      </c>
      <c r="G239" s="378" t="str">
        <f t="shared" si="24"/>
        <v>0096704827 / 242510295</v>
      </c>
      <c r="H239" s="377" t="s">
        <v>4053</v>
      </c>
    </row>
    <row r="240">
      <c r="A240" s="375">
        <v>25.0</v>
      </c>
      <c r="B240" s="376">
        <v>205.0</v>
      </c>
      <c r="C240" s="377" t="s">
        <v>4057</v>
      </c>
      <c r="D240" s="377"/>
      <c r="E240" s="377" t="str">
        <f t="shared" si="22"/>
        <v>0082766789</v>
      </c>
      <c r="F240" s="379" t="str">
        <f t="shared" si="23"/>
        <v>242510317</v>
      </c>
      <c r="G240" s="378" t="str">
        <f t="shared" si="24"/>
        <v>0082766789 / 242510317</v>
      </c>
      <c r="H240" s="377" t="s">
        <v>4058</v>
      </c>
    </row>
    <row r="241">
      <c r="A241" s="375">
        <v>26.0</v>
      </c>
      <c r="B241" s="376">
        <v>206.0</v>
      </c>
      <c r="C241" s="377" t="s">
        <v>4063</v>
      </c>
      <c r="D241" s="377"/>
      <c r="E241" s="377" t="str">
        <f t="shared" si="22"/>
        <v>0087189022</v>
      </c>
      <c r="F241" s="379" t="str">
        <f t="shared" si="23"/>
        <v>242510326</v>
      </c>
      <c r="G241" s="378" t="str">
        <f t="shared" si="24"/>
        <v>0087189022 / 242510326</v>
      </c>
      <c r="H241" s="377" t="s">
        <v>4064</v>
      </c>
    </row>
    <row r="242">
      <c r="A242" s="375">
        <v>27.0</v>
      </c>
      <c r="B242" s="376">
        <v>207.0</v>
      </c>
      <c r="C242" s="377" t="s">
        <v>4068</v>
      </c>
      <c r="D242" s="377"/>
      <c r="E242" s="377" t="str">
        <f t="shared" si="22"/>
        <v>0083216448</v>
      </c>
      <c r="F242" s="379" t="str">
        <f t="shared" si="23"/>
        <v>242510340</v>
      </c>
      <c r="G242" s="378" t="str">
        <f t="shared" si="24"/>
        <v>0083216448 / 242510340</v>
      </c>
      <c r="H242" s="377" t="s">
        <v>4069</v>
      </c>
    </row>
    <row r="243">
      <c r="A243" s="375">
        <v>28.0</v>
      </c>
      <c r="B243" s="376">
        <v>208.0</v>
      </c>
      <c r="C243" s="377" t="s">
        <v>4073</v>
      </c>
      <c r="D243" s="377"/>
      <c r="E243" s="377" t="str">
        <f t="shared" si="22"/>
        <v>0081976297</v>
      </c>
      <c r="F243" s="379" t="str">
        <f t="shared" si="23"/>
        <v>242510351</v>
      </c>
      <c r="G243" s="378" t="str">
        <f t="shared" si="24"/>
        <v>0081976297 / 242510351</v>
      </c>
      <c r="H243" s="377" t="s">
        <v>4074</v>
      </c>
    </row>
    <row r="244">
      <c r="A244" s="375">
        <v>29.0</v>
      </c>
      <c r="B244" s="376">
        <v>209.0</v>
      </c>
      <c r="C244" s="377" t="s">
        <v>4078</v>
      </c>
      <c r="D244" s="377"/>
      <c r="E244" s="377" t="str">
        <f t="shared" si="22"/>
        <v>0087374524</v>
      </c>
      <c r="F244" s="379" t="str">
        <f t="shared" si="23"/>
        <v>242510358</v>
      </c>
      <c r="G244" s="378" t="str">
        <f t="shared" si="24"/>
        <v>0087374524 / 242510358</v>
      </c>
      <c r="H244" s="377" t="s">
        <v>4079</v>
      </c>
    </row>
    <row r="245">
      <c r="A245" s="375">
        <v>30.0</v>
      </c>
      <c r="B245" s="376">
        <v>210.0</v>
      </c>
      <c r="C245" s="377" t="s">
        <v>4083</v>
      </c>
      <c r="D245" s="377"/>
      <c r="E245" s="377" t="str">
        <f t="shared" si="22"/>
        <v>0095610000</v>
      </c>
      <c r="F245" s="379" t="str">
        <f t="shared" si="23"/>
        <v>242510359</v>
      </c>
      <c r="G245" s="378" t="str">
        <f t="shared" si="24"/>
        <v>0095610000 / 242510359</v>
      </c>
      <c r="H245" s="377" t="s">
        <v>4084</v>
      </c>
    </row>
    <row r="246">
      <c r="A246" s="375">
        <v>31.0</v>
      </c>
      <c r="B246" s="376">
        <v>211.0</v>
      </c>
      <c r="C246" s="377" t="s">
        <v>4089</v>
      </c>
      <c r="D246" s="377"/>
      <c r="E246" s="377" t="str">
        <f t="shared" si="22"/>
        <v>3108459157</v>
      </c>
      <c r="F246" s="379" t="str">
        <f t="shared" si="23"/>
        <v>242510368</v>
      </c>
      <c r="G246" s="378" t="str">
        <f t="shared" si="24"/>
        <v>3108459157 / 242510368</v>
      </c>
      <c r="H246" s="377" t="s">
        <v>4090</v>
      </c>
    </row>
    <row r="247">
      <c r="A247" s="375">
        <v>32.0</v>
      </c>
      <c r="B247" s="376">
        <v>212.0</v>
      </c>
      <c r="C247" s="377" t="s">
        <v>4094</v>
      </c>
      <c r="D247" s="377"/>
      <c r="E247" s="377" t="str">
        <f t="shared" si="22"/>
        <v>0092184814</v>
      </c>
      <c r="F247" s="379" t="str">
        <f t="shared" si="23"/>
        <v>242510369</v>
      </c>
      <c r="G247" s="378" t="str">
        <f t="shared" si="24"/>
        <v>0092184814 / 242510369</v>
      </c>
      <c r="H247" s="377" t="s">
        <v>4095</v>
      </c>
    </row>
    <row r="248">
      <c r="A248" s="375">
        <v>33.0</v>
      </c>
      <c r="B248" s="376">
        <v>213.0</v>
      </c>
      <c r="C248" s="377" t="s">
        <v>4099</v>
      </c>
      <c r="D248" s="377"/>
      <c r="E248" s="377" t="str">
        <f t="shared" si="22"/>
        <v>0093513380</v>
      </c>
      <c r="F248" s="379" t="str">
        <f t="shared" si="23"/>
        <v>242510383</v>
      </c>
      <c r="G248" s="378" t="str">
        <f t="shared" si="24"/>
        <v>0093513380 / 242510383</v>
      </c>
      <c r="H248" s="377" t="s">
        <v>4100</v>
      </c>
    </row>
    <row r="249">
      <c r="A249" s="375">
        <v>34.0</v>
      </c>
      <c r="B249" s="376">
        <v>214.0</v>
      </c>
      <c r="C249" s="377" t="s">
        <v>4104</v>
      </c>
      <c r="D249" s="377"/>
      <c r="E249" s="377" t="str">
        <f t="shared" si="22"/>
        <v>0094484878</v>
      </c>
      <c r="F249" s="379" t="str">
        <f t="shared" si="23"/>
        <v>242510403</v>
      </c>
      <c r="G249" s="378" t="str">
        <f t="shared" si="24"/>
        <v>0094484878 / 242510403</v>
      </c>
      <c r="H249" s="377" t="s">
        <v>4105</v>
      </c>
    </row>
    <row r="250">
      <c r="A250" s="375">
        <v>35.0</v>
      </c>
      <c r="B250" s="376">
        <v>215.0</v>
      </c>
      <c r="C250" s="377" t="s">
        <v>4109</v>
      </c>
      <c r="D250" s="377"/>
      <c r="E250" s="377" t="str">
        <f t="shared" si="22"/>
        <v>0094008926</v>
      </c>
      <c r="F250" s="379" t="str">
        <f t="shared" si="23"/>
        <v>242510425</v>
      </c>
      <c r="G250" s="378" t="str">
        <f t="shared" si="24"/>
        <v>0094008926 / 242510425</v>
      </c>
      <c r="H250" s="377" t="s">
        <v>4110</v>
      </c>
    </row>
    <row r="251">
      <c r="A251" s="375">
        <v>36.0</v>
      </c>
      <c r="B251" s="376">
        <v>216.0</v>
      </c>
      <c r="C251" s="377" t="s">
        <v>4115</v>
      </c>
      <c r="D251" s="377"/>
      <c r="E251" s="377" t="str">
        <f t="shared" si="22"/>
        <v>0096998389</v>
      </c>
      <c r="F251" s="379" t="str">
        <f t="shared" si="23"/>
        <v>242510428</v>
      </c>
      <c r="G251" s="378" t="str">
        <f t="shared" si="24"/>
        <v>0096998389 / 242510428</v>
      </c>
      <c r="H251" s="377" t="s">
        <v>4116</v>
      </c>
    </row>
    <row r="252" hidden="1">
      <c r="A252" s="372"/>
      <c r="B252" s="372"/>
      <c r="C252" s="372"/>
      <c r="D252" s="372"/>
      <c r="E252" s="372"/>
      <c r="F252" s="372"/>
      <c r="G252" s="372"/>
      <c r="H252" s="372"/>
    </row>
    <row r="253" hidden="1">
      <c r="A253" s="373" t="s">
        <v>9515</v>
      </c>
      <c r="B253" s="373"/>
      <c r="C253" s="373"/>
      <c r="D253" s="373"/>
      <c r="E253" s="373"/>
      <c r="F253" s="373"/>
      <c r="G253" s="373"/>
      <c r="H253" s="373"/>
    </row>
    <row r="254" hidden="1">
      <c r="A254" s="374" t="s">
        <v>9846</v>
      </c>
      <c r="B254" s="374"/>
      <c r="C254" s="374"/>
      <c r="D254" s="374"/>
      <c r="E254" s="374"/>
      <c r="F254" s="374"/>
      <c r="G254" s="374"/>
      <c r="H254" s="374"/>
    </row>
    <row r="255" hidden="1">
      <c r="A255" s="111" t="s">
        <v>8748</v>
      </c>
      <c r="B255" s="111"/>
      <c r="C255" s="111" t="s">
        <v>9</v>
      </c>
      <c r="D255" s="111" t="s">
        <v>5246</v>
      </c>
      <c r="E255" s="111"/>
      <c r="F255" s="111"/>
      <c r="G255" s="111"/>
      <c r="H255" s="111" t="s">
        <v>8680</v>
      </c>
    </row>
    <row r="256" hidden="1">
      <c r="A256" s="119"/>
      <c r="B256" s="119"/>
      <c r="C256" s="119"/>
      <c r="D256" s="119"/>
      <c r="E256" s="119"/>
      <c r="F256" s="119"/>
      <c r="G256" s="119"/>
      <c r="H256" s="119"/>
    </row>
    <row r="257">
      <c r="A257" s="375">
        <v>1.0</v>
      </c>
      <c r="B257" s="376">
        <v>217.0</v>
      </c>
      <c r="C257" s="377" t="s">
        <v>4120</v>
      </c>
      <c r="D257" s="377"/>
      <c r="E257" s="377" t="str">
        <f t="shared" ref="E257:E292" si="25">TRIM(LEFT(C257, FIND("/", C257)-1))</f>
        <v>0099205215</v>
      </c>
      <c r="F257" s="379" t="str">
        <f t="shared" ref="F257:F292" si="26">TRIM(MID(C257, FIND("/", C257)+1, LEN(C257)))</f>
        <v>242510002</v>
      </c>
      <c r="G257" s="378" t="str">
        <f t="shared" ref="G257:G292" si="27">E257&amp;" / "&amp;F257</f>
        <v>0099205215 / 242510002</v>
      </c>
      <c r="H257" s="377" t="s">
        <v>4121</v>
      </c>
    </row>
    <row r="258">
      <c r="A258" s="375">
        <v>2.0</v>
      </c>
      <c r="B258" s="376">
        <v>218.0</v>
      </c>
      <c r="C258" s="377" t="s">
        <v>4126</v>
      </c>
      <c r="D258" s="377"/>
      <c r="E258" s="377" t="str">
        <f t="shared" si="25"/>
        <v>0096176025</v>
      </c>
      <c r="F258" s="379" t="str">
        <f t="shared" si="26"/>
        <v>242510004</v>
      </c>
      <c r="G258" s="378" t="str">
        <f t="shared" si="27"/>
        <v>0096176025 / 242510004</v>
      </c>
      <c r="H258" s="377" t="s">
        <v>4127</v>
      </c>
    </row>
    <row r="259">
      <c r="A259" s="375">
        <v>3.0</v>
      </c>
      <c r="B259" s="376">
        <v>219.0</v>
      </c>
      <c r="C259" s="377" t="s">
        <v>4131</v>
      </c>
      <c r="D259" s="377"/>
      <c r="E259" s="377" t="str">
        <f t="shared" si="25"/>
        <v>0083691625</v>
      </c>
      <c r="F259" s="379" t="str">
        <f t="shared" si="26"/>
        <v>242510013</v>
      </c>
      <c r="G259" s="378" t="str">
        <f t="shared" si="27"/>
        <v>0083691625 / 242510013</v>
      </c>
      <c r="H259" s="377" t="s">
        <v>4132</v>
      </c>
    </row>
    <row r="260">
      <c r="A260" s="375">
        <v>4.0</v>
      </c>
      <c r="B260" s="376">
        <v>220.0</v>
      </c>
      <c r="C260" s="377" t="s">
        <v>4136</v>
      </c>
      <c r="D260" s="377"/>
      <c r="E260" s="377" t="str">
        <f t="shared" si="25"/>
        <v>0093555544</v>
      </c>
      <c r="F260" s="379" t="str">
        <f t="shared" si="26"/>
        <v>242510030</v>
      </c>
      <c r="G260" s="378" t="str">
        <f t="shared" si="27"/>
        <v>0093555544 / 242510030</v>
      </c>
      <c r="H260" s="377" t="s">
        <v>4137</v>
      </c>
    </row>
    <row r="261">
      <c r="A261" s="375">
        <v>5.0</v>
      </c>
      <c r="B261" s="376">
        <v>221.0</v>
      </c>
      <c r="C261" s="377" t="s">
        <v>4142</v>
      </c>
      <c r="D261" s="377"/>
      <c r="E261" s="377" t="str">
        <f t="shared" si="25"/>
        <v>0093240247</v>
      </c>
      <c r="F261" s="379" t="str">
        <f t="shared" si="26"/>
        <v>242510049</v>
      </c>
      <c r="G261" s="378" t="str">
        <f t="shared" si="27"/>
        <v>0093240247 / 242510049</v>
      </c>
      <c r="H261" s="377" t="s">
        <v>4143</v>
      </c>
    </row>
    <row r="262">
      <c r="A262" s="375">
        <v>6.0</v>
      </c>
      <c r="B262" s="376">
        <v>222.0</v>
      </c>
      <c r="C262" s="377" t="s">
        <v>4147</v>
      </c>
      <c r="D262" s="377"/>
      <c r="E262" s="377" t="str">
        <f t="shared" si="25"/>
        <v>0081177343</v>
      </c>
      <c r="F262" s="379" t="str">
        <f t="shared" si="26"/>
        <v>242510057</v>
      </c>
      <c r="G262" s="378" t="str">
        <f t="shared" si="27"/>
        <v>0081177343 / 242510057</v>
      </c>
      <c r="H262" s="377" t="s">
        <v>4148</v>
      </c>
    </row>
    <row r="263">
      <c r="A263" s="375">
        <v>7.0</v>
      </c>
      <c r="B263" s="376">
        <v>223.0</v>
      </c>
      <c r="C263" s="377" t="s">
        <v>4152</v>
      </c>
      <c r="D263" s="377"/>
      <c r="E263" s="377" t="str">
        <f t="shared" si="25"/>
        <v>0097044189</v>
      </c>
      <c r="F263" s="379" t="str">
        <f t="shared" si="26"/>
        <v>242510065</v>
      </c>
      <c r="G263" s="378" t="str">
        <f t="shared" si="27"/>
        <v>0097044189 / 242510065</v>
      </c>
      <c r="H263" s="377" t="s">
        <v>4153</v>
      </c>
    </row>
    <row r="264">
      <c r="A264" s="375">
        <v>8.0</v>
      </c>
      <c r="B264" s="376">
        <v>224.0</v>
      </c>
      <c r="C264" s="383" t="s">
        <v>4157</v>
      </c>
      <c r="D264" s="383"/>
      <c r="E264" s="377" t="str">
        <f t="shared" si="25"/>
        <v>0094015905</v>
      </c>
      <c r="F264" s="379" t="str">
        <f t="shared" si="26"/>
        <v>242510074</v>
      </c>
      <c r="G264" s="378" t="str">
        <f t="shared" si="27"/>
        <v>0094015905 / 242510074</v>
      </c>
      <c r="H264" s="383" t="s">
        <v>4158</v>
      </c>
    </row>
    <row r="265">
      <c r="A265" s="375">
        <v>9.0</v>
      </c>
      <c r="B265" s="376">
        <v>225.0</v>
      </c>
      <c r="C265" s="377" t="s">
        <v>4162</v>
      </c>
      <c r="D265" s="377"/>
      <c r="E265" s="377" t="str">
        <f t="shared" si="25"/>
        <v>0099056940</v>
      </c>
      <c r="F265" s="379" t="str">
        <f t="shared" si="26"/>
        <v>242510077</v>
      </c>
      <c r="G265" s="378" t="str">
        <f t="shared" si="27"/>
        <v>0099056940 / 242510077</v>
      </c>
      <c r="H265" s="377" t="s">
        <v>4163</v>
      </c>
    </row>
    <row r="266">
      <c r="A266" s="375">
        <v>10.0</v>
      </c>
      <c r="B266" s="376">
        <v>226.0</v>
      </c>
      <c r="C266" s="377" t="s">
        <v>4167</v>
      </c>
      <c r="D266" s="377"/>
      <c r="E266" s="377" t="str">
        <f t="shared" si="25"/>
        <v>0083503418</v>
      </c>
      <c r="F266" s="379" t="str">
        <f t="shared" si="26"/>
        <v>242510092</v>
      </c>
      <c r="G266" s="378" t="str">
        <f t="shared" si="27"/>
        <v>0083503418 / 242510092</v>
      </c>
      <c r="H266" s="377" t="s">
        <v>4168</v>
      </c>
    </row>
    <row r="267">
      <c r="A267" s="375">
        <v>11.0</v>
      </c>
      <c r="B267" s="376">
        <v>227.0</v>
      </c>
      <c r="C267" s="377" t="s">
        <v>4173</v>
      </c>
      <c r="D267" s="377"/>
      <c r="E267" s="377" t="str">
        <f t="shared" si="25"/>
        <v>0082910392</v>
      </c>
      <c r="F267" s="379" t="str">
        <f t="shared" si="26"/>
        <v>242510119</v>
      </c>
      <c r="G267" s="378" t="str">
        <f t="shared" si="27"/>
        <v>0082910392 / 242510119</v>
      </c>
      <c r="H267" s="377" t="s">
        <v>4174</v>
      </c>
    </row>
    <row r="268">
      <c r="A268" s="375">
        <v>12.0</v>
      </c>
      <c r="B268" s="376">
        <v>228.0</v>
      </c>
      <c r="C268" s="377" t="s">
        <v>4178</v>
      </c>
      <c r="D268" s="377"/>
      <c r="E268" s="377" t="str">
        <f t="shared" si="25"/>
        <v>0092889165</v>
      </c>
      <c r="F268" s="379" t="str">
        <f t="shared" si="26"/>
        <v>242510121</v>
      </c>
      <c r="G268" s="378" t="str">
        <f t="shared" si="27"/>
        <v>0092889165 / 242510121</v>
      </c>
      <c r="H268" s="377" t="s">
        <v>4179</v>
      </c>
    </row>
    <row r="269">
      <c r="A269" s="375">
        <v>13.0</v>
      </c>
      <c r="B269" s="376">
        <v>229.0</v>
      </c>
      <c r="C269" s="377" t="s">
        <v>4183</v>
      </c>
      <c r="D269" s="377"/>
      <c r="E269" s="377" t="str">
        <f t="shared" si="25"/>
        <v>0089925170</v>
      </c>
      <c r="F269" s="379" t="str">
        <f t="shared" si="26"/>
        <v>242510124</v>
      </c>
      <c r="G269" s="378" t="str">
        <f t="shared" si="27"/>
        <v>0089925170 / 242510124</v>
      </c>
      <c r="H269" s="377" t="s">
        <v>4184</v>
      </c>
    </row>
    <row r="270">
      <c r="A270" s="375">
        <v>14.0</v>
      </c>
      <c r="B270" s="376">
        <v>230.0</v>
      </c>
      <c r="C270" s="377" t="s">
        <v>4189</v>
      </c>
      <c r="D270" s="377"/>
      <c r="E270" s="377" t="str">
        <f t="shared" si="25"/>
        <v>0097500016</v>
      </c>
      <c r="F270" s="379" t="str">
        <f t="shared" si="26"/>
        <v>242510138</v>
      </c>
      <c r="G270" s="378" t="str">
        <f t="shared" si="27"/>
        <v>0097500016 / 242510138</v>
      </c>
      <c r="H270" s="377" t="s">
        <v>4190</v>
      </c>
    </row>
    <row r="271">
      <c r="A271" s="375">
        <v>15.0</v>
      </c>
      <c r="B271" s="376">
        <v>231.0</v>
      </c>
      <c r="C271" s="377" t="s">
        <v>4194</v>
      </c>
      <c r="D271" s="377"/>
      <c r="E271" s="377" t="str">
        <f t="shared" si="25"/>
        <v>0091736459</v>
      </c>
      <c r="F271" s="379" t="str">
        <f t="shared" si="26"/>
        <v>242510143</v>
      </c>
      <c r="G271" s="378" t="str">
        <f t="shared" si="27"/>
        <v>0091736459 / 242510143</v>
      </c>
      <c r="H271" s="377" t="s">
        <v>4195</v>
      </c>
    </row>
    <row r="272">
      <c r="A272" s="375">
        <v>16.0</v>
      </c>
      <c r="B272" s="376">
        <v>232.0</v>
      </c>
      <c r="C272" s="377" t="s">
        <v>4199</v>
      </c>
      <c r="D272" s="377"/>
      <c r="E272" s="377" t="str">
        <f t="shared" si="25"/>
        <v>0083473619</v>
      </c>
      <c r="F272" s="379" t="str">
        <f t="shared" si="26"/>
        <v>242510151</v>
      </c>
      <c r="G272" s="378" t="str">
        <f t="shared" si="27"/>
        <v>0083473619 / 242510151</v>
      </c>
      <c r="H272" s="377" t="s">
        <v>4200</v>
      </c>
    </row>
    <row r="273">
      <c r="A273" s="375">
        <v>17.0</v>
      </c>
      <c r="B273" s="376">
        <v>233.0</v>
      </c>
      <c r="C273" s="377" t="s">
        <v>4204</v>
      </c>
      <c r="D273" s="377"/>
      <c r="E273" s="377" t="str">
        <f t="shared" si="25"/>
        <v>0095965332</v>
      </c>
      <c r="F273" s="379" t="str">
        <f t="shared" si="26"/>
        <v>242510202</v>
      </c>
      <c r="G273" s="378" t="str">
        <f t="shared" si="27"/>
        <v>0095965332 / 242510202</v>
      </c>
      <c r="H273" s="377" t="s">
        <v>4205</v>
      </c>
    </row>
    <row r="274">
      <c r="A274" s="375">
        <v>18.0</v>
      </c>
      <c r="B274" s="376">
        <v>234.0</v>
      </c>
      <c r="C274" s="377" t="s">
        <v>4209</v>
      </c>
      <c r="D274" s="377"/>
      <c r="E274" s="377" t="str">
        <f t="shared" si="25"/>
        <v>3089802088</v>
      </c>
      <c r="F274" s="379" t="str">
        <f t="shared" si="26"/>
        <v>242510204</v>
      </c>
      <c r="G274" s="378" t="str">
        <f t="shared" si="27"/>
        <v>3089802088 / 242510204</v>
      </c>
      <c r="H274" s="377" t="s">
        <v>4210</v>
      </c>
    </row>
    <row r="275">
      <c r="A275" s="375">
        <v>19.0</v>
      </c>
      <c r="B275" s="376">
        <v>235.0</v>
      </c>
      <c r="C275" s="377" t="s">
        <v>4214</v>
      </c>
      <c r="D275" s="377"/>
      <c r="E275" s="377" t="str">
        <f t="shared" si="25"/>
        <v>0083558880</v>
      </c>
      <c r="F275" s="379" t="str">
        <f t="shared" si="26"/>
        <v>242510215</v>
      </c>
      <c r="G275" s="378" t="str">
        <f t="shared" si="27"/>
        <v>0083558880 / 242510215</v>
      </c>
      <c r="H275" s="377" t="s">
        <v>4215</v>
      </c>
    </row>
    <row r="276">
      <c r="A276" s="375">
        <v>20.0</v>
      </c>
      <c r="B276" s="376">
        <v>236.0</v>
      </c>
      <c r="C276" s="377" t="s">
        <v>4220</v>
      </c>
      <c r="D276" s="377"/>
      <c r="E276" s="377" t="str">
        <f t="shared" si="25"/>
        <v>0087939718</v>
      </c>
      <c r="F276" s="379" t="str">
        <f t="shared" si="26"/>
        <v>242510217</v>
      </c>
      <c r="G276" s="378" t="str">
        <f t="shared" si="27"/>
        <v>0087939718 / 242510217</v>
      </c>
      <c r="H276" s="377" t="s">
        <v>4221</v>
      </c>
    </row>
    <row r="277">
      <c r="A277" s="375">
        <v>21.0</v>
      </c>
      <c r="B277" s="376">
        <v>237.0</v>
      </c>
      <c r="C277" s="377" t="s">
        <v>4225</v>
      </c>
      <c r="D277" s="377"/>
      <c r="E277" s="377" t="str">
        <f t="shared" si="25"/>
        <v>3086429713</v>
      </c>
      <c r="F277" s="379" t="str">
        <f t="shared" si="26"/>
        <v>242510256</v>
      </c>
      <c r="G277" s="378" t="str">
        <f t="shared" si="27"/>
        <v>3086429713 / 242510256</v>
      </c>
      <c r="H277" s="377" t="s">
        <v>4226</v>
      </c>
    </row>
    <row r="278">
      <c r="A278" s="375">
        <v>22.0</v>
      </c>
      <c r="B278" s="376">
        <v>238.0</v>
      </c>
      <c r="C278" s="377" t="s">
        <v>4230</v>
      </c>
      <c r="D278" s="377"/>
      <c r="E278" s="377" t="str">
        <f t="shared" si="25"/>
        <v>0082222599</v>
      </c>
      <c r="F278" s="379" t="str">
        <f t="shared" si="26"/>
        <v>242510270</v>
      </c>
      <c r="G278" s="378" t="str">
        <f t="shared" si="27"/>
        <v>0082222599 / 242510270</v>
      </c>
      <c r="H278" s="377" t="s">
        <v>4231</v>
      </c>
    </row>
    <row r="279">
      <c r="A279" s="375">
        <v>23.0</v>
      </c>
      <c r="B279" s="376">
        <v>239.0</v>
      </c>
      <c r="C279" s="377" t="s">
        <v>4235</v>
      </c>
      <c r="D279" s="377"/>
      <c r="E279" s="377" t="str">
        <f t="shared" si="25"/>
        <v>0096947097</v>
      </c>
      <c r="F279" s="379" t="str">
        <f t="shared" si="26"/>
        <v>242510277</v>
      </c>
      <c r="G279" s="378" t="str">
        <f t="shared" si="27"/>
        <v>0096947097 / 242510277</v>
      </c>
      <c r="H279" s="377" t="s">
        <v>4236</v>
      </c>
    </row>
    <row r="280">
      <c r="A280" s="375">
        <v>24.0</v>
      </c>
      <c r="B280" s="376">
        <v>240.0</v>
      </c>
      <c r="C280" s="377" t="s">
        <v>4240</v>
      </c>
      <c r="D280" s="377"/>
      <c r="E280" s="377" t="str">
        <f t="shared" si="25"/>
        <v>0088243290</v>
      </c>
      <c r="F280" s="379" t="str">
        <f t="shared" si="26"/>
        <v>242510285</v>
      </c>
      <c r="G280" s="378" t="str">
        <f t="shared" si="27"/>
        <v>0088243290 / 242510285</v>
      </c>
      <c r="H280" s="377" t="s">
        <v>4241</v>
      </c>
    </row>
    <row r="281">
      <c r="A281" s="375">
        <v>25.0</v>
      </c>
      <c r="B281" s="376">
        <v>241.0</v>
      </c>
      <c r="C281" s="377" t="s">
        <v>4245</v>
      </c>
      <c r="D281" s="377"/>
      <c r="E281" s="377" t="str">
        <f t="shared" si="25"/>
        <v>0083111399</v>
      </c>
      <c r="F281" s="379" t="str">
        <f t="shared" si="26"/>
        <v>242510305</v>
      </c>
      <c r="G281" s="378" t="str">
        <f t="shared" si="27"/>
        <v>0083111399 / 242510305</v>
      </c>
      <c r="H281" s="377" t="s">
        <v>4246</v>
      </c>
    </row>
    <row r="282">
      <c r="A282" s="375">
        <v>26.0</v>
      </c>
      <c r="B282" s="376">
        <v>242.0</v>
      </c>
      <c r="C282" s="377" t="s">
        <v>4250</v>
      </c>
      <c r="D282" s="377"/>
      <c r="E282" s="377" t="str">
        <f t="shared" si="25"/>
        <v>0098495672</v>
      </c>
      <c r="F282" s="379" t="str">
        <f t="shared" si="26"/>
        <v>242510327</v>
      </c>
      <c r="G282" s="378" t="str">
        <f t="shared" si="27"/>
        <v>0098495672 / 242510327</v>
      </c>
      <c r="H282" s="377" t="s">
        <v>4251</v>
      </c>
    </row>
    <row r="283">
      <c r="A283" s="375">
        <v>27.0</v>
      </c>
      <c r="B283" s="376">
        <v>243.0</v>
      </c>
      <c r="C283" s="383" t="s">
        <v>4256</v>
      </c>
      <c r="D283" s="383"/>
      <c r="E283" s="377" t="str">
        <f t="shared" si="25"/>
        <v>0087033208</v>
      </c>
      <c r="F283" s="379" t="str">
        <f t="shared" si="26"/>
        <v>242510335</v>
      </c>
      <c r="G283" s="378" t="str">
        <f t="shared" si="27"/>
        <v>0087033208 / 242510335</v>
      </c>
      <c r="H283" s="383" t="s">
        <v>4257</v>
      </c>
    </row>
    <row r="284">
      <c r="A284" s="375">
        <v>28.0</v>
      </c>
      <c r="B284" s="376">
        <v>244.0</v>
      </c>
      <c r="C284" s="377" t="s">
        <v>4261</v>
      </c>
      <c r="D284" s="377"/>
      <c r="E284" s="377" t="str">
        <f t="shared" si="25"/>
        <v>0087540462</v>
      </c>
      <c r="F284" s="379" t="str">
        <f t="shared" si="26"/>
        <v>242510365</v>
      </c>
      <c r="G284" s="378" t="str">
        <f t="shared" si="27"/>
        <v>0087540462 / 242510365</v>
      </c>
      <c r="H284" s="381" t="s">
        <v>4262</v>
      </c>
    </row>
    <row r="285">
      <c r="A285" s="375">
        <v>29.0</v>
      </c>
      <c r="B285" s="376">
        <v>245.0</v>
      </c>
      <c r="C285" s="377" t="s">
        <v>4266</v>
      </c>
      <c r="D285" s="377"/>
      <c r="E285" s="377" t="str">
        <f t="shared" si="25"/>
        <v>0098177122</v>
      </c>
      <c r="F285" s="379" t="str">
        <f t="shared" si="26"/>
        <v>242510370</v>
      </c>
      <c r="G285" s="378" t="str">
        <f t="shared" si="27"/>
        <v>0098177122 / 242510370</v>
      </c>
      <c r="H285" s="377" t="s">
        <v>4267</v>
      </c>
    </row>
    <row r="286">
      <c r="A286" s="375">
        <v>30.0</v>
      </c>
      <c r="B286" s="376">
        <v>246.0</v>
      </c>
      <c r="C286" s="377" t="s">
        <v>4271</v>
      </c>
      <c r="D286" s="377"/>
      <c r="E286" s="377" t="str">
        <f t="shared" si="25"/>
        <v>0084182636</v>
      </c>
      <c r="F286" s="379" t="str">
        <f t="shared" si="26"/>
        <v>242510376</v>
      </c>
      <c r="G286" s="378" t="str">
        <f t="shared" si="27"/>
        <v>0084182636 / 242510376</v>
      </c>
      <c r="H286" s="377" t="s">
        <v>4272</v>
      </c>
    </row>
    <row r="287">
      <c r="A287" s="375">
        <v>31.0</v>
      </c>
      <c r="B287" s="376">
        <v>247.0</v>
      </c>
      <c r="C287" s="377" t="s">
        <v>4276</v>
      </c>
      <c r="D287" s="377"/>
      <c r="E287" s="377" t="str">
        <f t="shared" si="25"/>
        <v>0092533632</v>
      </c>
      <c r="F287" s="379" t="str">
        <f t="shared" si="26"/>
        <v>242510397</v>
      </c>
      <c r="G287" s="378" t="str">
        <f t="shared" si="27"/>
        <v>0092533632 / 242510397</v>
      </c>
      <c r="H287" s="377" t="s">
        <v>4277</v>
      </c>
    </row>
    <row r="288">
      <c r="A288" s="375">
        <v>32.0</v>
      </c>
      <c r="B288" s="376">
        <v>248.0</v>
      </c>
      <c r="C288" s="377" t="s">
        <v>4281</v>
      </c>
      <c r="D288" s="377"/>
      <c r="E288" s="377" t="str">
        <f t="shared" si="25"/>
        <v>0089659957</v>
      </c>
      <c r="F288" s="379" t="str">
        <f t="shared" si="26"/>
        <v>242510418</v>
      </c>
      <c r="G288" s="378" t="str">
        <f t="shared" si="27"/>
        <v>0089659957 / 242510418</v>
      </c>
      <c r="H288" s="377" t="s">
        <v>4282</v>
      </c>
    </row>
    <row r="289">
      <c r="A289" s="375">
        <v>33.0</v>
      </c>
      <c r="B289" s="376">
        <v>249.0</v>
      </c>
      <c r="C289" s="377" t="s">
        <v>4286</v>
      </c>
      <c r="D289" s="377"/>
      <c r="E289" s="377" t="str">
        <f t="shared" si="25"/>
        <v>0094494926</v>
      </c>
      <c r="F289" s="379" t="str">
        <f t="shared" si="26"/>
        <v>242510419</v>
      </c>
      <c r="G289" s="378" t="str">
        <f t="shared" si="27"/>
        <v>0094494926 / 242510419</v>
      </c>
      <c r="H289" s="377" t="s">
        <v>4287</v>
      </c>
    </row>
    <row r="290">
      <c r="A290" s="375">
        <v>34.0</v>
      </c>
      <c r="B290" s="376">
        <v>250.0</v>
      </c>
      <c r="C290" s="377" t="s">
        <v>4292</v>
      </c>
      <c r="D290" s="377"/>
      <c r="E290" s="377" t="str">
        <f t="shared" si="25"/>
        <v>0083550559</v>
      </c>
      <c r="F290" s="379" t="str">
        <f t="shared" si="26"/>
        <v>242510422</v>
      </c>
      <c r="G290" s="378" t="str">
        <f t="shared" si="27"/>
        <v>0083550559 / 242510422</v>
      </c>
      <c r="H290" s="377" t="s">
        <v>4293</v>
      </c>
    </row>
    <row r="291">
      <c r="A291" s="375">
        <v>35.0</v>
      </c>
      <c r="B291" s="376">
        <v>251.0</v>
      </c>
      <c r="C291" s="377" t="s">
        <v>4297</v>
      </c>
      <c r="D291" s="377"/>
      <c r="E291" s="377" t="str">
        <f t="shared" si="25"/>
        <v>0086771046</v>
      </c>
      <c r="F291" s="379" t="str">
        <f t="shared" si="26"/>
        <v>242510427</v>
      </c>
      <c r="G291" s="378" t="str">
        <f t="shared" si="27"/>
        <v>0086771046 / 242510427</v>
      </c>
      <c r="H291" s="377" t="s">
        <v>4298</v>
      </c>
    </row>
    <row r="292">
      <c r="A292" s="375">
        <v>36.0</v>
      </c>
      <c r="B292" s="376">
        <v>252.0</v>
      </c>
      <c r="C292" s="377" t="s">
        <v>4302</v>
      </c>
      <c r="D292" s="377"/>
      <c r="E292" s="377" t="str">
        <f t="shared" si="25"/>
        <v>0098965422</v>
      </c>
      <c r="F292" s="379" t="str">
        <f t="shared" si="26"/>
        <v>242510431</v>
      </c>
      <c r="G292" s="378" t="str">
        <f t="shared" si="27"/>
        <v>0098965422 / 242510431</v>
      </c>
      <c r="H292" s="377" t="s">
        <v>4303</v>
      </c>
    </row>
    <row r="293" hidden="1">
      <c r="A293" s="372"/>
      <c r="B293" s="372"/>
      <c r="C293" s="372"/>
      <c r="D293" s="372"/>
      <c r="E293" s="372"/>
      <c r="F293" s="372"/>
      <c r="G293" s="372"/>
      <c r="H293" s="372"/>
    </row>
    <row r="294" hidden="1">
      <c r="A294" s="373" t="s">
        <v>9847</v>
      </c>
      <c r="B294" s="373"/>
      <c r="C294" s="373"/>
      <c r="D294" s="373"/>
      <c r="E294" s="373"/>
      <c r="F294" s="373"/>
      <c r="G294" s="373"/>
      <c r="H294" s="373"/>
    </row>
    <row r="295" hidden="1">
      <c r="A295" s="374" t="s">
        <v>9848</v>
      </c>
      <c r="B295" s="374"/>
      <c r="C295" s="374"/>
      <c r="D295" s="374"/>
      <c r="E295" s="374"/>
      <c r="F295" s="374"/>
      <c r="G295" s="374"/>
      <c r="H295" s="374"/>
    </row>
    <row r="296" hidden="1">
      <c r="A296" s="111" t="s">
        <v>8748</v>
      </c>
      <c r="B296" s="111"/>
      <c r="C296" s="111" t="s">
        <v>9</v>
      </c>
      <c r="D296" s="111" t="s">
        <v>5246</v>
      </c>
      <c r="E296" s="111"/>
      <c r="F296" s="111"/>
      <c r="G296" s="111"/>
      <c r="H296" s="111" t="s">
        <v>8680</v>
      </c>
    </row>
    <row r="297" hidden="1">
      <c r="A297" s="119"/>
      <c r="B297" s="119"/>
      <c r="C297" s="119"/>
      <c r="D297" s="119"/>
      <c r="E297" s="119"/>
      <c r="F297" s="119"/>
      <c r="G297" s="119"/>
      <c r="H297" s="119"/>
    </row>
    <row r="298">
      <c r="A298" s="375">
        <v>1.0</v>
      </c>
      <c r="B298" s="376">
        <v>253.0</v>
      </c>
      <c r="C298" s="377" t="s">
        <v>4307</v>
      </c>
      <c r="D298" s="377"/>
      <c r="E298" s="377" t="str">
        <f t="shared" ref="E298:E333" si="28">TRIM(LEFT(C298, FIND("/", C298)-1))</f>
        <v>0091972857</v>
      </c>
      <c r="F298" s="379" t="str">
        <f t="shared" ref="F298:F333" si="29">TRIM(MID(C298, FIND("/", C298)+1, LEN(C298)))</f>
        <v>242510003</v>
      </c>
      <c r="G298" s="378" t="str">
        <f t="shared" ref="G298:G333" si="30">E298&amp;" / "&amp;F298</f>
        <v>0091972857 / 242510003</v>
      </c>
      <c r="H298" s="377" t="s">
        <v>4308</v>
      </c>
    </row>
    <row r="299">
      <c r="A299" s="375">
        <v>2.0</v>
      </c>
      <c r="B299" s="376">
        <v>254.0</v>
      </c>
      <c r="C299" s="377" t="s">
        <v>4313</v>
      </c>
      <c r="D299" s="377"/>
      <c r="E299" s="377" t="str">
        <f t="shared" si="28"/>
        <v>0099463036</v>
      </c>
      <c r="F299" s="379" t="str">
        <f t="shared" si="29"/>
        <v>242510012</v>
      </c>
      <c r="G299" s="378" t="str">
        <f t="shared" si="30"/>
        <v>0099463036 / 242510012</v>
      </c>
      <c r="H299" s="377" t="s">
        <v>4314</v>
      </c>
    </row>
    <row r="300">
      <c r="A300" s="375">
        <v>3.0</v>
      </c>
      <c r="B300" s="376">
        <v>255.0</v>
      </c>
      <c r="C300" s="377" t="s">
        <v>4318</v>
      </c>
      <c r="D300" s="377"/>
      <c r="E300" s="377" t="str">
        <f t="shared" si="28"/>
        <v>0084373144</v>
      </c>
      <c r="F300" s="379" t="str">
        <f t="shared" si="29"/>
        <v>242510032</v>
      </c>
      <c r="G300" s="378" t="str">
        <f t="shared" si="30"/>
        <v>0084373144 / 242510032</v>
      </c>
      <c r="H300" s="377" t="s">
        <v>4319</v>
      </c>
    </row>
    <row r="301">
      <c r="A301" s="375">
        <v>4.0</v>
      </c>
      <c r="B301" s="376">
        <v>256.0</v>
      </c>
      <c r="C301" s="377" t="s">
        <v>4323</v>
      </c>
      <c r="D301" s="377"/>
      <c r="E301" s="377" t="str">
        <f t="shared" si="28"/>
        <v>0092027940</v>
      </c>
      <c r="F301" s="379" t="str">
        <f t="shared" si="29"/>
        <v>242510034</v>
      </c>
      <c r="G301" s="378" t="str">
        <f t="shared" si="30"/>
        <v>0092027940 / 242510034</v>
      </c>
      <c r="H301" s="377" t="s">
        <v>4324</v>
      </c>
    </row>
    <row r="302">
      <c r="A302" s="375">
        <v>5.0</v>
      </c>
      <c r="B302" s="376">
        <v>257.0</v>
      </c>
      <c r="C302" s="377" t="s">
        <v>4329</v>
      </c>
      <c r="D302" s="377"/>
      <c r="E302" s="377" t="str">
        <f t="shared" si="28"/>
        <v>0097798929</v>
      </c>
      <c r="F302" s="379" t="str">
        <f t="shared" si="29"/>
        <v>242510045</v>
      </c>
      <c r="G302" s="378" t="str">
        <f t="shared" si="30"/>
        <v>0097798929 / 242510045</v>
      </c>
      <c r="H302" s="377" t="s">
        <v>4330</v>
      </c>
    </row>
    <row r="303">
      <c r="A303" s="375">
        <v>6.0</v>
      </c>
      <c r="B303" s="376">
        <v>258.0</v>
      </c>
      <c r="C303" s="377" t="s">
        <v>4334</v>
      </c>
      <c r="D303" s="377"/>
      <c r="E303" s="377" t="str">
        <f t="shared" si="28"/>
        <v>0092388902</v>
      </c>
      <c r="F303" s="379" t="str">
        <f t="shared" si="29"/>
        <v>242510053</v>
      </c>
      <c r="G303" s="378" t="str">
        <f t="shared" si="30"/>
        <v>0092388902 / 242510053</v>
      </c>
      <c r="H303" s="377" t="s">
        <v>4335</v>
      </c>
    </row>
    <row r="304">
      <c r="A304" s="375">
        <v>7.0</v>
      </c>
      <c r="B304" s="376">
        <v>259.0</v>
      </c>
      <c r="C304" s="377" t="s">
        <v>4339</v>
      </c>
      <c r="D304" s="377"/>
      <c r="E304" s="377" t="str">
        <f t="shared" si="28"/>
        <v>0092260536</v>
      </c>
      <c r="F304" s="379" t="str">
        <f t="shared" si="29"/>
        <v>242510063</v>
      </c>
      <c r="G304" s="378" t="str">
        <f t="shared" si="30"/>
        <v>0092260536 / 242510063</v>
      </c>
      <c r="H304" s="377" t="s">
        <v>4340</v>
      </c>
    </row>
    <row r="305">
      <c r="A305" s="375">
        <v>8.0</v>
      </c>
      <c r="B305" s="376">
        <v>260.0</v>
      </c>
      <c r="C305" s="377" t="s">
        <v>4344</v>
      </c>
      <c r="D305" s="377"/>
      <c r="E305" s="377" t="str">
        <f t="shared" si="28"/>
        <v>0092404259</v>
      </c>
      <c r="F305" s="379" t="str">
        <f t="shared" si="29"/>
        <v>242510067</v>
      </c>
      <c r="G305" s="378" t="str">
        <f t="shared" si="30"/>
        <v>0092404259 / 242510067</v>
      </c>
      <c r="H305" s="377" t="s">
        <v>4345</v>
      </c>
    </row>
    <row r="306">
      <c r="A306" s="375">
        <v>9.0</v>
      </c>
      <c r="B306" s="376">
        <v>261.0</v>
      </c>
      <c r="C306" s="377" t="s">
        <v>4349</v>
      </c>
      <c r="D306" s="377"/>
      <c r="E306" s="377" t="str">
        <f t="shared" si="28"/>
        <v>0086475767</v>
      </c>
      <c r="F306" s="379" t="str">
        <f t="shared" si="29"/>
        <v>242510068</v>
      </c>
      <c r="G306" s="378" t="str">
        <f t="shared" si="30"/>
        <v>0086475767 / 242510068</v>
      </c>
      <c r="H306" s="377" t="s">
        <v>4350</v>
      </c>
    </row>
    <row r="307">
      <c r="A307" s="375">
        <v>10.0</v>
      </c>
      <c r="B307" s="376">
        <v>262.0</v>
      </c>
      <c r="C307" s="377" t="s">
        <v>4354</v>
      </c>
      <c r="D307" s="377"/>
      <c r="E307" s="377" t="str">
        <f t="shared" si="28"/>
        <v>0099130384</v>
      </c>
      <c r="F307" s="379" t="str">
        <f t="shared" si="29"/>
        <v>242510073</v>
      </c>
      <c r="G307" s="378" t="str">
        <f t="shared" si="30"/>
        <v>0099130384 / 242510073</v>
      </c>
      <c r="H307" s="377" t="s">
        <v>4355</v>
      </c>
    </row>
    <row r="308">
      <c r="A308" s="375">
        <v>11.0</v>
      </c>
      <c r="B308" s="376">
        <v>263.0</v>
      </c>
      <c r="C308" s="377" t="s">
        <v>4359</v>
      </c>
      <c r="D308" s="386"/>
      <c r="E308" s="377" t="str">
        <f t="shared" si="28"/>
        <v>0097660827</v>
      </c>
      <c r="F308" s="379" t="str">
        <f t="shared" si="29"/>
        <v>242510081</v>
      </c>
      <c r="G308" s="378" t="str">
        <f t="shared" si="30"/>
        <v>0097660827 / 242510081</v>
      </c>
      <c r="H308" s="377" t="s">
        <v>4360</v>
      </c>
    </row>
    <row r="309">
      <c r="A309" s="375">
        <v>12.0</v>
      </c>
      <c r="B309" s="376">
        <v>264.0</v>
      </c>
      <c r="C309" s="377" t="s">
        <v>4365</v>
      </c>
      <c r="D309" s="377"/>
      <c r="E309" s="377" t="str">
        <f t="shared" si="28"/>
        <v>0096109567</v>
      </c>
      <c r="F309" s="379" t="str">
        <f t="shared" si="29"/>
        <v>242510084</v>
      </c>
      <c r="G309" s="378" t="str">
        <f t="shared" si="30"/>
        <v>0096109567 / 242510084</v>
      </c>
      <c r="H309" s="377" t="s">
        <v>4366</v>
      </c>
    </row>
    <row r="310">
      <c r="A310" s="375">
        <v>13.0</v>
      </c>
      <c r="B310" s="376">
        <v>265.0</v>
      </c>
      <c r="C310" s="377" t="s">
        <v>4370</v>
      </c>
      <c r="D310" s="377"/>
      <c r="E310" s="377" t="str">
        <f t="shared" si="28"/>
        <v>0095745176</v>
      </c>
      <c r="F310" s="379" t="str">
        <f t="shared" si="29"/>
        <v>242510087</v>
      </c>
      <c r="G310" s="378" t="str">
        <f t="shared" si="30"/>
        <v>0095745176 / 242510087</v>
      </c>
      <c r="H310" s="377" t="s">
        <v>4371</v>
      </c>
    </row>
    <row r="311">
      <c r="A311" s="375">
        <v>14.0</v>
      </c>
      <c r="B311" s="376">
        <v>266.0</v>
      </c>
      <c r="C311" s="377" t="s">
        <v>4375</v>
      </c>
      <c r="D311" s="377"/>
      <c r="E311" s="377" t="str">
        <f t="shared" si="28"/>
        <v>0091234811</v>
      </c>
      <c r="F311" s="379" t="str">
        <f t="shared" si="29"/>
        <v>242510090</v>
      </c>
      <c r="G311" s="378" t="str">
        <f t="shared" si="30"/>
        <v>0091234811 / 242510090</v>
      </c>
      <c r="H311" s="377" t="s">
        <v>4376</v>
      </c>
    </row>
    <row r="312">
      <c r="A312" s="375">
        <v>15.0</v>
      </c>
      <c r="B312" s="376">
        <v>267.0</v>
      </c>
      <c r="C312" s="377" t="s">
        <v>4380</v>
      </c>
      <c r="D312" s="377"/>
      <c r="E312" s="377" t="str">
        <f t="shared" si="28"/>
        <v>0091342789</v>
      </c>
      <c r="F312" s="379" t="str">
        <f t="shared" si="29"/>
        <v>242510094</v>
      </c>
      <c r="G312" s="378" t="str">
        <f t="shared" si="30"/>
        <v>0091342789 / 242510094</v>
      </c>
      <c r="H312" s="377" t="s">
        <v>4381</v>
      </c>
    </row>
    <row r="313">
      <c r="A313" s="375">
        <v>16.0</v>
      </c>
      <c r="B313" s="376">
        <v>268.0</v>
      </c>
      <c r="C313" s="377" t="s">
        <v>4386</v>
      </c>
      <c r="D313" s="377"/>
      <c r="E313" s="377" t="str">
        <f t="shared" si="28"/>
        <v>0082284975</v>
      </c>
      <c r="F313" s="379" t="str">
        <f t="shared" si="29"/>
        <v>242510115</v>
      </c>
      <c r="G313" s="378" t="str">
        <f t="shared" si="30"/>
        <v>0082284975 / 242510115</v>
      </c>
      <c r="H313" s="377" t="s">
        <v>4387</v>
      </c>
    </row>
    <row r="314">
      <c r="A314" s="375">
        <v>17.0</v>
      </c>
      <c r="B314" s="376">
        <v>269.0</v>
      </c>
      <c r="C314" s="377" t="s">
        <v>4391</v>
      </c>
      <c r="D314" s="377"/>
      <c r="E314" s="377" t="str">
        <f t="shared" si="28"/>
        <v>0096026876</v>
      </c>
      <c r="F314" s="379" t="str">
        <f t="shared" si="29"/>
        <v>242510137</v>
      </c>
      <c r="G314" s="378" t="str">
        <f t="shared" si="30"/>
        <v>0096026876 / 242510137</v>
      </c>
      <c r="H314" s="377" t="s">
        <v>4392</v>
      </c>
    </row>
    <row r="315">
      <c r="A315" s="375">
        <v>18.0</v>
      </c>
      <c r="B315" s="376">
        <v>270.0</v>
      </c>
      <c r="C315" s="377" t="s">
        <v>127</v>
      </c>
      <c r="D315" s="377"/>
      <c r="E315" s="377" t="str">
        <f t="shared" si="28"/>
        <v>0097494303</v>
      </c>
      <c r="F315" s="379" t="str">
        <f t="shared" si="29"/>
        <v>242510150</v>
      </c>
      <c r="G315" s="378" t="str">
        <f t="shared" si="30"/>
        <v>0097494303 / 242510150</v>
      </c>
      <c r="H315" s="377" t="s">
        <v>4396</v>
      </c>
    </row>
    <row r="316">
      <c r="A316" s="375">
        <v>19.0</v>
      </c>
      <c r="B316" s="376">
        <v>271.0</v>
      </c>
      <c r="C316" s="377" t="s">
        <v>4400</v>
      </c>
      <c r="D316" s="377"/>
      <c r="E316" s="377" t="str">
        <f t="shared" si="28"/>
        <v>0091325828</v>
      </c>
      <c r="F316" s="379" t="str">
        <f t="shared" si="29"/>
        <v>242510155</v>
      </c>
      <c r="G316" s="378" t="str">
        <f t="shared" si="30"/>
        <v>0091325828 / 242510155</v>
      </c>
      <c r="H316" s="377" t="s">
        <v>4401</v>
      </c>
    </row>
    <row r="317">
      <c r="A317" s="375">
        <v>20.0</v>
      </c>
      <c r="B317" s="376">
        <v>272.0</v>
      </c>
      <c r="C317" s="377" t="s">
        <v>4406</v>
      </c>
      <c r="D317" s="377"/>
      <c r="E317" s="377" t="str">
        <f t="shared" si="28"/>
        <v>0099418331</v>
      </c>
      <c r="F317" s="379" t="str">
        <f t="shared" si="29"/>
        <v>242510190</v>
      </c>
      <c r="G317" s="378" t="str">
        <f t="shared" si="30"/>
        <v>0099418331 / 242510190</v>
      </c>
      <c r="H317" s="377" t="s">
        <v>4407</v>
      </c>
    </row>
    <row r="318">
      <c r="A318" s="375">
        <v>21.0</v>
      </c>
      <c r="B318" s="376">
        <v>273.0</v>
      </c>
      <c r="C318" s="377" t="s">
        <v>4412</v>
      </c>
      <c r="D318" s="377"/>
      <c r="E318" s="377" t="str">
        <f t="shared" si="28"/>
        <v>0098415432</v>
      </c>
      <c r="F318" s="379" t="str">
        <f t="shared" si="29"/>
        <v>242510196</v>
      </c>
      <c r="G318" s="378" t="str">
        <f t="shared" si="30"/>
        <v>0098415432 / 242510196</v>
      </c>
      <c r="H318" s="377" t="s">
        <v>4413</v>
      </c>
    </row>
    <row r="319">
      <c r="A319" s="375">
        <v>22.0</v>
      </c>
      <c r="B319" s="376">
        <v>274.0</v>
      </c>
      <c r="C319" s="377" t="s">
        <v>4417</v>
      </c>
      <c r="D319" s="377"/>
      <c r="E319" s="377" t="str">
        <f t="shared" si="28"/>
        <v>3082881499</v>
      </c>
      <c r="F319" s="379" t="str">
        <f t="shared" si="29"/>
        <v>242510243</v>
      </c>
      <c r="G319" s="378" t="str">
        <f t="shared" si="30"/>
        <v>3082881499 / 242510243</v>
      </c>
      <c r="H319" s="377" t="s">
        <v>4418</v>
      </c>
    </row>
    <row r="320">
      <c r="A320" s="375">
        <v>23.0</v>
      </c>
      <c r="B320" s="376">
        <v>275.0</v>
      </c>
      <c r="C320" s="377" t="s">
        <v>4422</v>
      </c>
      <c r="D320" s="377"/>
      <c r="E320" s="377" t="str">
        <f t="shared" si="28"/>
        <v>0084468197</v>
      </c>
      <c r="F320" s="379" t="str">
        <f t="shared" si="29"/>
        <v>242510246</v>
      </c>
      <c r="G320" s="378" t="str">
        <f t="shared" si="30"/>
        <v>0084468197 / 242510246</v>
      </c>
      <c r="H320" s="377" t="s">
        <v>4423</v>
      </c>
    </row>
    <row r="321">
      <c r="A321" s="375">
        <v>24.0</v>
      </c>
      <c r="B321" s="376">
        <v>276.0</v>
      </c>
      <c r="C321" s="377" t="s">
        <v>4427</v>
      </c>
      <c r="D321" s="377"/>
      <c r="E321" s="377" t="str">
        <f t="shared" si="28"/>
        <v>0095554126</v>
      </c>
      <c r="F321" s="379" t="str">
        <f t="shared" si="29"/>
        <v>242510253</v>
      </c>
      <c r="G321" s="378" t="str">
        <f t="shared" si="30"/>
        <v>0095554126 / 242510253</v>
      </c>
      <c r="H321" s="377" t="s">
        <v>4428</v>
      </c>
    </row>
    <row r="322">
      <c r="A322" s="375">
        <v>25.0</v>
      </c>
      <c r="B322" s="376">
        <v>277.0</v>
      </c>
      <c r="C322" s="377" t="s">
        <v>4432</v>
      </c>
      <c r="D322" s="377"/>
      <c r="E322" s="377" t="str">
        <f t="shared" si="28"/>
        <v>0095029451</v>
      </c>
      <c r="F322" s="379" t="str">
        <f t="shared" si="29"/>
        <v>242510255</v>
      </c>
      <c r="G322" s="378" t="str">
        <f t="shared" si="30"/>
        <v>0095029451 / 242510255</v>
      </c>
      <c r="H322" s="377" t="s">
        <v>4433</v>
      </c>
    </row>
    <row r="323">
      <c r="A323" s="375">
        <v>26.0</v>
      </c>
      <c r="B323" s="376">
        <v>278.0</v>
      </c>
      <c r="C323" s="377" t="s">
        <v>4437</v>
      </c>
      <c r="D323" s="377"/>
      <c r="E323" s="377" t="str">
        <f t="shared" si="28"/>
        <v>0084998907</v>
      </c>
      <c r="F323" s="379" t="str">
        <f t="shared" si="29"/>
        <v>242510273</v>
      </c>
      <c r="G323" s="378" t="str">
        <f t="shared" si="30"/>
        <v>0084998907 / 242510273</v>
      </c>
      <c r="H323" s="377" t="s">
        <v>4438</v>
      </c>
    </row>
    <row r="324">
      <c r="A324" s="375">
        <v>27.0</v>
      </c>
      <c r="B324" s="376">
        <v>279.0</v>
      </c>
      <c r="C324" s="377" t="s">
        <v>4442</v>
      </c>
      <c r="D324" s="377"/>
      <c r="E324" s="377" t="str">
        <f t="shared" si="28"/>
        <v>3097947979</v>
      </c>
      <c r="F324" s="379" t="str">
        <f t="shared" si="29"/>
        <v>242510280</v>
      </c>
      <c r="G324" s="378" t="str">
        <f t="shared" si="30"/>
        <v>3097947979 / 242510280</v>
      </c>
      <c r="H324" s="377" t="s">
        <v>4443</v>
      </c>
    </row>
    <row r="325">
      <c r="A325" s="375">
        <v>28.0</v>
      </c>
      <c r="B325" s="376">
        <v>280.0</v>
      </c>
      <c r="C325" s="377" t="s">
        <v>4448</v>
      </c>
      <c r="D325" s="377"/>
      <c r="E325" s="377" t="str">
        <f t="shared" si="28"/>
        <v>0091225757</v>
      </c>
      <c r="F325" s="379" t="str">
        <f t="shared" si="29"/>
        <v>242510288</v>
      </c>
      <c r="G325" s="378" t="str">
        <f t="shared" si="30"/>
        <v>0091225757 / 242510288</v>
      </c>
      <c r="H325" s="377" t="s">
        <v>4449</v>
      </c>
    </row>
    <row r="326">
      <c r="A326" s="375">
        <v>29.0</v>
      </c>
      <c r="B326" s="376">
        <v>281.0</v>
      </c>
      <c r="C326" s="377" t="s">
        <v>52</v>
      </c>
      <c r="D326" s="377"/>
      <c r="E326" s="377" t="str">
        <f t="shared" si="28"/>
        <v>0099551790</v>
      </c>
      <c r="F326" s="379" t="str">
        <f t="shared" si="29"/>
        <v>242510296</v>
      </c>
      <c r="G326" s="378" t="str">
        <f t="shared" si="30"/>
        <v>0099551790 / 242510296</v>
      </c>
      <c r="H326" s="377" t="s">
        <v>4453</v>
      </c>
    </row>
    <row r="327">
      <c r="A327" s="375">
        <v>30.0</v>
      </c>
      <c r="B327" s="376">
        <v>282.0</v>
      </c>
      <c r="C327" s="377" t="s">
        <v>4457</v>
      </c>
      <c r="D327" s="377"/>
      <c r="E327" s="377" t="str">
        <f t="shared" si="28"/>
        <v>0089608543</v>
      </c>
      <c r="F327" s="379" t="str">
        <f t="shared" si="29"/>
        <v>242510309</v>
      </c>
      <c r="G327" s="378" t="str">
        <f t="shared" si="30"/>
        <v>0089608543 / 242510309</v>
      </c>
      <c r="H327" s="377" t="s">
        <v>4458</v>
      </c>
    </row>
    <row r="328">
      <c r="A328" s="375">
        <v>31.0</v>
      </c>
      <c r="B328" s="376">
        <v>283.0</v>
      </c>
      <c r="C328" s="377" t="s">
        <v>4462</v>
      </c>
      <c r="D328" s="377"/>
      <c r="E328" s="377" t="str">
        <f t="shared" si="28"/>
        <v>0098835028</v>
      </c>
      <c r="F328" s="379" t="str">
        <f t="shared" si="29"/>
        <v>242510334</v>
      </c>
      <c r="G328" s="378" t="str">
        <f t="shared" si="30"/>
        <v>0098835028 / 242510334</v>
      </c>
      <c r="H328" s="377" t="s">
        <v>4463</v>
      </c>
    </row>
    <row r="329">
      <c r="A329" s="375">
        <v>32.0</v>
      </c>
      <c r="B329" s="376">
        <v>284.0</v>
      </c>
      <c r="C329" s="377" t="s">
        <v>4467</v>
      </c>
      <c r="D329" s="377"/>
      <c r="E329" s="377" t="str">
        <f t="shared" si="28"/>
        <v>3097356141</v>
      </c>
      <c r="F329" s="379" t="str">
        <f t="shared" si="29"/>
        <v>242510353</v>
      </c>
      <c r="G329" s="378" t="str">
        <f t="shared" si="30"/>
        <v>3097356141 / 242510353</v>
      </c>
      <c r="H329" s="377" t="s">
        <v>4468</v>
      </c>
    </row>
    <row r="330">
      <c r="A330" s="375">
        <v>33.0</v>
      </c>
      <c r="B330" s="376">
        <v>285.0</v>
      </c>
      <c r="C330" s="377" t="s">
        <v>4472</v>
      </c>
      <c r="D330" s="377"/>
      <c r="E330" s="377" t="str">
        <f t="shared" si="28"/>
        <v>0097311898</v>
      </c>
      <c r="F330" s="379" t="str">
        <f t="shared" si="29"/>
        <v>242510379</v>
      </c>
      <c r="G330" s="378" t="str">
        <f t="shared" si="30"/>
        <v>0097311898 / 242510379</v>
      </c>
      <c r="H330" s="377" t="s">
        <v>4473</v>
      </c>
    </row>
    <row r="331">
      <c r="A331" s="375">
        <v>34.0</v>
      </c>
      <c r="B331" s="376">
        <v>286.0</v>
      </c>
      <c r="C331" s="377" t="s">
        <v>4477</v>
      </c>
      <c r="D331" s="377"/>
      <c r="E331" s="377" t="str">
        <f t="shared" si="28"/>
        <v>0099130256</v>
      </c>
      <c r="F331" s="379" t="str">
        <f t="shared" si="29"/>
        <v>242510385</v>
      </c>
      <c r="G331" s="378" t="str">
        <f t="shared" si="30"/>
        <v>0099130256 / 242510385</v>
      </c>
      <c r="H331" s="377" t="s">
        <v>4478</v>
      </c>
    </row>
    <row r="332">
      <c r="A332" s="375">
        <v>35.0</v>
      </c>
      <c r="B332" s="376">
        <v>287.0</v>
      </c>
      <c r="C332" s="377" t="s">
        <v>4483</v>
      </c>
      <c r="D332" s="387"/>
      <c r="E332" s="377" t="str">
        <f t="shared" si="28"/>
        <v>0082646713</v>
      </c>
      <c r="F332" s="379" t="str">
        <f t="shared" si="29"/>
        <v>242510398</v>
      </c>
      <c r="G332" s="378" t="str">
        <f t="shared" si="30"/>
        <v>0082646713 / 242510398</v>
      </c>
      <c r="H332" s="377" t="s">
        <v>4484</v>
      </c>
    </row>
    <row r="333">
      <c r="A333" s="375">
        <v>36.0</v>
      </c>
      <c r="B333" s="376">
        <v>288.0</v>
      </c>
      <c r="C333" s="377" t="s">
        <v>4488</v>
      </c>
      <c r="D333" s="387"/>
      <c r="E333" s="377" t="str">
        <f t="shared" si="28"/>
        <v>0091537746</v>
      </c>
      <c r="F333" s="379" t="str">
        <f t="shared" si="29"/>
        <v>242510407</v>
      </c>
      <c r="G333" s="378" t="str">
        <f t="shared" si="30"/>
        <v>0091537746 / 242510407</v>
      </c>
      <c r="H333" s="377" t="s">
        <v>4489</v>
      </c>
    </row>
    <row r="334" hidden="1">
      <c r="A334" s="372"/>
      <c r="B334" s="372"/>
      <c r="C334" s="372"/>
      <c r="D334" s="372"/>
      <c r="E334" s="372"/>
      <c r="F334" s="372"/>
      <c r="G334" s="372"/>
      <c r="H334" s="372"/>
    </row>
    <row r="335" hidden="1">
      <c r="A335" s="373" t="s">
        <v>9849</v>
      </c>
      <c r="B335" s="373"/>
      <c r="C335" s="373"/>
      <c r="D335" s="373"/>
      <c r="E335" s="373"/>
      <c r="F335" s="373"/>
      <c r="G335" s="373"/>
      <c r="H335" s="373"/>
    </row>
    <row r="336" hidden="1">
      <c r="A336" s="374" t="s">
        <v>9661</v>
      </c>
      <c r="B336" s="374"/>
      <c r="C336" s="374"/>
      <c r="D336" s="374"/>
      <c r="E336" s="374"/>
      <c r="F336" s="374"/>
      <c r="G336" s="374"/>
      <c r="H336" s="374"/>
    </row>
    <row r="337" hidden="1">
      <c r="A337" s="111" t="s">
        <v>8748</v>
      </c>
      <c r="B337" s="111"/>
      <c r="C337" s="111" t="s">
        <v>9</v>
      </c>
      <c r="D337" s="111" t="s">
        <v>5246</v>
      </c>
      <c r="E337" s="111"/>
      <c r="F337" s="111"/>
      <c r="G337" s="111"/>
      <c r="H337" s="111" t="s">
        <v>8680</v>
      </c>
    </row>
    <row r="338" hidden="1">
      <c r="A338" s="119"/>
      <c r="B338" s="119"/>
      <c r="C338" s="119"/>
      <c r="D338" s="119"/>
      <c r="E338" s="119"/>
      <c r="F338" s="119"/>
      <c r="G338" s="119"/>
      <c r="H338" s="119"/>
    </row>
    <row r="339">
      <c r="A339" s="375">
        <v>1.0</v>
      </c>
      <c r="B339" s="376">
        <v>289.0</v>
      </c>
      <c r="C339" s="377">
        <v>9.3390743E7</v>
      </c>
      <c r="D339" s="377">
        <v>2.42510006E8</v>
      </c>
      <c r="E339" s="377" t="str">
        <f t="shared" ref="E339:E343" si="31">"00"&amp;C339</f>
        <v>0093390743</v>
      </c>
      <c r="F339" s="378">
        <v>2.42510006E8</v>
      </c>
      <c r="G339" s="378" t="str">
        <f t="shared" ref="G339:G374" si="32">E339&amp;" / "&amp;F339</f>
        <v>0093390743 / 242510006</v>
      </c>
      <c r="H339" s="377" t="s">
        <v>4494</v>
      </c>
    </row>
    <row r="340">
      <c r="A340" s="375">
        <v>2.0</v>
      </c>
      <c r="B340" s="376">
        <v>290.0</v>
      </c>
      <c r="C340" s="377">
        <v>9.9505768E7</v>
      </c>
      <c r="D340" s="377">
        <v>2.42510022E8</v>
      </c>
      <c r="E340" s="377" t="str">
        <f t="shared" si="31"/>
        <v>0099505768</v>
      </c>
      <c r="F340" s="378">
        <v>2.42510022E8</v>
      </c>
      <c r="G340" s="378" t="str">
        <f t="shared" si="32"/>
        <v>0099505768 / 242510022</v>
      </c>
      <c r="H340" s="377" t="s">
        <v>4500</v>
      </c>
    </row>
    <row r="341">
      <c r="A341" s="375">
        <v>3.0</v>
      </c>
      <c r="B341" s="376">
        <v>291.0</v>
      </c>
      <c r="C341" s="377">
        <v>9.380109E7</v>
      </c>
      <c r="D341" s="377">
        <v>2.42510035E8</v>
      </c>
      <c r="E341" s="377" t="str">
        <f t="shared" si="31"/>
        <v>0093801090</v>
      </c>
      <c r="F341" s="378">
        <v>2.42510035E8</v>
      </c>
      <c r="G341" s="378" t="str">
        <f t="shared" si="32"/>
        <v>0093801090 / 242510035</v>
      </c>
      <c r="H341" s="377" t="s">
        <v>4505</v>
      </c>
    </row>
    <row r="342">
      <c r="A342" s="375">
        <v>4.0</v>
      </c>
      <c r="B342" s="376">
        <v>292.0</v>
      </c>
      <c r="C342" s="377">
        <v>9.7959305E7</v>
      </c>
      <c r="D342" s="377">
        <v>2.42510047E8</v>
      </c>
      <c r="E342" s="377" t="str">
        <f t="shared" si="31"/>
        <v>0097959305</v>
      </c>
      <c r="F342" s="378">
        <v>2.42510047E8</v>
      </c>
      <c r="G342" s="378" t="str">
        <f t="shared" si="32"/>
        <v>0097959305 / 242510047</v>
      </c>
      <c r="H342" s="377" t="s">
        <v>4510</v>
      </c>
    </row>
    <row r="343">
      <c r="A343" s="375">
        <v>5.0</v>
      </c>
      <c r="B343" s="376">
        <v>293.0</v>
      </c>
      <c r="C343" s="377">
        <v>8.4789093E7</v>
      </c>
      <c r="D343" s="377">
        <v>2.42510051E8</v>
      </c>
      <c r="E343" s="377" t="str">
        <f t="shared" si="31"/>
        <v>0084789093</v>
      </c>
      <c r="F343" s="378">
        <v>2.42510051E8</v>
      </c>
      <c r="G343" s="378" t="str">
        <f t="shared" si="32"/>
        <v>0084789093 / 242510051</v>
      </c>
      <c r="H343" s="377" t="s">
        <v>4515</v>
      </c>
    </row>
    <row r="344">
      <c r="A344" s="375">
        <v>6.0</v>
      </c>
      <c r="B344" s="376">
        <v>294.0</v>
      </c>
      <c r="C344" s="377">
        <v>2.081404817E9</v>
      </c>
      <c r="D344" s="377">
        <v>2.42510059E8</v>
      </c>
      <c r="E344" s="379">
        <v>2.081404817E9</v>
      </c>
      <c r="F344" s="378">
        <v>2.42510059E8</v>
      </c>
      <c r="G344" s="378" t="str">
        <f t="shared" si="32"/>
        <v>2081404817 / 242510059</v>
      </c>
      <c r="H344" s="377" t="s">
        <v>4520</v>
      </c>
    </row>
    <row r="345">
      <c r="A345" s="375">
        <v>7.0</v>
      </c>
      <c r="B345" s="376">
        <v>295.0</v>
      </c>
      <c r="C345" s="377">
        <v>9.8812831E7</v>
      </c>
      <c r="D345" s="377">
        <v>2.42510083E8</v>
      </c>
      <c r="E345" s="377" t="str">
        <f t="shared" ref="E345:E374" si="33">"00"&amp;C345</f>
        <v>0098812831</v>
      </c>
      <c r="F345" s="378">
        <v>2.42510083E8</v>
      </c>
      <c r="G345" s="378" t="str">
        <f t="shared" si="32"/>
        <v>0098812831 / 242510083</v>
      </c>
      <c r="H345" s="377" t="s">
        <v>4526</v>
      </c>
    </row>
    <row r="346">
      <c r="A346" s="375">
        <v>8.0</v>
      </c>
      <c r="B346" s="376">
        <v>296.0</v>
      </c>
      <c r="C346" s="377">
        <v>8.3352872E7</v>
      </c>
      <c r="D346" s="377">
        <v>2.42510098E8</v>
      </c>
      <c r="E346" s="377" t="str">
        <f t="shared" si="33"/>
        <v>0083352872</v>
      </c>
      <c r="F346" s="378">
        <v>2.42510098E8</v>
      </c>
      <c r="G346" s="378" t="str">
        <f t="shared" si="32"/>
        <v>0083352872 / 242510098</v>
      </c>
      <c r="H346" s="377" t="s">
        <v>4531</v>
      </c>
    </row>
    <row r="347">
      <c r="A347" s="375">
        <v>9.0</v>
      </c>
      <c r="B347" s="376">
        <v>297.0</v>
      </c>
      <c r="C347" s="377">
        <v>8.6078004E7</v>
      </c>
      <c r="D347" s="377">
        <v>2.42510103E8</v>
      </c>
      <c r="E347" s="377" t="str">
        <f t="shared" si="33"/>
        <v>0086078004</v>
      </c>
      <c r="F347" s="378">
        <v>2.42510103E8</v>
      </c>
      <c r="G347" s="378" t="str">
        <f t="shared" si="32"/>
        <v>0086078004 / 242510103</v>
      </c>
      <c r="H347" s="377" t="s">
        <v>4536</v>
      </c>
    </row>
    <row r="348">
      <c r="A348" s="375">
        <v>10.0</v>
      </c>
      <c r="B348" s="376">
        <v>298.0</v>
      </c>
      <c r="C348" s="377">
        <v>9.8775856E7</v>
      </c>
      <c r="D348" s="377">
        <v>2.42510123E8</v>
      </c>
      <c r="E348" s="377" t="str">
        <f t="shared" si="33"/>
        <v>0098775856</v>
      </c>
      <c r="F348" s="378">
        <v>2.42510123E8</v>
      </c>
      <c r="G348" s="378" t="str">
        <f t="shared" si="32"/>
        <v>0098775856 / 242510123</v>
      </c>
      <c r="H348" s="377" t="s">
        <v>4541</v>
      </c>
    </row>
    <row r="349">
      <c r="A349" s="375">
        <v>11.0</v>
      </c>
      <c r="B349" s="376">
        <v>299.0</v>
      </c>
      <c r="C349" s="377">
        <v>9.3969715E7</v>
      </c>
      <c r="D349" s="377">
        <v>2.42510128E8</v>
      </c>
      <c r="E349" s="377" t="str">
        <f t="shared" si="33"/>
        <v>0093969715</v>
      </c>
      <c r="F349" s="378">
        <v>2.42510128E8</v>
      </c>
      <c r="G349" s="378" t="str">
        <f t="shared" si="32"/>
        <v>0093969715 / 242510128</v>
      </c>
      <c r="H349" s="377" t="s">
        <v>4546</v>
      </c>
    </row>
    <row r="350">
      <c r="A350" s="375">
        <v>12.0</v>
      </c>
      <c r="B350" s="376">
        <v>300.0</v>
      </c>
      <c r="C350" s="377">
        <v>9.7062478E7</v>
      </c>
      <c r="D350" s="377">
        <v>2.42510175E8</v>
      </c>
      <c r="E350" s="377" t="str">
        <f t="shared" si="33"/>
        <v>0097062478</v>
      </c>
      <c r="F350" s="378">
        <v>2.42510175E8</v>
      </c>
      <c r="G350" s="378" t="str">
        <f t="shared" si="32"/>
        <v>0097062478 / 242510175</v>
      </c>
      <c r="H350" s="377" t="s">
        <v>4551</v>
      </c>
    </row>
    <row r="351">
      <c r="A351" s="375">
        <v>13.0</v>
      </c>
      <c r="B351" s="376">
        <v>301.0</v>
      </c>
      <c r="C351" s="377">
        <v>8.2185766E7</v>
      </c>
      <c r="D351" s="377">
        <v>2.42510181E8</v>
      </c>
      <c r="E351" s="377" t="str">
        <f t="shared" si="33"/>
        <v>0082185766</v>
      </c>
      <c r="F351" s="378">
        <v>2.42510181E8</v>
      </c>
      <c r="G351" s="378" t="str">
        <f t="shared" si="32"/>
        <v>0082185766 / 242510181</v>
      </c>
      <c r="H351" s="377" t="s">
        <v>4556</v>
      </c>
    </row>
    <row r="352">
      <c r="A352" s="375">
        <v>14.0</v>
      </c>
      <c r="B352" s="376">
        <v>302.0</v>
      </c>
      <c r="C352" s="377">
        <v>8.7551275E7</v>
      </c>
      <c r="D352" s="377">
        <v>2.42510211E8</v>
      </c>
      <c r="E352" s="377" t="str">
        <f t="shared" si="33"/>
        <v>0087551275</v>
      </c>
      <c r="F352" s="378">
        <v>2.42510211E8</v>
      </c>
      <c r="G352" s="378" t="str">
        <f t="shared" si="32"/>
        <v>0087551275 / 242510211</v>
      </c>
      <c r="H352" s="377" t="s">
        <v>4562</v>
      </c>
    </row>
    <row r="353">
      <c r="A353" s="375">
        <v>15.0</v>
      </c>
      <c r="B353" s="376">
        <v>303.0</v>
      </c>
      <c r="C353" s="377">
        <v>9.3479168E7</v>
      </c>
      <c r="D353" s="377">
        <v>2.42510225E8</v>
      </c>
      <c r="E353" s="377" t="str">
        <f t="shared" si="33"/>
        <v>0093479168</v>
      </c>
      <c r="F353" s="378">
        <v>2.42510225E8</v>
      </c>
      <c r="G353" s="378" t="str">
        <f t="shared" si="32"/>
        <v>0093479168 / 242510225</v>
      </c>
      <c r="H353" s="377" t="s">
        <v>4567</v>
      </c>
    </row>
    <row r="354">
      <c r="A354" s="375">
        <v>16.0</v>
      </c>
      <c r="B354" s="376">
        <v>304.0</v>
      </c>
      <c r="C354" s="377">
        <v>9.2786372E7</v>
      </c>
      <c r="D354" s="377">
        <v>2.42510234E8</v>
      </c>
      <c r="E354" s="377" t="str">
        <f t="shared" si="33"/>
        <v>0092786372</v>
      </c>
      <c r="F354" s="378">
        <v>2.42510234E8</v>
      </c>
      <c r="G354" s="378" t="str">
        <f t="shared" si="32"/>
        <v>0092786372 / 242510234</v>
      </c>
      <c r="H354" s="381" t="s">
        <v>4572</v>
      </c>
    </row>
    <row r="355">
      <c r="A355" s="375">
        <v>17.0</v>
      </c>
      <c r="B355" s="376">
        <v>305.0</v>
      </c>
      <c r="C355" s="377">
        <v>9.1530728E7</v>
      </c>
      <c r="D355" s="377">
        <v>2.42510235E8</v>
      </c>
      <c r="E355" s="377" t="str">
        <f t="shared" si="33"/>
        <v>0091530728</v>
      </c>
      <c r="F355" s="378">
        <v>2.42510235E8</v>
      </c>
      <c r="G355" s="378" t="str">
        <f t="shared" si="32"/>
        <v>0091530728 / 242510235</v>
      </c>
      <c r="H355" s="377" t="s">
        <v>4577</v>
      </c>
    </row>
    <row r="356">
      <c r="A356" s="375">
        <v>18.0</v>
      </c>
      <c r="B356" s="376">
        <v>306.0</v>
      </c>
      <c r="C356" s="377">
        <v>8.5378932E7</v>
      </c>
      <c r="D356" s="377">
        <v>2.4251024E8</v>
      </c>
      <c r="E356" s="377" t="str">
        <f t="shared" si="33"/>
        <v>0085378932</v>
      </c>
      <c r="F356" s="378">
        <v>2.4251024E8</v>
      </c>
      <c r="G356" s="378" t="str">
        <f t="shared" si="32"/>
        <v>0085378932 / 242510240</v>
      </c>
      <c r="H356" s="377" t="s">
        <v>4582</v>
      </c>
    </row>
    <row r="357">
      <c r="A357" s="375">
        <v>19.0</v>
      </c>
      <c r="B357" s="376">
        <v>307.0</v>
      </c>
      <c r="C357" s="377">
        <v>8.6404055E7</v>
      </c>
      <c r="D357" s="377">
        <v>2.42510242E8</v>
      </c>
      <c r="E357" s="377" t="str">
        <f t="shared" si="33"/>
        <v>0086404055</v>
      </c>
      <c r="F357" s="378">
        <v>2.42510242E8</v>
      </c>
      <c r="G357" s="378" t="str">
        <f t="shared" si="32"/>
        <v>0086404055 / 242510242</v>
      </c>
      <c r="H357" s="377" t="s">
        <v>4587</v>
      </c>
    </row>
    <row r="358">
      <c r="A358" s="375">
        <v>20.0</v>
      </c>
      <c r="B358" s="376">
        <v>308.0</v>
      </c>
      <c r="C358" s="383">
        <v>8.6360763E7</v>
      </c>
      <c r="D358" s="383">
        <v>2.42510252E8</v>
      </c>
      <c r="E358" s="377" t="str">
        <f t="shared" si="33"/>
        <v>0086360763</v>
      </c>
      <c r="F358" s="385">
        <v>2.42510252E8</v>
      </c>
      <c r="G358" s="378" t="str">
        <f t="shared" si="32"/>
        <v>0086360763 / 242510252</v>
      </c>
      <c r="H358" s="377" t="s">
        <v>4592</v>
      </c>
    </row>
    <row r="359">
      <c r="A359" s="375">
        <v>21.0</v>
      </c>
      <c r="B359" s="376">
        <v>309.0</v>
      </c>
      <c r="C359" s="377">
        <v>8.8924007E7</v>
      </c>
      <c r="D359" s="377">
        <v>2.42510259E8</v>
      </c>
      <c r="E359" s="377" t="str">
        <f t="shared" si="33"/>
        <v>0088924007</v>
      </c>
      <c r="F359" s="378">
        <v>2.42510259E8</v>
      </c>
      <c r="G359" s="378" t="str">
        <f t="shared" si="32"/>
        <v>0088924007 / 242510259</v>
      </c>
      <c r="H359" s="381" t="s">
        <v>4597</v>
      </c>
    </row>
    <row r="360">
      <c r="A360" s="375">
        <v>22.0</v>
      </c>
      <c r="B360" s="376">
        <v>310.0</v>
      </c>
      <c r="C360" s="377">
        <v>9.1944011E7</v>
      </c>
      <c r="D360" s="377">
        <v>2.4251026E8</v>
      </c>
      <c r="E360" s="377" t="str">
        <f t="shared" si="33"/>
        <v>0091944011</v>
      </c>
      <c r="F360" s="378">
        <v>2.4251026E8</v>
      </c>
      <c r="G360" s="378" t="str">
        <f t="shared" si="32"/>
        <v>0091944011 / 242510260</v>
      </c>
      <c r="H360" s="377" t="s">
        <v>4603</v>
      </c>
    </row>
    <row r="361">
      <c r="A361" s="375">
        <v>23.0</v>
      </c>
      <c r="B361" s="376">
        <v>311.0</v>
      </c>
      <c r="C361" s="377">
        <v>9.459647E7</v>
      </c>
      <c r="D361" s="377">
        <v>2.42510262E8</v>
      </c>
      <c r="E361" s="377" t="str">
        <f t="shared" si="33"/>
        <v>0094596470</v>
      </c>
      <c r="F361" s="378">
        <v>2.42510262E8</v>
      </c>
      <c r="G361" s="378" t="str">
        <f t="shared" si="32"/>
        <v>0094596470 / 242510262</v>
      </c>
      <c r="H361" s="377" t="s">
        <v>4608</v>
      </c>
    </row>
    <row r="362">
      <c r="A362" s="375">
        <v>24.0</v>
      </c>
      <c r="B362" s="376">
        <v>312.0</v>
      </c>
      <c r="C362" s="377">
        <v>9.2404318E7</v>
      </c>
      <c r="D362" s="377">
        <v>2.42510265E8</v>
      </c>
      <c r="E362" s="377" t="str">
        <f t="shared" si="33"/>
        <v>0092404318</v>
      </c>
      <c r="F362" s="378">
        <v>2.42510265E8</v>
      </c>
      <c r="G362" s="378" t="str">
        <f t="shared" si="32"/>
        <v>0092404318 / 242510265</v>
      </c>
      <c r="H362" s="377" t="s">
        <v>4613</v>
      </c>
    </row>
    <row r="363">
      <c r="A363" s="375">
        <v>25.0</v>
      </c>
      <c r="B363" s="376">
        <v>313.0</v>
      </c>
      <c r="C363" s="377">
        <v>9.5059901E7</v>
      </c>
      <c r="D363" s="377">
        <v>2.42510266E8</v>
      </c>
      <c r="E363" s="377" t="str">
        <f t="shared" si="33"/>
        <v>0095059901</v>
      </c>
      <c r="F363" s="378">
        <v>2.42510266E8</v>
      </c>
      <c r="G363" s="378" t="str">
        <f t="shared" si="32"/>
        <v>0095059901 / 242510266</v>
      </c>
      <c r="H363" s="377" t="s">
        <v>4618</v>
      </c>
    </row>
    <row r="364">
      <c r="A364" s="375">
        <v>26.0</v>
      </c>
      <c r="B364" s="376">
        <v>314.0</v>
      </c>
      <c r="C364" s="388">
        <v>9.8122055E7</v>
      </c>
      <c r="D364" s="377">
        <v>2.42510275E8</v>
      </c>
      <c r="E364" s="377" t="str">
        <f t="shared" si="33"/>
        <v>0098122055</v>
      </c>
      <c r="F364" s="378">
        <v>2.42510275E8</v>
      </c>
      <c r="G364" s="378" t="str">
        <f t="shared" si="32"/>
        <v>0098122055 / 242510275</v>
      </c>
      <c r="H364" s="381" t="s">
        <v>4623</v>
      </c>
    </row>
    <row r="365">
      <c r="A365" s="375">
        <v>27.0</v>
      </c>
      <c r="B365" s="376">
        <v>315.0</v>
      </c>
      <c r="C365" s="377">
        <v>8.6863385E7</v>
      </c>
      <c r="D365" s="377">
        <v>2.425103E8</v>
      </c>
      <c r="E365" s="377" t="str">
        <f t="shared" si="33"/>
        <v>0086863385</v>
      </c>
      <c r="F365" s="378">
        <v>2.425103E8</v>
      </c>
      <c r="G365" s="378" t="str">
        <f t="shared" si="32"/>
        <v>0086863385 / 242510300</v>
      </c>
      <c r="H365" s="377" t="s">
        <v>4628</v>
      </c>
    </row>
    <row r="366">
      <c r="A366" s="375">
        <v>28.0</v>
      </c>
      <c r="B366" s="376">
        <v>316.0</v>
      </c>
      <c r="C366" s="377">
        <v>8.5675402E7</v>
      </c>
      <c r="D366" s="377">
        <v>2.42510302E8</v>
      </c>
      <c r="E366" s="377" t="str">
        <f t="shared" si="33"/>
        <v>0085675402</v>
      </c>
      <c r="F366" s="378">
        <v>2.42510302E8</v>
      </c>
      <c r="G366" s="378" t="str">
        <f t="shared" si="32"/>
        <v>0085675402 / 242510302</v>
      </c>
      <c r="H366" s="377" t="s">
        <v>4634</v>
      </c>
    </row>
    <row r="367">
      <c r="A367" s="375">
        <v>29.0</v>
      </c>
      <c r="B367" s="376">
        <v>317.0</v>
      </c>
      <c r="C367" s="377">
        <v>9.6488875E7</v>
      </c>
      <c r="D367" s="377">
        <v>2.42510333E8</v>
      </c>
      <c r="E367" s="377" t="str">
        <f t="shared" si="33"/>
        <v>0096488875</v>
      </c>
      <c r="F367" s="378">
        <v>2.42510333E8</v>
      </c>
      <c r="G367" s="378" t="str">
        <f t="shared" si="32"/>
        <v>0096488875 / 242510333</v>
      </c>
      <c r="H367" s="377" t="s">
        <v>4639</v>
      </c>
    </row>
    <row r="368">
      <c r="A368" s="375">
        <v>30.0</v>
      </c>
      <c r="B368" s="376">
        <v>318.0</v>
      </c>
      <c r="C368" s="377">
        <v>9.1126559E7</v>
      </c>
      <c r="D368" s="377">
        <v>2.42510337E8</v>
      </c>
      <c r="E368" s="377" t="str">
        <f t="shared" si="33"/>
        <v>0091126559</v>
      </c>
      <c r="F368" s="378">
        <v>2.42510337E8</v>
      </c>
      <c r="G368" s="378" t="str">
        <f t="shared" si="32"/>
        <v>0091126559 / 242510337</v>
      </c>
      <c r="H368" s="377" t="s">
        <v>4644</v>
      </c>
    </row>
    <row r="369">
      <c r="A369" s="375">
        <v>31.0</v>
      </c>
      <c r="B369" s="376">
        <v>319.0</v>
      </c>
      <c r="C369" s="377">
        <v>9.4232336E7</v>
      </c>
      <c r="D369" s="377">
        <v>2.42510347E8</v>
      </c>
      <c r="E369" s="377" t="str">
        <f t="shared" si="33"/>
        <v>0094232336</v>
      </c>
      <c r="F369" s="378">
        <v>2.42510347E8</v>
      </c>
      <c r="G369" s="378" t="str">
        <f t="shared" si="32"/>
        <v>0094232336 / 242510347</v>
      </c>
      <c r="H369" s="377" t="s">
        <v>4649</v>
      </c>
    </row>
    <row r="370">
      <c r="A370" s="375">
        <v>32.0</v>
      </c>
      <c r="B370" s="376">
        <v>320.0</v>
      </c>
      <c r="C370" s="377">
        <v>9.992049E7</v>
      </c>
      <c r="D370" s="377">
        <v>2.42510352E8</v>
      </c>
      <c r="E370" s="377" t="str">
        <f t="shared" si="33"/>
        <v>0099920490</v>
      </c>
      <c r="F370" s="378">
        <v>2.42510352E8</v>
      </c>
      <c r="G370" s="378" t="str">
        <f t="shared" si="32"/>
        <v>0099920490 / 242510352</v>
      </c>
      <c r="H370" s="377" t="s">
        <v>4654</v>
      </c>
    </row>
    <row r="371">
      <c r="A371" s="375">
        <v>33.0</v>
      </c>
      <c r="B371" s="376">
        <v>321.0</v>
      </c>
      <c r="C371" s="377">
        <v>9.4865307E7</v>
      </c>
      <c r="D371" s="377">
        <v>2.4251036E8</v>
      </c>
      <c r="E371" s="377" t="str">
        <f t="shared" si="33"/>
        <v>0094865307</v>
      </c>
      <c r="F371" s="378">
        <v>2.4251036E8</v>
      </c>
      <c r="G371" s="378" t="str">
        <f t="shared" si="32"/>
        <v>0094865307 / 242510360</v>
      </c>
      <c r="H371" s="381" t="s">
        <v>4659</v>
      </c>
    </row>
    <row r="372">
      <c r="A372" s="375">
        <v>34.0</v>
      </c>
      <c r="B372" s="376">
        <v>322.0</v>
      </c>
      <c r="C372" s="377">
        <v>9.3523017E7</v>
      </c>
      <c r="D372" s="377">
        <v>2.42510378E8</v>
      </c>
      <c r="E372" s="377" t="str">
        <f t="shared" si="33"/>
        <v>0093523017</v>
      </c>
      <c r="F372" s="378">
        <v>2.42510378E8</v>
      </c>
      <c r="G372" s="378" t="str">
        <f t="shared" si="32"/>
        <v>0093523017 / 242510378</v>
      </c>
      <c r="H372" s="377" t="s">
        <v>4664</v>
      </c>
    </row>
    <row r="373">
      <c r="A373" s="375">
        <v>35.0</v>
      </c>
      <c r="B373" s="376">
        <v>323.0</v>
      </c>
      <c r="C373" s="377">
        <v>9.4426892E7</v>
      </c>
      <c r="D373" s="377">
        <v>2.42510424E8</v>
      </c>
      <c r="E373" s="377" t="str">
        <f t="shared" si="33"/>
        <v>0094426892</v>
      </c>
      <c r="F373" s="378">
        <v>2.42510424E8</v>
      </c>
      <c r="G373" s="378" t="str">
        <f t="shared" si="32"/>
        <v>0094426892 / 242510424</v>
      </c>
      <c r="H373" s="377" t="s">
        <v>4669</v>
      </c>
    </row>
    <row r="374">
      <c r="A374" s="375">
        <v>36.0</v>
      </c>
      <c r="B374" s="376">
        <v>324.0</v>
      </c>
      <c r="C374" s="377">
        <v>8.2670071E7</v>
      </c>
      <c r="D374" s="377">
        <v>2.42510429E8</v>
      </c>
      <c r="E374" s="377" t="str">
        <f t="shared" si="33"/>
        <v>0082670071</v>
      </c>
      <c r="F374" s="378">
        <v>2.42510429E8</v>
      </c>
      <c r="G374" s="378" t="str">
        <f t="shared" si="32"/>
        <v>0082670071 / 242510429</v>
      </c>
      <c r="H374" s="377" t="s">
        <v>4674</v>
      </c>
    </row>
    <row r="375" hidden="1">
      <c r="A375" s="372"/>
      <c r="B375" s="372"/>
      <c r="C375" s="372"/>
      <c r="D375" s="372"/>
      <c r="E375" s="372"/>
      <c r="F375" s="372"/>
      <c r="G375" s="372"/>
      <c r="H375" s="372"/>
    </row>
    <row r="376" hidden="1">
      <c r="A376" s="373" t="s">
        <v>9850</v>
      </c>
      <c r="B376" s="373"/>
      <c r="C376" s="373"/>
      <c r="D376" s="373"/>
      <c r="E376" s="373"/>
      <c r="F376" s="373"/>
      <c r="G376" s="373"/>
      <c r="H376" s="373"/>
    </row>
    <row r="377" hidden="1">
      <c r="A377" s="374" t="s">
        <v>9851</v>
      </c>
      <c r="B377" s="374"/>
      <c r="C377" s="374"/>
      <c r="D377" s="374"/>
      <c r="E377" s="374"/>
      <c r="F377" s="374"/>
      <c r="G377" s="374"/>
      <c r="H377" s="374"/>
    </row>
    <row r="378" hidden="1">
      <c r="A378" s="111" t="s">
        <v>8748</v>
      </c>
      <c r="B378" s="111"/>
      <c r="C378" s="111" t="s">
        <v>9</v>
      </c>
      <c r="D378" s="111" t="s">
        <v>5246</v>
      </c>
      <c r="E378" s="111"/>
      <c r="F378" s="111"/>
      <c r="G378" s="111"/>
      <c r="H378" s="111" t="s">
        <v>8680</v>
      </c>
    </row>
    <row r="379" hidden="1">
      <c r="A379" s="119"/>
      <c r="B379" s="119"/>
      <c r="C379" s="119"/>
      <c r="D379" s="119"/>
      <c r="E379" s="119"/>
      <c r="F379" s="119"/>
      <c r="G379" s="119"/>
      <c r="H379" s="119"/>
    </row>
    <row r="380">
      <c r="A380" s="375">
        <v>1.0</v>
      </c>
      <c r="B380" s="376">
        <v>325.0</v>
      </c>
      <c r="C380" s="377" t="s">
        <v>4678</v>
      </c>
      <c r="D380" s="377"/>
      <c r="E380" s="377" t="str">
        <f t="shared" ref="E380:E415" si="34">TRIM(LEFT(C380, FIND("/", C380)-1))</f>
        <v>0098441334</v>
      </c>
      <c r="F380" s="379" t="str">
        <f t="shared" ref="F380:F415" si="35">TRIM(MID(C380, FIND("/", C380)+1, LEN(C380)))</f>
        <v>242510029</v>
      </c>
      <c r="G380" s="378" t="str">
        <f t="shared" ref="G380:G415" si="36">E380&amp;" / "&amp;F380</f>
        <v>0098441334 / 242510029</v>
      </c>
      <c r="H380" s="377" t="s">
        <v>4679</v>
      </c>
    </row>
    <row r="381">
      <c r="A381" s="375">
        <v>2.0</v>
      </c>
      <c r="B381" s="376">
        <v>326.0</v>
      </c>
      <c r="C381" s="377" t="s">
        <v>4684</v>
      </c>
      <c r="D381" s="377"/>
      <c r="E381" s="377" t="str">
        <f t="shared" si="34"/>
        <v>0095916190</v>
      </c>
      <c r="F381" s="379" t="str">
        <f t="shared" si="35"/>
        <v>242510033</v>
      </c>
      <c r="G381" s="378" t="str">
        <f t="shared" si="36"/>
        <v>0095916190 / 242510033</v>
      </c>
      <c r="H381" s="377" t="s">
        <v>4685</v>
      </c>
    </row>
    <row r="382">
      <c r="A382" s="375">
        <v>3.0</v>
      </c>
      <c r="B382" s="376">
        <v>327.0</v>
      </c>
      <c r="C382" s="383" t="s">
        <v>4689</v>
      </c>
      <c r="D382" s="383"/>
      <c r="E382" s="377" t="str">
        <f t="shared" si="34"/>
        <v>0093270004</v>
      </c>
      <c r="F382" s="379" t="str">
        <f t="shared" si="35"/>
        <v>242510040</v>
      </c>
      <c r="G382" s="378" t="str">
        <f t="shared" si="36"/>
        <v>0093270004 / 242510040</v>
      </c>
      <c r="H382" s="383" t="s">
        <v>4690</v>
      </c>
    </row>
    <row r="383">
      <c r="A383" s="375">
        <v>4.0</v>
      </c>
      <c r="B383" s="376">
        <v>328.0</v>
      </c>
      <c r="C383" s="377" t="s">
        <v>4694</v>
      </c>
      <c r="D383" s="377"/>
      <c r="E383" s="377" t="str">
        <f t="shared" si="34"/>
        <v>0081317101</v>
      </c>
      <c r="F383" s="379" t="str">
        <f t="shared" si="35"/>
        <v>242510043</v>
      </c>
      <c r="G383" s="378" t="str">
        <f t="shared" si="36"/>
        <v>0081317101 / 242510043</v>
      </c>
      <c r="H383" s="377" t="s">
        <v>4695</v>
      </c>
    </row>
    <row r="384">
      <c r="A384" s="375">
        <v>5.0</v>
      </c>
      <c r="B384" s="376">
        <v>329.0</v>
      </c>
      <c r="C384" s="377" t="s">
        <v>4700</v>
      </c>
      <c r="D384" s="377"/>
      <c r="E384" s="377" t="str">
        <f t="shared" si="34"/>
        <v>0088625335</v>
      </c>
      <c r="F384" s="379" t="str">
        <f t="shared" si="35"/>
        <v>242510062</v>
      </c>
      <c r="G384" s="378" t="str">
        <f t="shared" si="36"/>
        <v>0088625335 / 242510062</v>
      </c>
      <c r="H384" s="377" t="s">
        <v>4701</v>
      </c>
    </row>
    <row r="385">
      <c r="A385" s="375">
        <v>6.0</v>
      </c>
      <c r="B385" s="376">
        <v>330.0</v>
      </c>
      <c r="C385" s="377" t="s">
        <v>4705</v>
      </c>
      <c r="D385" s="377"/>
      <c r="E385" s="377" t="str">
        <f t="shared" si="34"/>
        <v>0084865750</v>
      </c>
      <c r="F385" s="379" t="str">
        <f t="shared" si="35"/>
        <v>242510075</v>
      </c>
      <c r="G385" s="378" t="str">
        <f t="shared" si="36"/>
        <v>0084865750 / 242510075</v>
      </c>
      <c r="H385" s="377" t="s">
        <v>4706</v>
      </c>
    </row>
    <row r="386">
      <c r="A386" s="375">
        <v>7.0</v>
      </c>
      <c r="B386" s="376">
        <v>331.0</v>
      </c>
      <c r="C386" s="377" t="s">
        <v>4710</v>
      </c>
      <c r="D386" s="377"/>
      <c r="E386" s="377" t="str">
        <f t="shared" si="34"/>
        <v>0089373986</v>
      </c>
      <c r="F386" s="379" t="str">
        <f t="shared" si="35"/>
        <v>242510076</v>
      </c>
      <c r="G386" s="378" t="str">
        <f t="shared" si="36"/>
        <v>0089373986 / 242510076</v>
      </c>
      <c r="H386" s="377" t="s">
        <v>4711</v>
      </c>
    </row>
    <row r="387">
      <c r="A387" s="375">
        <v>8.0</v>
      </c>
      <c r="B387" s="376">
        <v>332.0</v>
      </c>
      <c r="C387" s="377" t="s">
        <v>4715</v>
      </c>
      <c r="D387" s="377"/>
      <c r="E387" s="377" t="str">
        <f t="shared" si="34"/>
        <v>0094394514</v>
      </c>
      <c r="F387" s="379" t="str">
        <f t="shared" si="35"/>
        <v>242510082</v>
      </c>
      <c r="G387" s="378" t="str">
        <f t="shared" si="36"/>
        <v>0094394514 / 242510082</v>
      </c>
      <c r="H387" s="377" t="s">
        <v>4716</v>
      </c>
    </row>
    <row r="388">
      <c r="A388" s="375">
        <v>9.0</v>
      </c>
      <c r="B388" s="376">
        <v>333.0</v>
      </c>
      <c r="C388" s="377" t="s">
        <v>4720</v>
      </c>
      <c r="D388" s="377"/>
      <c r="E388" s="377" t="str">
        <f t="shared" si="34"/>
        <v>0093616890</v>
      </c>
      <c r="F388" s="379" t="str">
        <f t="shared" si="35"/>
        <v>242510097</v>
      </c>
      <c r="G388" s="378" t="str">
        <f t="shared" si="36"/>
        <v>0093616890 / 242510097</v>
      </c>
      <c r="H388" s="377" t="s">
        <v>4721</v>
      </c>
    </row>
    <row r="389">
      <c r="A389" s="375">
        <v>10.0</v>
      </c>
      <c r="B389" s="376">
        <v>334.0</v>
      </c>
      <c r="C389" s="377" t="s">
        <v>4725</v>
      </c>
      <c r="D389" s="377"/>
      <c r="E389" s="377" t="str">
        <f t="shared" si="34"/>
        <v>0092463348</v>
      </c>
      <c r="F389" s="379" t="str">
        <f t="shared" si="35"/>
        <v>242510100</v>
      </c>
      <c r="G389" s="378" t="str">
        <f t="shared" si="36"/>
        <v>0092463348 / 242510100</v>
      </c>
      <c r="H389" s="377" t="s">
        <v>4726</v>
      </c>
    </row>
    <row r="390">
      <c r="A390" s="375">
        <v>11.0</v>
      </c>
      <c r="B390" s="376">
        <v>335.0</v>
      </c>
      <c r="C390" s="377" t="s">
        <v>4731</v>
      </c>
      <c r="D390" s="377"/>
      <c r="E390" s="377" t="str">
        <f t="shared" si="34"/>
        <v>0087035501</v>
      </c>
      <c r="F390" s="379" t="str">
        <f t="shared" si="35"/>
        <v>242510131</v>
      </c>
      <c r="G390" s="378" t="str">
        <f t="shared" si="36"/>
        <v>0087035501 / 242510131</v>
      </c>
      <c r="H390" s="377" t="s">
        <v>4732</v>
      </c>
    </row>
    <row r="391">
      <c r="A391" s="375">
        <v>12.0</v>
      </c>
      <c r="B391" s="376">
        <v>336.0</v>
      </c>
      <c r="C391" s="377" t="s">
        <v>4736</v>
      </c>
      <c r="D391" s="377"/>
      <c r="E391" s="377" t="str">
        <f t="shared" si="34"/>
        <v>0097179421</v>
      </c>
      <c r="F391" s="379" t="str">
        <f t="shared" si="35"/>
        <v>242510163</v>
      </c>
      <c r="G391" s="378" t="str">
        <f t="shared" si="36"/>
        <v>0097179421 / 242510163</v>
      </c>
      <c r="H391" s="377" t="s">
        <v>4737</v>
      </c>
    </row>
    <row r="392">
      <c r="A392" s="375">
        <v>13.0</v>
      </c>
      <c r="B392" s="376">
        <v>337.0</v>
      </c>
      <c r="C392" s="377" t="s">
        <v>4741</v>
      </c>
      <c r="D392" s="377"/>
      <c r="E392" s="377" t="str">
        <f t="shared" si="34"/>
        <v>0084853605</v>
      </c>
      <c r="F392" s="379" t="str">
        <f t="shared" si="35"/>
        <v>242510164</v>
      </c>
      <c r="G392" s="378" t="str">
        <f t="shared" si="36"/>
        <v>0084853605 / 242510164</v>
      </c>
      <c r="H392" s="377" t="s">
        <v>4742</v>
      </c>
    </row>
    <row r="393">
      <c r="A393" s="375">
        <v>14.0</v>
      </c>
      <c r="B393" s="376">
        <v>338.0</v>
      </c>
      <c r="C393" s="377" t="s">
        <v>4746</v>
      </c>
      <c r="D393" s="377"/>
      <c r="E393" s="377" t="str">
        <f t="shared" si="34"/>
        <v>3092618789</v>
      </c>
      <c r="F393" s="379" t="str">
        <f t="shared" si="35"/>
        <v>242510170</v>
      </c>
      <c r="G393" s="378" t="str">
        <f t="shared" si="36"/>
        <v>3092618789 / 242510170</v>
      </c>
      <c r="H393" s="377" t="s">
        <v>4747</v>
      </c>
    </row>
    <row r="394">
      <c r="A394" s="375">
        <v>15.0</v>
      </c>
      <c r="B394" s="376">
        <v>339.0</v>
      </c>
      <c r="C394" s="377" t="s">
        <v>4751</v>
      </c>
      <c r="D394" s="377"/>
      <c r="E394" s="377" t="str">
        <f t="shared" si="34"/>
        <v>0092821103</v>
      </c>
      <c r="F394" s="379" t="str">
        <f t="shared" si="35"/>
        <v>242510174</v>
      </c>
      <c r="G394" s="378" t="str">
        <f t="shared" si="36"/>
        <v>0092821103 / 242510174</v>
      </c>
      <c r="H394" s="377" t="s">
        <v>4752</v>
      </c>
    </row>
    <row r="395">
      <c r="A395" s="375">
        <v>16.0</v>
      </c>
      <c r="B395" s="376">
        <v>340.0</v>
      </c>
      <c r="C395" s="377" t="s">
        <v>4756</v>
      </c>
      <c r="D395" s="377"/>
      <c r="E395" s="377" t="str">
        <f t="shared" si="34"/>
        <v>0082472809</v>
      </c>
      <c r="F395" s="379" t="str">
        <f t="shared" si="35"/>
        <v>242510177</v>
      </c>
      <c r="G395" s="378" t="str">
        <f t="shared" si="36"/>
        <v>0082472809 / 242510177</v>
      </c>
      <c r="H395" s="377" t="s">
        <v>4757</v>
      </c>
    </row>
    <row r="396">
      <c r="A396" s="375">
        <v>17.0</v>
      </c>
      <c r="B396" s="376">
        <v>341.0</v>
      </c>
      <c r="C396" s="377" t="s">
        <v>4762</v>
      </c>
      <c r="D396" s="377"/>
      <c r="E396" s="377" t="str">
        <f t="shared" si="34"/>
        <v>3091944997</v>
      </c>
      <c r="F396" s="379" t="str">
        <f t="shared" si="35"/>
        <v>242510210</v>
      </c>
      <c r="G396" s="378" t="str">
        <f t="shared" si="36"/>
        <v>3091944997 / 242510210</v>
      </c>
      <c r="H396" s="377" t="s">
        <v>4763</v>
      </c>
    </row>
    <row r="397">
      <c r="A397" s="375">
        <v>18.0</v>
      </c>
      <c r="B397" s="376">
        <v>342.0</v>
      </c>
      <c r="C397" s="377" t="s">
        <v>4767</v>
      </c>
      <c r="D397" s="377"/>
      <c r="E397" s="377" t="str">
        <f t="shared" si="34"/>
        <v>0081087411</v>
      </c>
      <c r="F397" s="379" t="str">
        <f t="shared" si="35"/>
        <v>242510224</v>
      </c>
      <c r="G397" s="378" t="str">
        <f t="shared" si="36"/>
        <v>0081087411 / 242510224</v>
      </c>
      <c r="H397" s="377" t="s">
        <v>4768</v>
      </c>
    </row>
    <row r="398">
      <c r="A398" s="375">
        <v>19.0</v>
      </c>
      <c r="B398" s="376">
        <v>343.0</v>
      </c>
      <c r="C398" s="377" t="s">
        <v>4772</v>
      </c>
      <c r="D398" s="377"/>
      <c r="E398" s="377" t="str">
        <f t="shared" si="34"/>
        <v>0094864081</v>
      </c>
      <c r="F398" s="379" t="str">
        <f t="shared" si="35"/>
        <v>242510250</v>
      </c>
      <c r="G398" s="378" t="str">
        <f t="shared" si="36"/>
        <v>0094864081 / 242510250</v>
      </c>
      <c r="H398" s="377" t="s">
        <v>4773</v>
      </c>
    </row>
    <row r="399">
      <c r="A399" s="375">
        <v>20.0</v>
      </c>
      <c r="B399" s="376">
        <v>344.0</v>
      </c>
      <c r="C399" s="377" t="s">
        <v>4777</v>
      </c>
      <c r="D399" s="377"/>
      <c r="E399" s="377" t="str">
        <f t="shared" si="34"/>
        <v>0095937371</v>
      </c>
      <c r="F399" s="379" t="str">
        <f t="shared" si="35"/>
        <v>242510263</v>
      </c>
      <c r="G399" s="378" t="str">
        <f t="shared" si="36"/>
        <v>0095937371 / 242510263</v>
      </c>
      <c r="H399" s="377" t="s">
        <v>4778</v>
      </c>
    </row>
    <row r="400">
      <c r="A400" s="375">
        <v>21.0</v>
      </c>
      <c r="B400" s="376">
        <v>345.0</v>
      </c>
      <c r="C400" s="377" t="s">
        <v>4782</v>
      </c>
      <c r="D400" s="377"/>
      <c r="E400" s="377" t="str">
        <f t="shared" si="34"/>
        <v>0088807404</v>
      </c>
      <c r="F400" s="379" t="str">
        <f t="shared" si="35"/>
        <v>242510264</v>
      </c>
      <c r="G400" s="378" t="str">
        <f t="shared" si="36"/>
        <v>0088807404 / 242510264</v>
      </c>
      <c r="H400" s="377" t="s">
        <v>4783</v>
      </c>
    </row>
    <row r="401">
      <c r="A401" s="375">
        <v>22.0</v>
      </c>
      <c r="B401" s="376">
        <v>346.0</v>
      </c>
      <c r="C401" s="377" t="s">
        <v>4787</v>
      </c>
      <c r="D401" s="377"/>
      <c r="E401" s="377" t="str">
        <f t="shared" si="34"/>
        <v>0085810407</v>
      </c>
      <c r="F401" s="379" t="str">
        <f t="shared" si="35"/>
        <v>242510279</v>
      </c>
      <c r="G401" s="378" t="str">
        <f t="shared" si="36"/>
        <v>0085810407 / 242510279</v>
      </c>
      <c r="H401" s="377" t="s">
        <v>4788</v>
      </c>
    </row>
    <row r="402">
      <c r="A402" s="375">
        <v>23.0</v>
      </c>
      <c r="B402" s="376">
        <v>347.0</v>
      </c>
      <c r="C402" s="377" t="s">
        <v>4793</v>
      </c>
      <c r="D402" s="377"/>
      <c r="E402" s="377" t="str">
        <f t="shared" si="34"/>
        <v>0082898817</v>
      </c>
      <c r="F402" s="379" t="str">
        <f t="shared" si="35"/>
        <v>242510293</v>
      </c>
      <c r="G402" s="378" t="str">
        <f t="shared" si="36"/>
        <v>0082898817 / 242510293</v>
      </c>
      <c r="H402" s="377" t="s">
        <v>4794</v>
      </c>
    </row>
    <row r="403">
      <c r="A403" s="375">
        <v>24.0</v>
      </c>
      <c r="B403" s="376">
        <v>348.0</v>
      </c>
      <c r="C403" s="377" t="s">
        <v>4798</v>
      </c>
      <c r="D403" s="377"/>
      <c r="E403" s="377" t="str">
        <f t="shared" si="34"/>
        <v>0094465097</v>
      </c>
      <c r="F403" s="379" t="str">
        <f t="shared" si="35"/>
        <v>242510294</v>
      </c>
      <c r="G403" s="378" t="str">
        <f t="shared" si="36"/>
        <v>0094465097 / 242510294</v>
      </c>
      <c r="H403" s="377" t="s">
        <v>4799</v>
      </c>
    </row>
    <row r="404">
      <c r="A404" s="375">
        <v>25.0</v>
      </c>
      <c r="B404" s="376">
        <v>349.0</v>
      </c>
      <c r="C404" s="377" t="s">
        <v>4803</v>
      </c>
      <c r="D404" s="377"/>
      <c r="E404" s="377" t="str">
        <f t="shared" si="34"/>
        <v>0084114869</v>
      </c>
      <c r="F404" s="379" t="str">
        <f t="shared" si="35"/>
        <v>242510322</v>
      </c>
      <c r="G404" s="378" t="str">
        <f t="shared" si="36"/>
        <v>0084114869 / 242510322</v>
      </c>
      <c r="H404" s="377" t="s">
        <v>4804</v>
      </c>
    </row>
    <row r="405">
      <c r="A405" s="375">
        <v>26.0</v>
      </c>
      <c r="B405" s="376">
        <v>350.0</v>
      </c>
      <c r="C405" s="377" t="s">
        <v>4808</v>
      </c>
      <c r="D405" s="377"/>
      <c r="E405" s="377" t="str">
        <f t="shared" si="34"/>
        <v>0092577014</v>
      </c>
      <c r="F405" s="379" t="str">
        <f t="shared" si="35"/>
        <v>242510330</v>
      </c>
      <c r="G405" s="378" t="str">
        <f t="shared" si="36"/>
        <v>0092577014 / 242510330</v>
      </c>
      <c r="H405" s="377" t="s">
        <v>4809</v>
      </c>
    </row>
    <row r="406">
      <c r="A406" s="375">
        <v>27.0</v>
      </c>
      <c r="B406" s="376">
        <v>351.0</v>
      </c>
      <c r="C406" s="377" t="s">
        <v>4813</v>
      </c>
      <c r="D406" s="377"/>
      <c r="E406" s="377" t="str">
        <f t="shared" si="34"/>
        <v>3083166460</v>
      </c>
      <c r="F406" s="379" t="str">
        <f t="shared" si="35"/>
        <v>242510344</v>
      </c>
      <c r="G406" s="378" t="str">
        <f t="shared" si="36"/>
        <v>3083166460 / 242510344</v>
      </c>
      <c r="H406" s="377" t="s">
        <v>4814</v>
      </c>
    </row>
    <row r="407">
      <c r="A407" s="375">
        <v>28.0</v>
      </c>
      <c r="B407" s="376">
        <v>352.0</v>
      </c>
      <c r="C407" s="377" t="s">
        <v>4818</v>
      </c>
      <c r="D407" s="377"/>
      <c r="E407" s="377" t="str">
        <f t="shared" si="34"/>
        <v>3094789704</v>
      </c>
      <c r="F407" s="379" t="str">
        <f t="shared" si="35"/>
        <v>242510357</v>
      </c>
      <c r="G407" s="378" t="str">
        <f t="shared" si="36"/>
        <v>3094789704 / 242510357</v>
      </c>
      <c r="H407" s="377" t="s">
        <v>4819</v>
      </c>
    </row>
    <row r="408">
      <c r="A408" s="375">
        <v>29.0</v>
      </c>
      <c r="B408" s="376">
        <v>353.0</v>
      </c>
      <c r="C408" s="377" t="s">
        <v>4823</v>
      </c>
      <c r="D408" s="377"/>
      <c r="E408" s="377" t="str">
        <f t="shared" si="34"/>
        <v>0089336981</v>
      </c>
      <c r="F408" s="379" t="str">
        <f t="shared" si="35"/>
        <v>242510361</v>
      </c>
      <c r="G408" s="378" t="str">
        <f t="shared" si="36"/>
        <v>0089336981 / 242510361</v>
      </c>
      <c r="H408" s="377" t="s">
        <v>4824</v>
      </c>
    </row>
    <row r="409">
      <c r="A409" s="375">
        <v>30.0</v>
      </c>
      <c r="B409" s="376">
        <v>354.0</v>
      </c>
      <c r="C409" s="377" t="s">
        <v>4829</v>
      </c>
      <c r="D409" s="377"/>
      <c r="E409" s="377" t="str">
        <f t="shared" si="34"/>
        <v>0093441573</v>
      </c>
      <c r="F409" s="379" t="str">
        <f t="shared" si="35"/>
        <v>242510381</v>
      </c>
      <c r="G409" s="378" t="str">
        <f t="shared" si="36"/>
        <v>0093441573 / 242510381</v>
      </c>
      <c r="H409" s="377" t="s">
        <v>4830</v>
      </c>
    </row>
    <row r="410">
      <c r="A410" s="375">
        <v>31.0</v>
      </c>
      <c r="B410" s="376">
        <v>355.0</v>
      </c>
      <c r="C410" s="377" t="s">
        <v>4834</v>
      </c>
      <c r="D410" s="377"/>
      <c r="E410" s="377" t="str">
        <f t="shared" si="34"/>
        <v>0089493881</v>
      </c>
      <c r="F410" s="379" t="str">
        <f t="shared" si="35"/>
        <v>242510384</v>
      </c>
      <c r="G410" s="378" t="str">
        <f t="shared" si="36"/>
        <v>0089493881 / 242510384</v>
      </c>
      <c r="H410" s="377" t="s">
        <v>4835</v>
      </c>
    </row>
    <row r="411">
      <c r="A411" s="375">
        <v>32.0</v>
      </c>
      <c r="B411" s="376">
        <v>356.0</v>
      </c>
      <c r="C411" s="383" t="s">
        <v>4839</v>
      </c>
      <c r="D411" s="383"/>
      <c r="E411" s="377" t="str">
        <f t="shared" si="34"/>
        <v>0086778655</v>
      </c>
      <c r="F411" s="379" t="str">
        <f t="shared" si="35"/>
        <v>242510386</v>
      </c>
      <c r="G411" s="378" t="str">
        <f t="shared" si="36"/>
        <v>0086778655 / 242510386</v>
      </c>
      <c r="H411" s="383" t="s">
        <v>4840</v>
      </c>
    </row>
    <row r="412">
      <c r="A412" s="375">
        <v>33.0</v>
      </c>
      <c r="B412" s="376">
        <v>357.0</v>
      </c>
      <c r="C412" s="377" t="s">
        <v>4844</v>
      </c>
      <c r="D412" s="377"/>
      <c r="E412" s="377" t="str">
        <f t="shared" si="34"/>
        <v>0085904748</v>
      </c>
      <c r="F412" s="379" t="str">
        <f t="shared" si="35"/>
        <v>242510401</v>
      </c>
      <c r="G412" s="378" t="str">
        <f t="shared" si="36"/>
        <v>0085904748 / 242510401</v>
      </c>
      <c r="H412" s="377" t="s">
        <v>4845</v>
      </c>
    </row>
    <row r="413">
      <c r="A413" s="375">
        <v>34.0</v>
      </c>
      <c r="B413" s="376">
        <v>358.0</v>
      </c>
      <c r="C413" s="377" t="s">
        <v>4849</v>
      </c>
      <c r="D413" s="377"/>
      <c r="E413" s="377" t="str">
        <f t="shared" si="34"/>
        <v>0084316906</v>
      </c>
      <c r="F413" s="379" t="str">
        <f t="shared" si="35"/>
        <v>242510413</v>
      </c>
      <c r="G413" s="378" t="str">
        <f t="shared" si="36"/>
        <v>0084316906 / 242510413</v>
      </c>
      <c r="H413" s="381" t="s">
        <v>4850</v>
      </c>
    </row>
    <row r="414">
      <c r="A414" s="375">
        <v>35.0</v>
      </c>
      <c r="B414" s="376">
        <v>359.0</v>
      </c>
      <c r="C414" s="377" t="s">
        <v>4854</v>
      </c>
      <c r="D414" s="377"/>
      <c r="E414" s="377" t="str">
        <f t="shared" si="34"/>
        <v>0095848946</v>
      </c>
      <c r="F414" s="379" t="str">
        <f t="shared" si="35"/>
        <v>242510423</v>
      </c>
      <c r="G414" s="378" t="str">
        <f t="shared" si="36"/>
        <v>0095848946 / 242510423</v>
      </c>
      <c r="H414" s="381" t="s">
        <v>4855</v>
      </c>
    </row>
    <row r="415">
      <c r="A415" s="375">
        <v>36.0</v>
      </c>
      <c r="B415" s="376">
        <v>360.0</v>
      </c>
      <c r="C415" s="377" t="s">
        <v>4859</v>
      </c>
      <c r="D415" s="377"/>
      <c r="E415" s="377" t="str">
        <f t="shared" si="34"/>
        <v>0099880719</v>
      </c>
      <c r="F415" s="379" t="str">
        <f t="shared" si="35"/>
        <v>242510027</v>
      </c>
      <c r="G415" s="378" t="str">
        <f t="shared" si="36"/>
        <v>0099880719 / 242510027</v>
      </c>
      <c r="H415" s="377" t="s">
        <v>4860</v>
      </c>
    </row>
    <row r="416" hidden="1">
      <c r="A416" s="372"/>
      <c r="B416" s="372"/>
      <c r="C416" s="372"/>
      <c r="D416" s="372"/>
      <c r="E416" s="372"/>
      <c r="F416" s="372"/>
      <c r="G416" s="372"/>
      <c r="H416" s="372"/>
    </row>
    <row r="417" hidden="1">
      <c r="A417" s="373" t="s">
        <v>9852</v>
      </c>
      <c r="B417" s="373"/>
      <c r="C417" s="373"/>
      <c r="D417" s="373"/>
      <c r="E417" s="373"/>
      <c r="F417" s="373"/>
      <c r="G417" s="373"/>
      <c r="H417" s="373"/>
    </row>
    <row r="418" hidden="1">
      <c r="A418" s="374" t="s">
        <v>9853</v>
      </c>
      <c r="B418" s="374"/>
      <c r="C418" s="374"/>
      <c r="D418" s="374"/>
      <c r="E418" s="374"/>
      <c r="F418" s="374"/>
      <c r="G418" s="374"/>
      <c r="H418" s="374"/>
    </row>
    <row r="419" hidden="1">
      <c r="A419" s="111" t="s">
        <v>8748</v>
      </c>
      <c r="B419" s="111"/>
      <c r="C419" s="111" t="s">
        <v>9</v>
      </c>
      <c r="D419" s="111" t="s">
        <v>5246</v>
      </c>
      <c r="E419" s="111"/>
      <c r="F419" s="111"/>
      <c r="G419" s="111"/>
      <c r="H419" s="111" t="s">
        <v>8680</v>
      </c>
    </row>
    <row r="420" hidden="1">
      <c r="A420" s="119"/>
      <c r="B420" s="119"/>
      <c r="C420" s="119"/>
      <c r="D420" s="119"/>
      <c r="E420" s="119"/>
      <c r="F420" s="119"/>
      <c r="G420" s="119"/>
      <c r="H420" s="119"/>
    </row>
    <row r="421">
      <c r="A421" s="375">
        <v>1.0</v>
      </c>
      <c r="B421" s="376">
        <v>361.0</v>
      </c>
      <c r="C421" s="377" t="s">
        <v>4865</v>
      </c>
      <c r="D421" s="377"/>
      <c r="E421" s="377" t="str">
        <f t="shared" ref="E421:E456" si="37">TRIM(LEFT(C421, FIND("/", C421)-1))</f>
        <v>0099988861</v>
      </c>
      <c r="F421" s="379" t="str">
        <f t="shared" ref="F421:F456" si="38">TRIM(MID(C421, FIND("/", C421)+1, LEN(C421)))</f>
        <v>242510021</v>
      </c>
      <c r="G421" s="378" t="str">
        <f t="shared" ref="G421:G456" si="39">E421&amp;" / "&amp;F421</f>
        <v>0099988861 / 242510021</v>
      </c>
      <c r="H421" s="377" t="s">
        <v>4866</v>
      </c>
    </row>
    <row r="422">
      <c r="A422" s="375">
        <v>2.0</v>
      </c>
      <c r="B422" s="376">
        <v>362.0</v>
      </c>
      <c r="C422" s="377" t="s">
        <v>4871</v>
      </c>
      <c r="D422" s="377"/>
      <c r="E422" s="377" t="str">
        <f t="shared" si="37"/>
        <v>0082151570</v>
      </c>
      <c r="F422" s="379" t="str">
        <f t="shared" si="38"/>
        <v>242510026</v>
      </c>
      <c r="G422" s="378" t="str">
        <f t="shared" si="39"/>
        <v>0082151570 / 242510026</v>
      </c>
      <c r="H422" s="377" t="s">
        <v>4872</v>
      </c>
    </row>
    <row r="423">
      <c r="A423" s="375">
        <v>3.0</v>
      </c>
      <c r="B423" s="376">
        <v>363.0</v>
      </c>
      <c r="C423" s="383" t="s">
        <v>4876</v>
      </c>
      <c r="D423" s="383"/>
      <c r="E423" s="377" t="str">
        <f t="shared" si="37"/>
        <v>0087588818</v>
      </c>
      <c r="F423" s="379" t="str">
        <f t="shared" si="38"/>
        <v>242510050</v>
      </c>
      <c r="G423" s="378" t="str">
        <f t="shared" si="39"/>
        <v>0087588818 / 242510050</v>
      </c>
      <c r="H423" s="383" t="s">
        <v>4877</v>
      </c>
    </row>
    <row r="424">
      <c r="A424" s="375">
        <v>4.0</v>
      </c>
      <c r="B424" s="376">
        <v>364.0</v>
      </c>
      <c r="C424" s="377" t="s">
        <v>4881</v>
      </c>
      <c r="D424" s="377"/>
      <c r="E424" s="377" t="str">
        <f t="shared" si="37"/>
        <v>2093857917</v>
      </c>
      <c r="F424" s="379" t="str">
        <f t="shared" si="38"/>
        <v>242510061</v>
      </c>
      <c r="G424" s="378" t="str">
        <f t="shared" si="39"/>
        <v>2093857917 / 242510061</v>
      </c>
      <c r="H424" s="377" t="s">
        <v>4882</v>
      </c>
    </row>
    <row r="425">
      <c r="A425" s="375">
        <v>5.0</v>
      </c>
      <c r="B425" s="376">
        <v>365.0</v>
      </c>
      <c r="C425" s="377" t="s">
        <v>4886</v>
      </c>
      <c r="D425" s="377"/>
      <c r="E425" s="377" t="str">
        <f t="shared" si="37"/>
        <v>0087522984</v>
      </c>
      <c r="F425" s="379" t="str">
        <f t="shared" si="38"/>
        <v>252611569</v>
      </c>
      <c r="G425" s="378" t="str">
        <f t="shared" si="39"/>
        <v>0087522984 / 252611569</v>
      </c>
      <c r="H425" s="377" t="s">
        <v>4887</v>
      </c>
    </row>
    <row r="426">
      <c r="A426" s="375">
        <v>6.0</v>
      </c>
      <c r="B426" s="376">
        <v>366.0</v>
      </c>
      <c r="C426" s="377" t="s">
        <v>4891</v>
      </c>
      <c r="D426" s="377"/>
      <c r="E426" s="377" t="str">
        <f t="shared" si="37"/>
        <v>0091072005</v>
      </c>
      <c r="F426" s="379" t="str">
        <f t="shared" si="38"/>
        <v>242510080</v>
      </c>
      <c r="G426" s="378" t="str">
        <f t="shared" si="39"/>
        <v>0091072005 / 242510080</v>
      </c>
      <c r="H426" s="377" t="s">
        <v>4892</v>
      </c>
    </row>
    <row r="427">
      <c r="A427" s="375">
        <v>7.0</v>
      </c>
      <c r="B427" s="376">
        <v>367.0</v>
      </c>
      <c r="C427" s="377" t="s">
        <v>4896</v>
      </c>
      <c r="D427" s="377"/>
      <c r="E427" s="377" t="str">
        <f t="shared" si="37"/>
        <v>0093123066</v>
      </c>
      <c r="F427" s="379" t="str">
        <f t="shared" si="38"/>
        <v>242510105</v>
      </c>
      <c r="G427" s="378" t="str">
        <f t="shared" si="39"/>
        <v>0093123066 / 242510105</v>
      </c>
      <c r="H427" s="377" t="s">
        <v>4897</v>
      </c>
    </row>
    <row r="428">
      <c r="A428" s="375">
        <v>8.0</v>
      </c>
      <c r="B428" s="376">
        <v>368.0</v>
      </c>
      <c r="C428" s="377" t="s">
        <v>4901</v>
      </c>
      <c r="D428" s="377"/>
      <c r="E428" s="377" t="str">
        <f t="shared" si="37"/>
        <v>0097482971</v>
      </c>
      <c r="F428" s="379" t="str">
        <f t="shared" si="38"/>
        <v>242510118</v>
      </c>
      <c r="G428" s="378" t="str">
        <f t="shared" si="39"/>
        <v>0097482971 / 242510118</v>
      </c>
      <c r="H428" s="377" t="s">
        <v>4902</v>
      </c>
    </row>
    <row r="429">
      <c r="A429" s="375">
        <v>9.0</v>
      </c>
      <c r="B429" s="376">
        <v>369.0</v>
      </c>
      <c r="C429" s="377" t="s">
        <v>4907</v>
      </c>
      <c r="D429" s="377"/>
      <c r="E429" s="377" t="str">
        <f t="shared" si="37"/>
        <v>0087551985</v>
      </c>
      <c r="F429" s="379" t="str">
        <f t="shared" si="38"/>
        <v>242510122</v>
      </c>
      <c r="G429" s="378" t="str">
        <f t="shared" si="39"/>
        <v>0087551985 / 242510122</v>
      </c>
      <c r="H429" s="377" t="s">
        <v>4908</v>
      </c>
    </row>
    <row r="430">
      <c r="A430" s="375">
        <v>10.0</v>
      </c>
      <c r="B430" s="376">
        <v>370.0</v>
      </c>
      <c r="C430" s="377" t="s">
        <v>4912</v>
      </c>
      <c r="D430" s="386"/>
      <c r="E430" s="377" t="str">
        <f t="shared" si="37"/>
        <v>0095657957</v>
      </c>
      <c r="F430" s="379" t="str">
        <f t="shared" si="38"/>
        <v>242510132</v>
      </c>
      <c r="G430" s="378" t="str">
        <f t="shared" si="39"/>
        <v>0095657957 / 242510132</v>
      </c>
      <c r="H430" s="377" t="s">
        <v>4913</v>
      </c>
    </row>
    <row r="431">
      <c r="A431" s="375">
        <v>11.0</v>
      </c>
      <c r="B431" s="376">
        <v>371.0</v>
      </c>
      <c r="C431" s="377" t="s">
        <v>4917</v>
      </c>
      <c r="D431" s="377"/>
      <c r="E431" s="377" t="str">
        <f t="shared" si="37"/>
        <v>0083924202</v>
      </c>
      <c r="F431" s="379" t="str">
        <f t="shared" si="38"/>
        <v>242510139</v>
      </c>
      <c r="G431" s="378" t="str">
        <f t="shared" si="39"/>
        <v>0083924202 / 242510139</v>
      </c>
      <c r="H431" s="377" t="s">
        <v>4918</v>
      </c>
    </row>
    <row r="432">
      <c r="A432" s="375">
        <v>12.0</v>
      </c>
      <c r="B432" s="376">
        <v>372.0</v>
      </c>
      <c r="C432" s="377" t="s">
        <v>4922</v>
      </c>
      <c r="D432" s="377"/>
      <c r="E432" s="377" t="str">
        <f t="shared" si="37"/>
        <v>0082690807</v>
      </c>
      <c r="F432" s="379" t="str">
        <f t="shared" si="38"/>
        <v>242510140</v>
      </c>
      <c r="G432" s="378" t="str">
        <f t="shared" si="39"/>
        <v>0082690807 / 242510140</v>
      </c>
      <c r="H432" s="377" t="s">
        <v>4923</v>
      </c>
    </row>
    <row r="433">
      <c r="A433" s="375">
        <v>13.0</v>
      </c>
      <c r="B433" s="376">
        <v>373.0</v>
      </c>
      <c r="C433" s="377" t="s">
        <v>4927</v>
      </c>
      <c r="D433" s="377"/>
      <c r="E433" s="377" t="str">
        <f t="shared" si="37"/>
        <v>0082256467</v>
      </c>
      <c r="F433" s="379" t="str">
        <f t="shared" si="38"/>
        <v>242510145</v>
      </c>
      <c r="G433" s="378" t="str">
        <f t="shared" si="39"/>
        <v>0082256467 / 242510145</v>
      </c>
      <c r="H433" s="377" t="s">
        <v>4928</v>
      </c>
    </row>
    <row r="434">
      <c r="A434" s="375">
        <v>14.0</v>
      </c>
      <c r="B434" s="376">
        <v>374.0</v>
      </c>
      <c r="C434" s="377" t="s">
        <v>4932</v>
      </c>
      <c r="D434" s="377"/>
      <c r="E434" s="377" t="str">
        <f t="shared" si="37"/>
        <v>0087408326</v>
      </c>
      <c r="F434" s="379" t="str">
        <f t="shared" si="38"/>
        <v>242510149</v>
      </c>
      <c r="G434" s="378" t="str">
        <f t="shared" si="39"/>
        <v>0087408326 / 242510149</v>
      </c>
      <c r="H434" s="377" t="s">
        <v>4933</v>
      </c>
    </row>
    <row r="435">
      <c r="A435" s="375">
        <v>15.0</v>
      </c>
      <c r="B435" s="376">
        <v>375.0</v>
      </c>
      <c r="C435" s="383" t="s">
        <v>4937</v>
      </c>
      <c r="D435" s="383"/>
      <c r="E435" s="377" t="str">
        <f t="shared" si="37"/>
        <v>0096589760</v>
      </c>
      <c r="F435" s="379" t="str">
        <f t="shared" si="38"/>
        <v>242510152</v>
      </c>
      <c r="G435" s="378" t="str">
        <f t="shared" si="39"/>
        <v>0096589760 / 242510152</v>
      </c>
      <c r="H435" s="383" t="s">
        <v>4938</v>
      </c>
    </row>
    <row r="436">
      <c r="A436" s="375">
        <v>16.0</v>
      </c>
      <c r="B436" s="376">
        <v>376.0</v>
      </c>
      <c r="C436" s="383" t="s">
        <v>4943</v>
      </c>
      <c r="D436" s="383"/>
      <c r="E436" s="377" t="str">
        <f t="shared" si="37"/>
        <v>3094653721</v>
      </c>
      <c r="F436" s="379" t="str">
        <f t="shared" si="38"/>
        <v>242510157</v>
      </c>
      <c r="G436" s="378" t="str">
        <f t="shared" si="39"/>
        <v>3094653721 / 242510157</v>
      </c>
      <c r="H436" s="383" t="s">
        <v>4944</v>
      </c>
    </row>
    <row r="437">
      <c r="A437" s="375">
        <v>17.0</v>
      </c>
      <c r="B437" s="376">
        <v>377.0</v>
      </c>
      <c r="C437" s="377" t="s">
        <v>4948</v>
      </c>
      <c r="D437" s="377"/>
      <c r="E437" s="377" t="str">
        <f t="shared" si="37"/>
        <v>0091633107</v>
      </c>
      <c r="F437" s="379" t="str">
        <f t="shared" si="38"/>
        <v>242510168</v>
      </c>
      <c r="G437" s="378" t="str">
        <f t="shared" si="39"/>
        <v>0091633107 / 242510168</v>
      </c>
      <c r="H437" s="377" t="s">
        <v>4949</v>
      </c>
    </row>
    <row r="438">
      <c r="A438" s="375">
        <v>18.0</v>
      </c>
      <c r="B438" s="376">
        <v>378.0</v>
      </c>
      <c r="C438" s="377" t="s">
        <v>4953</v>
      </c>
      <c r="D438" s="377"/>
      <c r="E438" s="377" t="str">
        <f t="shared" si="37"/>
        <v>0092593035</v>
      </c>
      <c r="F438" s="379" t="str">
        <f t="shared" si="38"/>
        <v>242510178</v>
      </c>
      <c r="G438" s="378" t="str">
        <f t="shared" si="39"/>
        <v>0092593035 / 242510178</v>
      </c>
      <c r="H438" s="377" t="s">
        <v>4954</v>
      </c>
    </row>
    <row r="439">
      <c r="A439" s="375">
        <v>19.0</v>
      </c>
      <c r="B439" s="376">
        <v>379.0</v>
      </c>
      <c r="C439" s="377" t="s">
        <v>4958</v>
      </c>
      <c r="D439" s="377"/>
      <c r="E439" s="377" t="str">
        <f t="shared" si="37"/>
        <v>3084804073</v>
      </c>
      <c r="F439" s="379" t="str">
        <f t="shared" si="38"/>
        <v>252611570</v>
      </c>
      <c r="G439" s="378" t="str">
        <f t="shared" si="39"/>
        <v>3084804073 / 252611570</v>
      </c>
      <c r="H439" s="377" t="s">
        <v>4959</v>
      </c>
    </row>
    <row r="440">
      <c r="A440" s="375">
        <v>20.0</v>
      </c>
      <c r="B440" s="376">
        <v>380.0</v>
      </c>
      <c r="C440" s="377" t="s">
        <v>4963</v>
      </c>
      <c r="D440" s="377"/>
      <c r="E440" s="377" t="str">
        <f t="shared" si="37"/>
        <v>0085208150</v>
      </c>
      <c r="F440" s="379" t="str">
        <f t="shared" si="38"/>
        <v>242510192</v>
      </c>
      <c r="G440" s="378" t="str">
        <f t="shared" si="39"/>
        <v>0085208150 / 242510192</v>
      </c>
      <c r="H440" s="377" t="s">
        <v>4964</v>
      </c>
    </row>
    <row r="441">
      <c r="A441" s="375">
        <v>21.0</v>
      </c>
      <c r="B441" s="376">
        <v>381.0</v>
      </c>
      <c r="C441" s="377" t="s">
        <v>4968</v>
      </c>
      <c r="D441" s="377"/>
      <c r="E441" s="377" t="str">
        <f t="shared" si="37"/>
        <v>0089115919</v>
      </c>
      <c r="F441" s="379" t="str">
        <f t="shared" si="38"/>
        <v>242510194</v>
      </c>
      <c r="G441" s="378" t="str">
        <f t="shared" si="39"/>
        <v>0089115919 / 242510194</v>
      </c>
      <c r="H441" s="377" t="s">
        <v>4969</v>
      </c>
    </row>
    <row r="442">
      <c r="A442" s="375">
        <v>22.0</v>
      </c>
      <c r="B442" s="376">
        <v>382.0</v>
      </c>
      <c r="C442" s="377" t="s">
        <v>4973</v>
      </c>
      <c r="D442" s="377"/>
      <c r="E442" s="377" t="str">
        <f t="shared" si="37"/>
        <v>0092834368</v>
      </c>
      <c r="F442" s="379" t="str">
        <f t="shared" si="38"/>
        <v>242510198</v>
      </c>
      <c r="G442" s="378" t="str">
        <f t="shared" si="39"/>
        <v>0092834368 / 242510198</v>
      </c>
      <c r="H442" s="377" t="s">
        <v>4974</v>
      </c>
    </row>
    <row r="443">
      <c r="A443" s="375">
        <v>23.0</v>
      </c>
      <c r="B443" s="376">
        <v>383.0</v>
      </c>
      <c r="C443" s="377" t="s">
        <v>4979</v>
      </c>
      <c r="D443" s="377"/>
      <c r="E443" s="377" t="str">
        <f t="shared" si="37"/>
        <v>3099484913</v>
      </c>
      <c r="F443" s="379" t="str">
        <f t="shared" si="38"/>
        <v>242510237</v>
      </c>
      <c r="G443" s="378" t="str">
        <f t="shared" si="39"/>
        <v>3099484913 / 242510237</v>
      </c>
      <c r="H443" s="377" t="s">
        <v>4980</v>
      </c>
    </row>
    <row r="444">
      <c r="A444" s="375">
        <v>24.0</v>
      </c>
      <c r="B444" s="376">
        <v>384.0</v>
      </c>
      <c r="C444" s="377" t="s">
        <v>4984</v>
      </c>
      <c r="D444" s="377"/>
      <c r="E444" s="377" t="str">
        <f t="shared" si="37"/>
        <v>0087176231</v>
      </c>
      <c r="F444" s="379" t="str">
        <f t="shared" si="38"/>
        <v>242510218</v>
      </c>
      <c r="G444" s="378" t="str">
        <f t="shared" si="39"/>
        <v>0087176231 / 242510218</v>
      </c>
      <c r="H444" s="381" t="s">
        <v>4985</v>
      </c>
    </row>
    <row r="445">
      <c r="A445" s="375">
        <v>25.0</v>
      </c>
      <c r="B445" s="376">
        <v>385.0</v>
      </c>
      <c r="C445" s="377" t="s">
        <v>4989</v>
      </c>
      <c r="D445" s="377"/>
      <c r="E445" s="377" t="str">
        <f t="shared" si="37"/>
        <v>3097549496</v>
      </c>
      <c r="F445" s="379" t="str">
        <f t="shared" si="38"/>
        <v>242510258</v>
      </c>
      <c r="G445" s="378" t="str">
        <f t="shared" si="39"/>
        <v>3097549496 / 242510258</v>
      </c>
      <c r="H445" s="377" t="s">
        <v>4990</v>
      </c>
    </row>
    <row r="446">
      <c r="A446" s="375">
        <v>26.0</v>
      </c>
      <c r="B446" s="376">
        <v>386.0</v>
      </c>
      <c r="C446" s="377" t="s">
        <v>4994</v>
      </c>
      <c r="D446" s="377"/>
      <c r="E446" s="377" t="str">
        <f t="shared" si="37"/>
        <v>0096931224</v>
      </c>
      <c r="F446" s="379" t="str">
        <f t="shared" si="38"/>
        <v>242510290</v>
      </c>
      <c r="G446" s="378" t="str">
        <f t="shared" si="39"/>
        <v>0096931224 / 242510290</v>
      </c>
      <c r="H446" s="377" t="s">
        <v>4995</v>
      </c>
    </row>
    <row r="447">
      <c r="A447" s="375">
        <v>27.0</v>
      </c>
      <c r="B447" s="376">
        <v>387.0</v>
      </c>
      <c r="C447" s="377" t="s">
        <v>4999</v>
      </c>
      <c r="D447" s="377"/>
      <c r="E447" s="377" t="str">
        <f t="shared" si="37"/>
        <v>0107494938</v>
      </c>
      <c r="F447" s="379" t="str">
        <f t="shared" si="38"/>
        <v>242510311</v>
      </c>
      <c r="G447" s="378" t="str">
        <f t="shared" si="39"/>
        <v>0107494938 / 242510311</v>
      </c>
      <c r="H447" s="377" t="s">
        <v>5000</v>
      </c>
    </row>
    <row r="448">
      <c r="A448" s="375">
        <v>28.0</v>
      </c>
      <c r="B448" s="376">
        <v>388.0</v>
      </c>
      <c r="C448" s="377" t="s">
        <v>5004</v>
      </c>
      <c r="D448" s="377"/>
      <c r="E448" s="377" t="str">
        <f t="shared" si="37"/>
        <v>0095386380</v>
      </c>
      <c r="F448" s="379" t="str">
        <f t="shared" si="38"/>
        <v>242510314</v>
      </c>
      <c r="G448" s="378" t="str">
        <f t="shared" si="39"/>
        <v>0095386380 / 242510314</v>
      </c>
      <c r="H448" s="377" t="s">
        <v>5005</v>
      </c>
    </row>
    <row r="449">
      <c r="A449" s="375">
        <v>29.0</v>
      </c>
      <c r="B449" s="376">
        <v>389.0</v>
      </c>
      <c r="C449" s="377" t="s">
        <v>5009</v>
      </c>
      <c r="D449" s="377"/>
      <c r="E449" s="377" t="str">
        <f t="shared" si="37"/>
        <v>0094807008</v>
      </c>
      <c r="F449" s="379" t="str">
        <f t="shared" si="38"/>
        <v>242510331</v>
      </c>
      <c r="G449" s="378" t="str">
        <f t="shared" si="39"/>
        <v>0094807008 / 242510331</v>
      </c>
      <c r="H449" s="377" t="s">
        <v>5010</v>
      </c>
    </row>
    <row r="450">
      <c r="A450" s="375">
        <v>30.0</v>
      </c>
      <c r="B450" s="376">
        <v>390.0</v>
      </c>
      <c r="C450" s="377" t="s">
        <v>5014</v>
      </c>
      <c r="D450" s="377"/>
      <c r="E450" s="377" t="str">
        <f t="shared" si="37"/>
        <v>0099423367</v>
      </c>
      <c r="F450" s="379" t="str">
        <f t="shared" si="38"/>
        <v>242510332</v>
      </c>
      <c r="G450" s="378" t="str">
        <f t="shared" si="39"/>
        <v>0099423367 / 242510332</v>
      </c>
      <c r="H450" s="377" t="s">
        <v>5015</v>
      </c>
    </row>
    <row r="451">
      <c r="A451" s="375">
        <v>31.0</v>
      </c>
      <c r="B451" s="376">
        <v>391.0</v>
      </c>
      <c r="C451" s="377" t="s">
        <v>5020</v>
      </c>
      <c r="D451" s="377"/>
      <c r="E451" s="377" t="str">
        <f t="shared" si="37"/>
        <v>0094095735</v>
      </c>
      <c r="F451" s="379" t="str">
        <f t="shared" si="38"/>
        <v>242510339</v>
      </c>
      <c r="G451" s="378" t="str">
        <f t="shared" si="39"/>
        <v>0094095735 / 242510339</v>
      </c>
      <c r="H451" s="377" t="s">
        <v>5021</v>
      </c>
    </row>
    <row r="452">
      <c r="A452" s="375">
        <v>32.0</v>
      </c>
      <c r="B452" s="376">
        <v>392.0</v>
      </c>
      <c r="C452" s="377" t="s">
        <v>5025</v>
      </c>
      <c r="D452" s="377"/>
      <c r="E452" s="377" t="str">
        <f t="shared" si="37"/>
        <v>3087304976</v>
      </c>
      <c r="F452" s="379" t="str">
        <f t="shared" si="38"/>
        <v>242510389</v>
      </c>
      <c r="G452" s="378" t="str">
        <f t="shared" si="39"/>
        <v>3087304976 / 242510389</v>
      </c>
      <c r="H452" s="377" t="s">
        <v>5026</v>
      </c>
    </row>
    <row r="453">
      <c r="A453" s="375">
        <v>33.0</v>
      </c>
      <c r="B453" s="376">
        <v>393.0</v>
      </c>
      <c r="C453" s="377" t="s">
        <v>5030</v>
      </c>
      <c r="D453" s="377"/>
      <c r="E453" s="377" t="str">
        <f t="shared" si="37"/>
        <v>0097734463</v>
      </c>
      <c r="F453" s="379" t="str">
        <f t="shared" si="38"/>
        <v>242510394</v>
      </c>
      <c r="G453" s="378" t="str">
        <f t="shared" si="39"/>
        <v>0097734463 / 242510394</v>
      </c>
      <c r="H453" s="377" t="s">
        <v>5031</v>
      </c>
    </row>
    <row r="454">
      <c r="A454" s="375">
        <v>34.0</v>
      </c>
      <c r="B454" s="376">
        <v>394.0</v>
      </c>
      <c r="C454" s="377" t="s">
        <v>5035</v>
      </c>
      <c r="D454" s="377"/>
      <c r="E454" s="377" t="str">
        <f t="shared" si="37"/>
        <v>0094647744</v>
      </c>
      <c r="F454" s="379" t="str">
        <f t="shared" si="38"/>
        <v>242510396</v>
      </c>
      <c r="G454" s="378" t="str">
        <f t="shared" si="39"/>
        <v>0094647744 / 242510396</v>
      </c>
      <c r="H454" s="377" t="s">
        <v>5036</v>
      </c>
    </row>
    <row r="455">
      <c r="A455" s="375">
        <v>35.0</v>
      </c>
      <c r="B455" s="376">
        <v>395.0</v>
      </c>
      <c r="C455" s="377" t="s">
        <v>5040</v>
      </c>
      <c r="D455" s="377"/>
      <c r="E455" s="377" t="str">
        <f t="shared" si="37"/>
        <v>0084357788</v>
      </c>
      <c r="F455" s="379" t="str">
        <f t="shared" si="38"/>
        <v>242510411</v>
      </c>
      <c r="G455" s="378" t="str">
        <f t="shared" si="39"/>
        <v>0084357788 / 242510411</v>
      </c>
      <c r="H455" s="377" t="s">
        <v>5041</v>
      </c>
    </row>
    <row r="456">
      <c r="A456" s="375">
        <v>36.0</v>
      </c>
      <c r="B456" s="376">
        <v>396.0</v>
      </c>
      <c r="C456" s="377" t="s">
        <v>5045</v>
      </c>
      <c r="D456" s="377"/>
      <c r="E456" s="377" t="str">
        <f t="shared" si="37"/>
        <v>0097253280</v>
      </c>
      <c r="F456" s="379" t="str">
        <f t="shared" si="38"/>
        <v>242510415</v>
      </c>
      <c r="G456" s="378" t="str">
        <f t="shared" si="39"/>
        <v>0097253280 / 242510415</v>
      </c>
      <c r="H456" s="377" t="s">
        <v>5046</v>
      </c>
    </row>
    <row r="457" hidden="1">
      <c r="A457" s="372"/>
      <c r="B457" s="372"/>
      <c r="C457" s="372"/>
      <c r="D457" s="372"/>
      <c r="E457" s="372"/>
      <c r="F457" s="372"/>
      <c r="G457" s="372"/>
      <c r="H457" s="372"/>
    </row>
    <row r="458" hidden="1">
      <c r="A458" s="373" t="s">
        <v>9854</v>
      </c>
      <c r="B458" s="373"/>
      <c r="C458" s="373"/>
      <c r="D458" s="373"/>
      <c r="E458" s="373"/>
      <c r="F458" s="373"/>
      <c r="G458" s="373"/>
      <c r="H458" s="373"/>
    </row>
    <row r="459" hidden="1">
      <c r="A459" s="374" t="s">
        <v>9855</v>
      </c>
      <c r="B459" s="374"/>
      <c r="C459" s="374"/>
      <c r="D459" s="374"/>
      <c r="E459" s="374"/>
      <c r="F459" s="374"/>
      <c r="G459" s="374"/>
      <c r="H459" s="374"/>
    </row>
    <row r="460" hidden="1">
      <c r="A460" s="111" t="s">
        <v>8748</v>
      </c>
      <c r="B460" s="111"/>
      <c r="C460" s="111" t="s">
        <v>9</v>
      </c>
      <c r="D460" s="111" t="s">
        <v>5246</v>
      </c>
      <c r="E460" s="111"/>
      <c r="F460" s="111"/>
      <c r="G460" s="111"/>
      <c r="H460" s="111" t="s">
        <v>8680</v>
      </c>
    </row>
    <row r="461" hidden="1">
      <c r="A461" s="119"/>
      <c r="B461" s="119"/>
      <c r="C461" s="119"/>
      <c r="D461" s="119"/>
      <c r="E461" s="119"/>
      <c r="F461" s="119"/>
      <c r="G461" s="119"/>
      <c r="H461" s="119"/>
    </row>
    <row r="462">
      <c r="A462" s="375">
        <v>1.0</v>
      </c>
      <c r="B462" s="376">
        <v>397.0</v>
      </c>
      <c r="C462" s="377" t="s">
        <v>5050</v>
      </c>
      <c r="D462" s="377"/>
      <c r="E462" s="377" t="str">
        <f t="shared" ref="E462:E497" si="40">TRIM(LEFT(C462, FIND("/", C462)-1))</f>
        <v>0083949375</v>
      </c>
      <c r="F462" s="379" t="str">
        <f t="shared" ref="F462:F497" si="41">TRIM(MID(C462, FIND("/", C462)+1, LEN(C462)))</f>
        <v>242510009</v>
      </c>
      <c r="G462" s="378" t="str">
        <f t="shared" ref="G462:G497" si="42">E462&amp;" / "&amp;F462</f>
        <v>0083949375 / 242510009</v>
      </c>
      <c r="H462" s="377" t="s">
        <v>5051</v>
      </c>
    </row>
    <row r="463">
      <c r="A463" s="375">
        <v>2.0</v>
      </c>
      <c r="B463" s="376">
        <v>398.0</v>
      </c>
      <c r="C463" s="377" t="s">
        <v>5057</v>
      </c>
      <c r="D463" s="377"/>
      <c r="E463" s="377" t="str">
        <f t="shared" si="40"/>
        <v>3091238165</v>
      </c>
      <c r="F463" s="379" t="str">
        <f t="shared" si="41"/>
        <v>242510015</v>
      </c>
      <c r="G463" s="378" t="str">
        <f t="shared" si="42"/>
        <v>3091238165 / 242510015</v>
      </c>
      <c r="H463" s="377" t="s">
        <v>5058</v>
      </c>
    </row>
    <row r="464">
      <c r="A464" s="375">
        <v>3.0</v>
      </c>
      <c r="B464" s="376">
        <v>399.0</v>
      </c>
      <c r="C464" s="377" t="s">
        <v>5062</v>
      </c>
      <c r="D464" s="377"/>
      <c r="E464" s="377" t="str">
        <f t="shared" si="40"/>
        <v>0084218795</v>
      </c>
      <c r="F464" s="379" t="str">
        <f t="shared" si="41"/>
        <v>242510016</v>
      </c>
      <c r="G464" s="378" t="str">
        <f t="shared" si="42"/>
        <v>0084218795 / 242510016</v>
      </c>
      <c r="H464" s="377" t="s">
        <v>5063</v>
      </c>
    </row>
    <row r="465">
      <c r="A465" s="375">
        <v>4.0</v>
      </c>
      <c r="B465" s="376">
        <v>400.0</v>
      </c>
      <c r="C465" s="377" t="s">
        <v>5067</v>
      </c>
      <c r="D465" s="377"/>
      <c r="E465" s="377" t="str">
        <f t="shared" si="40"/>
        <v>0098551657</v>
      </c>
      <c r="F465" s="379" t="str">
        <f t="shared" si="41"/>
        <v>242510020</v>
      </c>
      <c r="G465" s="378" t="str">
        <f t="shared" si="42"/>
        <v>0098551657 / 242510020</v>
      </c>
      <c r="H465" s="377" t="s">
        <v>5068</v>
      </c>
    </row>
    <row r="466">
      <c r="A466" s="375">
        <v>5.0</v>
      </c>
      <c r="B466" s="376">
        <v>401.0</v>
      </c>
      <c r="C466" s="377" t="s">
        <v>5072</v>
      </c>
      <c r="D466" s="377"/>
      <c r="E466" s="377" t="str">
        <f t="shared" si="40"/>
        <v>0087718590</v>
      </c>
      <c r="F466" s="379" t="str">
        <f t="shared" si="41"/>
        <v>242510060</v>
      </c>
      <c r="G466" s="378" t="str">
        <f t="shared" si="42"/>
        <v>0087718590 / 242510060</v>
      </c>
      <c r="H466" s="377" t="s">
        <v>5073</v>
      </c>
    </row>
    <row r="467">
      <c r="A467" s="375">
        <v>6.0</v>
      </c>
      <c r="B467" s="376">
        <v>402.0</v>
      </c>
      <c r="C467" s="377" t="s">
        <v>5077</v>
      </c>
      <c r="D467" s="377"/>
      <c r="E467" s="377" t="str">
        <f t="shared" si="40"/>
        <v>0096418415</v>
      </c>
      <c r="F467" s="379" t="str">
        <f t="shared" si="41"/>
        <v>242510078</v>
      </c>
      <c r="G467" s="378" t="str">
        <f t="shared" si="42"/>
        <v>0096418415 / 242510078</v>
      </c>
      <c r="H467" s="377" t="s">
        <v>5078</v>
      </c>
    </row>
    <row r="468">
      <c r="A468" s="375">
        <v>7.0</v>
      </c>
      <c r="B468" s="376">
        <v>403.0</v>
      </c>
      <c r="C468" s="377" t="s">
        <v>53</v>
      </c>
      <c r="D468" s="377"/>
      <c r="E468" s="377" t="str">
        <f t="shared" si="40"/>
        <v>0096383417</v>
      </c>
      <c r="F468" s="379" t="str">
        <f t="shared" si="41"/>
        <v>242510089</v>
      </c>
      <c r="G468" s="378" t="str">
        <f t="shared" si="42"/>
        <v>0096383417 / 242510089</v>
      </c>
      <c r="H468" s="377" t="s">
        <v>5082</v>
      </c>
    </row>
    <row r="469">
      <c r="A469" s="375">
        <v>8.0</v>
      </c>
      <c r="B469" s="376">
        <v>404.0</v>
      </c>
      <c r="C469" s="377" t="s">
        <v>5086</v>
      </c>
      <c r="D469" s="377"/>
      <c r="E469" s="377" t="str">
        <f t="shared" si="40"/>
        <v>0093167605</v>
      </c>
      <c r="F469" s="379" t="str">
        <f t="shared" si="41"/>
        <v>242510093</v>
      </c>
      <c r="G469" s="378" t="str">
        <f t="shared" si="42"/>
        <v>0093167605 / 242510093</v>
      </c>
      <c r="H469" s="377" t="s">
        <v>5087</v>
      </c>
    </row>
    <row r="470">
      <c r="A470" s="375">
        <v>9.0</v>
      </c>
      <c r="B470" s="376">
        <v>405.0</v>
      </c>
      <c r="C470" s="377" t="s">
        <v>5091</v>
      </c>
      <c r="D470" s="377"/>
      <c r="E470" s="377" t="str">
        <f t="shared" si="40"/>
        <v>0096872219</v>
      </c>
      <c r="F470" s="379" t="str">
        <f t="shared" si="41"/>
        <v>242510106</v>
      </c>
      <c r="G470" s="378" t="str">
        <f t="shared" si="42"/>
        <v>0096872219 / 242510106</v>
      </c>
      <c r="H470" s="377" t="s">
        <v>5092</v>
      </c>
    </row>
    <row r="471">
      <c r="A471" s="375">
        <v>10.0</v>
      </c>
      <c r="B471" s="376">
        <v>406.0</v>
      </c>
      <c r="C471" s="377" t="s">
        <v>5097</v>
      </c>
      <c r="D471" s="377"/>
      <c r="E471" s="377" t="str">
        <f t="shared" si="40"/>
        <v>0093311941</v>
      </c>
      <c r="F471" s="379" t="str">
        <f t="shared" si="41"/>
        <v>242510107</v>
      </c>
      <c r="G471" s="378" t="str">
        <f t="shared" si="42"/>
        <v>0093311941 / 242510107</v>
      </c>
      <c r="H471" s="377" t="s">
        <v>5098</v>
      </c>
    </row>
    <row r="472">
      <c r="A472" s="375">
        <v>11.0</v>
      </c>
      <c r="B472" s="376">
        <v>407.0</v>
      </c>
      <c r="C472" s="377" t="s">
        <v>5102</v>
      </c>
      <c r="D472" s="377"/>
      <c r="E472" s="377" t="str">
        <f t="shared" si="40"/>
        <v>0091519291</v>
      </c>
      <c r="F472" s="379" t="str">
        <f t="shared" si="41"/>
        <v>242510109</v>
      </c>
      <c r="G472" s="378" t="str">
        <f t="shared" si="42"/>
        <v>0091519291 / 242510109</v>
      </c>
      <c r="H472" s="377" t="s">
        <v>5103</v>
      </c>
    </row>
    <row r="473">
      <c r="A473" s="375">
        <v>12.0</v>
      </c>
      <c r="B473" s="376">
        <v>408.0</v>
      </c>
      <c r="C473" s="377" t="s">
        <v>5107</v>
      </c>
      <c r="D473" s="377"/>
      <c r="E473" s="377" t="str">
        <f t="shared" si="40"/>
        <v>0093772011</v>
      </c>
      <c r="F473" s="379" t="str">
        <f t="shared" si="41"/>
        <v>242510125</v>
      </c>
      <c r="G473" s="378" t="str">
        <f t="shared" si="42"/>
        <v>0093772011 / 242510125</v>
      </c>
      <c r="H473" s="377" t="s">
        <v>5108</v>
      </c>
    </row>
    <row r="474">
      <c r="A474" s="375">
        <v>13.0</v>
      </c>
      <c r="B474" s="376">
        <v>409.0</v>
      </c>
      <c r="C474" s="377" t="s">
        <v>5112</v>
      </c>
      <c r="D474" s="377"/>
      <c r="E474" s="377" t="str">
        <f t="shared" si="40"/>
        <v>0083597126</v>
      </c>
      <c r="F474" s="379" t="str">
        <f t="shared" si="41"/>
        <v>242510127</v>
      </c>
      <c r="G474" s="378" t="str">
        <f t="shared" si="42"/>
        <v>0083597126 / 242510127</v>
      </c>
      <c r="H474" s="377" t="s">
        <v>5113</v>
      </c>
    </row>
    <row r="475">
      <c r="A475" s="375">
        <v>14.0</v>
      </c>
      <c r="B475" s="376">
        <v>410.0</v>
      </c>
      <c r="C475" s="377" t="s">
        <v>5117</v>
      </c>
      <c r="D475" s="377"/>
      <c r="E475" s="377" t="str">
        <f t="shared" si="40"/>
        <v>0081527579</v>
      </c>
      <c r="F475" s="379" t="str">
        <f t="shared" si="41"/>
        <v>242510147</v>
      </c>
      <c r="G475" s="378" t="str">
        <f t="shared" si="42"/>
        <v>0081527579 / 242510147</v>
      </c>
      <c r="H475" s="377" t="s">
        <v>5118</v>
      </c>
    </row>
    <row r="476">
      <c r="A476" s="375">
        <v>15.0</v>
      </c>
      <c r="B476" s="376">
        <v>411.0</v>
      </c>
      <c r="C476" s="377" t="s">
        <v>5122</v>
      </c>
      <c r="D476" s="377"/>
      <c r="E476" s="377" t="str">
        <f t="shared" si="40"/>
        <v>3088903236</v>
      </c>
      <c r="F476" s="379" t="str">
        <f t="shared" si="41"/>
        <v>242510154</v>
      </c>
      <c r="G476" s="378" t="str">
        <f t="shared" si="42"/>
        <v>3088903236 / 242510154</v>
      </c>
      <c r="H476" s="377" t="s">
        <v>5123</v>
      </c>
    </row>
    <row r="477">
      <c r="A477" s="375">
        <v>16.0</v>
      </c>
      <c r="B477" s="376">
        <v>412.0</v>
      </c>
      <c r="C477" s="377" t="s">
        <v>5127</v>
      </c>
      <c r="D477" s="377"/>
      <c r="E477" s="377" t="str">
        <f t="shared" si="40"/>
        <v>0098700438</v>
      </c>
      <c r="F477" s="379" t="str">
        <f t="shared" si="41"/>
        <v>242510156</v>
      </c>
      <c r="G477" s="378" t="str">
        <f t="shared" si="42"/>
        <v>0098700438 / 242510156</v>
      </c>
      <c r="H477" s="377" t="s">
        <v>5128</v>
      </c>
    </row>
    <row r="478">
      <c r="A478" s="375">
        <v>17.0</v>
      </c>
      <c r="B478" s="376">
        <v>413.0</v>
      </c>
      <c r="C478" s="377" t="s">
        <v>5132</v>
      </c>
      <c r="D478" s="377"/>
      <c r="E478" s="377" t="str">
        <f t="shared" si="40"/>
        <v>0095159012</v>
      </c>
      <c r="F478" s="379" t="str">
        <f t="shared" si="41"/>
        <v>242510166</v>
      </c>
      <c r="G478" s="378" t="str">
        <f t="shared" si="42"/>
        <v>0095159012 / 242510166</v>
      </c>
      <c r="H478" s="377" t="s">
        <v>5133</v>
      </c>
    </row>
    <row r="479">
      <c r="A479" s="375">
        <v>18.0</v>
      </c>
      <c r="B479" s="376">
        <v>414.0</v>
      </c>
      <c r="C479" s="377" t="s">
        <v>5138</v>
      </c>
      <c r="D479" s="377"/>
      <c r="E479" s="377" t="str">
        <f t="shared" si="40"/>
        <v>0098994125</v>
      </c>
      <c r="F479" s="379" t="str">
        <f t="shared" si="41"/>
        <v>252611567</v>
      </c>
      <c r="G479" s="378" t="str">
        <f t="shared" si="42"/>
        <v>0098994125 / 252611567</v>
      </c>
      <c r="H479" s="377" t="s">
        <v>5139</v>
      </c>
    </row>
    <row r="480">
      <c r="A480" s="375">
        <v>19.0</v>
      </c>
      <c r="B480" s="376">
        <v>415.0</v>
      </c>
      <c r="C480" s="377" t="s">
        <v>5143</v>
      </c>
      <c r="D480" s="377"/>
      <c r="E480" s="377" t="str">
        <f t="shared" si="40"/>
        <v>0087336074</v>
      </c>
      <c r="F480" s="379" t="str">
        <f t="shared" si="41"/>
        <v>242510195</v>
      </c>
      <c r="G480" s="378" t="str">
        <f t="shared" si="42"/>
        <v>0087336074 / 242510195</v>
      </c>
      <c r="H480" s="377" t="s">
        <v>5144</v>
      </c>
    </row>
    <row r="481">
      <c r="A481" s="375">
        <v>20.0</v>
      </c>
      <c r="B481" s="376">
        <v>416.0</v>
      </c>
      <c r="C481" s="377" t="s">
        <v>5148</v>
      </c>
      <c r="D481" s="377"/>
      <c r="E481" s="377" t="str">
        <f t="shared" si="40"/>
        <v>0083317171</v>
      </c>
      <c r="F481" s="379" t="str">
        <f t="shared" si="41"/>
        <v>242510203</v>
      </c>
      <c r="G481" s="378" t="str">
        <f t="shared" si="42"/>
        <v>0083317171 / 242510203</v>
      </c>
      <c r="H481" s="377" t="s">
        <v>5149</v>
      </c>
    </row>
    <row r="482">
      <c r="A482" s="375">
        <v>21.0</v>
      </c>
      <c r="B482" s="376">
        <v>417.0</v>
      </c>
      <c r="C482" s="377" t="s">
        <v>5153</v>
      </c>
      <c r="D482" s="377"/>
      <c r="E482" s="377" t="str">
        <f t="shared" si="40"/>
        <v>3081754398</v>
      </c>
      <c r="F482" s="379" t="str">
        <f t="shared" si="41"/>
        <v>242510219</v>
      </c>
      <c r="G482" s="378" t="str">
        <f t="shared" si="42"/>
        <v>3081754398 / 242510219</v>
      </c>
      <c r="H482" s="377" t="s">
        <v>5154</v>
      </c>
    </row>
    <row r="483">
      <c r="A483" s="375">
        <v>22.0</v>
      </c>
      <c r="B483" s="376">
        <v>418.0</v>
      </c>
      <c r="C483" s="377" t="s">
        <v>5158</v>
      </c>
      <c r="D483" s="377"/>
      <c r="E483" s="377" t="str">
        <f t="shared" si="40"/>
        <v>0098773886</v>
      </c>
      <c r="F483" s="379" t="str">
        <f t="shared" si="41"/>
        <v>242510223</v>
      </c>
      <c r="G483" s="378" t="str">
        <f t="shared" si="42"/>
        <v>0098773886 / 242510223</v>
      </c>
      <c r="H483" s="377" t="s">
        <v>5159</v>
      </c>
    </row>
    <row r="484">
      <c r="A484" s="375">
        <v>23.0</v>
      </c>
      <c r="B484" s="376">
        <v>419.0</v>
      </c>
      <c r="C484" s="377" t="s">
        <v>129</v>
      </c>
      <c r="D484" s="377"/>
      <c r="E484" s="377" t="str">
        <f t="shared" si="40"/>
        <v>0098848130</v>
      </c>
      <c r="F484" s="379" t="str">
        <f t="shared" si="41"/>
        <v>242510228</v>
      </c>
      <c r="G484" s="378" t="str">
        <f t="shared" si="42"/>
        <v>0098848130 / 242510228</v>
      </c>
      <c r="H484" s="377" t="s">
        <v>5163</v>
      </c>
    </row>
    <row r="485">
      <c r="A485" s="375">
        <v>24.0</v>
      </c>
      <c r="B485" s="376">
        <v>420.0</v>
      </c>
      <c r="C485" s="377" t="s">
        <v>5167</v>
      </c>
      <c r="D485" s="377"/>
      <c r="E485" s="377" t="str">
        <f t="shared" si="40"/>
        <v>0086293694</v>
      </c>
      <c r="F485" s="379" t="str">
        <f t="shared" si="41"/>
        <v>242510229</v>
      </c>
      <c r="G485" s="378" t="str">
        <f t="shared" si="42"/>
        <v>0086293694 / 242510229</v>
      </c>
      <c r="H485" s="377" t="s">
        <v>5168</v>
      </c>
    </row>
    <row r="486">
      <c r="A486" s="375">
        <v>25.0</v>
      </c>
      <c r="B486" s="376">
        <v>421.0</v>
      </c>
      <c r="C486" s="377" t="s">
        <v>5173</v>
      </c>
      <c r="D486" s="377"/>
      <c r="E486" s="377" t="str">
        <f t="shared" si="40"/>
        <v>0088667313</v>
      </c>
      <c r="F486" s="379" t="str">
        <f t="shared" si="41"/>
        <v>242510236</v>
      </c>
      <c r="G486" s="378" t="str">
        <f t="shared" si="42"/>
        <v>0088667313 / 242510236</v>
      </c>
      <c r="H486" s="377" t="s">
        <v>5174</v>
      </c>
    </row>
    <row r="487">
      <c r="A487" s="375">
        <v>26.0</v>
      </c>
      <c r="B487" s="376">
        <v>422.0</v>
      </c>
      <c r="C487" s="377" t="s">
        <v>5178</v>
      </c>
      <c r="D487" s="377"/>
      <c r="E487" s="377" t="str">
        <f t="shared" si="40"/>
        <v>0093423349</v>
      </c>
      <c r="F487" s="379" t="str">
        <f t="shared" si="41"/>
        <v>242510245</v>
      </c>
      <c r="G487" s="378" t="str">
        <f t="shared" si="42"/>
        <v>0093423349 / 242510245</v>
      </c>
      <c r="H487" s="377" t="s">
        <v>5179</v>
      </c>
    </row>
    <row r="488">
      <c r="A488" s="375">
        <v>27.0</v>
      </c>
      <c r="B488" s="376">
        <v>423.0</v>
      </c>
      <c r="C488" s="383" t="s">
        <v>5183</v>
      </c>
      <c r="D488" s="383"/>
      <c r="E488" s="377" t="str">
        <f t="shared" si="40"/>
        <v>0089737965</v>
      </c>
      <c r="F488" s="379" t="str">
        <f t="shared" si="41"/>
        <v>242510247</v>
      </c>
      <c r="G488" s="378" t="str">
        <f t="shared" si="42"/>
        <v>0089737965 / 242510247</v>
      </c>
      <c r="H488" s="377" t="s">
        <v>5184</v>
      </c>
    </row>
    <row r="489">
      <c r="A489" s="375">
        <v>28.0</v>
      </c>
      <c r="B489" s="376">
        <v>424.0</v>
      </c>
      <c r="C489" s="377" t="s">
        <v>5188</v>
      </c>
      <c r="D489" s="377"/>
      <c r="E489" s="377" t="str">
        <f t="shared" si="40"/>
        <v>0091624427</v>
      </c>
      <c r="F489" s="379" t="str">
        <f t="shared" si="41"/>
        <v>242510249</v>
      </c>
      <c r="G489" s="378" t="str">
        <f t="shared" si="42"/>
        <v>0091624427 / 242510249</v>
      </c>
      <c r="H489" s="377" t="s">
        <v>5189</v>
      </c>
    </row>
    <row r="490">
      <c r="A490" s="375">
        <v>29.0</v>
      </c>
      <c r="B490" s="376">
        <v>425.0</v>
      </c>
      <c r="C490" s="377" t="s">
        <v>5193</v>
      </c>
      <c r="D490" s="377"/>
      <c r="E490" s="377" t="str">
        <f t="shared" si="40"/>
        <v>0083876462</v>
      </c>
      <c r="F490" s="379" t="str">
        <f t="shared" si="41"/>
        <v>242510267</v>
      </c>
      <c r="G490" s="378" t="str">
        <f t="shared" si="42"/>
        <v>0083876462 / 242510267</v>
      </c>
      <c r="H490" s="377" t="s">
        <v>5194</v>
      </c>
    </row>
    <row r="491">
      <c r="A491" s="375">
        <v>31.0</v>
      </c>
      <c r="B491" s="376">
        <v>426.0</v>
      </c>
      <c r="C491" s="377" t="s">
        <v>5198</v>
      </c>
      <c r="D491" s="377"/>
      <c r="E491" s="377" t="str">
        <f t="shared" si="40"/>
        <v>0082604990</v>
      </c>
      <c r="F491" s="379" t="str">
        <f t="shared" si="41"/>
        <v>242510276</v>
      </c>
      <c r="G491" s="378" t="str">
        <f t="shared" si="42"/>
        <v>0082604990 / 242510276</v>
      </c>
      <c r="H491" s="377" t="s">
        <v>5199</v>
      </c>
    </row>
    <row r="492">
      <c r="A492" s="375">
        <v>32.0</v>
      </c>
      <c r="B492" s="376">
        <v>427.0</v>
      </c>
      <c r="C492" s="377" t="s">
        <v>5203</v>
      </c>
      <c r="D492" s="377"/>
      <c r="E492" s="377" t="str">
        <f t="shared" si="40"/>
        <v>0087043705</v>
      </c>
      <c r="F492" s="379" t="str">
        <f t="shared" si="41"/>
        <v>242510307</v>
      </c>
      <c r="G492" s="378" t="str">
        <f t="shared" si="42"/>
        <v>0087043705 / 242510307</v>
      </c>
      <c r="H492" s="377" t="s">
        <v>5204</v>
      </c>
    </row>
    <row r="493">
      <c r="A493" s="375">
        <v>33.0</v>
      </c>
      <c r="B493" s="376">
        <v>428.0</v>
      </c>
      <c r="C493" s="377" t="s">
        <v>5209</v>
      </c>
      <c r="D493" s="377"/>
      <c r="E493" s="377" t="str">
        <f t="shared" si="40"/>
        <v>0081683598</v>
      </c>
      <c r="F493" s="379" t="str">
        <f t="shared" si="41"/>
        <v>242510316</v>
      </c>
      <c r="G493" s="378" t="str">
        <f t="shared" si="42"/>
        <v>0081683598 / 242510316</v>
      </c>
      <c r="H493" s="377" t="s">
        <v>5210</v>
      </c>
    </row>
    <row r="494">
      <c r="A494" s="375">
        <v>34.0</v>
      </c>
      <c r="B494" s="376">
        <v>429.0</v>
      </c>
      <c r="C494" s="377" t="s">
        <v>5214</v>
      </c>
      <c r="D494" s="377"/>
      <c r="E494" s="377" t="str">
        <f t="shared" si="40"/>
        <v>0094092301</v>
      </c>
      <c r="F494" s="379" t="str">
        <f t="shared" si="41"/>
        <v>252611572</v>
      </c>
      <c r="G494" s="378" t="str">
        <f t="shared" si="42"/>
        <v>0094092301 / 252611572</v>
      </c>
      <c r="H494" s="377" t="s">
        <v>5215</v>
      </c>
    </row>
    <row r="495">
      <c r="A495" s="375">
        <v>35.0</v>
      </c>
      <c r="B495" s="376">
        <v>430.0</v>
      </c>
      <c r="C495" s="377" t="s">
        <v>5219</v>
      </c>
      <c r="D495" s="377"/>
      <c r="E495" s="377" t="str">
        <f t="shared" si="40"/>
        <v>0092685479</v>
      </c>
      <c r="F495" s="379" t="str">
        <f t="shared" si="41"/>
        <v>252611573</v>
      </c>
      <c r="G495" s="378" t="str">
        <f t="shared" si="42"/>
        <v>0092685479 / 252611573</v>
      </c>
      <c r="H495" s="377" t="s">
        <v>5220</v>
      </c>
    </row>
    <row r="496">
      <c r="A496" s="375">
        <v>36.0</v>
      </c>
      <c r="B496" s="376">
        <v>431.0</v>
      </c>
      <c r="C496" s="377" t="s">
        <v>5224</v>
      </c>
      <c r="D496" s="377"/>
      <c r="E496" s="377" t="str">
        <f t="shared" si="40"/>
        <v>0095319720</v>
      </c>
      <c r="F496" s="379" t="str">
        <f t="shared" si="41"/>
        <v>242510364</v>
      </c>
      <c r="G496" s="378" t="str">
        <f t="shared" si="42"/>
        <v>0095319720 / 242510364</v>
      </c>
      <c r="H496" s="377" t="s">
        <v>5225</v>
      </c>
    </row>
    <row r="497">
      <c r="A497" s="375">
        <v>37.0</v>
      </c>
      <c r="B497" s="376">
        <v>432.0</v>
      </c>
      <c r="C497" s="377" t="s">
        <v>5229</v>
      </c>
      <c r="D497" s="377"/>
      <c r="E497" s="377" t="str">
        <f t="shared" si="40"/>
        <v>0084006956</v>
      </c>
      <c r="F497" s="379" t="str">
        <f t="shared" si="41"/>
        <v>242510400</v>
      </c>
      <c r="G497" s="378" t="str">
        <f t="shared" si="42"/>
        <v>0084006956 / 242510400</v>
      </c>
      <c r="H497" s="377" t="s">
        <v>5230</v>
      </c>
    </row>
    <row r="498" hidden="1">
      <c r="A498" s="151"/>
      <c r="B498" s="151"/>
      <c r="C498" s="151"/>
      <c r="D498" s="151"/>
      <c r="E498" s="151"/>
      <c r="F498" s="151"/>
      <c r="G498" s="151"/>
      <c r="H498" s="151"/>
    </row>
    <row r="499" hidden="1">
      <c r="A499" s="151"/>
      <c r="B499" s="151"/>
      <c r="C499" s="151"/>
      <c r="D499" s="151"/>
      <c r="E499" s="151"/>
      <c r="F499" s="151"/>
      <c r="G499" s="151"/>
      <c r="H499" s="151"/>
    </row>
    <row r="500" hidden="1">
      <c r="A500" s="151"/>
      <c r="B500" s="151"/>
      <c r="C500" s="151"/>
      <c r="D500" s="151"/>
      <c r="E500" s="151"/>
      <c r="F500" s="151"/>
      <c r="G500" s="151"/>
      <c r="H500" s="151"/>
    </row>
    <row r="501" hidden="1">
      <c r="A501" s="151"/>
      <c r="B501" s="151"/>
      <c r="C501" s="151"/>
      <c r="D501" s="151"/>
      <c r="E501" s="151"/>
      <c r="F501" s="151"/>
      <c r="G501" s="151"/>
      <c r="H501" s="151"/>
    </row>
    <row r="502" hidden="1">
      <c r="A502" s="151"/>
      <c r="B502" s="151"/>
      <c r="C502" s="151"/>
      <c r="D502" s="151"/>
      <c r="E502" s="151"/>
      <c r="F502" s="151"/>
      <c r="G502" s="151"/>
      <c r="H502" s="151"/>
    </row>
    <row r="503" hidden="1">
      <c r="A503" s="151"/>
      <c r="B503" s="151"/>
      <c r="C503" s="151"/>
      <c r="D503" s="151"/>
      <c r="E503" s="151"/>
      <c r="F503" s="151"/>
      <c r="G503" s="151"/>
      <c r="H503" s="151"/>
    </row>
    <row r="504" hidden="1">
      <c r="A504" s="151"/>
      <c r="B504" s="151"/>
      <c r="C504" s="151"/>
      <c r="D504" s="151"/>
      <c r="E504" s="151"/>
      <c r="F504" s="151"/>
      <c r="G504" s="151"/>
      <c r="H504" s="151"/>
    </row>
    <row r="505" hidden="1">
      <c r="A505" s="151"/>
      <c r="B505" s="151"/>
      <c r="C505" s="151"/>
      <c r="D505" s="151"/>
      <c r="E505" s="151"/>
      <c r="F505" s="151"/>
      <c r="G505" s="151"/>
      <c r="H505" s="151"/>
    </row>
    <row r="506" hidden="1">
      <c r="A506" s="151"/>
      <c r="B506" s="151"/>
      <c r="C506" s="151"/>
      <c r="D506" s="151"/>
      <c r="E506" s="151"/>
      <c r="F506" s="151"/>
      <c r="G506" s="151"/>
      <c r="H506" s="151"/>
    </row>
    <row r="507" hidden="1">
      <c r="A507" s="151"/>
      <c r="B507" s="151"/>
      <c r="C507" s="151"/>
      <c r="D507" s="151"/>
      <c r="E507" s="151"/>
      <c r="F507" s="151"/>
      <c r="G507" s="151"/>
      <c r="H507" s="151"/>
    </row>
    <row r="508" hidden="1">
      <c r="A508" s="151"/>
      <c r="B508" s="151"/>
      <c r="C508" s="151"/>
      <c r="D508" s="151"/>
      <c r="E508" s="151"/>
      <c r="F508" s="151"/>
      <c r="G508" s="151"/>
      <c r="H508" s="151"/>
    </row>
    <row r="509" hidden="1">
      <c r="A509" s="151"/>
      <c r="B509" s="151"/>
      <c r="C509" s="151"/>
      <c r="D509" s="151"/>
      <c r="E509" s="151"/>
      <c r="F509" s="151"/>
      <c r="G509" s="151"/>
      <c r="H509" s="151"/>
    </row>
    <row r="510" hidden="1">
      <c r="A510" s="151"/>
      <c r="B510" s="151"/>
      <c r="C510" s="151"/>
      <c r="D510" s="151"/>
      <c r="E510" s="151"/>
      <c r="F510" s="151"/>
      <c r="G510" s="151"/>
      <c r="H510" s="151"/>
    </row>
    <row r="511" hidden="1">
      <c r="A511" s="151"/>
      <c r="B511" s="151"/>
      <c r="C511" s="151"/>
      <c r="D511" s="151"/>
      <c r="E511" s="151"/>
      <c r="F511" s="151"/>
      <c r="G511" s="151"/>
      <c r="H511" s="151"/>
    </row>
    <row r="512" hidden="1">
      <c r="A512" s="151"/>
      <c r="B512" s="151"/>
      <c r="C512" s="151"/>
      <c r="D512" s="151"/>
      <c r="E512" s="151"/>
      <c r="F512" s="151"/>
      <c r="G512" s="151"/>
      <c r="H512" s="151"/>
    </row>
    <row r="513" hidden="1">
      <c r="A513" s="151"/>
      <c r="B513" s="151"/>
      <c r="C513" s="151"/>
      <c r="D513" s="151"/>
      <c r="E513" s="151"/>
      <c r="F513" s="151"/>
      <c r="G513" s="151"/>
      <c r="H513" s="151"/>
    </row>
    <row r="514" hidden="1">
      <c r="A514" s="151"/>
      <c r="B514" s="151"/>
      <c r="C514" s="151"/>
      <c r="D514" s="151"/>
      <c r="E514" s="151"/>
      <c r="F514" s="151"/>
      <c r="G514" s="151"/>
      <c r="H514" s="151"/>
    </row>
    <row r="515" hidden="1">
      <c r="A515" s="151"/>
      <c r="B515" s="151"/>
      <c r="C515" s="151"/>
      <c r="D515" s="151"/>
      <c r="E515" s="151"/>
      <c r="F515" s="151"/>
      <c r="G515" s="151"/>
      <c r="H515" s="151"/>
    </row>
    <row r="516" hidden="1">
      <c r="A516" s="151"/>
      <c r="B516" s="151"/>
      <c r="C516" s="151"/>
      <c r="D516" s="151"/>
      <c r="E516" s="151"/>
      <c r="F516" s="151"/>
      <c r="G516" s="151"/>
      <c r="H516" s="151"/>
    </row>
    <row r="517" hidden="1">
      <c r="A517" s="151"/>
      <c r="B517" s="151"/>
      <c r="C517" s="151"/>
      <c r="D517" s="151"/>
      <c r="E517" s="151"/>
      <c r="F517" s="151"/>
      <c r="G517" s="151"/>
      <c r="H517" s="151"/>
    </row>
    <row r="518" hidden="1">
      <c r="A518" s="151"/>
      <c r="B518" s="151"/>
      <c r="C518" s="151"/>
      <c r="D518" s="151"/>
      <c r="E518" s="151"/>
      <c r="F518" s="151"/>
      <c r="G518" s="151"/>
      <c r="H518" s="151"/>
    </row>
    <row r="519" hidden="1">
      <c r="A519" s="151"/>
      <c r="B519" s="151"/>
      <c r="C519" s="151"/>
      <c r="D519" s="151"/>
      <c r="E519" s="151"/>
      <c r="F519" s="151"/>
      <c r="G519" s="151"/>
      <c r="H519" s="151"/>
    </row>
    <row r="520" hidden="1">
      <c r="A520" s="151"/>
      <c r="B520" s="151"/>
      <c r="C520" s="151"/>
      <c r="D520" s="151"/>
      <c r="E520" s="151"/>
      <c r="F520" s="151"/>
      <c r="G520" s="151"/>
      <c r="H520" s="151"/>
    </row>
    <row r="521" hidden="1">
      <c r="A521" s="151"/>
      <c r="B521" s="151"/>
      <c r="C521" s="151"/>
      <c r="D521" s="151"/>
      <c r="E521" s="151"/>
      <c r="F521" s="151"/>
      <c r="G521" s="151"/>
      <c r="H521" s="151"/>
    </row>
    <row r="522" hidden="1">
      <c r="A522" s="151"/>
      <c r="B522" s="151"/>
      <c r="C522" s="151"/>
      <c r="D522" s="151"/>
      <c r="E522" s="151"/>
      <c r="F522" s="151"/>
      <c r="G522" s="151"/>
      <c r="H522" s="151"/>
    </row>
    <row r="523" hidden="1">
      <c r="A523" s="151"/>
      <c r="B523" s="151"/>
      <c r="C523" s="151"/>
      <c r="D523" s="151"/>
      <c r="E523" s="151"/>
      <c r="F523" s="151"/>
      <c r="G523" s="151"/>
      <c r="H523" s="151"/>
    </row>
    <row r="524" hidden="1">
      <c r="A524" s="151"/>
      <c r="B524" s="151"/>
      <c r="C524" s="151"/>
      <c r="D524" s="151"/>
      <c r="E524" s="151"/>
      <c r="F524" s="151"/>
      <c r="G524" s="151"/>
      <c r="H524" s="151"/>
    </row>
    <row r="525" hidden="1">
      <c r="A525" s="151"/>
      <c r="B525" s="151"/>
      <c r="C525" s="151"/>
      <c r="D525" s="151"/>
      <c r="E525" s="151"/>
      <c r="F525" s="151"/>
      <c r="G525" s="151"/>
      <c r="H525" s="151"/>
    </row>
    <row r="526" hidden="1">
      <c r="A526" s="151"/>
      <c r="B526" s="151"/>
      <c r="C526" s="151"/>
      <c r="D526" s="151"/>
      <c r="E526" s="151"/>
      <c r="F526" s="151"/>
      <c r="G526" s="151"/>
      <c r="H526" s="151"/>
    </row>
    <row r="527" hidden="1">
      <c r="A527" s="151"/>
      <c r="B527" s="151"/>
      <c r="C527" s="151"/>
      <c r="D527" s="151"/>
      <c r="E527" s="151"/>
      <c r="F527" s="151"/>
      <c r="G527" s="151"/>
      <c r="H527" s="151"/>
    </row>
    <row r="528" hidden="1">
      <c r="A528" s="151"/>
      <c r="B528" s="151"/>
      <c r="C528" s="151"/>
      <c r="D528" s="151"/>
      <c r="E528" s="151"/>
      <c r="F528" s="151"/>
      <c r="G528" s="151"/>
      <c r="H528" s="151"/>
    </row>
    <row r="529" hidden="1">
      <c r="A529" s="151"/>
      <c r="B529" s="151"/>
      <c r="C529" s="151"/>
      <c r="D529" s="151"/>
      <c r="E529" s="151"/>
      <c r="F529" s="151"/>
      <c r="G529" s="151"/>
      <c r="H529" s="151"/>
    </row>
    <row r="530" hidden="1">
      <c r="A530" s="151"/>
      <c r="B530" s="151"/>
      <c r="C530" s="151"/>
      <c r="D530" s="151"/>
      <c r="E530" s="151"/>
      <c r="F530" s="151"/>
      <c r="G530" s="151"/>
      <c r="H530" s="151"/>
    </row>
    <row r="531" hidden="1">
      <c r="A531" s="151"/>
      <c r="B531" s="151"/>
      <c r="C531" s="151"/>
      <c r="D531" s="151"/>
      <c r="E531" s="151"/>
      <c r="F531" s="151"/>
      <c r="G531" s="151"/>
      <c r="H531" s="151"/>
    </row>
    <row r="532" hidden="1">
      <c r="A532" s="151"/>
      <c r="B532" s="151"/>
      <c r="C532" s="151"/>
      <c r="D532" s="151"/>
      <c r="E532" s="151"/>
      <c r="F532" s="151"/>
      <c r="G532" s="151"/>
      <c r="H532" s="151"/>
    </row>
    <row r="533" hidden="1">
      <c r="A533" s="151"/>
      <c r="B533" s="151"/>
      <c r="C533" s="151"/>
      <c r="D533" s="151"/>
      <c r="E533" s="151"/>
      <c r="F533" s="151"/>
      <c r="G533" s="151"/>
      <c r="H533" s="151"/>
    </row>
    <row r="534" hidden="1">
      <c r="A534" s="151"/>
      <c r="B534" s="151"/>
      <c r="C534" s="151"/>
      <c r="D534" s="151"/>
      <c r="E534" s="151"/>
      <c r="F534" s="151"/>
      <c r="G534" s="151"/>
      <c r="H534" s="151"/>
    </row>
    <row r="535" hidden="1">
      <c r="A535" s="151"/>
      <c r="B535" s="151"/>
      <c r="C535" s="151"/>
      <c r="D535" s="151"/>
      <c r="E535" s="151"/>
      <c r="F535" s="151"/>
      <c r="G535" s="151"/>
      <c r="H535" s="151"/>
    </row>
    <row r="536" hidden="1">
      <c r="A536" s="151"/>
      <c r="B536" s="151"/>
      <c r="C536" s="151"/>
      <c r="D536" s="151"/>
      <c r="E536" s="151"/>
      <c r="F536" s="151"/>
      <c r="G536" s="151"/>
      <c r="H536" s="151"/>
    </row>
    <row r="537" hidden="1">
      <c r="A537" s="151"/>
      <c r="B537" s="151"/>
      <c r="C537" s="151"/>
      <c r="D537" s="151"/>
      <c r="E537" s="151"/>
      <c r="F537" s="151"/>
      <c r="G537" s="151"/>
      <c r="H537" s="151"/>
    </row>
    <row r="538" hidden="1">
      <c r="A538" s="151"/>
      <c r="B538" s="151"/>
      <c r="C538" s="151"/>
      <c r="D538" s="151"/>
      <c r="E538" s="151"/>
      <c r="F538" s="151"/>
      <c r="G538" s="151"/>
      <c r="H538" s="151"/>
    </row>
    <row r="539" hidden="1">
      <c r="A539" s="151"/>
      <c r="B539" s="151"/>
      <c r="C539" s="151"/>
      <c r="D539" s="151"/>
      <c r="E539" s="151"/>
      <c r="F539" s="151"/>
      <c r="G539" s="151"/>
      <c r="H539" s="151"/>
    </row>
    <row r="540" hidden="1">
      <c r="A540" s="151"/>
      <c r="B540" s="151"/>
      <c r="C540" s="151"/>
      <c r="D540" s="151"/>
      <c r="E540" s="151"/>
      <c r="F540" s="151"/>
      <c r="G540" s="151"/>
      <c r="H540" s="151"/>
    </row>
    <row r="541" hidden="1">
      <c r="A541" s="151"/>
      <c r="B541" s="151"/>
      <c r="C541" s="151"/>
      <c r="D541" s="151"/>
      <c r="E541" s="151"/>
      <c r="F541" s="151"/>
      <c r="G541" s="151"/>
      <c r="H541" s="151"/>
    </row>
    <row r="542" hidden="1">
      <c r="A542" s="151"/>
      <c r="B542" s="151"/>
      <c r="C542" s="151"/>
      <c r="D542" s="151"/>
      <c r="E542" s="151"/>
      <c r="F542" s="151"/>
      <c r="G542" s="151"/>
      <c r="H542" s="151"/>
    </row>
    <row r="543" hidden="1">
      <c r="A543" s="151"/>
      <c r="B543" s="151"/>
      <c r="C543" s="151"/>
      <c r="D543" s="151"/>
      <c r="E543" s="151"/>
      <c r="F543" s="151"/>
      <c r="G543" s="151"/>
      <c r="H543" s="151"/>
    </row>
    <row r="544" hidden="1">
      <c r="A544" s="151"/>
      <c r="B544" s="151"/>
      <c r="C544" s="151"/>
      <c r="D544" s="151"/>
      <c r="E544" s="151"/>
      <c r="F544" s="151"/>
      <c r="G544" s="151"/>
      <c r="H544" s="151"/>
    </row>
    <row r="545" hidden="1">
      <c r="A545" s="151"/>
      <c r="B545" s="151"/>
      <c r="C545" s="151"/>
      <c r="D545" s="151"/>
      <c r="E545" s="151"/>
      <c r="F545" s="151"/>
      <c r="G545" s="151"/>
      <c r="H545" s="151"/>
    </row>
    <row r="546" hidden="1">
      <c r="A546" s="151"/>
      <c r="B546" s="151"/>
      <c r="C546" s="151"/>
      <c r="D546" s="151"/>
      <c r="E546" s="151"/>
      <c r="F546" s="151"/>
      <c r="G546" s="151"/>
      <c r="H546" s="151"/>
    </row>
    <row r="547" hidden="1">
      <c r="A547" s="151"/>
      <c r="B547" s="151"/>
      <c r="C547" s="151"/>
      <c r="D547" s="151"/>
      <c r="E547" s="151"/>
      <c r="F547" s="151"/>
      <c r="G547" s="151"/>
      <c r="H547" s="151"/>
    </row>
    <row r="548" hidden="1">
      <c r="A548" s="151"/>
      <c r="B548" s="151"/>
      <c r="C548" s="151"/>
      <c r="D548" s="151"/>
      <c r="E548" s="151"/>
      <c r="F548" s="151"/>
      <c r="G548" s="151"/>
      <c r="H548" s="151"/>
    </row>
    <row r="549" hidden="1">
      <c r="A549" s="151"/>
      <c r="B549" s="151"/>
      <c r="C549" s="151"/>
      <c r="D549" s="151"/>
      <c r="E549" s="151"/>
      <c r="F549" s="151"/>
      <c r="G549" s="151"/>
      <c r="H549" s="151"/>
    </row>
    <row r="550" hidden="1">
      <c r="A550" s="151"/>
      <c r="B550" s="151"/>
      <c r="C550" s="151"/>
      <c r="D550" s="151"/>
      <c r="E550" s="151"/>
      <c r="F550" s="151"/>
      <c r="G550" s="151"/>
      <c r="H550" s="151"/>
    </row>
    <row r="551" hidden="1">
      <c r="A551" s="151"/>
      <c r="B551" s="151"/>
      <c r="C551" s="151"/>
      <c r="D551" s="151"/>
      <c r="E551" s="151"/>
      <c r="F551" s="151"/>
      <c r="G551" s="151"/>
      <c r="H551" s="151"/>
    </row>
    <row r="552" hidden="1">
      <c r="A552" s="151"/>
      <c r="B552" s="151"/>
      <c r="C552" s="151"/>
      <c r="D552" s="151"/>
      <c r="E552" s="151"/>
      <c r="F552" s="151"/>
      <c r="G552" s="151"/>
      <c r="H552" s="151"/>
    </row>
    <row r="553" hidden="1">
      <c r="A553" s="151"/>
      <c r="B553" s="151"/>
      <c r="C553" s="151"/>
      <c r="D553" s="151"/>
      <c r="E553" s="151"/>
      <c r="F553" s="151"/>
      <c r="G553" s="151"/>
      <c r="H553" s="151"/>
    </row>
    <row r="554" hidden="1">
      <c r="A554" s="151"/>
      <c r="B554" s="151"/>
      <c r="C554" s="151"/>
      <c r="D554" s="151"/>
      <c r="E554" s="151"/>
      <c r="F554" s="151"/>
      <c r="G554" s="151"/>
      <c r="H554" s="151"/>
    </row>
    <row r="555" hidden="1">
      <c r="A555" s="151"/>
      <c r="B555" s="151"/>
      <c r="C555" s="151"/>
      <c r="D555" s="151"/>
      <c r="E555" s="151"/>
      <c r="F555" s="151"/>
      <c r="G555" s="151"/>
      <c r="H555" s="151"/>
    </row>
    <row r="556" hidden="1">
      <c r="A556" s="151"/>
      <c r="B556" s="151"/>
      <c r="C556" s="151"/>
      <c r="D556" s="151"/>
      <c r="E556" s="151"/>
      <c r="F556" s="151"/>
      <c r="G556" s="151"/>
      <c r="H556" s="151"/>
    </row>
    <row r="557" hidden="1">
      <c r="A557" s="151"/>
      <c r="B557" s="151"/>
      <c r="C557" s="151"/>
      <c r="D557" s="151"/>
      <c r="E557" s="151"/>
      <c r="F557" s="151"/>
      <c r="G557" s="151"/>
      <c r="H557" s="151"/>
    </row>
    <row r="558" hidden="1">
      <c r="A558" s="151"/>
      <c r="B558" s="151"/>
      <c r="C558" s="151"/>
      <c r="D558" s="151"/>
      <c r="E558" s="151"/>
      <c r="F558" s="151"/>
      <c r="G558" s="151"/>
      <c r="H558" s="151"/>
    </row>
    <row r="559" hidden="1">
      <c r="A559" s="151"/>
      <c r="B559" s="151"/>
      <c r="C559" s="151"/>
      <c r="D559" s="151"/>
      <c r="E559" s="151"/>
      <c r="F559" s="151"/>
      <c r="G559" s="151"/>
      <c r="H559" s="151"/>
    </row>
    <row r="560" hidden="1">
      <c r="A560" s="151"/>
      <c r="B560" s="151"/>
      <c r="C560" s="151"/>
      <c r="D560" s="151"/>
      <c r="E560" s="151"/>
      <c r="F560" s="151"/>
      <c r="G560" s="151"/>
      <c r="H560" s="151"/>
    </row>
    <row r="561" hidden="1">
      <c r="A561" s="151"/>
      <c r="B561" s="151"/>
      <c r="C561" s="151"/>
      <c r="D561" s="151"/>
      <c r="E561" s="151"/>
      <c r="F561" s="151"/>
      <c r="G561" s="151"/>
      <c r="H561" s="151"/>
    </row>
    <row r="562" hidden="1">
      <c r="A562" s="151"/>
      <c r="B562" s="151"/>
      <c r="C562" s="151"/>
      <c r="D562" s="151"/>
      <c r="E562" s="151"/>
      <c r="F562" s="151"/>
      <c r="G562" s="151"/>
      <c r="H562" s="151"/>
    </row>
    <row r="563" hidden="1">
      <c r="A563" s="151"/>
      <c r="B563" s="151"/>
      <c r="C563" s="151"/>
      <c r="D563" s="151"/>
      <c r="E563" s="151"/>
      <c r="F563" s="151"/>
      <c r="G563" s="151"/>
      <c r="H563" s="151"/>
    </row>
    <row r="564" hidden="1">
      <c r="A564" s="151"/>
      <c r="B564" s="151"/>
      <c r="C564" s="151"/>
      <c r="D564" s="151"/>
      <c r="E564" s="151"/>
      <c r="F564" s="151"/>
      <c r="G564" s="151"/>
      <c r="H564" s="151"/>
    </row>
    <row r="565" hidden="1">
      <c r="A565" s="151"/>
      <c r="B565" s="151"/>
      <c r="C565" s="151"/>
      <c r="D565" s="151"/>
      <c r="E565" s="151"/>
      <c r="F565" s="151"/>
      <c r="G565" s="151"/>
      <c r="H565" s="151"/>
    </row>
    <row r="566" hidden="1">
      <c r="A566" s="151"/>
      <c r="B566" s="151"/>
      <c r="C566" s="151"/>
      <c r="D566" s="151"/>
      <c r="E566" s="151"/>
      <c r="F566" s="151"/>
      <c r="G566" s="151"/>
      <c r="H566" s="151"/>
    </row>
    <row r="567" hidden="1">
      <c r="A567" s="151"/>
      <c r="B567" s="151"/>
      <c r="C567" s="151"/>
      <c r="D567" s="151"/>
      <c r="E567" s="151"/>
      <c r="F567" s="151"/>
      <c r="G567" s="151"/>
      <c r="H567" s="151"/>
    </row>
    <row r="568" hidden="1">
      <c r="A568" s="151"/>
      <c r="B568" s="151"/>
      <c r="C568" s="151"/>
      <c r="D568" s="151"/>
      <c r="E568" s="151"/>
      <c r="F568" s="151"/>
      <c r="G568" s="151"/>
      <c r="H568" s="151"/>
    </row>
    <row r="569" hidden="1">
      <c r="A569" s="151"/>
      <c r="B569" s="151"/>
      <c r="C569" s="151"/>
      <c r="D569" s="151"/>
      <c r="E569" s="151"/>
      <c r="F569" s="151"/>
      <c r="G569" s="151"/>
      <c r="H569" s="151"/>
    </row>
    <row r="570" hidden="1">
      <c r="A570" s="151"/>
      <c r="B570" s="151"/>
      <c r="C570" s="151"/>
      <c r="D570" s="151"/>
      <c r="E570" s="151"/>
      <c r="F570" s="151"/>
      <c r="G570" s="151"/>
      <c r="H570" s="151"/>
    </row>
    <row r="571" hidden="1">
      <c r="A571" s="151"/>
      <c r="B571" s="151"/>
      <c r="C571" s="151"/>
      <c r="D571" s="151"/>
      <c r="E571" s="151"/>
      <c r="F571" s="151"/>
      <c r="G571" s="151"/>
      <c r="H571" s="151"/>
    </row>
    <row r="572" hidden="1">
      <c r="A572" s="151"/>
      <c r="B572" s="151"/>
      <c r="C572" s="151"/>
      <c r="D572" s="151"/>
      <c r="E572" s="151"/>
      <c r="F572" s="151"/>
      <c r="G572" s="151"/>
      <c r="H572" s="151"/>
    </row>
    <row r="573" hidden="1">
      <c r="A573" s="151"/>
      <c r="B573" s="151"/>
      <c r="C573" s="151"/>
      <c r="D573" s="151"/>
      <c r="E573" s="151"/>
      <c r="F573" s="151"/>
      <c r="G573" s="151"/>
      <c r="H573" s="151"/>
    </row>
    <row r="574" hidden="1">
      <c r="A574" s="151"/>
      <c r="B574" s="151"/>
      <c r="C574" s="151"/>
      <c r="D574" s="151"/>
      <c r="E574" s="151"/>
      <c r="F574" s="151"/>
      <c r="G574" s="151"/>
      <c r="H574" s="151"/>
    </row>
    <row r="575" hidden="1">
      <c r="A575" s="151"/>
      <c r="B575" s="151"/>
      <c r="C575" s="151"/>
      <c r="D575" s="151"/>
      <c r="E575" s="151"/>
      <c r="F575" s="151"/>
      <c r="G575" s="151"/>
      <c r="H575" s="151"/>
    </row>
    <row r="576" hidden="1">
      <c r="A576" s="151"/>
      <c r="B576" s="151"/>
      <c r="C576" s="151"/>
      <c r="D576" s="151"/>
      <c r="E576" s="151"/>
      <c r="F576" s="151"/>
      <c r="G576" s="151"/>
      <c r="H576" s="151"/>
    </row>
    <row r="577" hidden="1">
      <c r="A577" s="151"/>
      <c r="B577" s="151"/>
      <c r="C577" s="151"/>
      <c r="D577" s="151"/>
      <c r="E577" s="151"/>
      <c r="F577" s="151"/>
      <c r="G577" s="151"/>
      <c r="H577" s="151"/>
    </row>
    <row r="578" hidden="1">
      <c r="A578" s="151"/>
      <c r="B578" s="151"/>
      <c r="C578" s="151"/>
      <c r="D578" s="151"/>
      <c r="E578" s="151"/>
      <c r="F578" s="151"/>
      <c r="G578" s="151"/>
      <c r="H578" s="151"/>
    </row>
    <row r="579" hidden="1">
      <c r="A579" s="151"/>
      <c r="B579" s="151"/>
      <c r="C579" s="151"/>
      <c r="D579" s="151"/>
      <c r="E579" s="151"/>
      <c r="F579" s="151"/>
      <c r="G579" s="151"/>
      <c r="H579" s="151"/>
    </row>
    <row r="580" hidden="1">
      <c r="A580" s="151"/>
      <c r="B580" s="151"/>
      <c r="C580" s="151"/>
      <c r="D580" s="151"/>
      <c r="E580" s="151"/>
      <c r="F580" s="151"/>
      <c r="G580" s="151"/>
      <c r="H580" s="151"/>
    </row>
    <row r="581" hidden="1">
      <c r="A581" s="151"/>
      <c r="B581" s="151"/>
      <c r="C581" s="151"/>
      <c r="D581" s="151"/>
      <c r="E581" s="151"/>
      <c r="F581" s="151"/>
      <c r="G581" s="151"/>
      <c r="H581" s="151"/>
    </row>
    <row r="582" hidden="1">
      <c r="A582" s="151"/>
      <c r="B582" s="151"/>
      <c r="C582" s="151"/>
      <c r="D582" s="151"/>
      <c r="E582" s="151"/>
      <c r="F582" s="151"/>
      <c r="G582" s="151"/>
      <c r="H582" s="151"/>
    </row>
    <row r="583" hidden="1">
      <c r="A583" s="151"/>
      <c r="B583" s="151"/>
      <c r="C583" s="151"/>
      <c r="D583" s="151"/>
      <c r="E583" s="151"/>
      <c r="F583" s="151"/>
      <c r="G583" s="151"/>
      <c r="H583" s="151"/>
    </row>
    <row r="584" hidden="1">
      <c r="A584" s="151"/>
      <c r="B584" s="151"/>
      <c r="C584" s="151"/>
      <c r="D584" s="151"/>
      <c r="E584" s="151"/>
      <c r="F584" s="151"/>
      <c r="G584" s="151"/>
      <c r="H584" s="151"/>
    </row>
    <row r="585" hidden="1">
      <c r="A585" s="151"/>
      <c r="B585" s="151"/>
      <c r="C585" s="151"/>
      <c r="D585" s="151"/>
      <c r="E585" s="151"/>
      <c r="F585" s="151"/>
      <c r="G585" s="151"/>
      <c r="H585" s="151"/>
    </row>
    <row r="586" hidden="1">
      <c r="A586" s="151"/>
      <c r="B586" s="151"/>
      <c r="C586" s="151"/>
      <c r="D586" s="151"/>
      <c r="E586" s="151"/>
      <c r="F586" s="151"/>
      <c r="G586" s="151"/>
      <c r="H586" s="151"/>
    </row>
    <row r="587" hidden="1">
      <c r="A587" s="151"/>
      <c r="B587" s="151"/>
      <c r="C587" s="151"/>
      <c r="D587" s="151"/>
      <c r="E587" s="151"/>
      <c r="F587" s="151"/>
      <c r="G587" s="151"/>
      <c r="H587" s="151"/>
    </row>
    <row r="588" hidden="1">
      <c r="A588" s="151"/>
      <c r="B588" s="151"/>
      <c r="C588" s="151"/>
      <c r="D588" s="151"/>
      <c r="E588" s="151"/>
      <c r="F588" s="151"/>
      <c r="G588" s="151"/>
      <c r="H588" s="151"/>
    </row>
    <row r="589" hidden="1">
      <c r="A589" s="151"/>
      <c r="B589" s="151"/>
      <c r="C589" s="151"/>
      <c r="D589" s="151"/>
      <c r="E589" s="151"/>
      <c r="F589" s="151"/>
      <c r="G589" s="151"/>
      <c r="H589" s="151"/>
    </row>
    <row r="590" hidden="1">
      <c r="A590" s="151"/>
      <c r="B590" s="151"/>
      <c r="C590" s="151"/>
      <c r="D590" s="151"/>
      <c r="E590" s="151"/>
      <c r="F590" s="151"/>
      <c r="G590" s="151"/>
      <c r="H590" s="151"/>
    </row>
    <row r="591" hidden="1">
      <c r="A591" s="151"/>
      <c r="B591" s="151"/>
      <c r="C591" s="151"/>
      <c r="D591" s="151"/>
      <c r="E591" s="151"/>
      <c r="F591" s="151"/>
      <c r="G591" s="151"/>
      <c r="H591" s="151"/>
    </row>
    <row r="592" hidden="1">
      <c r="A592" s="151"/>
      <c r="B592" s="151"/>
      <c r="C592" s="151"/>
      <c r="D592" s="151"/>
      <c r="E592" s="151"/>
      <c r="F592" s="151"/>
      <c r="G592" s="151"/>
      <c r="H592" s="151"/>
    </row>
    <row r="593" hidden="1">
      <c r="A593" s="151"/>
      <c r="B593" s="151"/>
      <c r="C593" s="151"/>
      <c r="D593" s="151"/>
      <c r="E593" s="151"/>
      <c r="F593" s="151"/>
      <c r="G593" s="151"/>
      <c r="H593" s="151"/>
    </row>
    <row r="594" hidden="1">
      <c r="A594" s="151"/>
      <c r="B594" s="151"/>
      <c r="C594" s="151"/>
      <c r="D594" s="151"/>
      <c r="E594" s="151"/>
      <c r="F594" s="151"/>
      <c r="G594" s="151"/>
      <c r="H594" s="151"/>
    </row>
    <row r="595" hidden="1">
      <c r="A595" s="151"/>
      <c r="B595" s="151"/>
      <c r="C595" s="151"/>
      <c r="D595" s="151"/>
      <c r="E595" s="151"/>
      <c r="F595" s="151"/>
      <c r="G595" s="151"/>
      <c r="H595" s="151"/>
    </row>
    <row r="596" hidden="1">
      <c r="A596" s="151"/>
      <c r="B596" s="151"/>
      <c r="C596" s="151"/>
      <c r="D596" s="151"/>
      <c r="E596" s="151"/>
      <c r="F596" s="151"/>
      <c r="G596" s="151"/>
      <c r="H596" s="151"/>
    </row>
    <row r="597" hidden="1">
      <c r="A597" s="151"/>
      <c r="B597" s="151"/>
      <c r="C597" s="151"/>
      <c r="D597" s="151"/>
      <c r="E597" s="151"/>
      <c r="F597" s="151"/>
      <c r="G597" s="151"/>
      <c r="H597" s="151"/>
    </row>
    <row r="598" hidden="1">
      <c r="A598" s="151"/>
      <c r="B598" s="151"/>
      <c r="C598" s="151"/>
      <c r="D598" s="151"/>
      <c r="E598" s="151"/>
      <c r="F598" s="151"/>
      <c r="G598" s="151"/>
      <c r="H598" s="151"/>
    </row>
    <row r="599" hidden="1">
      <c r="A599" s="151"/>
      <c r="B599" s="151"/>
      <c r="C599" s="151"/>
      <c r="D599" s="151"/>
      <c r="E599" s="151"/>
      <c r="F599" s="151"/>
      <c r="G599" s="151"/>
      <c r="H599" s="151"/>
    </row>
    <row r="600" hidden="1">
      <c r="A600" s="151"/>
      <c r="B600" s="151"/>
      <c r="C600" s="151"/>
      <c r="D600" s="151"/>
      <c r="E600" s="151"/>
      <c r="F600" s="151"/>
      <c r="G600" s="151"/>
      <c r="H600" s="151"/>
    </row>
    <row r="601" hidden="1">
      <c r="A601" s="151"/>
      <c r="B601" s="151"/>
      <c r="C601" s="151"/>
      <c r="D601" s="151"/>
      <c r="E601" s="151"/>
      <c r="F601" s="151"/>
      <c r="G601" s="151"/>
      <c r="H601" s="151"/>
    </row>
    <row r="602" hidden="1">
      <c r="A602" s="151"/>
      <c r="B602" s="151"/>
      <c r="C602" s="151"/>
      <c r="D602" s="151"/>
      <c r="E602" s="151"/>
      <c r="F602" s="151"/>
      <c r="G602" s="151"/>
      <c r="H602" s="151"/>
    </row>
    <row r="603" hidden="1">
      <c r="A603" s="151"/>
      <c r="B603" s="151"/>
      <c r="C603" s="151"/>
      <c r="D603" s="151"/>
      <c r="E603" s="151"/>
      <c r="F603" s="151"/>
      <c r="G603" s="151"/>
      <c r="H603" s="151"/>
    </row>
    <row r="604" hidden="1">
      <c r="A604" s="151"/>
      <c r="B604" s="151"/>
      <c r="C604" s="151"/>
      <c r="D604" s="151"/>
      <c r="E604" s="151"/>
      <c r="F604" s="151"/>
      <c r="G604" s="151"/>
      <c r="H604" s="151"/>
    </row>
    <row r="605" hidden="1">
      <c r="A605" s="151"/>
      <c r="B605" s="151"/>
      <c r="C605" s="151"/>
      <c r="D605" s="151"/>
      <c r="E605" s="151"/>
      <c r="F605" s="151"/>
      <c r="G605" s="151"/>
      <c r="H605" s="151"/>
    </row>
    <row r="606" hidden="1">
      <c r="A606" s="151"/>
      <c r="B606" s="151"/>
      <c r="C606" s="151"/>
      <c r="D606" s="151"/>
      <c r="E606" s="151"/>
      <c r="F606" s="151"/>
      <c r="G606" s="151"/>
      <c r="H606" s="151"/>
    </row>
    <row r="607" hidden="1">
      <c r="A607" s="151"/>
      <c r="B607" s="151"/>
      <c r="C607" s="151"/>
      <c r="D607" s="151"/>
      <c r="E607" s="151"/>
      <c r="F607" s="151"/>
      <c r="G607" s="151"/>
      <c r="H607" s="151"/>
    </row>
    <row r="608" hidden="1">
      <c r="A608" s="151"/>
      <c r="B608" s="151"/>
      <c r="C608" s="151"/>
      <c r="D608" s="151"/>
      <c r="E608" s="151"/>
      <c r="F608" s="151"/>
      <c r="G608" s="151"/>
      <c r="H608" s="151"/>
    </row>
    <row r="609" hidden="1">
      <c r="A609" s="151"/>
      <c r="B609" s="151"/>
      <c r="C609" s="151"/>
      <c r="D609" s="151"/>
      <c r="E609" s="151"/>
      <c r="F609" s="151"/>
      <c r="G609" s="151"/>
      <c r="H609" s="151"/>
    </row>
    <row r="610" hidden="1">
      <c r="A610" s="151"/>
      <c r="B610" s="151"/>
      <c r="C610" s="151"/>
      <c r="D610" s="151"/>
      <c r="E610" s="151"/>
      <c r="F610" s="151"/>
      <c r="G610" s="151"/>
      <c r="H610" s="151"/>
    </row>
    <row r="611" hidden="1">
      <c r="A611" s="151"/>
      <c r="B611" s="151"/>
      <c r="C611" s="151"/>
      <c r="D611" s="151"/>
      <c r="E611" s="151"/>
      <c r="F611" s="151"/>
      <c r="G611" s="151"/>
      <c r="H611" s="151"/>
    </row>
    <row r="612" hidden="1">
      <c r="A612" s="151"/>
      <c r="B612" s="151"/>
      <c r="C612" s="151"/>
      <c r="D612" s="151"/>
      <c r="E612" s="151"/>
      <c r="F612" s="151"/>
      <c r="G612" s="151"/>
      <c r="H612" s="151"/>
    </row>
    <row r="613" hidden="1">
      <c r="A613" s="151"/>
      <c r="B613" s="151"/>
      <c r="C613" s="151"/>
      <c r="D613" s="151"/>
      <c r="E613" s="151"/>
      <c r="F613" s="151"/>
      <c r="G613" s="151"/>
      <c r="H613" s="151"/>
    </row>
    <row r="614" hidden="1">
      <c r="A614" s="151"/>
      <c r="B614" s="151"/>
      <c r="C614" s="151"/>
      <c r="D614" s="151"/>
      <c r="E614" s="151"/>
      <c r="F614" s="151"/>
      <c r="G614" s="151"/>
      <c r="H614" s="151"/>
    </row>
    <row r="615" hidden="1">
      <c r="A615" s="151"/>
      <c r="B615" s="151"/>
      <c r="C615" s="151"/>
      <c r="D615" s="151"/>
      <c r="E615" s="151"/>
      <c r="F615" s="151"/>
      <c r="G615" s="151"/>
      <c r="H615" s="151"/>
    </row>
    <row r="616" hidden="1">
      <c r="A616" s="151"/>
      <c r="B616" s="151"/>
      <c r="C616" s="151"/>
      <c r="D616" s="151"/>
      <c r="E616" s="151"/>
      <c r="F616" s="151"/>
      <c r="G616" s="151"/>
      <c r="H616" s="151"/>
    </row>
    <row r="617" hidden="1">
      <c r="A617" s="151"/>
      <c r="B617" s="151"/>
      <c r="C617" s="151"/>
      <c r="D617" s="151"/>
      <c r="E617" s="151"/>
      <c r="F617" s="151"/>
      <c r="G617" s="151"/>
      <c r="H617" s="151"/>
    </row>
    <row r="618" hidden="1">
      <c r="A618" s="151"/>
      <c r="B618" s="151"/>
      <c r="C618" s="151"/>
      <c r="D618" s="151"/>
      <c r="E618" s="151"/>
      <c r="F618" s="151"/>
      <c r="G618" s="151"/>
      <c r="H618" s="151"/>
    </row>
    <row r="619" hidden="1">
      <c r="A619" s="151"/>
      <c r="B619" s="151"/>
      <c r="C619" s="151"/>
      <c r="D619" s="151"/>
      <c r="E619" s="151"/>
      <c r="F619" s="151"/>
      <c r="G619" s="151"/>
      <c r="H619" s="151"/>
    </row>
    <row r="620" hidden="1">
      <c r="A620" s="151"/>
      <c r="B620" s="151"/>
      <c r="C620" s="151"/>
      <c r="D620" s="151"/>
      <c r="E620" s="151"/>
      <c r="F620" s="151"/>
      <c r="G620" s="151"/>
      <c r="H620" s="151"/>
    </row>
    <row r="621" hidden="1">
      <c r="A621" s="151"/>
      <c r="B621" s="151"/>
      <c r="C621" s="151"/>
      <c r="D621" s="151"/>
      <c r="E621" s="151"/>
      <c r="F621" s="151"/>
      <c r="G621" s="151"/>
      <c r="H621" s="151"/>
    </row>
    <row r="622" hidden="1">
      <c r="A622" s="151"/>
      <c r="B622" s="151"/>
      <c r="C622" s="151"/>
      <c r="D622" s="151"/>
      <c r="E622" s="151"/>
      <c r="F622" s="151"/>
      <c r="G622" s="151"/>
      <c r="H622" s="151"/>
    </row>
    <row r="623" hidden="1">
      <c r="A623" s="151"/>
      <c r="B623" s="151"/>
      <c r="C623" s="151"/>
      <c r="D623" s="151"/>
      <c r="E623" s="151"/>
      <c r="F623" s="151"/>
      <c r="G623" s="151"/>
      <c r="H623" s="151"/>
    </row>
    <row r="624" hidden="1">
      <c r="A624" s="151"/>
      <c r="B624" s="151"/>
      <c r="C624" s="151"/>
      <c r="D624" s="151"/>
      <c r="E624" s="151"/>
      <c r="F624" s="151"/>
      <c r="G624" s="151"/>
      <c r="H624" s="151"/>
    </row>
    <row r="625" hidden="1">
      <c r="A625" s="151"/>
      <c r="B625" s="151"/>
      <c r="C625" s="151"/>
      <c r="D625" s="151"/>
      <c r="E625" s="151"/>
      <c r="F625" s="151"/>
      <c r="G625" s="151"/>
      <c r="H625" s="151"/>
    </row>
    <row r="626" hidden="1">
      <c r="A626" s="151"/>
      <c r="B626" s="151"/>
      <c r="C626" s="151"/>
      <c r="D626" s="151"/>
      <c r="E626" s="151"/>
      <c r="F626" s="151"/>
      <c r="G626" s="151"/>
      <c r="H626" s="151"/>
    </row>
    <row r="627" hidden="1">
      <c r="A627" s="151"/>
      <c r="B627" s="151"/>
      <c r="C627" s="151"/>
      <c r="D627" s="151"/>
      <c r="E627" s="151"/>
      <c r="F627" s="151"/>
      <c r="G627" s="151"/>
      <c r="H627" s="151"/>
    </row>
    <row r="628" hidden="1">
      <c r="A628" s="151"/>
      <c r="B628" s="151"/>
      <c r="C628" s="151"/>
      <c r="D628" s="151"/>
      <c r="E628" s="151"/>
      <c r="F628" s="151"/>
      <c r="G628" s="151"/>
      <c r="H628" s="151"/>
    </row>
    <row r="629" hidden="1">
      <c r="A629" s="151"/>
      <c r="B629" s="151"/>
      <c r="C629" s="151"/>
      <c r="D629" s="151"/>
      <c r="E629" s="151"/>
      <c r="F629" s="151"/>
      <c r="G629" s="151"/>
      <c r="H629" s="151"/>
    </row>
    <row r="630" hidden="1">
      <c r="A630" s="151"/>
      <c r="B630" s="151"/>
      <c r="C630" s="151"/>
      <c r="D630" s="151"/>
      <c r="E630" s="151"/>
      <c r="F630" s="151"/>
      <c r="G630" s="151"/>
      <c r="H630" s="151"/>
    </row>
    <row r="631" hidden="1">
      <c r="A631" s="151"/>
      <c r="B631" s="151"/>
      <c r="C631" s="151"/>
      <c r="D631" s="151"/>
      <c r="E631" s="151"/>
      <c r="F631" s="151"/>
      <c r="G631" s="151"/>
      <c r="H631" s="151"/>
    </row>
    <row r="632" hidden="1">
      <c r="A632" s="151"/>
      <c r="B632" s="151"/>
      <c r="C632" s="151"/>
      <c r="D632" s="151"/>
      <c r="E632" s="151"/>
      <c r="F632" s="151"/>
      <c r="G632" s="151"/>
      <c r="H632" s="151"/>
    </row>
    <row r="633" hidden="1">
      <c r="A633" s="151"/>
      <c r="B633" s="151"/>
      <c r="C633" s="151"/>
      <c r="D633" s="151"/>
      <c r="E633" s="151"/>
      <c r="F633" s="151"/>
      <c r="G633" s="151"/>
      <c r="H633" s="151"/>
    </row>
    <row r="634" hidden="1">
      <c r="A634" s="151"/>
      <c r="B634" s="151"/>
      <c r="C634" s="151"/>
      <c r="D634" s="151"/>
      <c r="E634" s="151"/>
      <c r="F634" s="151"/>
      <c r="G634" s="151"/>
      <c r="H634" s="151"/>
    </row>
    <row r="635" hidden="1">
      <c r="A635" s="151"/>
      <c r="B635" s="151"/>
      <c r="C635" s="151"/>
      <c r="D635" s="151"/>
      <c r="E635" s="151"/>
      <c r="F635" s="151"/>
      <c r="G635" s="151"/>
      <c r="H635" s="151"/>
    </row>
    <row r="636" hidden="1">
      <c r="A636" s="151"/>
      <c r="B636" s="151"/>
      <c r="C636" s="151"/>
      <c r="D636" s="151"/>
      <c r="E636" s="151"/>
      <c r="F636" s="151"/>
      <c r="G636" s="151"/>
      <c r="H636" s="151"/>
    </row>
    <row r="637" hidden="1">
      <c r="A637" s="151"/>
      <c r="B637" s="151"/>
      <c r="C637" s="151"/>
      <c r="D637" s="151"/>
      <c r="E637" s="151"/>
      <c r="F637" s="151"/>
      <c r="G637" s="151"/>
      <c r="H637" s="151"/>
    </row>
    <row r="638" hidden="1">
      <c r="A638" s="151"/>
      <c r="B638" s="151"/>
      <c r="C638" s="151"/>
      <c r="D638" s="151"/>
      <c r="E638" s="151"/>
      <c r="F638" s="151"/>
      <c r="G638" s="151"/>
      <c r="H638" s="151"/>
    </row>
    <row r="639" hidden="1">
      <c r="A639" s="151"/>
      <c r="B639" s="151"/>
      <c r="C639" s="151"/>
      <c r="D639" s="151"/>
      <c r="E639" s="151"/>
      <c r="F639" s="151"/>
      <c r="G639" s="151"/>
      <c r="H639" s="151"/>
    </row>
    <row r="640" hidden="1">
      <c r="A640" s="151"/>
      <c r="B640" s="151"/>
      <c r="C640" s="151"/>
      <c r="D640" s="151"/>
      <c r="E640" s="151"/>
      <c r="F640" s="151"/>
      <c r="G640" s="151"/>
      <c r="H640" s="151"/>
    </row>
    <row r="641" hidden="1">
      <c r="A641" s="151"/>
      <c r="B641" s="151"/>
      <c r="C641" s="151"/>
      <c r="D641" s="151"/>
      <c r="E641" s="151"/>
      <c r="F641" s="151"/>
      <c r="G641" s="151"/>
      <c r="H641" s="151"/>
    </row>
    <row r="642" hidden="1">
      <c r="A642" s="151"/>
      <c r="B642" s="151"/>
      <c r="C642" s="151"/>
      <c r="D642" s="151"/>
      <c r="E642" s="151"/>
      <c r="F642" s="151"/>
      <c r="G642" s="151"/>
      <c r="H642" s="151"/>
    </row>
    <row r="643" hidden="1">
      <c r="A643" s="151"/>
      <c r="B643" s="151"/>
      <c r="C643" s="151"/>
      <c r="D643" s="151"/>
      <c r="E643" s="151"/>
      <c r="F643" s="151"/>
      <c r="G643" s="151"/>
      <c r="H643" s="151"/>
    </row>
    <row r="644" hidden="1">
      <c r="A644" s="151"/>
      <c r="B644" s="151"/>
      <c r="C644" s="151"/>
      <c r="D644" s="151"/>
      <c r="E644" s="151"/>
      <c r="F644" s="151"/>
      <c r="G644" s="151"/>
      <c r="H644" s="151"/>
    </row>
    <row r="645" hidden="1">
      <c r="A645" s="151"/>
      <c r="B645" s="151"/>
      <c r="C645" s="151"/>
      <c r="D645" s="151"/>
      <c r="E645" s="151"/>
      <c r="F645" s="151"/>
      <c r="G645" s="151"/>
      <c r="H645" s="151"/>
    </row>
    <row r="646" hidden="1">
      <c r="A646" s="151"/>
      <c r="B646" s="151"/>
      <c r="C646" s="151"/>
      <c r="D646" s="151"/>
      <c r="E646" s="151"/>
      <c r="F646" s="151"/>
      <c r="G646" s="151"/>
      <c r="H646" s="151"/>
    </row>
    <row r="647" hidden="1">
      <c r="A647" s="151"/>
      <c r="B647" s="151"/>
      <c r="C647" s="151"/>
      <c r="D647" s="151"/>
      <c r="E647" s="151"/>
      <c r="F647" s="151"/>
      <c r="G647" s="151"/>
      <c r="H647" s="151"/>
    </row>
    <row r="648" hidden="1">
      <c r="A648" s="151"/>
      <c r="B648" s="151"/>
      <c r="C648" s="151"/>
      <c r="D648" s="151"/>
      <c r="E648" s="151"/>
      <c r="F648" s="151"/>
      <c r="G648" s="151"/>
      <c r="H648" s="151"/>
    </row>
    <row r="649" hidden="1">
      <c r="A649" s="151"/>
      <c r="B649" s="151"/>
      <c r="C649" s="151"/>
      <c r="D649" s="151"/>
      <c r="E649" s="151"/>
      <c r="F649" s="151"/>
      <c r="G649" s="151"/>
      <c r="H649" s="151"/>
    </row>
    <row r="650" hidden="1">
      <c r="A650" s="151"/>
      <c r="B650" s="151"/>
      <c r="C650" s="151"/>
      <c r="D650" s="151"/>
      <c r="E650" s="151"/>
      <c r="F650" s="151"/>
      <c r="G650" s="151"/>
      <c r="H650" s="151"/>
    </row>
    <row r="651" hidden="1">
      <c r="A651" s="151"/>
      <c r="B651" s="151"/>
      <c r="C651" s="151"/>
      <c r="D651" s="151"/>
      <c r="E651" s="151"/>
      <c r="F651" s="151"/>
      <c r="G651" s="151"/>
      <c r="H651" s="151"/>
    </row>
    <row r="652" hidden="1">
      <c r="A652" s="151"/>
      <c r="B652" s="151"/>
      <c r="C652" s="151"/>
      <c r="D652" s="151"/>
      <c r="E652" s="151"/>
      <c r="F652" s="151"/>
      <c r="G652" s="151"/>
      <c r="H652" s="151"/>
    </row>
    <row r="653" hidden="1">
      <c r="A653" s="151"/>
      <c r="B653" s="151"/>
      <c r="C653" s="151"/>
      <c r="D653" s="151"/>
      <c r="E653" s="151"/>
      <c r="F653" s="151"/>
      <c r="G653" s="151"/>
      <c r="H653" s="151"/>
    </row>
    <row r="654" hidden="1">
      <c r="A654" s="151"/>
      <c r="B654" s="151"/>
      <c r="C654" s="151"/>
      <c r="D654" s="151"/>
      <c r="E654" s="151"/>
      <c r="F654" s="151"/>
      <c r="G654" s="151"/>
      <c r="H654" s="151"/>
    </row>
    <row r="655" hidden="1">
      <c r="A655" s="151"/>
      <c r="B655" s="151"/>
      <c r="C655" s="151"/>
      <c r="D655" s="151"/>
      <c r="E655" s="151"/>
      <c r="F655" s="151"/>
      <c r="G655" s="151"/>
      <c r="H655" s="151"/>
    </row>
    <row r="656" hidden="1">
      <c r="A656" s="151"/>
      <c r="B656" s="151"/>
      <c r="C656" s="151"/>
      <c r="D656" s="151"/>
      <c r="E656" s="151"/>
      <c r="F656" s="151"/>
      <c r="G656" s="151"/>
      <c r="H656" s="151"/>
    </row>
    <row r="657" hidden="1">
      <c r="A657" s="151"/>
      <c r="B657" s="151"/>
      <c r="C657" s="151"/>
      <c r="D657" s="151"/>
      <c r="E657" s="151"/>
      <c r="F657" s="151"/>
      <c r="G657" s="151"/>
      <c r="H657" s="151"/>
    </row>
    <row r="658" hidden="1">
      <c r="A658" s="151"/>
      <c r="B658" s="151"/>
      <c r="C658" s="151"/>
      <c r="D658" s="151"/>
      <c r="E658" s="151"/>
      <c r="F658" s="151"/>
      <c r="G658" s="151"/>
      <c r="H658" s="151"/>
    </row>
    <row r="659" hidden="1">
      <c r="A659" s="151"/>
      <c r="B659" s="151"/>
      <c r="C659" s="151"/>
      <c r="D659" s="151"/>
      <c r="E659" s="151"/>
      <c r="F659" s="151"/>
      <c r="G659" s="151"/>
      <c r="H659" s="151"/>
    </row>
    <row r="660" hidden="1">
      <c r="A660" s="151"/>
      <c r="B660" s="151"/>
      <c r="C660" s="151"/>
      <c r="D660" s="151"/>
      <c r="E660" s="151"/>
      <c r="F660" s="151"/>
      <c r="G660" s="151"/>
      <c r="H660" s="151"/>
    </row>
    <row r="661" hidden="1">
      <c r="A661" s="151"/>
      <c r="B661" s="151"/>
      <c r="C661" s="151"/>
      <c r="D661" s="151"/>
      <c r="E661" s="151"/>
      <c r="F661" s="151"/>
      <c r="G661" s="151"/>
      <c r="H661" s="151"/>
    </row>
    <row r="662" hidden="1">
      <c r="A662" s="151"/>
      <c r="B662" s="151"/>
      <c r="C662" s="151"/>
      <c r="D662" s="151"/>
      <c r="E662" s="151"/>
      <c r="F662" s="151"/>
      <c r="G662" s="151"/>
      <c r="H662" s="151"/>
    </row>
    <row r="663" hidden="1">
      <c r="A663" s="151"/>
      <c r="B663" s="151"/>
      <c r="C663" s="151"/>
      <c r="D663" s="151"/>
      <c r="E663" s="151"/>
      <c r="F663" s="151"/>
      <c r="G663" s="151"/>
      <c r="H663" s="151"/>
    </row>
    <row r="664" hidden="1">
      <c r="A664" s="151"/>
      <c r="B664" s="151"/>
      <c r="C664" s="151"/>
      <c r="D664" s="151"/>
      <c r="E664" s="151"/>
      <c r="F664" s="151"/>
      <c r="G664" s="151"/>
      <c r="H664" s="151"/>
    </row>
    <row r="665" hidden="1">
      <c r="A665" s="151"/>
      <c r="B665" s="151"/>
      <c r="C665" s="151"/>
      <c r="D665" s="151"/>
      <c r="E665" s="151"/>
      <c r="F665" s="151"/>
      <c r="G665" s="151"/>
      <c r="H665" s="151"/>
    </row>
    <row r="666" hidden="1">
      <c r="A666" s="151"/>
      <c r="B666" s="151"/>
      <c r="C666" s="151"/>
      <c r="D666" s="151"/>
      <c r="E666" s="151"/>
      <c r="F666" s="151"/>
      <c r="G666" s="151"/>
      <c r="H666" s="151"/>
    </row>
    <row r="667" hidden="1">
      <c r="A667" s="151"/>
      <c r="B667" s="151"/>
      <c r="C667" s="151"/>
      <c r="D667" s="151"/>
      <c r="E667" s="151"/>
      <c r="F667" s="151"/>
      <c r="G667" s="151"/>
      <c r="H667" s="151"/>
    </row>
    <row r="668" hidden="1">
      <c r="A668" s="151"/>
      <c r="B668" s="151"/>
      <c r="C668" s="151"/>
      <c r="D668" s="151"/>
      <c r="E668" s="151"/>
      <c r="F668" s="151"/>
      <c r="G668" s="151"/>
      <c r="H668" s="151"/>
    </row>
    <row r="669" hidden="1">
      <c r="A669" s="151"/>
      <c r="B669" s="151"/>
      <c r="C669" s="151"/>
      <c r="D669" s="151"/>
      <c r="E669" s="151"/>
      <c r="F669" s="151"/>
      <c r="G669" s="151"/>
      <c r="H669" s="151"/>
    </row>
    <row r="670" hidden="1">
      <c r="A670" s="151"/>
      <c r="B670" s="151"/>
      <c r="C670" s="151"/>
      <c r="D670" s="151"/>
      <c r="E670" s="151"/>
      <c r="F670" s="151"/>
      <c r="G670" s="151"/>
      <c r="H670" s="151"/>
    </row>
    <row r="671" hidden="1">
      <c r="A671" s="151"/>
      <c r="B671" s="151"/>
      <c r="C671" s="151"/>
      <c r="D671" s="151"/>
      <c r="E671" s="151"/>
      <c r="F671" s="151"/>
      <c r="G671" s="151"/>
      <c r="H671" s="151"/>
    </row>
    <row r="672" hidden="1">
      <c r="A672" s="151"/>
      <c r="B672" s="151"/>
      <c r="C672" s="151"/>
      <c r="D672" s="151"/>
      <c r="E672" s="151"/>
      <c r="F672" s="151"/>
      <c r="G672" s="151"/>
      <c r="H672" s="151"/>
    </row>
    <row r="673" hidden="1">
      <c r="A673" s="151"/>
      <c r="B673" s="151"/>
      <c r="C673" s="151"/>
      <c r="D673" s="151"/>
      <c r="E673" s="151"/>
      <c r="F673" s="151"/>
      <c r="G673" s="151"/>
      <c r="H673" s="151"/>
    </row>
    <row r="674" hidden="1">
      <c r="A674" s="151"/>
      <c r="B674" s="151"/>
      <c r="C674" s="151"/>
      <c r="D674" s="151"/>
      <c r="E674" s="151"/>
      <c r="F674" s="151"/>
      <c r="G674" s="151"/>
      <c r="H674" s="151"/>
    </row>
    <row r="675" hidden="1">
      <c r="A675" s="151"/>
      <c r="B675" s="151"/>
      <c r="C675" s="151"/>
      <c r="D675" s="151"/>
      <c r="E675" s="151"/>
      <c r="F675" s="151"/>
      <c r="G675" s="151"/>
      <c r="H675" s="151"/>
    </row>
    <row r="676" hidden="1">
      <c r="A676" s="151"/>
      <c r="B676" s="151"/>
      <c r="C676" s="151"/>
      <c r="D676" s="151"/>
      <c r="E676" s="151"/>
      <c r="F676" s="151"/>
      <c r="G676" s="151"/>
      <c r="H676" s="151"/>
    </row>
    <row r="677" hidden="1">
      <c r="A677" s="151"/>
      <c r="B677" s="151"/>
      <c r="C677" s="151"/>
      <c r="D677" s="151"/>
      <c r="E677" s="151"/>
      <c r="F677" s="151"/>
      <c r="G677" s="151"/>
      <c r="H677" s="151"/>
    </row>
    <row r="678" hidden="1">
      <c r="A678" s="151"/>
      <c r="B678" s="151"/>
      <c r="C678" s="151"/>
      <c r="D678" s="151"/>
      <c r="E678" s="151"/>
      <c r="F678" s="151"/>
      <c r="G678" s="151"/>
      <c r="H678" s="151"/>
    </row>
    <row r="679" hidden="1">
      <c r="A679" s="151"/>
      <c r="B679" s="151"/>
      <c r="C679" s="151"/>
      <c r="D679" s="151"/>
      <c r="E679" s="151"/>
      <c r="F679" s="151"/>
      <c r="G679" s="151"/>
      <c r="H679" s="151"/>
    </row>
    <row r="680" hidden="1">
      <c r="A680" s="151"/>
      <c r="B680" s="151"/>
      <c r="C680" s="151"/>
      <c r="D680" s="151"/>
      <c r="E680" s="151"/>
      <c r="F680" s="151"/>
      <c r="G680" s="151"/>
      <c r="H680" s="151"/>
    </row>
    <row r="681" hidden="1">
      <c r="A681" s="151"/>
      <c r="B681" s="151"/>
      <c r="C681" s="151"/>
      <c r="D681" s="151"/>
      <c r="E681" s="151"/>
      <c r="F681" s="151"/>
      <c r="G681" s="151"/>
      <c r="H681" s="151"/>
    </row>
    <row r="682" hidden="1">
      <c r="A682" s="151"/>
      <c r="B682" s="151"/>
      <c r="C682" s="151"/>
      <c r="D682" s="151"/>
      <c r="E682" s="151"/>
      <c r="F682" s="151"/>
      <c r="G682" s="151"/>
      <c r="H682" s="151"/>
    </row>
    <row r="683" hidden="1">
      <c r="A683" s="151"/>
      <c r="B683" s="151"/>
      <c r="C683" s="151"/>
      <c r="D683" s="151"/>
      <c r="E683" s="151"/>
      <c r="F683" s="151"/>
      <c r="G683" s="151"/>
      <c r="H683" s="151"/>
    </row>
    <row r="684" hidden="1">
      <c r="A684" s="151"/>
      <c r="B684" s="151"/>
      <c r="C684" s="151"/>
      <c r="D684" s="151"/>
      <c r="E684" s="151"/>
      <c r="F684" s="151"/>
      <c r="G684" s="151"/>
      <c r="H684" s="151"/>
    </row>
    <row r="685" hidden="1">
      <c r="A685" s="151"/>
      <c r="B685" s="151"/>
      <c r="C685" s="151"/>
      <c r="D685" s="151"/>
      <c r="E685" s="151"/>
      <c r="F685" s="151"/>
      <c r="G685" s="151"/>
      <c r="H685" s="151"/>
    </row>
    <row r="686" hidden="1">
      <c r="A686" s="151"/>
      <c r="B686" s="151"/>
      <c r="C686" s="151"/>
      <c r="D686" s="151"/>
      <c r="E686" s="151"/>
      <c r="F686" s="151"/>
      <c r="G686" s="151"/>
      <c r="H686" s="151"/>
    </row>
    <row r="687" hidden="1">
      <c r="A687" s="151"/>
      <c r="B687" s="151"/>
      <c r="C687" s="151"/>
      <c r="D687" s="151"/>
      <c r="E687" s="151"/>
      <c r="F687" s="151"/>
      <c r="G687" s="151"/>
      <c r="H687" s="151"/>
    </row>
    <row r="688" hidden="1">
      <c r="A688" s="151"/>
      <c r="B688" s="151"/>
      <c r="C688" s="151"/>
      <c r="D688" s="151"/>
      <c r="E688" s="151"/>
      <c r="F688" s="151"/>
      <c r="G688" s="151"/>
      <c r="H688" s="151"/>
    </row>
    <row r="689" hidden="1">
      <c r="A689" s="151"/>
      <c r="B689" s="151"/>
      <c r="C689" s="151"/>
      <c r="D689" s="151"/>
      <c r="E689" s="151"/>
      <c r="F689" s="151"/>
      <c r="G689" s="151"/>
      <c r="H689" s="151"/>
    </row>
    <row r="690" hidden="1">
      <c r="A690" s="151"/>
      <c r="B690" s="151"/>
      <c r="C690" s="151"/>
      <c r="D690" s="151"/>
      <c r="E690" s="151"/>
      <c r="F690" s="151"/>
      <c r="G690" s="151"/>
      <c r="H690" s="151"/>
    </row>
    <row r="691" hidden="1">
      <c r="A691" s="151"/>
      <c r="B691" s="151"/>
      <c r="C691" s="151"/>
      <c r="D691" s="151"/>
      <c r="E691" s="151"/>
      <c r="F691" s="151"/>
      <c r="G691" s="151"/>
      <c r="H691" s="151"/>
    </row>
    <row r="692" hidden="1">
      <c r="A692" s="151"/>
      <c r="B692" s="151"/>
      <c r="C692" s="151"/>
      <c r="D692" s="151"/>
      <c r="E692" s="151"/>
      <c r="F692" s="151"/>
      <c r="G692" s="151"/>
      <c r="H692" s="151"/>
    </row>
    <row r="693" hidden="1">
      <c r="A693" s="151"/>
      <c r="B693" s="151"/>
      <c r="C693" s="151"/>
      <c r="D693" s="151"/>
      <c r="E693" s="151"/>
      <c r="F693" s="151"/>
      <c r="G693" s="151"/>
      <c r="H693" s="151"/>
    </row>
    <row r="694" hidden="1">
      <c r="A694" s="151"/>
      <c r="B694" s="151"/>
      <c r="C694" s="151"/>
      <c r="D694" s="151"/>
      <c r="E694" s="151"/>
      <c r="F694" s="151"/>
      <c r="G694" s="151"/>
      <c r="H694" s="151"/>
    </row>
    <row r="695" hidden="1">
      <c r="A695" s="151"/>
      <c r="B695" s="151"/>
      <c r="C695" s="151"/>
      <c r="D695" s="151"/>
      <c r="E695" s="151"/>
      <c r="F695" s="151"/>
      <c r="G695" s="151"/>
      <c r="H695" s="151"/>
    </row>
    <row r="696" hidden="1">
      <c r="A696" s="151"/>
      <c r="B696" s="151"/>
      <c r="C696" s="151"/>
      <c r="D696" s="151"/>
      <c r="E696" s="151"/>
      <c r="F696" s="151"/>
      <c r="G696" s="151"/>
      <c r="H696" s="151"/>
    </row>
    <row r="697" hidden="1">
      <c r="A697" s="151"/>
      <c r="B697" s="151"/>
      <c r="C697" s="151"/>
      <c r="D697" s="151"/>
      <c r="E697" s="151"/>
      <c r="F697" s="151"/>
      <c r="G697" s="151"/>
      <c r="H697" s="151"/>
    </row>
    <row r="698" hidden="1">
      <c r="A698" s="151"/>
      <c r="B698" s="151"/>
      <c r="C698" s="151"/>
      <c r="D698" s="151"/>
      <c r="E698" s="151"/>
      <c r="F698" s="151"/>
      <c r="G698" s="151"/>
      <c r="H698" s="151"/>
    </row>
    <row r="699" hidden="1">
      <c r="A699" s="151"/>
      <c r="B699" s="151"/>
      <c r="C699" s="151"/>
      <c r="D699" s="151"/>
      <c r="E699" s="151"/>
      <c r="F699" s="151"/>
      <c r="G699" s="151"/>
      <c r="H699" s="151"/>
    </row>
    <row r="700" hidden="1">
      <c r="A700" s="151"/>
      <c r="B700" s="151"/>
      <c r="C700" s="151"/>
      <c r="D700" s="151"/>
      <c r="E700" s="151"/>
      <c r="F700" s="151"/>
      <c r="G700" s="151"/>
      <c r="H700" s="151"/>
    </row>
    <row r="701" hidden="1">
      <c r="A701" s="151"/>
      <c r="B701" s="151"/>
      <c r="C701" s="151"/>
      <c r="D701" s="151"/>
      <c r="E701" s="151"/>
      <c r="F701" s="151"/>
      <c r="G701" s="151"/>
      <c r="H701" s="151"/>
    </row>
    <row r="702" hidden="1">
      <c r="A702" s="151"/>
      <c r="B702" s="151"/>
      <c r="C702" s="151"/>
      <c r="D702" s="151"/>
      <c r="E702" s="151"/>
      <c r="F702" s="151"/>
      <c r="G702" s="151"/>
      <c r="H702" s="151"/>
    </row>
    <row r="703" hidden="1">
      <c r="A703" s="151"/>
      <c r="B703" s="151"/>
      <c r="C703" s="151"/>
      <c r="D703" s="151"/>
      <c r="E703" s="151"/>
      <c r="F703" s="151"/>
      <c r="G703" s="151"/>
      <c r="H703" s="151"/>
    </row>
    <row r="704" hidden="1">
      <c r="A704" s="151"/>
      <c r="B704" s="151"/>
      <c r="C704" s="151"/>
      <c r="D704" s="151"/>
      <c r="E704" s="151"/>
      <c r="F704" s="151"/>
      <c r="G704" s="151"/>
      <c r="H704" s="151"/>
    </row>
    <row r="705" hidden="1">
      <c r="A705" s="151"/>
      <c r="B705" s="151"/>
      <c r="C705" s="151"/>
      <c r="D705" s="151"/>
      <c r="E705" s="151"/>
      <c r="F705" s="151"/>
      <c r="G705" s="151"/>
      <c r="H705" s="151"/>
    </row>
    <row r="706" hidden="1">
      <c r="A706" s="151"/>
      <c r="B706" s="151"/>
      <c r="C706" s="151"/>
      <c r="D706" s="151"/>
      <c r="E706" s="151"/>
      <c r="F706" s="151"/>
      <c r="G706" s="151"/>
      <c r="H706" s="151"/>
    </row>
    <row r="707" hidden="1">
      <c r="A707" s="151"/>
      <c r="B707" s="151"/>
      <c r="C707" s="151"/>
      <c r="D707" s="151"/>
      <c r="E707" s="151"/>
      <c r="F707" s="151"/>
      <c r="G707" s="151"/>
      <c r="H707" s="151"/>
    </row>
    <row r="708" hidden="1">
      <c r="A708" s="151"/>
      <c r="B708" s="151"/>
      <c r="C708" s="151"/>
      <c r="D708" s="151"/>
      <c r="E708" s="151"/>
      <c r="F708" s="151"/>
      <c r="G708" s="151"/>
      <c r="H708" s="151"/>
    </row>
    <row r="709" hidden="1">
      <c r="A709" s="151"/>
      <c r="B709" s="151"/>
      <c r="C709" s="151"/>
      <c r="D709" s="151"/>
      <c r="E709" s="151"/>
      <c r="F709" s="151"/>
      <c r="G709" s="151"/>
      <c r="H709" s="151"/>
    </row>
    <row r="710" hidden="1">
      <c r="A710" s="151"/>
      <c r="B710" s="151"/>
      <c r="C710" s="151"/>
      <c r="D710" s="151"/>
      <c r="E710" s="151"/>
      <c r="F710" s="151"/>
      <c r="G710" s="151"/>
      <c r="H710" s="151"/>
    </row>
    <row r="711" hidden="1">
      <c r="A711" s="151"/>
      <c r="B711" s="151"/>
      <c r="C711" s="151"/>
      <c r="D711" s="151"/>
      <c r="E711" s="151"/>
      <c r="F711" s="151"/>
      <c r="G711" s="151"/>
      <c r="H711" s="151"/>
    </row>
    <row r="712" hidden="1">
      <c r="A712" s="151"/>
      <c r="B712" s="151"/>
      <c r="C712" s="151"/>
      <c r="D712" s="151"/>
      <c r="E712" s="151"/>
      <c r="F712" s="151"/>
      <c r="G712" s="151"/>
      <c r="H712" s="151"/>
    </row>
    <row r="713" hidden="1">
      <c r="A713" s="151"/>
      <c r="B713" s="151"/>
      <c r="C713" s="151"/>
      <c r="D713" s="151"/>
      <c r="E713" s="151"/>
      <c r="F713" s="151"/>
      <c r="G713" s="151"/>
      <c r="H713" s="151"/>
    </row>
    <row r="714" hidden="1">
      <c r="A714" s="151"/>
      <c r="B714" s="151"/>
      <c r="C714" s="151"/>
      <c r="D714" s="151"/>
      <c r="E714" s="151"/>
      <c r="F714" s="151"/>
      <c r="G714" s="151"/>
      <c r="H714" s="151"/>
    </row>
    <row r="715" hidden="1">
      <c r="A715" s="151"/>
      <c r="B715" s="151"/>
      <c r="C715" s="151"/>
      <c r="D715" s="151"/>
      <c r="E715" s="151"/>
      <c r="F715" s="151"/>
      <c r="G715" s="151"/>
      <c r="H715" s="151"/>
    </row>
    <row r="716" hidden="1">
      <c r="A716" s="151"/>
      <c r="B716" s="151"/>
      <c r="C716" s="151"/>
      <c r="D716" s="151"/>
      <c r="E716" s="151"/>
      <c r="F716" s="151"/>
      <c r="G716" s="151"/>
      <c r="H716" s="151"/>
    </row>
    <row r="717" hidden="1">
      <c r="A717" s="151"/>
      <c r="B717" s="151"/>
      <c r="C717" s="151"/>
      <c r="D717" s="151"/>
      <c r="E717" s="151"/>
      <c r="F717" s="151"/>
      <c r="G717" s="151"/>
      <c r="H717" s="151"/>
    </row>
    <row r="718" hidden="1">
      <c r="A718" s="151"/>
      <c r="B718" s="151"/>
      <c r="C718" s="151"/>
      <c r="D718" s="151"/>
      <c r="E718" s="151"/>
      <c r="F718" s="151"/>
      <c r="G718" s="151"/>
      <c r="H718" s="151"/>
    </row>
    <row r="719" hidden="1">
      <c r="A719" s="151"/>
      <c r="B719" s="151"/>
      <c r="C719" s="151"/>
      <c r="D719" s="151"/>
      <c r="E719" s="151"/>
      <c r="F719" s="151"/>
      <c r="G719" s="151"/>
      <c r="H719" s="151"/>
    </row>
    <row r="720" hidden="1">
      <c r="A720" s="151"/>
      <c r="B720" s="151"/>
      <c r="C720" s="151"/>
      <c r="D720" s="151"/>
      <c r="E720" s="151"/>
      <c r="F720" s="151"/>
      <c r="G720" s="151"/>
      <c r="H720" s="151"/>
    </row>
    <row r="721" hidden="1">
      <c r="A721" s="151"/>
      <c r="B721" s="151"/>
      <c r="C721" s="151"/>
      <c r="D721" s="151"/>
      <c r="E721" s="151"/>
      <c r="F721" s="151"/>
      <c r="G721" s="151"/>
      <c r="H721" s="151"/>
    </row>
    <row r="722" hidden="1">
      <c r="A722" s="151"/>
      <c r="B722" s="151"/>
      <c r="C722" s="151"/>
      <c r="D722" s="151"/>
      <c r="E722" s="151"/>
      <c r="F722" s="151"/>
      <c r="G722" s="151"/>
      <c r="H722" s="151"/>
    </row>
    <row r="723" hidden="1">
      <c r="A723" s="151"/>
      <c r="B723" s="151"/>
      <c r="C723" s="151"/>
      <c r="D723" s="151"/>
      <c r="E723" s="151"/>
      <c r="F723" s="151"/>
      <c r="G723" s="151"/>
      <c r="H723" s="151"/>
    </row>
    <row r="724" hidden="1">
      <c r="A724" s="151"/>
      <c r="B724" s="151"/>
      <c r="C724" s="151"/>
      <c r="D724" s="151"/>
      <c r="E724" s="151"/>
      <c r="F724" s="151"/>
      <c r="G724" s="151"/>
      <c r="H724" s="151"/>
    </row>
    <row r="725" hidden="1">
      <c r="A725" s="151"/>
      <c r="B725" s="151"/>
      <c r="C725" s="151"/>
      <c r="D725" s="151"/>
      <c r="E725" s="151"/>
      <c r="F725" s="151"/>
      <c r="G725" s="151"/>
      <c r="H725" s="151"/>
    </row>
    <row r="726" hidden="1">
      <c r="A726" s="151"/>
      <c r="B726" s="151"/>
      <c r="C726" s="151"/>
      <c r="D726" s="151"/>
      <c r="E726" s="151"/>
      <c r="F726" s="151"/>
      <c r="G726" s="151"/>
      <c r="H726" s="151"/>
    </row>
    <row r="727" hidden="1">
      <c r="A727" s="151"/>
      <c r="B727" s="151"/>
      <c r="C727" s="151"/>
      <c r="D727" s="151"/>
      <c r="E727" s="151"/>
      <c r="F727" s="151"/>
      <c r="G727" s="151"/>
      <c r="H727" s="151"/>
    </row>
    <row r="728" hidden="1">
      <c r="A728" s="151"/>
      <c r="B728" s="151"/>
      <c r="C728" s="151"/>
      <c r="D728" s="151"/>
      <c r="E728" s="151"/>
      <c r="F728" s="151"/>
      <c r="G728" s="151"/>
      <c r="H728" s="151"/>
    </row>
    <row r="729" hidden="1">
      <c r="A729" s="151"/>
      <c r="B729" s="151"/>
      <c r="C729" s="151"/>
      <c r="D729" s="151"/>
      <c r="E729" s="151"/>
      <c r="F729" s="151"/>
      <c r="G729" s="151"/>
      <c r="H729" s="151"/>
    </row>
    <row r="730" hidden="1">
      <c r="A730" s="151"/>
      <c r="B730" s="151"/>
      <c r="C730" s="151"/>
      <c r="D730" s="151"/>
      <c r="E730" s="151"/>
      <c r="F730" s="151"/>
      <c r="G730" s="151"/>
      <c r="H730" s="151"/>
    </row>
    <row r="731" hidden="1">
      <c r="A731" s="151"/>
      <c r="B731" s="151"/>
      <c r="C731" s="151"/>
      <c r="D731" s="151"/>
      <c r="E731" s="151"/>
      <c r="F731" s="151"/>
      <c r="G731" s="151"/>
      <c r="H731" s="151"/>
    </row>
    <row r="732" hidden="1">
      <c r="A732" s="151"/>
      <c r="B732" s="151"/>
      <c r="C732" s="151"/>
      <c r="D732" s="151"/>
      <c r="E732" s="151"/>
      <c r="F732" s="151"/>
      <c r="G732" s="151"/>
      <c r="H732" s="151"/>
    </row>
    <row r="733" hidden="1">
      <c r="A733" s="151"/>
      <c r="B733" s="151"/>
      <c r="C733" s="151"/>
      <c r="D733" s="151"/>
      <c r="E733" s="151"/>
      <c r="F733" s="151"/>
      <c r="G733" s="151"/>
      <c r="H733" s="151"/>
    </row>
    <row r="734" hidden="1">
      <c r="A734" s="151"/>
      <c r="B734" s="151"/>
      <c r="C734" s="151"/>
      <c r="D734" s="151"/>
      <c r="E734" s="151"/>
      <c r="F734" s="151"/>
      <c r="G734" s="151"/>
      <c r="H734" s="151"/>
    </row>
    <row r="735" hidden="1">
      <c r="A735" s="151"/>
      <c r="B735" s="151"/>
      <c r="C735" s="151"/>
      <c r="D735" s="151"/>
      <c r="E735" s="151"/>
      <c r="F735" s="151"/>
      <c r="G735" s="151"/>
      <c r="H735" s="151"/>
    </row>
    <row r="736" hidden="1">
      <c r="A736" s="151"/>
      <c r="B736" s="151"/>
      <c r="C736" s="151"/>
      <c r="D736" s="151"/>
      <c r="E736" s="151"/>
      <c r="F736" s="151"/>
      <c r="G736" s="151"/>
      <c r="H736" s="151"/>
    </row>
    <row r="737" hidden="1">
      <c r="A737" s="151"/>
      <c r="B737" s="151"/>
      <c r="C737" s="151"/>
      <c r="D737" s="151"/>
      <c r="E737" s="151"/>
      <c r="F737" s="151"/>
      <c r="G737" s="151"/>
      <c r="H737" s="151"/>
    </row>
    <row r="738" hidden="1">
      <c r="A738" s="151"/>
      <c r="B738" s="151"/>
      <c r="C738" s="151"/>
      <c r="D738" s="151"/>
      <c r="E738" s="151"/>
      <c r="F738" s="151"/>
      <c r="G738" s="151"/>
      <c r="H738" s="151"/>
    </row>
    <row r="739" hidden="1">
      <c r="A739" s="151"/>
      <c r="B739" s="151"/>
      <c r="C739" s="151"/>
      <c r="D739" s="151"/>
      <c r="E739" s="151"/>
      <c r="F739" s="151"/>
      <c r="G739" s="151"/>
      <c r="H739" s="151"/>
    </row>
    <row r="740" hidden="1">
      <c r="A740" s="151"/>
      <c r="B740" s="151"/>
      <c r="C740" s="151"/>
      <c r="D740" s="151"/>
      <c r="E740" s="151"/>
      <c r="F740" s="151"/>
      <c r="G740" s="151"/>
      <c r="H740" s="151"/>
    </row>
    <row r="741" hidden="1">
      <c r="A741" s="151"/>
      <c r="B741" s="151"/>
      <c r="C741" s="151"/>
      <c r="D741" s="151"/>
      <c r="E741" s="151"/>
      <c r="F741" s="151"/>
      <c r="G741" s="151"/>
      <c r="H741" s="151"/>
    </row>
    <row r="742" hidden="1">
      <c r="A742" s="151"/>
      <c r="B742" s="151"/>
      <c r="C742" s="151"/>
      <c r="D742" s="151"/>
      <c r="E742" s="151"/>
      <c r="F742" s="151"/>
      <c r="G742" s="151"/>
      <c r="H742" s="151"/>
    </row>
    <row r="743" hidden="1">
      <c r="A743" s="151"/>
      <c r="B743" s="151"/>
      <c r="C743" s="151"/>
      <c r="D743" s="151"/>
      <c r="E743" s="151"/>
      <c r="F743" s="151"/>
      <c r="G743" s="151"/>
      <c r="H743" s="151"/>
    </row>
    <row r="744" hidden="1">
      <c r="A744" s="151"/>
      <c r="B744" s="151"/>
      <c r="C744" s="151"/>
      <c r="D744" s="151"/>
      <c r="E744" s="151"/>
      <c r="F744" s="151"/>
      <c r="G744" s="151"/>
      <c r="H744" s="151"/>
    </row>
    <row r="745" hidden="1">
      <c r="A745" s="151"/>
      <c r="B745" s="151"/>
      <c r="C745" s="151"/>
      <c r="D745" s="151"/>
      <c r="E745" s="151"/>
      <c r="F745" s="151"/>
      <c r="G745" s="151"/>
      <c r="H745" s="151"/>
    </row>
    <row r="746" hidden="1">
      <c r="A746" s="151"/>
      <c r="B746" s="151"/>
      <c r="C746" s="151"/>
      <c r="D746" s="151"/>
      <c r="E746" s="151"/>
      <c r="F746" s="151"/>
      <c r="G746" s="151"/>
      <c r="H746" s="151"/>
    </row>
    <row r="747" hidden="1">
      <c r="A747" s="151"/>
      <c r="B747" s="151"/>
      <c r="C747" s="151"/>
      <c r="D747" s="151"/>
      <c r="E747" s="151"/>
      <c r="F747" s="151"/>
      <c r="G747" s="151"/>
      <c r="H747" s="151"/>
    </row>
    <row r="748" hidden="1">
      <c r="A748" s="151"/>
      <c r="B748" s="151"/>
      <c r="C748" s="151"/>
      <c r="D748" s="151"/>
      <c r="E748" s="151"/>
      <c r="F748" s="151"/>
      <c r="G748" s="151"/>
      <c r="H748" s="151"/>
    </row>
    <row r="749" hidden="1">
      <c r="A749" s="151"/>
      <c r="B749" s="151"/>
      <c r="C749" s="151"/>
      <c r="D749" s="151"/>
      <c r="E749" s="151"/>
      <c r="F749" s="151"/>
      <c r="G749" s="151"/>
      <c r="H749" s="151"/>
    </row>
    <row r="750" hidden="1">
      <c r="A750" s="151"/>
      <c r="B750" s="151"/>
      <c r="C750" s="151"/>
      <c r="D750" s="151"/>
      <c r="E750" s="151"/>
      <c r="F750" s="151"/>
      <c r="G750" s="151"/>
      <c r="H750" s="151"/>
    </row>
    <row r="751" hidden="1">
      <c r="A751" s="151"/>
      <c r="B751" s="151"/>
      <c r="C751" s="151"/>
      <c r="D751" s="151"/>
      <c r="E751" s="151"/>
      <c r="F751" s="151"/>
      <c r="G751" s="151"/>
      <c r="H751" s="151"/>
    </row>
    <row r="752" hidden="1">
      <c r="A752" s="151"/>
      <c r="B752" s="151"/>
      <c r="C752" s="151"/>
      <c r="D752" s="151"/>
      <c r="E752" s="151"/>
      <c r="F752" s="151"/>
      <c r="G752" s="151"/>
      <c r="H752" s="151"/>
    </row>
    <row r="753" hidden="1">
      <c r="A753" s="151"/>
      <c r="B753" s="151"/>
      <c r="C753" s="151"/>
      <c r="D753" s="151"/>
      <c r="E753" s="151"/>
      <c r="F753" s="151"/>
      <c r="G753" s="151"/>
      <c r="H753" s="151"/>
    </row>
    <row r="754" hidden="1">
      <c r="A754" s="151"/>
      <c r="B754" s="151"/>
      <c r="C754" s="151"/>
      <c r="D754" s="151"/>
      <c r="E754" s="151"/>
      <c r="F754" s="151"/>
      <c r="G754" s="151"/>
      <c r="H754" s="151"/>
    </row>
    <row r="755" hidden="1">
      <c r="A755" s="151"/>
      <c r="B755" s="151"/>
      <c r="C755" s="151"/>
      <c r="D755" s="151"/>
      <c r="E755" s="151"/>
      <c r="F755" s="151"/>
      <c r="G755" s="151"/>
      <c r="H755" s="151"/>
    </row>
    <row r="756" hidden="1">
      <c r="A756" s="151"/>
      <c r="B756" s="151"/>
      <c r="C756" s="151"/>
      <c r="D756" s="151"/>
      <c r="E756" s="151"/>
      <c r="F756" s="151"/>
      <c r="G756" s="151"/>
      <c r="H756" s="151"/>
    </row>
    <row r="757" hidden="1">
      <c r="A757" s="151"/>
      <c r="B757" s="151"/>
      <c r="C757" s="151"/>
      <c r="D757" s="151"/>
      <c r="E757" s="151"/>
      <c r="F757" s="151"/>
      <c r="G757" s="151"/>
      <c r="H757" s="151"/>
    </row>
    <row r="758" hidden="1">
      <c r="A758" s="151"/>
      <c r="B758" s="151"/>
      <c r="C758" s="151"/>
      <c r="D758" s="151"/>
      <c r="E758" s="151"/>
      <c r="F758" s="151"/>
      <c r="G758" s="151"/>
      <c r="H758" s="151"/>
    </row>
    <row r="759" hidden="1">
      <c r="A759" s="151"/>
      <c r="B759" s="151"/>
      <c r="C759" s="151"/>
      <c r="D759" s="151"/>
      <c r="E759" s="151"/>
      <c r="F759" s="151"/>
      <c r="G759" s="151"/>
      <c r="H759" s="151"/>
    </row>
    <row r="760" hidden="1">
      <c r="A760" s="151"/>
      <c r="B760" s="151"/>
      <c r="C760" s="151"/>
      <c r="D760" s="151"/>
      <c r="E760" s="151"/>
      <c r="F760" s="151"/>
      <c r="G760" s="151"/>
      <c r="H760" s="151"/>
    </row>
    <row r="761" hidden="1">
      <c r="A761" s="151"/>
      <c r="B761" s="151"/>
      <c r="C761" s="151"/>
      <c r="D761" s="151"/>
      <c r="E761" s="151"/>
      <c r="F761" s="151"/>
      <c r="G761" s="151"/>
      <c r="H761" s="151"/>
    </row>
    <row r="762" hidden="1">
      <c r="A762" s="151"/>
      <c r="B762" s="151"/>
      <c r="C762" s="151"/>
      <c r="D762" s="151"/>
      <c r="E762" s="151"/>
      <c r="F762" s="151"/>
      <c r="G762" s="151"/>
      <c r="H762" s="151"/>
    </row>
    <row r="763" hidden="1">
      <c r="A763" s="151"/>
      <c r="B763" s="151"/>
      <c r="C763" s="151"/>
      <c r="D763" s="151"/>
      <c r="E763" s="151"/>
      <c r="F763" s="151"/>
      <c r="G763" s="151"/>
      <c r="H763" s="151"/>
    </row>
    <row r="764" hidden="1">
      <c r="A764" s="151"/>
      <c r="B764" s="151"/>
      <c r="C764" s="151"/>
      <c r="D764" s="151"/>
      <c r="E764" s="151"/>
      <c r="F764" s="151"/>
      <c r="G764" s="151"/>
      <c r="H764" s="151"/>
    </row>
    <row r="765" hidden="1">
      <c r="A765" s="151"/>
      <c r="B765" s="151"/>
      <c r="C765" s="151"/>
      <c r="D765" s="151"/>
      <c r="E765" s="151"/>
      <c r="F765" s="151"/>
      <c r="G765" s="151"/>
      <c r="H765" s="151"/>
    </row>
    <row r="766" hidden="1">
      <c r="A766" s="151"/>
      <c r="B766" s="151"/>
      <c r="C766" s="151"/>
      <c r="D766" s="151"/>
      <c r="E766" s="151"/>
      <c r="F766" s="151"/>
      <c r="G766" s="151"/>
      <c r="H766" s="151"/>
    </row>
    <row r="767" hidden="1">
      <c r="A767" s="151"/>
      <c r="B767" s="151"/>
      <c r="C767" s="151"/>
      <c r="D767" s="151"/>
      <c r="E767" s="151"/>
      <c r="F767" s="151"/>
      <c r="G767" s="151"/>
      <c r="H767" s="151"/>
    </row>
    <row r="768" hidden="1">
      <c r="A768" s="151"/>
      <c r="B768" s="151"/>
      <c r="C768" s="151"/>
      <c r="D768" s="151"/>
      <c r="E768" s="151"/>
      <c r="F768" s="151"/>
      <c r="G768" s="151"/>
      <c r="H768" s="151"/>
    </row>
    <row r="769" hidden="1">
      <c r="A769" s="151"/>
      <c r="B769" s="151"/>
      <c r="C769" s="151"/>
      <c r="D769" s="151"/>
      <c r="E769" s="151"/>
      <c r="F769" s="151"/>
      <c r="G769" s="151"/>
      <c r="H769" s="151"/>
    </row>
    <row r="770" hidden="1">
      <c r="A770" s="151"/>
      <c r="B770" s="151"/>
      <c r="C770" s="151"/>
      <c r="D770" s="151"/>
      <c r="E770" s="151"/>
      <c r="F770" s="151"/>
      <c r="G770" s="151"/>
      <c r="H770" s="151"/>
    </row>
    <row r="771" hidden="1">
      <c r="A771" s="151"/>
      <c r="B771" s="151"/>
      <c r="C771" s="151"/>
      <c r="D771" s="151"/>
      <c r="E771" s="151"/>
      <c r="F771" s="151"/>
      <c r="G771" s="151"/>
      <c r="H771" s="151"/>
    </row>
    <row r="772" hidden="1">
      <c r="A772" s="151"/>
      <c r="B772" s="151"/>
      <c r="C772" s="151"/>
      <c r="D772" s="151"/>
      <c r="E772" s="151"/>
      <c r="F772" s="151"/>
      <c r="G772" s="151"/>
      <c r="H772" s="151"/>
    </row>
    <row r="773" hidden="1">
      <c r="A773" s="151"/>
      <c r="B773" s="151"/>
      <c r="C773" s="151"/>
      <c r="D773" s="151"/>
      <c r="E773" s="151"/>
      <c r="F773" s="151"/>
      <c r="G773" s="151"/>
      <c r="H773" s="151"/>
    </row>
    <row r="774" hidden="1">
      <c r="A774" s="151"/>
      <c r="B774" s="151"/>
      <c r="C774" s="151"/>
      <c r="D774" s="151"/>
      <c r="E774" s="151"/>
      <c r="F774" s="151"/>
      <c r="G774" s="151"/>
      <c r="H774" s="151"/>
    </row>
    <row r="775" hidden="1">
      <c r="A775" s="151"/>
      <c r="B775" s="151"/>
      <c r="C775" s="151"/>
      <c r="D775" s="151"/>
      <c r="E775" s="151"/>
      <c r="F775" s="151"/>
      <c r="G775" s="151"/>
      <c r="H775" s="151"/>
    </row>
    <row r="776" hidden="1">
      <c r="A776" s="151"/>
      <c r="B776" s="151"/>
      <c r="C776" s="151"/>
      <c r="D776" s="151"/>
      <c r="E776" s="151"/>
      <c r="F776" s="151"/>
      <c r="G776" s="151"/>
      <c r="H776" s="151"/>
    </row>
    <row r="777" hidden="1">
      <c r="A777" s="151"/>
      <c r="B777" s="151"/>
      <c r="C777" s="151"/>
      <c r="D777" s="151"/>
      <c r="E777" s="151"/>
      <c r="F777" s="151"/>
      <c r="G777" s="151"/>
      <c r="H777" s="151"/>
    </row>
    <row r="778" hidden="1">
      <c r="A778" s="151"/>
      <c r="B778" s="151"/>
      <c r="C778" s="151"/>
      <c r="D778" s="151"/>
      <c r="E778" s="151"/>
      <c r="F778" s="151"/>
      <c r="G778" s="151"/>
      <c r="H778" s="151"/>
    </row>
    <row r="779" hidden="1">
      <c r="A779" s="151"/>
      <c r="B779" s="151"/>
      <c r="C779" s="151"/>
      <c r="D779" s="151"/>
      <c r="E779" s="151"/>
      <c r="F779" s="151"/>
      <c r="G779" s="151"/>
      <c r="H779" s="151"/>
    </row>
    <row r="780" hidden="1">
      <c r="A780" s="151"/>
      <c r="B780" s="151"/>
      <c r="C780" s="151"/>
      <c r="D780" s="151"/>
      <c r="E780" s="151"/>
      <c r="F780" s="151"/>
      <c r="G780" s="151"/>
      <c r="H780" s="151"/>
    </row>
    <row r="781" hidden="1">
      <c r="A781" s="151"/>
      <c r="B781" s="151"/>
      <c r="C781" s="151"/>
      <c r="D781" s="151"/>
      <c r="E781" s="151"/>
      <c r="F781" s="151"/>
      <c r="G781" s="151"/>
      <c r="H781" s="151"/>
    </row>
    <row r="782" hidden="1">
      <c r="A782" s="151"/>
      <c r="B782" s="151"/>
      <c r="C782" s="151"/>
      <c r="D782" s="151"/>
      <c r="E782" s="151"/>
      <c r="F782" s="151"/>
      <c r="G782" s="151"/>
      <c r="H782" s="151"/>
    </row>
    <row r="783" hidden="1">
      <c r="A783" s="151"/>
      <c r="B783" s="151"/>
      <c r="C783" s="151"/>
      <c r="D783" s="151"/>
      <c r="E783" s="151"/>
      <c r="F783" s="151"/>
      <c r="G783" s="151"/>
      <c r="H783" s="151"/>
    </row>
    <row r="784" hidden="1">
      <c r="A784" s="151"/>
      <c r="B784" s="151"/>
      <c r="C784" s="151"/>
      <c r="D784" s="151"/>
      <c r="E784" s="151"/>
      <c r="F784" s="151"/>
      <c r="G784" s="151"/>
      <c r="H784" s="151"/>
    </row>
    <row r="785" hidden="1">
      <c r="A785" s="151"/>
      <c r="B785" s="151"/>
      <c r="C785" s="151"/>
      <c r="D785" s="151"/>
      <c r="E785" s="151"/>
      <c r="F785" s="151"/>
      <c r="G785" s="151"/>
      <c r="H785" s="151"/>
    </row>
    <row r="786" hidden="1">
      <c r="A786" s="151"/>
      <c r="B786" s="151"/>
      <c r="C786" s="151"/>
      <c r="D786" s="151"/>
      <c r="E786" s="151"/>
      <c r="F786" s="151"/>
      <c r="G786" s="151"/>
      <c r="H786" s="151"/>
    </row>
    <row r="787" hidden="1">
      <c r="A787" s="151"/>
      <c r="B787" s="151"/>
      <c r="C787" s="151"/>
      <c r="D787" s="151"/>
      <c r="E787" s="151"/>
      <c r="F787" s="151"/>
      <c r="G787" s="151"/>
      <c r="H787" s="151"/>
    </row>
    <row r="788" hidden="1">
      <c r="A788" s="151"/>
      <c r="B788" s="151"/>
      <c r="C788" s="151"/>
      <c r="D788" s="151"/>
      <c r="E788" s="151"/>
      <c r="F788" s="151"/>
      <c r="G788" s="151"/>
      <c r="H788" s="151"/>
    </row>
    <row r="789" hidden="1">
      <c r="A789" s="151"/>
      <c r="B789" s="151"/>
      <c r="C789" s="151"/>
      <c r="D789" s="151"/>
      <c r="E789" s="151"/>
      <c r="F789" s="151"/>
      <c r="G789" s="151"/>
      <c r="H789" s="151"/>
    </row>
    <row r="790" hidden="1">
      <c r="A790" s="151"/>
      <c r="B790" s="151"/>
      <c r="C790" s="151"/>
      <c r="D790" s="151"/>
      <c r="E790" s="151"/>
      <c r="F790" s="151"/>
      <c r="G790" s="151"/>
      <c r="H790" s="151"/>
    </row>
    <row r="791" hidden="1">
      <c r="A791" s="151"/>
      <c r="B791" s="151"/>
      <c r="C791" s="151"/>
      <c r="D791" s="151"/>
      <c r="E791" s="151"/>
      <c r="F791" s="151"/>
      <c r="G791" s="151"/>
      <c r="H791" s="151"/>
    </row>
    <row r="792" hidden="1">
      <c r="A792" s="151"/>
      <c r="B792" s="151"/>
      <c r="C792" s="151"/>
      <c r="D792" s="151"/>
      <c r="E792" s="151"/>
      <c r="F792" s="151"/>
      <c r="G792" s="151"/>
      <c r="H792" s="151"/>
    </row>
    <row r="793" hidden="1">
      <c r="A793" s="151"/>
      <c r="B793" s="151"/>
      <c r="C793" s="151"/>
      <c r="D793" s="151"/>
      <c r="E793" s="151"/>
      <c r="F793" s="151"/>
      <c r="G793" s="151"/>
      <c r="H793" s="151"/>
    </row>
    <row r="794" hidden="1">
      <c r="A794" s="151"/>
      <c r="B794" s="151"/>
      <c r="C794" s="151"/>
      <c r="D794" s="151"/>
      <c r="E794" s="151"/>
      <c r="F794" s="151"/>
      <c r="G794" s="151"/>
      <c r="H794" s="151"/>
    </row>
    <row r="795" hidden="1">
      <c r="A795" s="151"/>
      <c r="B795" s="151"/>
      <c r="C795" s="151"/>
      <c r="D795" s="151"/>
      <c r="E795" s="151"/>
      <c r="F795" s="151"/>
      <c r="G795" s="151"/>
      <c r="H795" s="151"/>
    </row>
    <row r="796" hidden="1">
      <c r="A796" s="151"/>
      <c r="B796" s="151"/>
      <c r="C796" s="151"/>
      <c r="D796" s="151"/>
      <c r="E796" s="151"/>
      <c r="F796" s="151"/>
      <c r="G796" s="151"/>
      <c r="H796" s="151"/>
    </row>
    <row r="797" hidden="1">
      <c r="A797" s="151"/>
      <c r="B797" s="151"/>
      <c r="C797" s="151"/>
      <c r="D797" s="151"/>
      <c r="E797" s="151"/>
      <c r="F797" s="151"/>
      <c r="G797" s="151"/>
      <c r="H797" s="151"/>
    </row>
    <row r="798" hidden="1">
      <c r="A798" s="151"/>
      <c r="B798" s="151"/>
      <c r="C798" s="151"/>
      <c r="D798" s="151"/>
      <c r="E798" s="151"/>
      <c r="F798" s="151"/>
      <c r="G798" s="151"/>
      <c r="H798" s="151"/>
    </row>
    <row r="799" hidden="1">
      <c r="A799" s="151"/>
      <c r="B799" s="151"/>
      <c r="C799" s="151"/>
      <c r="D799" s="151"/>
      <c r="E799" s="151"/>
      <c r="F799" s="151"/>
      <c r="G799" s="151"/>
      <c r="H799" s="151"/>
    </row>
    <row r="800" hidden="1">
      <c r="A800" s="151"/>
      <c r="B800" s="151"/>
      <c r="C800" s="151"/>
      <c r="D800" s="151"/>
      <c r="E800" s="151"/>
      <c r="F800" s="151"/>
      <c r="G800" s="151"/>
      <c r="H800" s="151"/>
    </row>
    <row r="801" hidden="1">
      <c r="A801" s="151"/>
      <c r="B801" s="151"/>
      <c r="C801" s="151"/>
      <c r="D801" s="151"/>
      <c r="E801" s="151"/>
      <c r="F801" s="151"/>
      <c r="G801" s="151"/>
      <c r="H801" s="151"/>
    </row>
    <row r="802" hidden="1">
      <c r="A802" s="151"/>
      <c r="B802" s="151"/>
      <c r="C802" s="151"/>
      <c r="D802" s="151"/>
      <c r="E802" s="151"/>
      <c r="F802" s="151"/>
      <c r="G802" s="151"/>
      <c r="H802" s="151"/>
    </row>
    <row r="803" hidden="1">
      <c r="A803" s="151"/>
      <c r="B803" s="151"/>
      <c r="C803" s="151"/>
      <c r="D803" s="151"/>
      <c r="E803" s="151"/>
      <c r="F803" s="151"/>
      <c r="G803" s="151"/>
      <c r="H803" s="151"/>
    </row>
    <row r="804" hidden="1">
      <c r="A804" s="151"/>
      <c r="B804" s="151"/>
      <c r="C804" s="151"/>
      <c r="D804" s="151"/>
      <c r="E804" s="151"/>
      <c r="F804" s="151"/>
      <c r="G804" s="151"/>
      <c r="H804" s="151"/>
    </row>
    <row r="805" hidden="1">
      <c r="A805" s="151"/>
      <c r="B805" s="151"/>
      <c r="C805" s="151"/>
      <c r="D805" s="151"/>
      <c r="E805" s="151"/>
      <c r="F805" s="151"/>
      <c r="G805" s="151"/>
      <c r="H805" s="151"/>
    </row>
    <row r="806" hidden="1">
      <c r="A806" s="151"/>
      <c r="B806" s="151"/>
      <c r="C806" s="151"/>
      <c r="D806" s="151"/>
      <c r="E806" s="151"/>
      <c r="F806" s="151"/>
      <c r="G806" s="151"/>
      <c r="H806" s="151"/>
    </row>
    <row r="807" hidden="1">
      <c r="A807" s="151"/>
      <c r="B807" s="151"/>
      <c r="C807" s="151"/>
      <c r="D807" s="151"/>
      <c r="E807" s="151"/>
      <c r="F807" s="151"/>
      <c r="G807" s="151"/>
      <c r="H807" s="151"/>
    </row>
    <row r="808" hidden="1">
      <c r="A808" s="151"/>
      <c r="B808" s="151"/>
      <c r="C808" s="151"/>
      <c r="D808" s="151"/>
      <c r="E808" s="151"/>
      <c r="F808" s="151"/>
      <c r="G808" s="151"/>
      <c r="H808" s="151"/>
    </row>
    <row r="809" hidden="1">
      <c r="A809" s="151"/>
      <c r="B809" s="151"/>
      <c r="C809" s="151"/>
      <c r="D809" s="151"/>
      <c r="E809" s="151"/>
      <c r="F809" s="151"/>
      <c r="G809" s="151"/>
      <c r="H809" s="151"/>
    </row>
    <row r="810" hidden="1">
      <c r="A810" s="151"/>
      <c r="B810" s="151"/>
      <c r="C810" s="151"/>
      <c r="D810" s="151"/>
      <c r="E810" s="151"/>
      <c r="F810" s="151"/>
      <c r="G810" s="151"/>
      <c r="H810" s="151"/>
    </row>
    <row r="811" hidden="1">
      <c r="A811" s="151"/>
      <c r="B811" s="151"/>
      <c r="C811" s="151"/>
      <c r="D811" s="151"/>
      <c r="E811" s="151"/>
      <c r="F811" s="151"/>
      <c r="G811" s="151"/>
      <c r="H811" s="151"/>
    </row>
    <row r="812" hidden="1">
      <c r="A812" s="151"/>
      <c r="B812" s="151"/>
      <c r="C812" s="151"/>
      <c r="D812" s="151"/>
      <c r="E812" s="151"/>
      <c r="F812" s="151"/>
      <c r="G812" s="151"/>
      <c r="H812" s="151"/>
    </row>
    <row r="813" hidden="1">
      <c r="A813" s="151"/>
      <c r="B813" s="151"/>
      <c r="C813" s="151"/>
      <c r="D813" s="151"/>
      <c r="E813" s="151"/>
      <c r="F813" s="151"/>
      <c r="G813" s="151"/>
      <c r="H813" s="151"/>
    </row>
    <row r="814" hidden="1">
      <c r="A814" s="151"/>
      <c r="B814" s="151"/>
      <c r="C814" s="151"/>
      <c r="D814" s="151"/>
      <c r="E814" s="151"/>
      <c r="F814" s="151"/>
      <c r="G814" s="151"/>
      <c r="H814" s="151"/>
    </row>
    <row r="815" hidden="1">
      <c r="A815" s="151"/>
      <c r="B815" s="151"/>
      <c r="C815" s="151"/>
      <c r="D815" s="151"/>
      <c r="E815" s="151"/>
      <c r="F815" s="151"/>
      <c r="G815" s="151"/>
      <c r="H815" s="151"/>
    </row>
    <row r="816" hidden="1">
      <c r="A816" s="151"/>
      <c r="B816" s="151"/>
      <c r="C816" s="151"/>
      <c r="D816" s="151"/>
      <c r="E816" s="151"/>
      <c r="F816" s="151"/>
      <c r="G816" s="151"/>
      <c r="H816" s="151"/>
    </row>
    <row r="817" hidden="1">
      <c r="A817" s="151"/>
      <c r="B817" s="151"/>
      <c r="C817" s="151"/>
      <c r="D817" s="151"/>
      <c r="E817" s="151"/>
      <c r="F817" s="151"/>
      <c r="G817" s="151"/>
      <c r="H817" s="151"/>
    </row>
    <row r="818" hidden="1">
      <c r="A818" s="151"/>
      <c r="B818" s="151"/>
      <c r="C818" s="151"/>
      <c r="D818" s="151"/>
      <c r="E818" s="151"/>
      <c r="F818" s="151"/>
      <c r="G818" s="151"/>
      <c r="H818" s="151"/>
    </row>
    <row r="819" hidden="1">
      <c r="A819" s="151"/>
      <c r="B819" s="151"/>
      <c r="C819" s="151"/>
      <c r="D819" s="151"/>
      <c r="E819" s="151"/>
      <c r="F819" s="151"/>
      <c r="G819" s="151"/>
      <c r="H819" s="151"/>
    </row>
    <row r="820" hidden="1">
      <c r="A820" s="151"/>
      <c r="B820" s="151"/>
      <c r="C820" s="151"/>
      <c r="D820" s="151"/>
      <c r="E820" s="151"/>
      <c r="F820" s="151"/>
      <c r="G820" s="151"/>
      <c r="H820" s="151"/>
    </row>
    <row r="821" hidden="1">
      <c r="A821" s="151"/>
      <c r="B821" s="151"/>
      <c r="C821" s="151"/>
      <c r="D821" s="151"/>
      <c r="E821" s="151"/>
      <c r="F821" s="151"/>
      <c r="G821" s="151"/>
      <c r="H821" s="151"/>
    </row>
    <row r="822" hidden="1">
      <c r="A822" s="151"/>
      <c r="B822" s="151"/>
      <c r="C822" s="151"/>
      <c r="D822" s="151"/>
      <c r="E822" s="151"/>
      <c r="F822" s="151"/>
      <c r="G822" s="151"/>
      <c r="H822" s="151"/>
    </row>
    <row r="823" hidden="1">
      <c r="A823" s="151"/>
      <c r="B823" s="151"/>
      <c r="C823" s="151"/>
      <c r="D823" s="151"/>
      <c r="E823" s="151"/>
      <c r="F823" s="151"/>
      <c r="G823" s="151"/>
      <c r="H823" s="151"/>
    </row>
    <row r="824" hidden="1">
      <c r="A824" s="151"/>
      <c r="B824" s="151"/>
      <c r="C824" s="151"/>
      <c r="D824" s="151"/>
      <c r="E824" s="151"/>
      <c r="F824" s="151"/>
      <c r="G824" s="151"/>
      <c r="H824" s="151"/>
    </row>
    <row r="825" hidden="1">
      <c r="A825" s="151"/>
      <c r="B825" s="151"/>
      <c r="C825" s="151"/>
      <c r="D825" s="151"/>
      <c r="E825" s="151"/>
      <c r="F825" s="151"/>
      <c r="G825" s="151"/>
      <c r="H825" s="151"/>
    </row>
    <row r="826" hidden="1">
      <c r="A826" s="151"/>
      <c r="B826" s="151"/>
      <c r="C826" s="151"/>
      <c r="D826" s="151"/>
      <c r="E826" s="151"/>
      <c r="F826" s="151"/>
      <c r="G826" s="151"/>
      <c r="H826" s="151"/>
    </row>
    <row r="827" hidden="1">
      <c r="A827" s="151"/>
      <c r="B827" s="151"/>
      <c r="C827" s="151"/>
      <c r="D827" s="151"/>
      <c r="E827" s="151"/>
      <c r="F827" s="151"/>
      <c r="G827" s="151"/>
      <c r="H827" s="151"/>
    </row>
    <row r="828" hidden="1">
      <c r="A828" s="151"/>
      <c r="B828" s="151"/>
      <c r="C828" s="151"/>
      <c r="D828" s="151"/>
      <c r="E828" s="151"/>
      <c r="F828" s="151"/>
      <c r="G828" s="151"/>
      <c r="H828" s="151"/>
    </row>
    <row r="829" hidden="1">
      <c r="A829" s="151"/>
      <c r="B829" s="151"/>
      <c r="C829" s="151"/>
      <c r="D829" s="151"/>
      <c r="E829" s="151"/>
      <c r="F829" s="151"/>
      <c r="G829" s="151"/>
      <c r="H829" s="151"/>
    </row>
    <row r="830" hidden="1">
      <c r="A830" s="151"/>
      <c r="B830" s="151"/>
      <c r="C830" s="151"/>
      <c r="D830" s="151"/>
      <c r="E830" s="151"/>
      <c r="F830" s="151"/>
      <c r="G830" s="151"/>
      <c r="H830" s="151"/>
    </row>
    <row r="831" hidden="1">
      <c r="A831" s="151"/>
      <c r="B831" s="151"/>
      <c r="C831" s="151"/>
      <c r="D831" s="151"/>
      <c r="E831" s="151"/>
      <c r="F831" s="151"/>
      <c r="G831" s="151"/>
      <c r="H831" s="151"/>
    </row>
    <row r="832" hidden="1">
      <c r="A832" s="151"/>
      <c r="B832" s="151"/>
      <c r="C832" s="151"/>
      <c r="D832" s="151"/>
      <c r="E832" s="151"/>
      <c r="F832" s="151"/>
      <c r="G832" s="151"/>
      <c r="H832" s="151"/>
    </row>
    <row r="833" hidden="1">
      <c r="A833" s="151"/>
      <c r="B833" s="151"/>
      <c r="C833" s="151"/>
      <c r="D833" s="151"/>
      <c r="E833" s="151"/>
      <c r="F833" s="151"/>
      <c r="G833" s="151"/>
      <c r="H833" s="151"/>
    </row>
    <row r="834" hidden="1">
      <c r="A834" s="151"/>
      <c r="B834" s="151"/>
      <c r="C834" s="151"/>
      <c r="D834" s="151"/>
      <c r="E834" s="151"/>
      <c r="F834" s="151"/>
      <c r="G834" s="151"/>
      <c r="H834" s="151"/>
    </row>
    <row r="835" hidden="1">
      <c r="A835" s="151"/>
      <c r="B835" s="151"/>
      <c r="C835" s="151"/>
      <c r="D835" s="151"/>
      <c r="E835" s="151"/>
      <c r="F835" s="151"/>
      <c r="G835" s="151"/>
      <c r="H835" s="151"/>
    </row>
    <row r="836" hidden="1">
      <c r="A836" s="151"/>
      <c r="B836" s="151"/>
      <c r="C836" s="151"/>
      <c r="D836" s="151"/>
      <c r="E836" s="151"/>
      <c r="F836" s="151"/>
      <c r="G836" s="151"/>
      <c r="H836" s="151"/>
    </row>
    <row r="837" hidden="1">
      <c r="A837" s="151"/>
      <c r="B837" s="151"/>
      <c r="C837" s="151"/>
      <c r="D837" s="151"/>
      <c r="E837" s="151"/>
      <c r="F837" s="151"/>
      <c r="G837" s="151"/>
      <c r="H837" s="151"/>
    </row>
    <row r="838" hidden="1">
      <c r="A838" s="151"/>
      <c r="B838" s="151"/>
      <c r="C838" s="151"/>
      <c r="D838" s="151"/>
      <c r="E838" s="151"/>
      <c r="F838" s="151"/>
      <c r="G838" s="151"/>
      <c r="H838" s="151"/>
    </row>
    <row r="839" hidden="1">
      <c r="A839" s="151"/>
      <c r="B839" s="151"/>
      <c r="C839" s="151"/>
      <c r="D839" s="151"/>
      <c r="E839" s="151"/>
      <c r="F839" s="151"/>
      <c r="G839" s="151"/>
      <c r="H839" s="151"/>
    </row>
    <row r="840" hidden="1">
      <c r="A840" s="151"/>
      <c r="B840" s="151"/>
      <c r="C840" s="151"/>
      <c r="D840" s="151"/>
      <c r="E840" s="151"/>
      <c r="F840" s="151"/>
      <c r="G840" s="151"/>
      <c r="H840" s="151"/>
    </row>
    <row r="841" hidden="1">
      <c r="A841" s="151"/>
      <c r="B841" s="151"/>
      <c r="C841" s="151"/>
      <c r="D841" s="151"/>
      <c r="E841" s="151"/>
      <c r="F841" s="151"/>
      <c r="G841" s="151"/>
      <c r="H841" s="151"/>
    </row>
    <row r="842" hidden="1">
      <c r="A842" s="151"/>
      <c r="B842" s="151"/>
      <c r="C842" s="151"/>
      <c r="D842" s="151"/>
      <c r="E842" s="151"/>
      <c r="F842" s="151"/>
      <c r="G842" s="151"/>
      <c r="H842" s="151"/>
    </row>
    <row r="843" hidden="1">
      <c r="A843" s="151"/>
      <c r="B843" s="151"/>
      <c r="C843" s="151"/>
      <c r="D843" s="151"/>
      <c r="E843" s="151"/>
      <c r="F843" s="151"/>
      <c r="G843" s="151"/>
      <c r="H843" s="151"/>
    </row>
    <row r="844" hidden="1">
      <c r="A844" s="151"/>
      <c r="B844" s="151"/>
      <c r="C844" s="151"/>
      <c r="D844" s="151"/>
      <c r="E844" s="151"/>
      <c r="F844" s="151"/>
      <c r="G844" s="151"/>
      <c r="H844" s="151"/>
    </row>
    <row r="845" hidden="1">
      <c r="A845" s="151"/>
      <c r="B845" s="151"/>
      <c r="C845" s="151"/>
      <c r="D845" s="151"/>
      <c r="E845" s="151"/>
      <c r="F845" s="151"/>
      <c r="G845" s="151"/>
      <c r="H845" s="151"/>
    </row>
    <row r="846" hidden="1">
      <c r="A846" s="151"/>
      <c r="B846" s="151"/>
      <c r="C846" s="151"/>
      <c r="D846" s="151"/>
      <c r="E846" s="151"/>
      <c r="F846" s="151"/>
      <c r="G846" s="151"/>
      <c r="H846" s="151"/>
    </row>
    <row r="847" hidden="1">
      <c r="A847" s="151"/>
      <c r="B847" s="151"/>
      <c r="C847" s="151"/>
      <c r="D847" s="151"/>
      <c r="E847" s="151"/>
      <c r="F847" s="151"/>
      <c r="G847" s="151"/>
      <c r="H847" s="151"/>
    </row>
    <row r="848" hidden="1">
      <c r="A848" s="151"/>
      <c r="B848" s="151"/>
      <c r="C848" s="151"/>
      <c r="D848" s="151"/>
      <c r="E848" s="151"/>
      <c r="F848" s="151"/>
      <c r="G848" s="151"/>
      <c r="H848" s="151"/>
    </row>
    <row r="849" hidden="1">
      <c r="A849" s="151"/>
      <c r="B849" s="151"/>
      <c r="C849" s="151"/>
      <c r="D849" s="151"/>
      <c r="E849" s="151"/>
      <c r="F849" s="151"/>
      <c r="G849" s="151"/>
      <c r="H849" s="151"/>
    </row>
    <row r="850" hidden="1">
      <c r="A850" s="151"/>
      <c r="B850" s="151"/>
      <c r="C850" s="151"/>
      <c r="D850" s="151"/>
      <c r="E850" s="151"/>
      <c r="F850" s="151"/>
      <c r="G850" s="151"/>
      <c r="H850" s="151"/>
    </row>
    <row r="851" hidden="1">
      <c r="A851" s="151"/>
      <c r="B851" s="151"/>
      <c r="C851" s="151"/>
      <c r="D851" s="151"/>
      <c r="E851" s="151"/>
      <c r="F851" s="151"/>
      <c r="G851" s="151"/>
      <c r="H851" s="151"/>
    </row>
    <row r="852" hidden="1">
      <c r="A852" s="151"/>
      <c r="B852" s="151"/>
      <c r="C852" s="151"/>
      <c r="D852" s="151"/>
      <c r="E852" s="151"/>
      <c r="F852" s="151"/>
      <c r="G852" s="151"/>
      <c r="H852" s="151"/>
    </row>
    <row r="853" hidden="1">
      <c r="A853" s="151"/>
      <c r="B853" s="151"/>
      <c r="C853" s="151"/>
      <c r="D853" s="151"/>
      <c r="E853" s="151"/>
      <c r="F853" s="151"/>
      <c r="G853" s="151"/>
      <c r="H853" s="151"/>
    </row>
    <row r="854" hidden="1">
      <c r="A854" s="151"/>
      <c r="B854" s="151"/>
      <c r="C854" s="151"/>
      <c r="D854" s="151"/>
      <c r="E854" s="151"/>
      <c r="F854" s="151"/>
      <c r="G854" s="151"/>
      <c r="H854" s="151"/>
    </row>
    <row r="855" hidden="1">
      <c r="A855" s="151"/>
      <c r="B855" s="151"/>
      <c r="C855" s="151"/>
      <c r="D855" s="151"/>
      <c r="E855" s="151"/>
      <c r="F855" s="151"/>
      <c r="G855" s="151"/>
      <c r="H855" s="151"/>
    </row>
    <row r="856" hidden="1">
      <c r="A856" s="151"/>
      <c r="B856" s="151"/>
      <c r="C856" s="151"/>
      <c r="D856" s="151"/>
      <c r="E856" s="151"/>
      <c r="F856" s="151"/>
      <c r="G856" s="151"/>
      <c r="H856" s="151"/>
    </row>
    <row r="857" hidden="1">
      <c r="A857" s="151"/>
      <c r="B857" s="151"/>
      <c r="C857" s="151"/>
      <c r="D857" s="151"/>
      <c r="E857" s="151"/>
      <c r="F857" s="151"/>
      <c r="G857" s="151"/>
      <c r="H857" s="151"/>
    </row>
    <row r="858" hidden="1">
      <c r="A858" s="151"/>
      <c r="B858" s="151"/>
      <c r="C858" s="151"/>
      <c r="D858" s="151"/>
      <c r="E858" s="151"/>
      <c r="F858" s="151"/>
      <c r="G858" s="151"/>
      <c r="H858" s="151"/>
    </row>
    <row r="859" hidden="1">
      <c r="A859" s="151"/>
      <c r="B859" s="151"/>
      <c r="C859" s="151"/>
      <c r="D859" s="151"/>
      <c r="E859" s="151"/>
      <c r="F859" s="151"/>
      <c r="G859" s="151"/>
      <c r="H859" s="151"/>
    </row>
    <row r="860" hidden="1">
      <c r="A860" s="151"/>
      <c r="B860" s="151"/>
      <c r="C860" s="151"/>
      <c r="D860" s="151"/>
      <c r="E860" s="151"/>
      <c r="F860" s="151"/>
      <c r="G860" s="151"/>
      <c r="H860" s="151"/>
    </row>
    <row r="861" hidden="1">
      <c r="A861" s="151"/>
      <c r="B861" s="151"/>
      <c r="C861" s="151"/>
      <c r="D861" s="151"/>
      <c r="E861" s="151"/>
      <c r="F861" s="151"/>
      <c r="G861" s="151"/>
      <c r="H861" s="151"/>
    </row>
    <row r="862" hidden="1">
      <c r="A862" s="151"/>
      <c r="B862" s="151"/>
      <c r="C862" s="151"/>
      <c r="D862" s="151"/>
      <c r="E862" s="151"/>
      <c r="F862" s="151"/>
      <c r="G862" s="151"/>
      <c r="H862" s="151"/>
    </row>
    <row r="863" hidden="1">
      <c r="A863" s="151"/>
      <c r="B863" s="151"/>
      <c r="C863" s="151"/>
      <c r="D863" s="151"/>
      <c r="E863" s="151"/>
      <c r="F863" s="151"/>
      <c r="G863" s="151"/>
      <c r="H863" s="151"/>
    </row>
    <row r="864" hidden="1">
      <c r="A864" s="151"/>
      <c r="B864" s="151"/>
      <c r="C864" s="151"/>
      <c r="D864" s="151"/>
      <c r="E864" s="151"/>
      <c r="F864" s="151"/>
      <c r="G864" s="151"/>
      <c r="H864" s="151"/>
    </row>
    <row r="865" hidden="1">
      <c r="A865" s="151"/>
      <c r="B865" s="151"/>
      <c r="C865" s="151"/>
      <c r="D865" s="151"/>
      <c r="E865" s="151"/>
      <c r="F865" s="151"/>
      <c r="G865" s="151"/>
      <c r="H865" s="151"/>
    </row>
    <row r="866" hidden="1">
      <c r="A866" s="151"/>
      <c r="B866" s="151"/>
      <c r="C866" s="151"/>
      <c r="D866" s="151"/>
      <c r="E866" s="151"/>
      <c r="F866" s="151"/>
      <c r="G866" s="151"/>
      <c r="H866" s="151"/>
    </row>
    <row r="867" hidden="1">
      <c r="A867" s="151"/>
      <c r="B867" s="151"/>
      <c r="C867" s="151"/>
      <c r="D867" s="151"/>
      <c r="E867" s="151"/>
      <c r="F867" s="151"/>
      <c r="G867" s="151"/>
      <c r="H867" s="151"/>
    </row>
    <row r="868" hidden="1">
      <c r="A868" s="151"/>
      <c r="B868" s="151"/>
      <c r="C868" s="151"/>
      <c r="D868" s="151"/>
      <c r="E868" s="151"/>
      <c r="F868" s="151"/>
      <c r="G868" s="151"/>
      <c r="H868" s="151"/>
    </row>
    <row r="869" hidden="1">
      <c r="A869" s="151"/>
      <c r="B869" s="151"/>
      <c r="C869" s="151"/>
      <c r="D869" s="151"/>
      <c r="E869" s="151"/>
      <c r="F869" s="151"/>
      <c r="G869" s="151"/>
      <c r="H869" s="151"/>
    </row>
    <row r="870" hidden="1">
      <c r="A870" s="151"/>
      <c r="B870" s="151"/>
      <c r="C870" s="151"/>
      <c r="D870" s="151"/>
      <c r="E870" s="151"/>
      <c r="F870" s="151"/>
      <c r="G870" s="151"/>
      <c r="H870" s="151"/>
    </row>
    <row r="871" hidden="1">
      <c r="A871" s="151"/>
      <c r="B871" s="151"/>
      <c r="C871" s="151"/>
      <c r="D871" s="151"/>
      <c r="E871" s="151"/>
      <c r="F871" s="151"/>
      <c r="G871" s="151"/>
      <c r="H871" s="151"/>
    </row>
    <row r="872" hidden="1">
      <c r="A872" s="151"/>
      <c r="B872" s="151"/>
      <c r="C872" s="151"/>
      <c r="D872" s="151"/>
      <c r="E872" s="151"/>
      <c r="F872" s="151"/>
      <c r="G872" s="151"/>
      <c r="H872" s="151"/>
    </row>
    <row r="873" hidden="1">
      <c r="A873" s="151"/>
      <c r="B873" s="151"/>
      <c r="C873" s="151"/>
      <c r="D873" s="151"/>
      <c r="E873" s="151"/>
      <c r="F873" s="151"/>
      <c r="G873" s="151"/>
      <c r="H873" s="151"/>
    </row>
    <row r="874" hidden="1">
      <c r="A874" s="151"/>
      <c r="B874" s="151"/>
      <c r="C874" s="151"/>
      <c r="D874" s="151"/>
      <c r="E874" s="151"/>
      <c r="F874" s="151"/>
      <c r="G874" s="151"/>
      <c r="H874" s="151"/>
    </row>
    <row r="875" hidden="1">
      <c r="A875" s="151"/>
      <c r="B875" s="151"/>
      <c r="C875" s="151"/>
      <c r="D875" s="151"/>
      <c r="E875" s="151"/>
      <c r="F875" s="151"/>
      <c r="G875" s="151"/>
      <c r="H875" s="151"/>
    </row>
    <row r="876" hidden="1">
      <c r="A876" s="151"/>
      <c r="B876" s="151"/>
      <c r="C876" s="151"/>
      <c r="D876" s="151"/>
      <c r="E876" s="151"/>
      <c r="F876" s="151"/>
      <c r="G876" s="151"/>
      <c r="H876" s="151"/>
    </row>
    <row r="877" hidden="1">
      <c r="A877" s="151"/>
      <c r="B877" s="151"/>
      <c r="C877" s="151"/>
      <c r="D877" s="151"/>
      <c r="E877" s="151"/>
      <c r="F877" s="151"/>
      <c r="G877" s="151"/>
      <c r="H877" s="151"/>
    </row>
    <row r="878" hidden="1">
      <c r="A878" s="151"/>
      <c r="B878" s="151"/>
      <c r="C878" s="151"/>
      <c r="D878" s="151"/>
      <c r="E878" s="151"/>
      <c r="F878" s="151"/>
      <c r="G878" s="151"/>
      <c r="H878" s="151"/>
    </row>
    <row r="879" hidden="1">
      <c r="A879" s="151"/>
      <c r="B879" s="151"/>
      <c r="C879" s="151"/>
      <c r="D879" s="151"/>
      <c r="E879" s="151"/>
      <c r="F879" s="151"/>
      <c r="G879" s="151"/>
      <c r="H879" s="151"/>
    </row>
    <row r="880" hidden="1">
      <c r="A880" s="151"/>
      <c r="B880" s="151"/>
      <c r="C880" s="151"/>
      <c r="D880" s="151"/>
      <c r="E880" s="151"/>
      <c r="F880" s="151"/>
      <c r="G880" s="151"/>
      <c r="H880" s="151"/>
    </row>
    <row r="881" hidden="1">
      <c r="A881" s="151"/>
      <c r="B881" s="151"/>
      <c r="C881" s="151"/>
      <c r="D881" s="151"/>
      <c r="E881" s="151"/>
      <c r="F881" s="151"/>
      <c r="G881" s="151"/>
      <c r="H881" s="151"/>
    </row>
    <row r="882" hidden="1">
      <c r="A882" s="151"/>
      <c r="B882" s="151"/>
      <c r="C882" s="151"/>
      <c r="D882" s="151"/>
      <c r="E882" s="151"/>
      <c r="F882" s="151"/>
      <c r="G882" s="151"/>
      <c r="H882" s="151"/>
    </row>
    <row r="883" hidden="1">
      <c r="A883" s="151"/>
      <c r="B883" s="151"/>
      <c r="C883" s="151"/>
      <c r="D883" s="151"/>
      <c r="E883" s="151"/>
      <c r="F883" s="151"/>
      <c r="G883" s="151"/>
      <c r="H883" s="151"/>
    </row>
    <row r="884" hidden="1">
      <c r="A884" s="151"/>
      <c r="B884" s="151"/>
      <c r="C884" s="151"/>
      <c r="D884" s="151"/>
      <c r="E884" s="151"/>
      <c r="F884" s="151"/>
      <c r="G884" s="151"/>
      <c r="H884" s="151"/>
    </row>
    <row r="885" hidden="1">
      <c r="A885" s="151"/>
      <c r="B885" s="151"/>
      <c r="C885" s="151"/>
      <c r="D885" s="151"/>
      <c r="E885" s="151"/>
      <c r="F885" s="151"/>
      <c r="G885" s="151"/>
      <c r="H885" s="151"/>
    </row>
    <row r="886" hidden="1">
      <c r="A886" s="151"/>
      <c r="B886" s="151"/>
      <c r="C886" s="151"/>
      <c r="D886" s="151"/>
      <c r="E886" s="151"/>
      <c r="F886" s="151"/>
      <c r="G886" s="151"/>
      <c r="H886" s="151"/>
    </row>
    <row r="887" hidden="1">
      <c r="A887" s="151"/>
      <c r="B887" s="151"/>
      <c r="C887" s="151"/>
      <c r="D887" s="151"/>
      <c r="E887" s="151"/>
      <c r="F887" s="151"/>
      <c r="G887" s="151"/>
      <c r="H887" s="151"/>
    </row>
    <row r="888" hidden="1">
      <c r="A888" s="151"/>
      <c r="B888" s="151"/>
      <c r="C888" s="151"/>
      <c r="D888" s="151"/>
      <c r="E888" s="151"/>
      <c r="F888" s="151"/>
      <c r="G888" s="151"/>
      <c r="H888" s="151"/>
    </row>
    <row r="889" hidden="1">
      <c r="A889" s="151"/>
      <c r="B889" s="151"/>
      <c r="C889" s="151"/>
      <c r="D889" s="151"/>
      <c r="E889" s="151"/>
      <c r="F889" s="151"/>
      <c r="G889" s="151"/>
      <c r="H889" s="151"/>
    </row>
    <row r="890" hidden="1">
      <c r="A890" s="151"/>
      <c r="B890" s="151"/>
      <c r="C890" s="151"/>
      <c r="D890" s="151"/>
      <c r="E890" s="151"/>
      <c r="F890" s="151"/>
      <c r="G890" s="151"/>
      <c r="H890" s="151"/>
    </row>
    <row r="891" hidden="1">
      <c r="A891" s="151"/>
      <c r="B891" s="151"/>
      <c r="C891" s="151"/>
      <c r="D891" s="151"/>
      <c r="E891" s="151"/>
      <c r="F891" s="151"/>
      <c r="G891" s="151"/>
      <c r="H891" s="151"/>
    </row>
    <row r="892" hidden="1">
      <c r="A892" s="151"/>
      <c r="B892" s="151"/>
      <c r="C892" s="151"/>
      <c r="D892" s="151"/>
      <c r="E892" s="151"/>
      <c r="F892" s="151"/>
      <c r="G892" s="151"/>
      <c r="H892" s="151"/>
    </row>
    <row r="893" hidden="1">
      <c r="A893" s="151"/>
      <c r="B893" s="151"/>
      <c r="C893" s="151"/>
      <c r="D893" s="151"/>
      <c r="E893" s="151"/>
      <c r="F893" s="151"/>
      <c r="G893" s="151"/>
      <c r="H893" s="151"/>
    </row>
    <row r="894" hidden="1">
      <c r="A894" s="151"/>
      <c r="B894" s="151"/>
      <c r="C894" s="151"/>
      <c r="D894" s="151"/>
      <c r="E894" s="151"/>
      <c r="F894" s="151"/>
      <c r="G894" s="151"/>
      <c r="H894" s="151"/>
    </row>
    <row r="895" hidden="1">
      <c r="A895" s="151"/>
      <c r="B895" s="151"/>
      <c r="C895" s="151"/>
      <c r="D895" s="151"/>
      <c r="E895" s="151"/>
      <c r="F895" s="151"/>
      <c r="G895" s="151"/>
      <c r="H895" s="151"/>
    </row>
    <row r="896" hidden="1">
      <c r="A896" s="151"/>
      <c r="B896" s="151"/>
      <c r="C896" s="151"/>
      <c r="D896" s="151"/>
      <c r="E896" s="151"/>
      <c r="F896" s="151"/>
      <c r="G896" s="151"/>
      <c r="H896" s="151"/>
    </row>
    <row r="897" hidden="1">
      <c r="A897" s="151"/>
      <c r="B897" s="151"/>
      <c r="C897" s="151"/>
      <c r="D897" s="151"/>
      <c r="E897" s="151"/>
      <c r="F897" s="151"/>
      <c r="G897" s="151"/>
      <c r="H897" s="151"/>
    </row>
    <row r="898" hidden="1">
      <c r="A898" s="151"/>
      <c r="B898" s="151"/>
      <c r="C898" s="151"/>
      <c r="D898" s="151"/>
      <c r="E898" s="151"/>
      <c r="F898" s="151"/>
      <c r="G898" s="151"/>
      <c r="H898" s="151"/>
    </row>
    <row r="899" hidden="1">
      <c r="A899" s="151"/>
      <c r="B899" s="151"/>
      <c r="C899" s="151"/>
      <c r="D899" s="151"/>
      <c r="E899" s="151"/>
      <c r="F899" s="151"/>
      <c r="G899" s="151"/>
      <c r="H899" s="151"/>
    </row>
    <row r="900" hidden="1">
      <c r="A900" s="151"/>
      <c r="B900" s="151"/>
      <c r="C900" s="151"/>
      <c r="D900" s="151"/>
      <c r="E900" s="151"/>
      <c r="F900" s="151"/>
      <c r="G900" s="151"/>
      <c r="H900" s="151"/>
    </row>
    <row r="901" hidden="1">
      <c r="A901" s="151"/>
      <c r="B901" s="151"/>
      <c r="C901" s="151"/>
      <c r="D901" s="151"/>
      <c r="E901" s="151"/>
      <c r="F901" s="151"/>
      <c r="G901" s="151"/>
      <c r="H901" s="151"/>
    </row>
    <row r="902" hidden="1">
      <c r="A902" s="151"/>
      <c r="B902" s="151"/>
      <c r="C902" s="151"/>
      <c r="D902" s="151"/>
      <c r="E902" s="151"/>
      <c r="F902" s="151"/>
      <c r="G902" s="151"/>
      <c r="H902" s="151"/>
    </row>
    <row r="903" hidden="1">
      <c r="A903" s="151"/>
      <c r="B903" s="151"/>
      <c r="C903" s="151"/>
      <c r="D903" s="151"/>
      <c r="E903" s="151"/>
      <c r="F903" s="151"/>
      <c r="G903" s="151"/>
      <c r="H903" s="151"/>
    </row>
    <row r="904" hidden="1">
      <c r="A904" s="151"/>
      <c r="B904" s="151"/>
      <c r="C904" s="151"/>
      <c r="D904" s="151"/>
      <c r="E904" s="151"/>
      <c r="F904" s="151"/>
      <c r="G904" s="151"/>
      <c r="H904" s="151"/>
    </row>
    <row r="905" hidden="1">
      <c r="A905" s="151"/>
      <c r="B905" s="151"/>
      <c r="C905" s="151"/>
      <c r="D905" s="151"/>
      <c r="E905" s="151"/>
      <c r="F905" s="151"/>
      <c r="G905" s="151"/>
      <c r="H905" s="151"/>
    </row>
    <row r="906" hidden="1">
      <c r="A906" s="151"/>
      <c r="B906" s="151"/>
      <c r="C906" s="151"/>
      <c r="D906" s="151"/>
      <c r="E906" s="151"/>
      <c r="F906" s="151"/>
      <c r="G906" s="151"/>
      <c r="H906" s="151"/>
    </row>
    <row r="907" hidden="1">
      <c r="A907" s="151"/>
      <c r="B907" s="151"/>
      <c r="C907" s="151"/>
      <c r="D907" s="151"/>
      <c r="E907" s="151"/>
      <c r="F907" s="151"/>
      <c r="G907" s="151"/>
      <c r="H907" s="151"/>
    </row>
    <row r="908" hidden="1">
      <c r="A908" s="151"/>
      <c r="B908" s="151"/>
      <c r="C908" s="151"/>
      <c r="D908" s="151"/>
      <c r="E908" s="151"/>
      <c r="F908" s="151"/>
      <c r="G908" s="151"/>
      <c r="H908" s="151"/>
    </row>
    <row r="909" hidden="1">
      <c r="A909" s="151"/>
      <c r="B909" s="151"/>
      <c r="C909" s="151"/>
      <c r="D909" s="151"/>
      <c r="E909" s="151"/>
      <c r="F909" s="151"/>
      <c r="G909" s="151"/>
      <c r="H909" s="151"/>
    </row>
    <row r="910" hidden="1">
      <c r="A910" s="151"/>
      <c r="B910" s="151"/>
      <c r="C910" s="151"/>
      <c r="D910" s="151"/>
      <c r="E910" s="151"/>
      <c r="F910" s="151"/>
      <c r="G910" s="151"/>
      <c r="H910" s="151"/>
    </row>
    <row r="911" hidden="1">
      <c r="A911" s="151"/>
      <c r="B911" s="151"/>
      <c r="C911" s="151"/>
      <c r="D911" s="151"/>
      <c r="E911" s="151"/>
      <c r="F911" s="151"/>
      <c r="G911" s="151"/>
      <c r="H911" s="151"/>
    </row>
    <row r="912" hidden="1">
      <c r="A912" s="151"/>
      <c r="B912" s="151"/>
      <c r="C912" s="151"/>
      <c r="D912" s="151"/>
      <c r="E912" s="151"/>
      <c r="F912" s="151"/>
      <c r="G912" s="151"/>
      <c r="H912" s="151"/>
    </row>
    <row r="913" hidden="1">
      <c r="A913" s="151"/>
      <c r="B913" s="151"/>
      <c r="C913" s="151"/>
      <c r="D913" s="151"/>
      <c r="E913" s="151"/>
      <c r="F913" s="151"/>
      <c r="G913" s="151"/>
      <c r="H913" s="151"/>
    </row>
    <row r="914" hidden="1">
      <c r="A914" s="151"/>
      <c r="B914" s="151"/>
      <c r="C914" s="151"/>
      <c r="D914" s="151"/>
      <c r="E914" s="151"/>
      <c r="F914" s="151"/>
      <c r="G914" s="151"/>
      <c r="H914" s="151"/>
    </row>
    <row r="915" hidden="1">
      <c r="A915" s="151"/>
      <c r="B915" s="151"/>
      <c r="C915" s="151"/>
      <c r="D915" s="151"/>
      <c r="E915" s="151"/>
      <c r="F915" s="151"/>
      <c r="G915" s="151"/>
      <c r="H915" s="151"/>
    </row>
    <row r="916" hidden="1">
      <c r="A916" s="151"/>
      <c r="B916" s="151"/>
      <c r="C916" s="151"/>
      <c r="D916" s="151"/>
      <c r="E916" s="151"/>
      <c r="F916" s="151"/>
      <c r="G916" s="151"/>
      <c r="H916" s="151"/>
    </row>
    <row r="917" hidden="1">
      <c r="A917" s="151"/>
      <c r="B917" s="151"/>
      <c r="C917" s="151"/>
      <c r="D917" s="151"/>
      <c r="E917" s="151"/>
      <c r="F917" s="151"/>
      <c r="G917" s="151"/>
      <c r="H917" s="151"/>
    </row>
    <row r="918" hidden="1">
      <c r="A918" s="151"/>
      <c r="B918" s="151"/>
      <c r="C918" s="151"/>
      <c r="D918" s="151"/>
      <c r="E918" s="151"/>
      <c r="F918" s="151"/>
      <c r="G918" s="151"/>
      <c r="H918" s="151"/>
    </row>
    <row r="919" hidden="1">
      <c r="A919" s="151"/>
      <c r="B919" s="151"/>
      <c r="C919" s="151"/>
      <c r="D919" s="151"/>
      <c r="E919" s="151"/>
      <c r="F919" s="151"/>
      <c r="G919" s="151"/>
      <c r="H919" s="151"/>
    </row>
    <row r="920" hidden="1">
      <c r="A920" s="151"/>
      <c r="B920" s="151"/>
      <c r="C920" s="151"/>
      <c r="D920" s="151"/>
      <c r="E920" s="151"/>
      <c r="F920" s="151"/>
      <c r="G920" s="151"/>
      <c r="H920" s="151"/>
    </row>
    <row r="921" hidden="1">
      <c r="A921" s="151"/>
      <c r="B921" s="151"/>
      <c r="C921" s="151"/>
      <c r="D921" s="151"/>
      <c r="E921" s="151"/>
      <c r="F921" s="151"/>
      <c r="G921" s="151"/>
      <c r="H921" s="151"/>
    </row>
    <row r="922" hidden="1">
      <c r="A922" s="151"/>
      <c r="B922" s="151"/>
      <c r="C922" s="151"/>
      <c r="D922" s="151"/>
      <c r="E922" s="151"/>
      <c r="F922" s="151"/>
      <c r="G922" s="151"/>
      <c r="H922" s="151"/>
    </row>
    <row r="923" hidden="1">
      <c r="A923" s="151"/>
      <c r="B923" s="151"/>
      <c r="C923" s="151"/>
      <c r="D923" s="151"/>
      <c r="E923" s="151"/>
      <c r="F923" s="151"/>
      <c r="G923" s="151"/>
      <c r="H923" s="151"/>
    </row>
    <row r="924" hidden="1">
      <c r="A924" s="151"/>
      <c r="B924" s="151"/>
      <c r="C924" s="151"/>
      <c r="D924" s="151"/>
      <c r="E924" s="151"/>
      <c r="F924" s="151"/>
      <c r="G924" s="151"/>
      <c r="H924" s="151"/>
    </row>
    <row r="925" hidden="1">
      <c r="A925" s="151"/>
      <c r="B925" s="151"/>
      <c r="C925" s="151"/>
      <c r="D925" s="151"/>
      <c r="E925" s="151"/>
      <c r="F925" s="151"/>
      <c r="G925" s="151"/>
      <c r="H925" s="151"/>
    </row>
    <row r="926" hidden="1">
      <c r="A926" s="151"/>
      <c r="B926" s="151"/>
      <c r="C926" s="151"/>
      <c r="D926" s="151"/>
      <c r="E926" s="151"/>
      <c r="F926" s="151"/>
      <c r="G926" s="151"/>
      <c r="H926" s="151"/>
    </row>
    <row r="927" hidden="1">
      <c r="A927" s="151"/>
      <c r="B927" s="151"/>
      <c r="C927" s="151"/>
      <c r="D927" s="151"/>
      <c r="E927" s="151"/>
      <c r="F927" s="151"/>
      <c r="G927" s="151"/>
      <c r="H927" s="151"/>
    </row>
    <row r="928" hidden="1">
      <c r="A928" s="151"/>
      <c r="B928" s="151"/>
      <c r="C928" s="151"/>
      <c r="D928" s="151"/>
      <c r="E928" s="151"/>
      <c r="F928" s="151"/>
      <c r="G928" s="151"/>
      <c r="H928" s="151"/>
    </row>
    <row r="929" hidden="1">
      <c r="A929" s="151"/>
      <c r="B929" s="151"/>
      <c r="C929" s="151"/>
      <c r="D929" s="151"/>
      <c r="E929" s="151"/>
      <c r="F929" s="151"/>
      <c r="G929" s="151"/>
      <c r="H929" s="151"/>
    </row>
    <row r="930" hidden="1">
      <c r="A930" s="151"/>
      <c r="B930" s="151"/>
      <c r="C930" s="151"/>
      <c r="D930" s="151"/>
      <c r="E930" s="151"/>
      <c r="F930" s="151"/>
      <c r="G930" s="151"/>
      <c r="H930" s="151"/>
    </row>
    <row r="931" hidden="1">
      <c r="A931" s="151"/>
      <c r="B931" s="151"/>
      <c r="C931" s="151"/>
      <c r="D931" s="151"/>
      <c r="E931" s="151"/>
      <c r="F931" s="151"/>
      <c r="G931" s="151"/>
      <c r="H931" s="151"/>
    </row>
    <row r="932" hidden="1">
      <c r="A932" s="151"/>
      <c r="B932" s="151"/>
      <c r="C932" s="151"/>
      <c r="D932" s="151"/>
      <c r="E932" s="151"/>
      <c r="F932" s="151"/>
      <c r="G932" s="151"/>
      <c r="H932" s="151"/>
    </row>
    <row r="933" hidden="1">
      <c r="A933" s="151"/>
      <c r="B933" s="151"/>
      <c r="C933" s="151"/>
      <c r="D933" s="151"/>
      <c r="E933" s="151"/>
      <c r="F933" s="151"/>
      <c r="G933" s="151"/>
      <c r="H933" s="151"/>
    </row>
    <row r="934" hidden="1">
      <c r="A934" s="151"/>
      <c r="B934" s="151"/>
      <c r="C934" s="151"/>
      <c r="D934" s="151"/>
      <c r="E934" s="151"/>
      <c r="F934" s="151"/>
      <c r="G934" s="151"/>
      <c r="H934" s="151"/>
    </row>
    <row r="935" hidden="1">
      <c r="A935" s="151"/>
      <c r="B935" s="151"/>
      <c r="C935" s="151"/>
      <c r="D935" s="151"/>
      <c r="E935" s="151"/>
      <c r="F935" s="151"/>
      <c r="G935" s="151"/>
      <c r="H935" s="151"/>
    </row>
    <row r="936" hidden="1">
      <c r="A936" s="151"/>
      <c r="B936" s="151"/>
      <c r="C936" s="151"/>
      <c r="D936" s="151"/>
      <c r="E936" s="151"/>
      <c r="F936" s="151"/>
      <c r="G936" s="151"/>
      <c r="H936" s="151"/>
    </row>
    <row r="937" hidden="1">
      <c r="A937" s="151"/>
      <c r="B937" s="151"/>
      <c r="C937" s="151"/>
      <c r="D937" s="151"/>
      <c r="E937" s="151"/>
      <c r="F937" s="151"/>
      <c r="G937" s="151"/>
      <c r="H937" s="151"/>
    </row>
    <row r="938" hidden="1">
      <c r="A938" s="151"/>
      <c r="B938" s="151"/>
      <c r="C938" s="151"/>
      <c r="D938" s="151"/>
      <c r="E938" s="151"/>
      <c r="F938" s="151"/>
      <c r="G938" s="151"/>
      <c r="H938" s="151"/>
    </row>
    <row r="939" hidden="1">
      <c r="A939" s="151"/>
      <c r="B939" s="151"/>
      <c r="C939" s="151"/>
      <c r="D939" s="151"/>
      <c r="E939" s="151"/>
      <c r="F939" s="151"/>
      <c r="G939" s="151"/>
      <c r="H939" s="151"/>
    </row>
    <row r="940" hidden="1">
      <c r="A940" s="151"/>
      <c r="B940" s="151"/>
      <c r="C940" s="151"/>
      <c r="D940" s="151"/>
      <c r="E940" s="151"/>
      <c r="F940" s="151"/>
      <c r="G940" s="151"/>
      <c r="H940" s="151"/>
    </row>
    <row r="941" hidden="1">
      <c r="A941" s="151"/>
      <c r="B941" s="151"/>
      <c r="C941" s="151"/>
      <c r="D941" s="151"/>
      <c r="E941" s="151"/>
      <c r="F941" s="151"/>
      <c r="G941" s="151"/>
      <c r="H941" s="151"/>
    </row>
  </sheetData>
  <autoFilter ref="$A$1:$H$941">
    <filterColumn colId="0">
      <filters>
        <filter val="10"/>
        <filter val="11"/>
        <filter val="12"/>
        <filter val="13"/>
        <filter val="14"/>
        <filter val="15"/>
        <filter val="16"/>
        <filter val="17"/>
        <filter val="18"/>
        <filter val="19"/>
        <filter val="1"/>
        <filter val="2"/>
        <filter val="3"/>
        <filter val="4"/>
        <filter val="5"/>
        <filter val="6"/>
        <filter val="7"/>
        <filter val="8"/>
        <filter val="9"/>
        <filter val="20"/>
        <filter val="21"/>
        <filter val="22"/>
        <filter val="23"/>
        <filter val="24"/>
        <filter val="25"/>
        <filter val="26"/>
        <filter val="27"/>
        <filter val="28"/>
        <filter val="29"/>
        <filter val="30"/>
        <filter val="31"/>
        <filter val="32"/>
        <filter val="33"/>
        <filter val="34"/>
        <filter val="35"/>
        <filter val="36"/>
        <filter val="37"/>
      </filters>
    </filterColumn>
    <sortState ref="A1:H941">
      <sortCondition ref="B1:B941"/>
      <sortCondition ref="C1:C941"/>
    </sortState>
  </autoFilter>
  <drawing r:id="rId1"/>
</worksheet>
</file>